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Sarmite.Muze\Nextcloud\Finansu nodala kopmape\2024\10_2024\"/>
    </mc:Choice>
  </mc:AlternateContent>
  <xr:revisionPtr revIDLastSave="0" documentId="13_ncr:1_{B551B4ED-70F9-4D1D-9553-2F12A83484AF}" xr6:coauthVersionLast="47" xr6:coauthVersionMax="47" xr10:uidLastSave="{00000000-0000-0000-0000-000000000000}"/>
  <bookViews>
    <workbookView xWindow="-108" yWindow="-108" windowWidth="23256" windowHeight="12456" xr2:uid="{4917BFC8-8443-4F53-BBB4-0B9F580DF129}"/>
  </bookViews>
  <sheets>
    <sheet name="2024.gada budzeta plans_apvieno" sheetId="5" r:id="rId1"/>
    <sheet name="Saistibas_24102024" sheetId="1" r:id="rId2"/>
  </sheets>
  <externalReferences>
    <externalReference r:id="rId3"/>
  </externalReferences>
  <definedNames>
    <definedName name="_0812" localSheetId="0">#REF!</definedName>
    <definedName name="_0812">#REF!</definedName>
    <definedName name="_xlnm._FilterDatabase" localSheetId="0" hidden="1">'2024.gada budzeta plans_apvieno'!#REF!</definedName>
    <definedName name="_xlnm._FilterDatabase" localSheetId="1" hidden="1">Saistibas_24102024!$C$5:$AW$138</definedName>
    <definedName name="Apmaksa" localSheetId="0">#REF!</definedName>
    <definedName name="Apmaksa">#REF!</definedName>
    <definedName name="Darijums" localSheetId="0">#REF!</definedName>
    <definedName name="Darijums">#REF!</definedName>
    <definedName name="Excel_BuiltIn__FilterDatabase" localSheetId="0">#REF!</definedName>
    <definedName name="Excel_BuiltIn__FilterDatabase">#REF!</definedName>
    <definedName name="Firmas" localSheetId="0">#REF!</definedName>
    <definedName name="Firmas">#REF!</definedName>
    <definedName name="Kolonnas_virsraksta_reģions1..B11.1">#REF!</definedName>
    <definedName name="Kolonnas_virsraksta_reģions1..D4">#REF!</definedName>
    <definedName name="Kolonnas_virsraksta_reģions2..D7">#REF!</definedName>
    <definedName name="Kolonnas_virsraksta_reģions3..C12">#REF!</definedName>
    <definedName name="KolonnasNosaukums1">#REF!</definedName>
    <definedName name="Parvadataji" localSheetId="0">#REF!</definedName>
    <definedName name="Parvadataji">#REF!</definedName>
    <definedName name="_xlnm.Print_Area" localSheetId="0">'2024.gada budzeta plans_apvieno'!$A$1:$Z$302</definedName>
    <definedName name="_xlnm.Print_Titles" localSheetId="0">'2024.gada budzeta plans_apvieno'!$5:$5</definedName>
    <definedName name="Saist_apmers_ar_galvojumu" localSheetId="0">#REF!</definedName>
    <definedName name="Saist_apmers_ar_galvojumu">#REF!</definedName>
    <definedName name="Z_1893421C_DBAA_4C10_AA6C_4D0F39122205_.wvu.FilterData" localSheetId="0">#REF!</definedName>
    <definedName name="Z_1893421C_DBAA_4C10_AA6C_4D0F39122205_.wvu.FilterData">#REF!</definedName>
    <definedName name="Z_483F8D4B_D649_4D59_A67B_5E8B6C0D2E28_.wvu.FilterData" localSheetId="0">#REF!</definedName>
    <definedName name="Z_483F8D4B_D649_4D59_A67B_5E8B6C0D2E28_.wvu.FilterData">#REF!</definedName>
    <definedName name="Z_56A06D27_97E5_4D01_ADCE_F8E0A2A870EF_.wvu.FilterData" localSheetId="0">#REF!</definedName>
    <definedName name="Z_56A06D27_97E5_4D01_ADCE_F8E0A2A870EF_.wvu.FilterData">#REF!</definedName>
    <definedName name="Z_81EB1DB6_89AB_4045_90FA_EF2BA7E792F9_.wvu.FilterData" localSheetId="0">#REF!</definedName>
    <definedName name="Z_81EB1DB6_89AB_4045_90FA_EF2BA7E792F9_.wvu.FilterData">#REF!</definedName>
    <definedName name="Z_81EB1DB6_89AB_4045_90FA_EF2BA7E792F9_.wvu.PrintArea" localSheetId="0">#REF!</definedName>
    <definedName name="Z_81EB1DB6_89AB_4045_90FA_EF2BA7E792F9_.wvu.PrintArea">#REF!</definedName>
    <definedName name="Z_8545B4E6_A517_4BD7_BFB7_42FEB5F229AD_.wvu.FilterData" localSheetId="0">#REF!</definedName>
    <definedName name="Z_8545B4E6_A517_4BD7_BFB7_42FEB5F229AD_.wvu.FilterData">#REF!</definedName>
    <definedName name="Z_877A1030_2452_46B0_88DF_8A068656C08E_.wvu.FilterData" localSheetId="0">#REF!</definedName>
    <definedName name="Z_877A1030_2452_46B0_88DF_8A068656C08E_.wvu.FilterData">#REF!</definedName>
    <definedName name="Z_ABD8A783_3A6C_4629_9559_1E4E89E80131_.wvu.FilterData" localSheetId="0">#REF!</definedName>
    <definedName name="Z_ABD8A783_3A6C_4629_9559_1E4E89E80131_.wvu.FilterData">#REF!</definedName>
    <definedName name="Z_AF277C95_CBD9_4696_AC72_D010599E9831_.wvu.FilterData" localSheetId="0">#REF!</definedName>
    <definedName name="Z_AF277C95_CBD9_4696_AC72_D010599E9831_.wvu.FilterData">#REF!</definedName>
    <definedName name="Z_B7CBCF06_FF41_423A_9AB3_E1D1F70C6FC5_.wvu.FilterData" localSheetId="0">#REF!</definedName>
    <definedName name="Z_B7CBCF06_FF41_423A_9AB3_E1D1F70C6FC5_.wvu.FilterData">#REF!</definedName>
    <definedName name="Z_C5511FB8_86C5_41F3_ADCD_B10310F066F5_.wvu.FilterData" localSheetId="0">#REF!</definedName>
    <definedName name="Z_C5511FB8_86C5_41F3_ADCD_B10310F066F5_.wvu.FilterData">#REF!</definedName>
    <definedName name="Z_DB8ECBD1_2D44_4F97_BCC9_F610BA0A3109_.wvu.FilterData" localSheetId="0">#REF!</definedName>
    <definedName name="Z_DB8ECBD1_2D44_4F97_BCC9_F610BA0A3109_.wvu.FilterData">#REF!</definedName>
    <definedName name="Z_DEE3A27E_689A_4E9F_A3EB_C84F1E3B413E_.wvu.FilterData" localSheetId="0">#REF!</definedName>
    <definedName name="Z_DEE3A27E_689A_4E9F_A3EB_C84F1E3B413E_.wvu.FilterData">#REF!</definedName>
    <definedName name="Z_F1F489B9_0F61_4F1F_A151_75EF77465344_.wvu.Cols" localSheetId="0">#REF!</definedName>
    <definedName name="Z_F1F489B9_0F61_4F1F_A151_75EF77465344_.wvu.Cols">#REF!</definedName>
    <definedName name="Z_F1F489B9_0F61_4F1F_A151_75EF77465344_.wvu.FilterData" localSheetId="0">#REF!</definedName>
    <definedName name="Z_F1F489B9_0F61_4F1F_A151_75EF77465344_.wvu.FilterData">#REF!</definedName>
    <definedName name="Z_F1F489B9_0F61_4F1F_A151_75EF77465344_.wvu.PrintArea" localSheetId="0">#REF!</definedName>
    <definedName name="Z_F1F489B9_0F61_4F1F_A151_75EF77465344_.wvu.PrintArea">#REF!</definedName>
    <definedName name="Z_F1F489B9_0F61_4F1F_A151_75EF77465344_.wvu.PrintTitles" localSheetId="0">#REF!</definedName>
    <definedName name="Z_F1F489B9_0F61_4F1F_A151_75EF77465344_.wvu.PrintTitle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 i="5" l="1"/>
  <c r="F300" i="5"/>
  <c r="G300" i="5" s="1"/>
  <c r="O298" i="5"/>
  <c r="P298" i="5" s="1"/>
  <c r="M298" i="5"/>
  <c r="J298" i="5"/>
  <c r="G298" i="5"/>
  <c r="O297" i="5"/>
  <c r="R297" i="5" s="1"/>
  <c r="M297" i="5"/>
  <c r="J297" i="5"/>
  <c r="G297" i="5"/>
  <c r="X296" i="5"/>
  <c r="L296" i="5"/>
  <c r="I296" i="5"/>
  <c r="F296" i="5"/>
  <c r="F295" i="5"/>
  <c r="G295" i="5" s="1"/>
  <c r="F294" i="5"/>
  <c r="X293" i="5"/>
  <c r="F292" i="5"/>
  <c r="F291" i="5"/>
  <c r="G291" i="5" s="1"/>
  <c r="F290" i="5"/>
  <c r="I290" i="5" s="1"/>
  <c r="F289" i="5"/>
  <c r="F288" i="5"/>
  <c r="I288" i="5" s="1"/>
  <c r="L288" i="5" s="1"/>
  <c r="O288" i="5" s="1"/>
  <c r="X287" i="5"/>
  <c r="F287" i="5"/>
  <c r="F286" i="5"/>
  <c r="F285" i="5"/>
  <c r="F284" i="5" s="1"/>
  <c r="G284" i="5" s="1"/>
  <c r="X284" i="5"/>
  <c r="F283" i="5"/>
  <c r="I283" i="5" s="1"/>
  <c r="F282" i="5"/>
  <c r="I282" i="5" s="1"/>
  <c r="J282" i="5" s="1"/>
  <c r="X281" i="5"/>
  <c r="I280" i="5"/>
  <c r="J280" i="5" s="1"/>
  <c r="G280" i="5"/>
  <c r="X279" i="5"/>
  <c r="X277" i="5" s="1"/>
  <c r="F279" i="5"/>
  <c r="F278" i="5"/>
  <c r="I278" i="5" s="1"/>
  <c r="J278" i="5" s="1"/>
  <c r="F276" i="5"/>
  <c r="I276" i="5" s="1"/>
  <c r="I275" i="5"/>
  <c r="J275" i="5" s="1"/>
  <c r="G275" i="5"/>
  <c r="X274" i="5"/>
  <c r="F274" i="5"/>
  <c r="I274" i="5" s="1"/>
  <c r="J274" i="5" s="1"/>
  <c r="F273" i="5"/>
  <c r="F272" i="5"/>
  <c r="I272" i="5" s="1"/>
  <c r="L272" i="5" s="1"/>
  <c r="F271" i="5"/>
  <c r="F270" i="5"/>
  <c r="X269" i="5"/>
  <c r="I269" i="5"/>
  <c r="J269" i="5" s="1"/>
  <c r="G269" i="5"/>
  <c r="X268" i="5"/>
  <c r="F268" i="5"/>
  <c r="I268" i="5" s="1"/>
  <c r="J268" i="5" s="1"/>
  <c r="F267" i="5"/>
  <c r="G267" i="5" s="1"/>
  <c r="F266" i="5"/>
  <c r="I266" i="5" s="1"/>
  <c r="L266" i="5" s="1"/>
  <c r="M266" i="5" s="1"/>
  <c r="X265" i="5"/>
  <c r="X264" i="5" s="1"/>
  <c r="F265" i="5"/>
  <c r="H263" i="5"/>
  <c r="F262" i="5"/>
  <c r="G262" i="5" s="1"/>
  <c r="F261" i="5"/>
  <c r="G261" i="5" s="1"/>
  <c r="X260" i="5"/>
  <c r="F260" i="5"/>
  <c r="G260" i="5" s="1"/>
  <c r="I259" i="5"/>
  <c r="L259" i="5" s="1"/>
  <c r="F259" i="5"/>
  <c r="G259" i="5" s="1"/>
  <c r="F258" i="5"/>
  <c r="I258" i="5" s="1"/>
  <c r="L258" i="5" s="1"/>
  <c r="M258" i="5" s="1"/>
  <c r="X257" i="5"/>
  <c r="F257" i="5"/>
  <c r="F256" i="5"/>
  <c r="G256" i="5" s="1"/>
  <c r="X255" i="5"/>
  <c r="X253" i="5" s="1"/>
  <c r="X252" i="5" s="1"/>
  <c r="I255" i="5"/>
  <c r="J255" i="5" s="1"/>
  <c r="G255" i="5"/>
  <c r="F254" i="5"/>
  <c r="I254" i="5" s="1"/>
  <c r="F253" i="5"/>
  <c r="I253" i="5" s="1"/>
  <c r="F250" i="5"/>
  <c r="I250" i="5" s="1"/>
  <c r="F249" i="5"/>
  <c r="I249" i="5" s="1"/>
  <c r="F248" i="5"/>
  <c r="G248" i="5" s="1"/>
  <c r="X247" i="5"/>
  <c r="F246" i="5"/>
  <c r="X245" i="5"/>
  <c r="F245" i="5"/>
  <c r="G245" i="5" s="1"/>
  <c r="F244" i="5"/>
  <c r="I244" i="5" s="1"/>
  <c r="X243" i="5"/>
  <c r="X242" i="5"/>
  <c r="F242" i="5"/>
  <c r="G242" i="5" s="1"/>
  <c r="X241" i="5"/>
  <c r="F241" i="5"/>
  <c r="F240" i="5"/>
  <c r="I238" i="5"/>
  <c r="G238" i="5"/>
  <c r="X237" i="5"/>
  <c r="X235" i="5" s="1"/>
  <c r="F237" i="5"/>
  <c r="I237" i="5" s="1"/>
  <c r="L237" i="5" s="1"/>
  <c r="M237" i="5" s="1"/>
  <c r="F236" i="5"/>
  <c r="X234" i="5"/>
  <c r="I234" i="5"/>
  <c r="G234" i="5"/>
  <c r="X233" i="5"/>
  <c r="F233" i="5"/>
  <c r="I233" i="5" s="1"/>
  <c r="F232" i="5"/>
  <c r="I232" i="5" s="1"/>
  <c r="J232" i="5" s="1"/>
  <c r="F230" i="5"/>
  <c r="I230" i="5" s="1"/>
  <c r="L230" i="5" s="1"/>
  <c r="M230" i="5" s="1"/>
  <c r="F228" i="5"/>
  <c r="I228" i="5" s="1"/>
  <c r="F227" i="5"/>
  <c r="I227" i="5" s="1"/>
  <c r="L227" i="5" s="1"/>
  <c r="M227" i="5" s="1"/>
  <c r="R226" i="5"/>
  <c r="U226" i="5" s="1"/>
  <c r="P226" i="5"/>
  <c r="F225" i="5"/>
  <c r="I225" i="5" s="1"/>
  <c r="L225" i="5" s="1"/>
  <c r="F224" i="5"/>
  <c r="I224" i="5" s="1"/>
  <c r="F223" i="5"/>
  <c r="I223" i="5" s="1"/>
  <c r="F222" i="5"/>
  <c r="G222" i="5" s="1"/>
  <c r="F221" i="5"/>
  <c r="G221" i="5" s="1"/>
  <c r="U220" i="5"/>
  <c r="Y220" i="5" s="1"/>
  <c r="R220" i="5"/>
  <c r="O220" i="5"/>
  <c r="P220" i="5" s="1"/>
  <c r="X219" i="5"/>
  <c r="X218" i="5" s="1"/>
  <c r="F219" i="5"/>
  <c r="I219" i="5" s="1"/>
  <c r="F217" i="5"/>
  <c r="I217" i="5" s="1"/>
  <c r="X216" i="5"/>
  <c r="X215" i="5" s="1"/>
  <c r="F216" i="5"/>
  <c r="F214" i="5"/>
  <c r="G214" i="5" s="1"/>
  <c r="U213" i="5"/>
  <c r="Y213" i="5" s="1"/>
  <c r="R213" i="5"/>
  <c r="O213" i="5"/>
  <c r="P213" i="5" s="1"/>
  <c r="F212" i="5"/>
  <c r="G212" i="5" s="1"/>
  <c r="F211" i="5"/>
  <c r="G211" i="5" s="1"/>
  <c r="F210" i="5"/>
  <c r="I210" i="5" s="1"/>
  <c r="L210" i="5" s="1"/>
  <c r="X209" i="5"/>
  <c r="X208" i="5" s="1"/>
  <c r="G209" i="5"/>
  <c r="F209" i="5"/>
  <c r="K208" i="5"/>
  <c r="K207" i="5" s="1"/>
  <c r="H207" i="5"/>
  <c r="H299" i="5" s="1"/>
  <c r="F206" i="5"/>
  <c r="G206" i="5" s="1"/>
  <c r="F205" i="5"/>
  <c r="I205" i="5" s="1"/>
  <c r="I204" i="5"/>
  <c r="L204" i="5" s="1"/>
  <c r="M204" i="5" s="1"/>
  <c r="G204" i="5"/>
  <c r="X203" i="5"/>
  <c r="F203" i="5"/>
  <c r="F202" i="5" s="1"/>
  <c r="G202" i="5" s="1"/>
  <c r="F201" i="5"/>
  <c r="I201" i="5" s="1"/>
  <c r="F200" i="5"/>
  <c r="I200" i="5" s="1"/>
  <c r="L200" i="5" s="1"/>
  <c r="I199" i="5"/>
  <c r="J199" i="5" s="1"/>
  <c r="F199" i="5"/>
  <c r="G199" i="5" s="1"/>
  <c r="F198" i="5"/>
  <c r="I198" i="5" s="1"/>
  <c r="F197" i="5"/>
  <c r="F196" i="5"/>
  <c r="G196" i="5" s="1"/>
  <c r="F195" i="5"/>
  <c r="G195" i="5" s="1"/>
  <c r="F194" i="5"/>
  <c r="X193" i="5"/>
  <c r="H193" i="5"/>
  <c r="F191" i="5"/>
  <c r="I191" i="5" s="1"/>
  <c r="L191" i="5" s="1"/>
  <c r="X190" i="5"/>
  <c r="F190" i="5"/>
  <c r="I190" i="5" s="1"/>
  <c r="J190" i="5" s="1"/>
  <c r="F189" i="5"/>
  <c r="G189" i="5" s="1"/>
  <c r="F188" i="5"/>
  <c r="F187" i="5"/>
  <c r="G187" i="5" s="1"/>
  <c r="F186" i="5"/>
  <c r="I186" i="5" s="1"/>
  <c r="F185" i="5"/>
  <c r="G185" i="5" s="1"/>
  <c r="L184" i="5"/>
  <c r="O184" i="5" s="1"/>
  <c r="R184" i="5" s="1"/>
  <c r="S184" i="5" s="1"/>
  <c r="J184" i="5"/>
  <c r="F183" i="5"/>
  <c r="F182" i="5"/>
  <c r="I182" i="5" s="1"/>
  <c r="L182" i="5" s="1"/>
  <c r="X181" i="5"/>
  <c r="F181" i="5"/>
  <c r="F180" i="5"/>
  <c r="I180" i="5" s="1"/>
  <c r="J180" i="5" s="1"/>
  <c r="X179" i="5"/>
  <c r="F179" i="5"/>
  <c r="F177" i="5"/>
  <c r="I177" i="5" s="1"/>
  <c r="Y176" i="5"/>
  <c r="V176" i="5"/>
  <c r="S176" i="5"/>
  <c r="F175" i="5"/>
  <c r="I175" i="5" s="1"/>
  <c r="F174" i="5"/>
  <c r="G174" i="5" s="1"/>
  <c r="F173" i="5"/>
  <c r="I173" i="5" s="1"/>
  <c r="O171" i="5"/>
  <c r="R171" i="5" s="1"/>
  <c r="M171" i="5"/>
  <c r="F171" i="5"/>
  <c r="G171" i="5" s="1"/>
  <c r="O170" i="5"/>
  <c r="M170" i="5"/>
  <c r="F170" i="5"/>
  <c r="O169" i="5"/>
  <c r="R169" i="5" s="1"/>
  <c r="U169" i="5" s="1"/>
  <c r="M169" i="5"/>
  <c r="F169" i="5"/>
  <c r="G169" i="5" s="1"/>
  <c r="F168" i="5"/>
  <c r="G168" i="5" s="1"/>
  <c r="F167" i="5"/>
  <c r="X166" i="5"/>
  <c r="X155" i="5" s="1"/>
  <c r="X154" i="5" s="1"/>
  <c r="F166" i="5"/>
  <c r="I166" i="5" s="1"/>
  <c r="F165" i="5"/>
  <c r="G165" i="5" s="1"/>
  <c r="F164" i="5"/>
  <c r="F163" i="5"/>
  <c r="I163" i="5" s="1"/>
  <c r="F162" i="5"/>
  <c r="G162" i="5" s="1"/>
  <c r="F161" i="5"/>
  <c r="F160" i="5"/>
  <c r="I160" i="5" s="1"/>
  <c r="F159" i="5"/>
  <c r="G159" i="5" s="1"/>
  <c r="F158" i="5"/>
  <c r="F157" i="5"/>
  <c r="I157" i="5" s="1"/>
  <c r="L157" i="5" s="1"/>
  <c r="F156" i="5"/>
  <c r="G156" i="5" s="1"/>
  <c r="F155" i="5"/>
  <c r="I155" i="5" s="1"/>
  <c r="F153" i="5"/>
  <c r="I153" i="5" s="1"/>
  <c r="F152" i="5"/>
  <c r="X151" i="5"/>
  <c r="F151" i="5"/>
  <c r="I151" i="5" s="1"/>
  <c r="F149" i="5"/>
  <c r="I149" i="5" s="1"/>
  <c r="X148" i="5"/>
  <c r="F147" i="5"/>
  <c r="I147" i="5" s="1"/>
  <c r="L147" i="5" s="1"/>
  <c r="F146" i="5"/>
  <c r="I146" i="5" s="1"/>
  <c r="F145" i="5"/>
  <c r="I145" i="5" s="1"/>
  <c r="X144" i="5"/>
  <c r="X143" i="5" s="1"/>
  <c r="F142" i="5"/>
  <c r="I142" i="5" s="1"/>
  <c r="F141" i="5"/>
  <c r="G141" i="5" s="1"/>
  <c r="X140" i="5"/>
  <c r="F140" i="5"/>
  <c r="F139" i="5"/>
  <c r="G139" i="5" s="1"/>
  <c r="F138" i="5"/>
  <c r="I138" i="5" s="1"/>
  <c r="J138" i="5" s="1"/>
  <c r="F137" i="5"/>
  <c r="I137" i="5" s="1"/>
  <c r="J137" i="5" s="1"/>
  <c r="F136" i="5"/>
  <c r="I136" i="5" s="1"/>
  <c r="J136" i="5" s="1"/>
  <c r="F135" i="5"/>
  <c r="G135" i="5" s="1"/>
  <c r="F134" i="5"/>
  <c r="F133" i="5"/>
  <c r="G133" i="5" s="1"/>
  <c r="F132" i="5"/>
  <c r="I132" i="5" s="1"/>
  <c r="L132" i="5" s="1"/>
  <c r="O132" i="5" s="1"/>
  <c r="X131" i="5"/>
  <c r="F131" i="5"/>
  <c r="I131" i="5" s="1"/>
  <c r="Y129" i="5"/>
  <c r="X129" i="5"/>
  <c r="V129" i="5"/>
  <c r="U129" i="5"/>
  <c r="S129" i="5"/>
  <c r="R129" i="5"/>
  <c r="X123" i="5"/>
  <c r="F123" i="5"/>
  <c r="I123" i="5" s="1"/>
  <c r="J123" i="5" s="1"/>
  <c r="X122" i="5"/>
  <c r="O122" i="5"/>
  <c r="R122" i="5" s="1"/>
  <c r="U122" i="5" s="1"/>
  <c r="V122" i="5" s="1"/>
  <c r="F122" i="5"/>
  <c r="I122" i="5" s="1"/>
  <c r="J122" i="5" s="1"/>
  <c r="X121" i="5"/>
  <c r="F121" i="5"/>
  <c r="I121" i="5" s="1"/>
  <c r="F120" i="5"/>
  <c r="I120" i="5" s="1"/>
  <c r="F119" i="5"/>
  <c r="G119" i="5" s="1"/>
  <c r="X118" i="5"/>
  <c r="F118" i="5"/>
  <c r="G118" i="5" s="1"/>
  <c r="F117" i="5"/>
  <c r="I117" i="5" s="1"/>
  <c r="F116" i="5"/>
  <c r="I116" i="5" s="1"/>
  <c r="F115" i="5"/>
  <c r="F114" i="5"/>
  <c r="G114" i="5" s="1"/>
  <c r="X113" i="5"/>
  <c r="F113" i="5"/>
  <c r="G113" i="5" s="1"/>
  <c r="X112" i="5"/>
  <c r="F112" i="5"/>
  <c r="G112" i="5" s="1"/>
  <c r="F109" i="5"/>
  <c r="F110" i="5" s="1"/>
  <c r="I110" i="5" s="1"/>
  <c r="X108" i="5"/>
  <c r="X106" i="5"/>
  <c r="F106" i="5"/>
  <c r="I106" i="5" s="1"/>
  <c r="F105" i="5"/>
  <c r="G105" i="5" s="1"/>
  <c r="F104" i="5"/>
  <c r="G104" i="5" s="1"/>
  <c r="X103" i="5"/>
  <c r="X102" i="5" s="1"/>
  <c r="F103" i="5"/>
  <c r="G103" i="5" s="1"/>
  <c r="F101" i="5"/>
  <c r="I101" i="5" s="1"/>
  <c r="F100" i="5"/>
  <c r="I100" i="5" s="1"/>
  <c r="L100" i="5" s="1"/>
  <c r="O100" i="5" s="1"/>
  <c r="X99" i="5"/>
  <c r="X98" i="5" s="1"/>
  <c r="F99" i="5"/>
  <c r="G99" i="5" s="1"/>
  <c r="F97" i="5"/>
  <c r="F95" i="5" s="1"/>
  <c r="G95" i="5" s="1"/>
  <c r="Y96" i="5"/>
  <c r="V96" i="5"/>
  <c r="S96" i="5"/>
  <c r="P96" i="5"/>
  <c r="M96" i="5"/>
  <c r="J96" i="5"/>
  <c r="G96" i="5"/>
  <c r="F94" i="5"/>
  <c r="I94" i="5" s="1"/>
  <c r="F93" i="5"/>
  <c r="G93" i="5" s="1"/>
  <c r="X92" i="5"/>
  <c r="F90" i="5"/>
  <c r="G90" i="5" s="1"/>
  <c r="F89" i="5"/>
  <c r="G89" i="5" s="1"/>
  <c r="X88" i="5"/>
  <c r="X87" i="5"/>
  <c r="F87" i="5"/>
  <c r="I87" i="5" s="1"/>
  <c r="F86" i="5"/>
  <c r="I86" i="5" s="1"/>
  <c r="F85" i="5"/>
  <c r="F84" i="5"/>
  <c r="I84" i="5" s="1"/>
  <c r="J84" i="5" s="1"/>
  <c r="F83" i="5"/>
  <c r="I83" i="5" s="1"/>
  <c r="F82" i="5"/>
  <c r="I82" i="5" s="1"/>
  <c r="L82" i="5" s="1"/>
  <c r="X81" i="5"/>
  <c r="F81" i="5"/>
  <c r="I81" i="5" s="1"/>
  <c r="X80" i="5"/>
  <c r="F80" i="5"/>
  <c r="F79" i="5"/>
  <c r="I79" i="5" s="1"/>
  <c r="F78" i="5"/>
  <c r="I78" i="5" s="1"/>
  <c r="J78" i="5" s="1"/>
  <c r="F77" i="5"/>
  <c r="I77" i="5" s="1"/>
  <c r="J77" i="5" s="1"/>
  <c r="F76" i="5"/>
  <c r="I76" i="5" s="1"/>
  <c r="F75" i="5"/>
  <c r="F74" i="5"/>
  <c r="I74" i="5" s="1"/>
  <c r="F73" i="5"/>
  <c r="I73" i="5" s="1"/>
  <c r="L73" i="5" s="1"/>
  <c r="F72" i="5"/>
  <c r="I72" i="5" s="1"/>
  <c r="L72" i="5" s="1"/>
  <c r="M72" i="5" s="1"/>
  <c r="F71" i="5"/>
  <c r="I71" i="5" s="1"/>
  <c r="F70" i="5"/>
  <c r="G70" i="5" s="1"/>
  <c r="F69" i="5"/>
  <c r="F68" i="5"/>
  <c r="I68" i="5" s="1"/>
  <c r="F67" i="5"/>
  <c r="G67" i="5" s="1"/>
  <c r="X65" i="5"/>
  <c r="F65" i="5"/>
  <c r="I65" i="5" s="1"/>
  <c r="J65" i="5" s="1"/>
  <c r="F64" i="5"/>
  <c r="G64" i="5" s="1"/>
  <c r="F63" i="5"/>
  <c r="F62" i="5"/>
  <c r="I62" i="5" s="1"/>
  <c r="F61" i="5"/>
  <c r="I61" i="5" s="1"/>
  <c r="L61" i="5" s="1"/>
  <c r="F60" i="5"/>
  <c r="I60" i="5" s="1"/>
  <c r="L60" i="5" s="1"/>
  <c r="M60" i="5" s="1"/>
  <c r="Y59" i="5"/>
  <c r="V59" i="5"/>
  <c r="S59" i="5"/>
  <c r="P59" i="5"/>
  <c r="M59" i="5"/>
  <c r="J59" i="5"/>
  <c r="G59" i="5"/>
  <c r="F58" i="5"/>
  <c r="I58" i="5" s="1"/>
  <c r="L58" i="5" s="1"/>
  <c r="F57" i="5"/>
  <c r="I57" i="5" s="1"/>
  <c r="L57" i="5" s="1"/>
  <c r="M57" i="5" s="1"/>
  <c r="F56" i="5"/>
  <c r="I56" i="5" s="1"/>
  <c r="F55" i="5"/>
  <c r="G55" i="5" s="1"/>
  <c r="F54" i="5"/>
  <c r="F53" i="5"/>
  <c r="I53" i="5" s="1"/>
  <c r="F52" i="5"/>
  <c r="F51" i="5"/>
  <c r="I51" i="5" s="1"/>
  <c r="X50" i="5"/>
  <c r="Y49" i="5"/>
  <c r="V49" i="5"/>
  <c r="S49" i="5"/>
  <c r="L49" i="5"/>
  <c r="M49" i="5" s="1"/>
  <c r="J49" i="5"/>
  <c r="G49" i="5"/>
  <c r="I48" i="5"/>
  <c r="L48" i="5" s="1"/>
  <c r="G48" i="5"/>
  <c r="X47" i="5"/>
  <c r="F47" i="5"/>
  <c r="G47" i="5" s="1"/>
  <c r="F46" i="5"/>
  <c r="I46" i="5" s="1"/>
  <c r="L46" i="5" s="1"/>
  <c r="F45" i="5"/>
  <c r="I45" i="5" s="1"/>
  <c r="J45" i="5" s="1"/>
  <c r="F44" i="5"/>
  <c r="G44" i="5" s="1"/>
  <c r="X41" i="5"/>
  <c r="F41" i="5"/>
  <c r="F40" i="5"/>
  <c r="I40" i="5" s="1"/>
  <c r="X39" i="5"/>
  <c r="F39" i="5"/>
  <c r="I39" i="5" s="1"/>
  <c r="X38" i="5"/>
  <c r="F38" i="5"/>
  <c r="I38" i="5" s="1"/>
  <c r="F36" i="5"/>
  <c r="I36" i="5" s="1"/>
  <c r="F35" i="5"/>
  <c r="I35" i="5" s="1"/>
  <c r="J35" i="5" s="1"/>
  <c r="X34" i="5"/>
  <c r="AA34" i="5" s="1"/>
  <c r="F33" i="5"/>
  <c r="G33" i="5" s="1"/>
  <c r="F32" i="5"/>
  <c r="G32" i="5" s="1"/>
  <c r="F31" i="5"/>
  <c r="I31" i="5" s="1"/>
  <c r="F30" i="5"/>
  <c r="F29" i="5"/>
  <c r="I29" i="5" s="1"/>
  <c r="F28" i="5"/>
  <c r="I28" i="5" s="1"/>
  <c r="X27" i="5"/>
  <c r="F26" i="5"/>
  <c r="G26" i="5" s="1"/>
  <c r="F25" i="5"/>
  <c r="I25" i="5" s="1"/>
  <c r="F24" i="5"/>
  <c r="I24" i="5" s="1"/>
  <c r="X23" i="5"/>
  <c r="F21" i="5"/>
  <c r="I21" i="5" s="1"/>
  <c r="F20" i="5"/>
  <c r="I20" i="5" s="1"/>
  <c r="X19" i="5"/>
  <c r="F18" i="5"/>
  <c r="I18" i="5" s="1"/>
  <c r="F17" i="5"/>
  <c r="I17" i="5" s="1"/>
  <c r="X16" i="5"/>
  <c r="F15" i="5"/>
  <c r="G15" i="5" s="1"/>
  <c r="F14" i="5"/>
  <c r="X13" i="5"/>
  <c r="F12" i="5"/>
  <c r="I12" i="5" s="1"/>
  <c r="F11" i="5"/>
  <c r="G11" i="5" s="1"/>
  <c r="X10" i="5"/>
  <c r="X9" i="5" s="1"/>
  <c r="F8" i="5"/>
  <c r="G8" i="5" s="1"/>
  <c r="X7" i="5"/>
  <c r="Y3" i="5"/>
  <c r="X3" i="5"/>
  <c r="I174" i="5" l="1"/>
  <c r="R298" i="5"/>
  <c r="U298" i="5" s="1"/>
  <c r="I211" i="5"/>
  <c r="I162" i="5"/>
  <c r="S220" i="5"/>
  <c r="F16" i="5"/>
  <c r="G16" i="5" s="1"/>
  <c r="G121" i="5"/>
  <c r="I206" i="5"/>
  <c r="G290" i="5"/>
  <c r="P49" i="5"/>
  <c r="I11" i="5"/>
  <c r="L11" i="5" s="1"/>
  <c r="O227" i="5"/>
  <c r="R227" i="5" s="1"/>
  <c r="X37" i="5"/>
  <c r="X178" i="5"/>
  <c r="X172" i="5" s="1"/>
  <c r="X150" i="5" s="1"/>
  <c r="X231" i="5"/>
  <c r="J266" i="5"/>
  <c r="L255" i="5"/>
  <c r="I67" i="5"/>
  <c r="J204" i="5"/>
  <c r="I262" i="5"/>
  <c r="P169" i="5"/>
  <c r="F7" i="5"/>
  <c r="G7" i="5" s="1"/>
  <c r="X111" i="5"/>
  <c r="G274" i="5"/>
  <c r="I32" i="5"/>
  <c r="J32" i="5" s="1"/>
  <c r="L84" i="5"/>
  <c r="O84" i="5" s="1"/>
  <c r="R84" i="5" s="1"/>
  <c r="L275" i="5"/>
  <c r="O275" i="5" s="1"/>
  <c r="R275" i="5" s="1"/>
  <c r="L269" i="5"/>
  <c r="O269" i="5" s="1"/>
  <c r="R269" i="5" s="1"/>
  <c r="L254" i="5"/>
  <c r="O254" i="5" s="1"/>
  <c r="J254" i="5"/>
  <c r="P171" i="5"/>
  <c r="L180" i="5"/>
  <c r="I196" i="5"/>
  <c r="L196" i="5" s="1"/>
  <c r="O196" i="5" s="1"/>
  <c r="J230" i="5"/>
  <c r="I105" i="5"/>
  <c r="L105" i="5" s="1"/>
  <c r="M105" i="5" s="1"/>
  <c r="P122" i="5"/>
  <c r="J169" i="5"/>
  <c r="I187" i="5"/>
  <c r="J187" i="5" s="1"/>
  <c r="O204" i="5"/>
  <c r="L45" i="5"/>
  <c r="M45" i="5" s="1"/>
  <c r="I26" i="5"/>
  <c r="J26" i="5" s="1"/>
  <c r="G82" i="5"/>
  <c r="J132" i="5"/>
  <c r="I141" i="5"/>
  <c r="L141" i="5" s="1"/>
  <c r="I248" i="5"/>
  <c r="J248" i="5" s="1"/>
  <c r="G266" i="5"/>
  <c r="P297" i="5"/>
  <c r="G25" i="5"/>
  <c r="I8" i="5"/>
  <c r="I7" i="5" s="1"/>
  <c r="G74" i="5"/>
  <c r="J82" i="5"/>
  <c r="I90" i="5"/>
  <c r="J90" i="5" s="1"/>
  <c r="G58" i="5"/>
  <c r="G62" i="5"/>
  <c r="G18" i="5"/>
  <c r="G182" i="5"/>
  <c r="G225" i="5"/>
  <c r="X239" i="5"/>
  <c r="G285" i="5"/>
  <c r="I99" i="5"/>
  <c r="L99" i="5" s="1"/>
  <c r="L98" i="5" s="1"/>
  <c r="F252" i="5"/>
  <c r="F251" i="5" s="1"/>
  <c r="I267" i="5"/>
  <c r="G278" i="5"/>
  <c r="F23" i="5"/>
  <c r="I112" i="5"/>
  <c r="L112" i="5" s="1"/>
  <c r="M112" i="5" s="1"/>
  <c r="M184" i="5"/>
  <c r="G253" i="5"/>
  <c r="O296" i="5"/>
  <c r="V220" i="5"/>
  <c r="F13" i="5"/>
  <c r="G13" i="5" s="1"/>
  <c r="I14" i="5"/>
  <c r="L14" i="5" s="1"/>
  <c r="M14" i="5" s="1"/>
  <c r="G61" i="5"/>
  <c r="I70" i="5"/>
  <c r="L70" i="5" s="1"/>
  <c r="O70" i="5" s="1"/>
  <c r="I139" i="5"/>
  <c r="L139" i="5" s="1"/>
  <c r="I159" i="5"/>
  <c r="L159" i="5" s="1"/>
  <c r="M159" i="5" s="1"/>
  <c r="I168" i="5"/>
  <c r="I214" i="5"/>
  <c r="L214" i="5" s="1"/>
  <c r="M214" i="5" s="1"/>
  <c r="O237" i="5"/>
  <c r="R237" i="5" s="1"/>
  <c r="U237" i="5" s="1"/>
  <c r="I256" i="5"/>
  <c r="L256" i="5" s="1"/>
  <c r="O256" i="5" s="1"/>
  <c r="L280" i="5"/>
  <c r="O280" i="5" s="1"/>
  <c r="J205" i="5"/>
  <c r="L205" i="5"/>
  <c r="O205" i="5" s="1"/>
  <c r="R205" i="5" s="1"/>
  <c r="J25" i="5"/>
  <c r="L25" i="5"/>
  <c r="M25" i="5" s="1"/>
  <c r="L40" i="5"/>
  <c r="J40" i="5"/>
  <c r="L233" i="5"/>
  <c r="O233" i="5" s="1"/>
  <c r="J233" i="5"/>
  <c r="J117" i="5"/>
  <c r="L117" i="5"/>
  <c r="L160" i="5"/>
  <c r="J160" i="5"/>
  <c r="J12" i="5"/>
  <c r="L12" i="5"/>
  <c r="O12" i="5" s="1"/>
  <c r="R12" i="5" s="1"/>
  <c r="J17" i="5"/>
  <c r="L17" i="5"/>
  <c r="O17" i="5" s="1"/>
  <c r="R17" i="5" s="1"/>
  <c r="L101" i="5"/>
  <c r="M101" i="5" s="1"/>
  <c r="J101" i="5"/>
  <c r="O157" i="5"/>
  <c r="P157" i="5" s="1"/>
  <c r="M157" i="5"/>
  <c r="L76" i="5"/>
  <c r="J76" i="5"/>
  <c r="L81" i="5"/>
  <c r="J81" i="5"/>
  <c r="L276" i="5"/>
  <c r="J276" i="5"/>
  <c r="J121" i="5"/>
  <c r="L121" i="5"/>
  <c r="O121" i="5" s="1"/>
  <c r="L290" i="5"/>
  <c r="J290" i="5"/>
  <c r="F50" i="5"/>
  <c r="G50" i="5" s="1"/>
  <c r="J141" i="5"/>
  <c r="G157" i="5"/>
  <c r="G12" i="5"/>
  <c r="J46" i="5"/>
  <c r="G52" i="5"/>
  <c r="G78" i="5"/>
  <c r="G81" i="5"/>
  <c r="M100" i="5"/>
  <c r="I113" i="5"/>
  <c r="L123" i="5"/>
  <c r="M123" i="5" s="1"/>
  <c r="I195" i="5"/>
  <c r="L195" i="5" s="1"/>
  <c r="M195" i="5" s="1"/>
  <c r="G200" i="5"/>
  <c r="I212" i="5"/>
  <c r="L212" i="5" s="1"/>
  <c r="G233" i="5"/>
  <c r="G276" i="5"/>
  <c r="L282" i="5"/>
  <c r="J72" i="5"/>
  <c r="F108" i="5"/>
  <c r="G108" i="5" s="1"/>
  <c r="G137" i="5"/>
  <c r="G146" i="5"/>
  <c r="G166" i="5"/>
  <c r="G223" i="5"/>
  <c r="I295" i="5"/>
  <c r="L295" i="5" s="1"/>
  <c r="I242" i="5"/>
  <c r="G28" i="5"/>
  <c r="L32" i="5"/>
  <c r="M32" i="5" s="1"/>
  <c r="G40" i="5"/>
  <c r="O57" i="5"/>
  <c r="R57" i="5" s="1"/>
  <c r="G68" i="5"/>
  <c r="O72" i="5"/>
  <c r="R72" i="5" s="1"/>
  <c r="G117" i="5"/>
  <c r="I119" i="5"/>
  <c r="L119" i="5" s="1"/>
  <c r="O119" i="5" s="1"/>
  <c r="G160" i="5"/>
  <c r="G163" i="5"/>
  <c r="G175" i="5"/>
  <c r="G249" i="5"/>
  <c r="G268" i="5"/>
  <c r="L274" i="5"/>
  <c r="O274" i="5" s="1"/>
  <c r="I285" i="5"/>
  <c r="G65" i="5"/>
  <c r="F88" i="5"/>
  <c r="G88" i="5" s="1"/>
  <c r="G282" i="5"/>
  <c r="I44" i="5"/>
  <c r="L44" i="5" s="1"/>
  <c r="O44" i="5" s="1"/>
  <c r="G53" i="5"/>
  <c r="G76" i="5"/>
  <c r="G83" i="5"/>
  <c r="F148" i="5"/>
  <c r="G148" i="5" s="1"/>
  <c r="G155" i="5"/>
  <c r="I185" i="5"/>
  <c r="F231" i="5"/>
  <c r="G231" i="5" s="1"/>
  <c r="F235" i="5"/>
  <c r="F247" i="5"/>
  <c r="G247" i="5" s="1"/>
  <c r="L268" i="5"/>
  <c r="M268" i="5" s="1"/>
  <c r="G283" i="5"/>
  <c r="F10" i="5"/>
  <c r="F9" i="5" s="1"/>
  <c r="G9" i="5" s="1"/>
  <c r="G17" i="5"/>
  <c r="F37" i="5"/>
  <c r="G37" i="5" s="1"/>
  <c r="G138" i="5"/>
  <c r="G205" i="5"/>
  <c r="G210" i="5"/>
  <c r="I231" i="5"/>
  <c r="L187" i="5"/>
  <c r="G29" i="5"/>
  <c r="I33" i="5"/>
  <c r="J33" i="5" s="1"/>
  <c r="G73" i="5"/>
  <c r="G79" i="5"/>
  <c r="I89" i="5"/>
  <c r="G106" i="5"/>
  <c r="I114" i="5"/>
  <c r="G120" i="5"/>
  <c r="G122" i="5"/>
  <c r="F144" i="5"/>
  <c r="F143" i="5" s="1"/>
  <c r="G143" i="5" s="1"/>
  <c r="G173" i="5"/>
  <c r="G191" i="5"/>
  <c r="L199" i="5"/>
  <c r="G201" i="5"/>
  <c r="I221" i="5"/>
  <c r="L221" i="5" s="1"/>
  <c r="I245" i="5"/>
  <c r="G250" i="5"/>
  <c r="O258" i="5"/>
  <c r="R258" i="5" s="1"/>
  <c r="U258" i="5" s="1"/>
  <c r="G272" i="5"/>
  <c r="I300" i="5"/>
  <c r="J300" i="5" s="1"/>
  <c r="G46" i="5"/>
  <c r="J58" i="5"/>
  <c r="J60" i="5"/>
  <c r="I104" i="5"/>
  <c r="L104" i="5" s="1"/>
  <c r="M104" i="5" s="1"/>
  <c r="G109" i="5"/>
  <c r="G147" i="5"/>
  <c r="J171" i="5"/>
  <c r="G237" i="5"/>
  <c r="F281" i="5"/>
  <c r="G281" i="5" s="1"/>
  <c r="F19" i="5"/>
  <c r="G19" i="5" s="1"/>
  <c r="G45" i="5"/>
  <c r="O60" i="5"/>
  <c r="R60" i="5" s="1"/>
  <c r="I64" i="5"/>
  <c r="L64" i="5" s="1"/>
  <c r="O64" i="5" s="1"/>
  <c r="G84" i="5"/>
  <c r="I109" i="5"/>
  <c r="I135" i="5"/>
  <c r="L135" i="5" s="1"/>
  <c r="G153" i="5"/>
  <c r="I156" i="5"/>
  <c r="G186" i="5"/>
  <c r="G230" i="5"/>
  <c r="J237" i="5"/>
  <c r="I261" i="5"/>
  <c r="L261" i="5" s="1"/>
  <c r="G51" i="5"/>
  <c r="I55" i="5"/>
  <c r="L55" i="5" s="1"/>
  <c r="M55" i="5" s="1"/>
  <c r="G77" i="5"/>
  <c r="I118" i="5"/>
  <c r="M132" i="5"/>
  <c r="G149" i="5"/>
  <c r="I165" i="5"/>
  <c r="L165" i="5" s="1"/>
  <c r="I189" i="5"/>
  <c r="L189" i="5" s="1"/>
  <c r="G232" i="5"/>
  <c r="I291" i="5"/>
  <c r="L291" i="5" s="1"/>
  <c r="O291" i="5" s="1"/>
  <c r="O11" i="5"/>
  <c r="M11" i="5"/>
  <c r="J18" i="5"/>
  <c r="I16" i="5"/>
  <c r="L18" i="5"/>
  <c r="O14" i="5"/>
  <c r="O73" i="5"/>
  <c r="M73" i="5"/>
  <c r="O61" i="5"/>
  <c r="M61" i="5"/>
  <c r="L56" i="5"/>
  <c r="J56" i="5"/>
  <c r="L166" i="5"/>
  <c r="J166" i="5"/>
  <c r="M12" i="5"/>
  <c r="F27" i="5"/>
  <c r="G27" i="5" s="1"/>
  <c r="I30" i="5"/>
  <c r="G30" i="5"/>
  <c r="G14" i="5"/>
  <c r="O40" i="5"/>
  <c r="M40" i="5"/>
  <c r="I54" i="5"/>
  <c r="G54" i="5"/>
  <c r="O58" i="5"/>
  <c r="M58" i="5"/>
  <c r="M70" i="5"/>
  <c r="L78" i="5"/>
  <c r="X66" i="5"/>
  <c r="M84" i="5"/>
  <c r="L163" i="5"/>
  <c r="J163" i="5"/>
  <c r="L20" i="5"/>
  <c r="J20" i="5"/>
  <c r="L94" i="5"/>
  <c r="J94" i="5"/>
  <c r="J8" i="5"/>
  <c r="O46" i="5"/>
  <c r="M46" i="5"/>
  <c r="O123" i="5"/>
  <c r="F178" i="5"/>
  <c r="G178" i="5" s="1"/>
  <c r="I179" i="5"/>
  <c r="G179" i="5"/>
  <c r="L8" i="5"/>
  <c r="I10" i="5"/>
  <c r="I15" i="5"/>
  <c r="L28" i="5"/>
  <c r="L31" i="5"/>
  <c r="J31" i="5"/>
  <c r="I41" i="5"/>
  <c r="G41" i="5"/>
  <c r="G142" i="5"/>
  <c r="R132" i="5"/>
  <c r="P132" i="5"/>
  <c r="L36" i="5"/>
  <c r="J36" i="5"/>
  <c r="F43" i="5"/>
  <c r="G23" i="5"/>
  <c r="L68" i="5"/>
  <c r="J68" i="5"/>
  <c r="L142" i="5"/>
  <c r="J142" i="5"/>
  <c r="O25" i="5"/>
  <c r="J57" i="5"/>
  <c r="J61" i="5"/>
  <c r="L71" i="5"/>
  <c r="J71" i="5"/>
  <c r="J73" i="5"/>
  <c r="L77" i="5"/>
  <c r="L39" i="5"/>
  <c r="J39" i="5"/>
  <c r="J28" i="5"/>
  <c r="L21" i="5"/>
  <c r="J21" i="5"/>
  <c r="X22" i="5"/>
  <c r="O55" i="5"/>
  <c r="F66" i="5"/>
  <c r="G66" i="5" s="1"/>
  <c r="I69" i="5"/>
  <c r="G69" i="5"/>
  <c r="L79" i="5"/>
  <c r="J79" i="5"/>
  <c r="O139" i="5"/>
  <c r="M139" i="5"/>
  <c r="I37" i="5"/>
  <c r="I19" i="5"/>
  <c r="I47" i="5"/>
  <c r="J47" i="5" s="1"/>
  <c r="J48" i="5"/>
  <c r="L83" i="5"/>
  <c r="J83" i="5"/>
  <c r="I75" i="5"/>
  <c r="G75" i="5"/>
  <c r="L65" i="5"/>
  <c r="L38" i="5"/>
  <c r="J38" i="5"/>
  <c r="J51" i="5"/>
  <c r="L174" i="5"/>
  <c r="J174" i="5"/>
  <c r="R100" i="5"/>
  <c r="P100" i="5"/>
  <c r="G36" i="5"/>
  <c r="L24" i="5"/>
  <c r="J24" i="5"/>
  <c r="L29" i="5"/>
  <c r="J29" i="5"/>
  <c r="O48" i="5"/>
  <c r="L47" i="5"/>
  <c r="J67" i="5"/>
  <c r="X6" i="5"/>
  <c r="J11" i="5"/>
  <c r="F34" i="5"/>
  <c r="G34" i="5" s="1"/>
  <c r="G35" i="5"/>
  <c r="M48" i="5"/>
  <c r="L53" i="5"/>
  <c r="J53" i="5"/>
  <c r="L67" i="5"/>
  <c r="I80" i="5"/>
  <c r="G80" i="5"/>
  <c r="I63" i="5"/>
  <c r="G63" i="5"/>
  <c r="O82" i="5"/>
  <c r="M82" i="5"/>
  <c r="I34" i="5"/>
  <c r="L35" i="5"/>
  <c r="L51" i="5"/>
  <c r="L62" i="5"/>
  <c r="J62" i="5"/>
  <c r="L74" i="5"/>
  <c r="J74" i="5"/>
  <c r="L116" i="5"/>
  <c r="J116" i="5"/>
  <c r="O147" i="5"/>
  <c r="M147" i="5"/>
  <c r="X43" i="5"/>
  <c r="I52" i="5"/>
  <c r="L86" i="5"/>
  <c r="J86" i="5"/>
  <c r="F102" i="5"/>
  <c r="G102" i="5" s="1"/>
  <c r="I103" i="5"/>
  <c r="L120" i="5"/>
  <c r="J120" i="5"/>
  <c r="I134" i="5"/>
  <c r="G134" i="5"/>
  <c r="L145" i="5"/>
  <c r="J145" i="5"/>
  <c r="I144" i="5"/>
  <c r="X207" i="5"/>
  <c r="I289" i="5"/>
  <c r="G289" i="5"/>
  <c r="X91" i="5"/>
  <c r="L201" i="5"/>
  <c r="J201" i="5"/>
  <c r="G38" i="5"/>
  <c r="I97" i="5"/>
  <c r="G97" i="5"/>
  <c r="I98" i="5"/>
  <c r="L146" i="5"/>
  <c r="J146" i="5"/>
  <c r="R170" i="5"/>
  <c r="P170" i="5"/>
  <c r="U275" i="5"/>
  <c r="S275" i="5"/>
  <c r="G20" i="5"/>
  <c r="G31" i="5"/>
  <c r="L87" i="5"/>
  <c r="J87" i="5"/>
  <c r="J100" i="5"/>
  <c r="L110" i="5"/>
  <c r="J110" i="5"/>
  <c r="F111" i="5"/>
  <c r="G111" i="5" s="1"/>
  <c r="L131" i="5"/>
  <c r="J131" i="5"/>
  <c r="L155" i="5"/>
  <c r="J155" i="5"/>
  <c r="R157" i="5"/>
  <c r="I270" i="5"/>
  <c r="G270" i="5"/>
  <c r="G24" i="5"/>
  <c r="I115" i="5"/>
  <c r="G115" i="5"/>
  <c r="O180" i="5"/>
  <c r="M180" i="5"/>
  <c r="I197" i="5"/>
  <c r="G197" i="5"/>
  <c r="G21" i="5"/>
  <c r="G39" i="5"/>
  <c r="G56" i="5"/>
  <c r="J70" i="5"/>
  <c r="G71" i="5"/>
  <c r="I85" i="5"/>
  <c r="G85" i="5"/>
  <c r="I133" i="5"/>
  <c r="I188" i="5"/>
  <c r="G188" i="5"/>
  <c r="S122" i="5"/>
  <c r="L153" i="5"/>
  <c r="J153" i="5"/>
  <c r="F172" i="5"/>
  <c r="G172" i="5" s="1"/>
  <c r="F215" i="5"/>
  <c r="G215" i="5" s="1"/>
  <c r="I216" i="5"/>
  <c r="G216" i="5"/>
  <c r="G57" i="5"/>
  <c r="G60" i="5"/>
  <c r="G72" i="5"/>
  <c r="F92" i="5"/>
  <c r="I93" i="5"/>
  <c r="G101" i="5"/>
  <c r="F98" i="5"/>
  <c r="G98" i="5" s="1"/>
  <c r="O104" i="5"/>
  <c r="L138" i="5"/>
  <c r="L90" i="5"/>
  <c r="O99" i="5"/>
  <c r="M99" i="5"/>
  <c r="O101" i="5"/>
  <c r="L106" i="5"/>
  <c r="J106" i="5"/>
  <c r="Y122" i="5"/>
  <c r="L156" i="5"/>
  <c r="J156" i="5"/>
  <c r="O160" i="5"/>
  <c r="M160" i="5"/>
  <c r="L206" i="5"/>
  <c r="J206" i="5"/>
  <c r="L211" i="5"/>
  <c r="J211" i="5"/>
  <c r="L224" i="5"/>
  <c r="J224" i="5"/>
  <c r="P227" i="5"/>
  <c r="F130" i="5"/>
  <c r="X130" i="5"/>
  <c r="J170" i="5"/>
  <c r="G170" i="5"/>
  <c r="L186" i="5"/>
  <c r="J186" i="5"/>
  <c r="X263" i="5"/>
  <c r="F154" i="5"/>
  <c r="I158" i="5"/>
  <c r="O182" i="5"/>
  <c r="M182" i="5"/>
  <c r="F193" i="5"/>
  <c r="F192" i="5" s="1"/>
  <c r="L228" i="5"/>
  <c r="J228" i="5"/>
  <c r="J249" i="5"/>
  <c r="L249" i="5"/>
  <c r="G254" i="5"/>
  <c r="G86" i="5"/>
  <c r="G94" i="5"/>
  <c r="G110" i="5"/>
  <c r="G116" i="5"/>
  <c r="G131" i="5"/>
  <c r="L137" i="5"/>
  <c r="I148" i="5"/>
  <c r="L149" i="5"/>
  <c r="J149" i="5"/>
  <c r="G158" i="5"/>
  <c r="L162" i="5"/>
  <c r="J162" i="5"/>
  <c r="J173" i="5"/>
  <c r="J182" i="5"/>
  <c r="G194" i="5"/>
  <c r="G193" i="5" s="1"/>
  <c r="L217" i="5"/>
  <c r="J217" i="5"/>
  <c r="I241" i="5"/>
  <c r="G241" i="5"/>
  <c r="F264" i="5"/>
  <c r="I265" i="5"/>
  <c r="G265" i="5"/>
  <c r="L173" i="5"/>
  <c r="I194" i="5"/>
  <c r="R196" i="5"/>
  <c r="P196" i="5"/>
  <c r="O210" i="5"/>
  <c r="M210" i="5"/>
  <c r="G87" i="5"/>
  <c r="J99" i="5"/>
  <c r="I152" i="5"/>
  <c r="G152" i="5"/>
  <c r="I181" i="5"/>
  <c r="G181" i="5"/>
  <c r="O225" i="5"/>
  <c r="M225" i="5"/>
  <c r="J104" i="5"/>
  <c r="G123" i="5"/>
  <c r="J135" i="5"/>
  <c r="G136" i="5"/>
  <c r="O141" i="5"/>
  <c r="M141" i="5"/>
  <c r="Y169" i="5"/>
  <c r="V169" i="5"/>
  <c r="L177" i="5"/>
  <c r="J177" i="5"/>
  <c r="O200" i="5"/>
  <c r="M200" i="5"/>
  <c r="J225" i="5"/>
  <c r="G100" i="5"/>
  <c r="G132" i="5"/>
  <c r="L136" i="5"/>
  <c r="J139" i="5"/>
  <c r="I140" i="5"/>
  <c r="G140" i="5"/>
  <c r="J147" i="5"/>
  <c r="J157" i="5"/>
  <c r="I161" i="5"/>
  <c r="G161" i="5"/>
  <c r="I164" i="5"/>
  <c r="G164" i="5"/>
  <c r="S169" i="5"/>
  <c r="L175" i="5"/>
  <c r="J175" i="5"/>
  <c r="G177" i="5"/>
  <c r="I183" i="5"/>
  <c r="G183" i="5"/>
  <c r="O191" i="5"/>
  <c r="M191" i="5"/>
  <c r="X202" i="5"/>
  <c r="F293" i="5"/>
  <c r="G293" i="5" s="1"/>
  <c r="I294" i="5"/>
  <c r="G294" i="5"/>
  <c r="L151" i="5"/>
  <c r="J151" i="5"/>
  <c r="I167" i="5"/>
  <c r="G167" i="5"/>
  <c r="U171" i="5"/>
  <c r="S171" i="5"/>
  <c r="I260" i="5"/>
  <c r="O272" i="5"/>
  <c r="M272" i="5"/>
  <c r="I292" i="5"/>
  <c r="G292" i="5"/>
  <c r="S213" i="5"/>
  <c r="G228" i="5"/>
  <c r="R254" i="5"/>
  <c r="P254" i="5"/>
  <c r="J256" i="5"/>
  <c r="I279" i="5"/>
  <c r="F277" i="5"/>
  <c r="G277" i="5" s="1"/>
  <c r="I287" i="5"/>
  <c r="G287" i="5"/>
  <c r="G145" i="5"/>
  <c r="G144" i="5" s="1"/>
  <c r="G151" i="5"/>
  <c r="J191" i="5"/>
  <c r="J200" i="5"/>
  <c r="P237" i="5"/>
  <c r="O268" i="5"/>
  <c r="G279" i="5"/>
  <c r="J283" i="5"/>
  <c r="I281" i="5"/>
  <c r="G180" i="5"/>
  <c r="L223" i="5"/>
  <c r="J223" i="5"/>
  <c r="Y226" i="5"/>
  <c r="V226" i="5"/>
  <c r="L244" i="5"/>
  <c r="J244" i="5"/>
  <c r="U184" i="5"/>
  <c r="L190" i="5"/>
  <c r="J196" i="5"/>
  <c r="F208" i="5"/>
  <c r="I209" i="5"/>
  <c r="J210" i="5"/>
  <c r="S226" i="5"/>
  <c r="L283" i="5"/>
  <c r="L281" i="5" s="1"/>
  <c r="I203" i="5"/>
  <c r="G203" i="5"/>
  <c r="G208" i="5"/>
  <c r="L250" i="5"/>
  <c r="J250" i="5"/>
  <c r="L234" i="5"/>
  <c r="J234" i="5"/>
  <c r="O259" i="5"/>
  <c r="M259" i="5"/>
  <c r="L285" i="5"/>
  <c r="J285" i="5"/>
  <c r="R288" i="5"/>
  <c r="P288" i="5"/>
  <c r="L198" i="5"/>
  <c r="J198" i="5"/>
  <c r="J219" i="5"/>
  <c r="J227" i="5"/>
  <c r="G235" i="5"/>
  <c r="L267" i="5"/>
  <c r="J267" i="5"/>
  <c r="P275" i="5"/>
  <c r="M288" i="5"/>
  <c r="Y298" i="5"/>
  <c r="V298" i="5"/>
  <c r="L219" i="5"/>
  <c r="I222" i="5"/>
  <c r="I218" i="5" s="1"/>
  <c r="F218" i="5"/>
  <c r="O290" i="5"/>
  <c r="M290" i="5"/>
  <c r="I246" i="5"/>
  <c r="G246" i="5"/>
  <c r="I273" i="5"/>
  <c r="G273" i="5"/>
  <c r="I240" i="5"/>
  <c r="G240" i="5"/>
  <c r="F239" i="5"/>
  <c r="G239" i="5" s="1"/>
  <c r="I286" i="5"/>
  <c r="I284" i="5" s="1"/>
  <c r="J284" i="5" s="1"/>
  <c r="G286" i="5"/>
  <c r="G198" i="5"/>
  <c r="X251" i="5"/>
  <c r="G258" i="5"/>
  <c r="J259" i="5"/>
  <c r="S297" i="5"/>
  <c r="R296" i="5"/>
  <c r="S296" i="5" s="1"/>
  <c r="V213" i="5"/>
  <c r="G217" i="5"/>
  <c r="M233" i="5"/>
  <c r="L238" i="5"/>
  <c r="J238" i="5"/>
  <c r="J258" i="5"/>
  <c r="G296" i="5"/>
  <c r="P184" i="5"/>
  <c r="G190" i="5"/>
  <c r="J253" i="5"/>
  <c r="I252" i="5"/>
  <c r="L262" i="5"/>
  <c r="J262" i="5"/>
  <c r="P269" i="5"/>
  <c r="O282" i="5"/>
  <c r="M282" i="5"/>
  <c r="J296" i="5"/>
  <c r="U297" i="5"/>
  <c r="G219" i="5"/>
  <c r="G218" i="5" s="1"/>
  <c r="G224" i="5"/>
  <c r="G227" i="5"/>
  <c r="O230" i="5"/>
  <c r="L253" i="5"/>
  <c r="M254" i="5"/>
  <c r="I257" i="5"/>
  <c r="G257" i="5"/>
  <c r="O266" i="5"/>
  <c r="M269" i="5"/>
  <c r="J272" i="5"/>
  <c r="L278" i="5"/>
  <c r="J288" i="5"/>
  <c r="P296" i="5"/>
  <c r="M296" i="5"/>
  <c r="L232" i="5"/>
  <c r="G244" i="5"/>
  <c r="F243" i="5"/>
  <c r="G243" i="5" s="1"/>
  <c r="G252" i="5"/>
  <c r="I271" i="5"/>
  <c r="G271" i="5"/>
  <c r="G236" i="5"/>
  <c r="I236" i="5"/>
  <c r="G288" i="5"/>
  <c r="S298" i="5"/>
  <c r="AU163" i="1"/>
  <c r="AR163" i="1"/>
  <c r="T159" i="1"/>
  <c r="T165" i="1" s="1"/>
  <c r="AU158" i="1"/>
  <c r="AR158" i="1"/>
  <c r="AI158" i="1"/>
  <c r="AF158" i="1"/>
  <c r="N158" i="1"/>
  <c r="AQ158" i="1" s="1"/>
  <c r="AH157" i="1"/>
  <c r="AG157" i="1"/>
  <c r="AF157" i="1"/>
  <c r="AE157" i="1"/>
  <c r="AD157" i="1"/>
  <c r="AC157" i="1"/>
  <c r="BB157" i="1" s="1"/>
  <c r="AB157" i="1"/>
  <c r="AA157" i="1"/>
  <c r="Z157" i="1"/>
  <c r="Y157" i="1"/>
  <c r="BB156" i="1"/>
  <c r="BC156" i="1" s="1"/>
  <c r="AZ156" i="1"/>
  <c r="N156" i="1"/>
  <c r="BB155" i="1"/>
  <c r="BC155" i="1" s="1"/>
  <c r="AZ155" i="1"/>
  <c r="AS154" i="1"/>
  <c r="AP154" i="1"/>
  <c r="AG154" i="1"/>
  <c r="N154" i="1"/>
  <c r="BB153" i="1"/>
  <c r="BC153" i="1" s="1"/>
  <c r="AZ153" i="1"/>
  <c r="BB152" i="1"/>
  <c r="BC152" i="1" s="1"/>
  <c r="AZ152" i="1"/>
  <c r="N152" i="1"/>
  <c r="BB151" i="1"/>
  <c r="BC151" i="1" s="1"/>
  <c r="AZ151" i="1"/>
  <c r="BE151" i="1" s="1"/>
  <c r="BC150" i="1"/>
  <c r="BE150" i="1" s="1"/>
  <c r="BB150" i="1"/>
  <c r="AZ150" i="1"/>
  <c r="N150" i="1"/>
  <c r="BC149" i="1"/>
  <c r="BB149" i="1"/>
  <c r="AZ149" i="1"/>
  <c r="BE149" i="1" s="1"/>
  <c r="BC148" i="1"/>
  <c r="BE148" i="1" s="1"/>
  <c r="BB148" i="1"/>
  <c r="AZ148" i="1"/>
  <c r="N148" i="1"/>
  <c r="BC147" i="1"/>
  <c r="BB147" i="1"/>
  <c r="AZ147" i="1"/>
  <c r="BE147" i="1" s="1"/>
  <c r="AD146" i="1"/>
  <c r="AA146" i="1"/>
  <c r="V146" i="1"/>
  <c r="N146" i="1"/>
  <c r="Z146" i="1" s="1"/>
  <c r="BB145" i="1"/>
  <c r="AZ145" i="1"/>
  <c r="K142" i="1"/>
  <c r="K141" i="1" s="1"/>
  <c r="AY139" i="1"/>
  <c r="AY164" i="1" s="1"/>
  <c r="AX139" i="1"/>
  <c r="AX164" i="1" s="1"/>
  <c r="S139" i="1"/>
  <c r="AY138" i="1"/>
  <c r="AY163" i="1" s="1"/>
  <c r="AX138" i="1"/>
  <c r="AX163" i="1" s="1"/>
  <c r="AW138" i="1"/>
  <c r="AW163" i="1" s="1"/>
  <c r="AV138" i="1"/>
  <c r="AV163" i="1" s="1"/>
  <c r="AU138" i="1"/>
  <c r="AT138" i="1"/>
  <c r="AS138" i="1"/>
  <c r="AR138" i="1"/>
  <c r="AQ138" i="1"/>
  <c r="AQ163" i="1" s="1"/>
  <c r="AP138" i="1"/>
  <c r="AG138" i="1"/>
  <c r="AD138" i="1"/>
  <c r="S138" i="1"/>
  <c r="S140" i="1" s="1"/>
  <c r="R138" i="1"/>
  <c r="K138" i="1"/>
  <c r="J137" i="1"/>
  <c r="BE136" i="1"/>
  <c r="BA136" i="1"/>
  <c r="U135" i="1"/>
  <c r="P135" i="1"/>
  <c r="N135" i="1"/>
  <c r="BB134" i="1"/>
  <c r="AP134" i="1"/>
  <c r="AO134" i="1"/>
  <c r="AO138" i="1" s="1"/>
  <c r="AN134" i="1"/>
  <c r="AN138" i="1" s="1"/>
  <c r="AM134" i="1"/>
  <c r="AL134" i="1"/>
  <c r="AK134" i="1"/>
  <c r="AJ134" i="1"/>
  <c r="AH134" i="1"/>
  <c r="AG134" i="1"/>
  <c r="AF134" i="1"/>
  <c r="AE134" i="1"/>
  <c r="AD134" i="1"/>
  <c r="AC134" i="1"/>
  <c r="AB134" i="1"/>
  <c r="AA134" i="1"/>
  <c r="Z134" i="1"/>
  <c r="Y134" i="1"/>
  <c r="U134" i="1"/>
  <c r="J134" i="1"/>
  <c r="AI134" i="1" s="1"/>
  <c r="BB133" i="1"/>
  <c r="V133" i="1"/>
  <c r="P133" i="1"/>
  <c r="N133" i="1"/>
  <c r="BB132" i="1"/>
  <c r="AA132" i="1"/>
  <c r="Z132" i="1"/>
  <c r="Y132" i="1"/>
  <c r="X132" i="1"/>
  <c r="W132" i="1"/>
  <c r="U132" i="1"/>
  <c r="AI131" i="1"/>
  <c r="AF131" i="1"/>
  <c r="W131" i="1"/>
  <c r="U131" i="1"/>
  <c r="P131" i="1"/>
  <c r="N131" i="1"/>
  <c r="AM130" i="1"/>
  <c r="AM138" i="1" s="1"/>
  <c r="AM163" i="1" s="1"/>
  <c r="AL130" i="1"/>
  <c r="AL138" i="1" s="1"/>
  <c r="AK130" i="1"/>
  <c r="AK138" i="1" s="1"/>
  <c r="AJ130" i="1"/>
  <c r="AI130" i="1"/>
  <c r="AI138" i="1" s="1"/>
  <c r="AH130" i="1"/>
  <c r="AH138" i="1" s="1"/>
  <c r="AG130" i="1"/>
  <c r="AF130" i="1"/>
  <c r="AE130" i="1"/>
  <c r="AD130" i="1"/>
  <c r="AC130" i="1"/>
  <c r="AB130" i="1"/>
  <c r="AA130" i="1"/>
  <c r="Z130" i="1"/>
  <c r="Y130" i="1"/>
  <c r="U130" i="1"/>
  <c r="BB129" i="1"/>
  <c r="U129" i="1"/>
  <c r="P129" i="1"/>
  <c r="N129" i="1"/>
  <c r="AB129" i="1" s="1"/>
  <c r="BB128" i="1"/>
  <c r="AB128" i="1"/>
  <c r="AA128" i="1"/>
  <c r="AA129" i="1" s="1"/>
  <c r="Z128" i="1"/>
  <c r="Y128" i="1"/>
  <c r="X128" i="1"/>
  <c r="U128" i="1"/>
  <c r="AA127" i="1"/>
  <c r="U127" i="1"/>
  <c r="P127" i="1"/>
  <c r="N127" i="1"/>
  <c r="AG127" i="1" s="1"/>
  <c r="AF126" i="1"/>
  <c r="AE126" i="1"/>
  <c r="AD126" i="1"/>
  <c r="AC126" i="1"/>
  <c r="X127" i="1" s="1"/>
  <c r="AB126" i="1"/>
  <c r="AA126" i="1"/>
  <c r="Z126" i="1"/>
  <c r="Y126" i="1"/>
  <c r="X126" i="1"/>
  <c r="W126" i="1"/>
  <c r="U126" i="1"/>
  <c r="AG125" i="1"/>
  <c r="V125" i="1"/>
  <c r="U125" i="1" s="1"/>
  <c r="R125" i="1"/>
  <c r="T125" i="1" s="1"/>
  <c r="N125" i="1"/>
  <c r="AF125" i="1" s="1"/>
  <c r="AG124" i="1"/>
  <c r="AF124" i="1"/>
  <c r="AF138" i="1" s="1"/>
  <c r="AE124" i="1"/>
  <c r="AD124" i="1"/>
  <c r="AC124" i="1"/>
  <c r="AC138" i="1" s="1"/>
  <c r="AB124" i="1"/>
  <c r="AB138" i="1" s="1"/>
  <c r="AA124" i="1"/>
  <c r="AA138" i="1" s="1"/>
  <c r="AA163" i="1" s="1"/>
  <c r="Z124" i="1"/>
  <c r="Z138" i="1" s="1"/>
  <c r="Y124" i="1"/>
  <c r="Y138" i="1" s="1"/>
  <c r="X124" i="1"/>
  <c r="X138" i="1" s="1"/>
  <c r="X163" i="1" s="1"/>
  <c r="W124" i="1"/>
  <c r="V124" i="1"/>
  <c r="T124" i="1"/>
  <c r="AA123" i="1"/>
  <c r="X123" i="1"/>
  <c r="V123" i="1"/>
  <c r="T123" i="1"/>
  <c r="U123" i="1" s="1"/>
  <c r="R123" i="1"/>
  <c r="P123" i="1"/>
  <c r="N123" i="1" s="1"/>
  <c r="BC122" i="1"/>
  <c r="AZ122" i="1"/>
  <c r="AE122" i="1"/>
  <c r="BB122" i="1" s="1"/>
  <c r="T122" i="1"/>
  <c r="U122" i="1" s="1"/>
  <c r="BB121" i="1"/>
  <c r="X121" i="1"/>
  <c r="V121" i="1"/>
  <c r="U121" i="1"/>
  <c r="T121" i="1"/>
  <c r="P121" i="1"/>
  <c r="N121" i="1"/>
  <c r="BB120" i="1"/>
  <c r="W120" i="1"/>
  <c r="V120" i="1"/>
  <c r="T120" i="1"/>
  <c r="U120" i="1" s="1"/>
  <c r="AD119" i="1"/>
  <c r="V119" i="1"/>
  <c r="R119" i="1"/>
  <c r="T119" i="1" s="1"/>
  <c r="U119" i="1" s="1"/>
  <c r="P119" i="1"/>
  <c r="N119" i="1" s="1"/>
  <c r="AG119" i="1" s="1"/>
  <c r="BC118" i="1"/>
  <c r="BB118" i="1"/>
  <c r="AZ118" i="1"/>
  <c r="BE118" i="1" s="1"/>
  <c r="T118" i="1"/>
  <c r="U118" i="1" s="1"/>
  <c r="BB117" i="1"/>
  <c r="AZ117" i="1"/>
  <c r="V117" i="1"/>
  <c r="U117" i="1" s="1"/>
  <c r="T117" i="1"/>
  <c r="BB116" i="1"/>
  <c r="BC116" i="1" s="1"/>
  <c r="AZ116" i="1"/>
  <c r="T116" i="1"/>
  <c r="U116" i="1" s="1"/>
  <c r="Z115" i="1"/>
  <c r="V115" i="1"/>
  <c r="R115" i="1"/>
  <c r="T115" i="1" s="1"/>
  <c r="P115" i="1"/>
  <c r="N115" i="1"/>
  <c r="BB114" i="1"/>
  <c r="BC114" i="1" s="1"/>
  <c r="BA114" i="1"/>
  <c r="AZ114" i="1"/>
  <c r="BE114" i="1" s="1"/>
  <c r="T114" i="1"/>
  <c r="U114" i="1" s="1"/>
  <c r="AB113" i="1"/>
  <c r="AA113" i="1"/>
  <c r="V113" i="1"/>
  <c r="R113" i="1"/>
  <c r="T113" i="1" s="1"/>
  <c r="P113" i="1"/>
  <c r="N113" i="1"/>
  <c r="Z113" i="1" s="1"/>
  <c r="BE112" i="1"/>
  <c r="BC112" i="1"/>
  <c r="BB112" i="1"/>
  <c r="AZ112" i="1"/>
  <c r="BA112" i="1" s="1"/>
  <c r="T112" i="1"/>
  <c r="U112" i="1" s="1"/>
  <c r="AI111" i="1"/>
  <c r="AH111" i="1"/>
  <c r="AF111" i="1"/>
  <c r="AE111" i="1"/>
  <c r="AA111" i="1"/>
  <c r="Z111" i="1"/>
  <c r="X111" i="1"/>
  <c r="W111" i="1"/>
  <c r="V111" i="1"/>
  <c r="U111" i="1" s="1"/>
  <c r="T111" i="1"/>
  <c r="R111" i="1"/>
  <c r="P111" i="1"/>
  <c r="N111" i="1"/>
  <c r="AG111" i="1" s="1"/>
  <c r="BB110" i="1"/>
  <c r="BC110" i="1" s="1"/>
  <c r="AZ110" i="1"/>
  <c r="BE110" i="1" s="1"/>
  <c r="U110" i="1"/>
  <c r="T110" i="1"/>
  <c r="BB109" i="1"/>
  <c r="V109" i="1"/>
  <c r="R109" i="1"/>
  <c r="T109" i="1" s="1"/>
  <c r="P109" i="1"/>
  <c r="N109" i="1" s="1"/>
  <c r="BB108" i="1"/>
  <c r="BC108" i="1" s="1"/>
  <c r="BE108" i="1" s="1"/>
  <c r="BA108" i="1"/>
  <c r="AZ108" i="1"/>
  <c r="T108" i="1"/>
  <c r="U108" i="1" s="1"/>
  <c r="AA107" i="1"/>
  <c r="X107" i="1"/>
  <c r="V107" i="1"/>
  <c r="U107" i="1"/>
  <c r="T107" i="1"/>
  <c r="R107" i="1"/>
  <c r="P107" i="1"/>
  <c r="N107" i="1" s="1"/>
  <c r="BC106" i="1"/>
  <c r="BB106" i="1"/>
  <c r="AZ106" i="1"/>
  <c r="V106" i="1"/>
  <c r="U106" i="1" s="1"/>
  <c r="T106" i="1"/>
  <c r="BB105" i="1"/>
  <c r="Y105" i="1"/>
  <c r="V105" i="1"/>
  <c r="R105" i="1"/>
  <c r="T105" i="1" s="1"/>
  <c r="P105" i="1"/>
  <c r="N105" i="1" s="1"/>
  <c r="BB104" i="1"/>
  <c r="BC104" i="1" s="1"/>
  <c r="BE104" i="1" s="1"/>
  <c r="BA104" i="1"/>
  <c r="AZ104" i="1"/>
  <c r="T104" i="1"/>
  <c r="U104" i="1" s="1"/>
  <c r="BB103" i="1"/>
  <c r="V103" i="1"/>
  <c r="R103" i="1"/>
  <c r="T103" i="1" s="1"/>
  <c r="P103" i="1"/>
  <c r="N103" i="1" s="1"/>
  <c r="BE102" i="1"/>
  <c r="BC102" i="1"/>
  <c r="BB102" i="1"/>
  <c r="AZ102" i="1"/>
  <c r="BA102" i="1" s="1"/>
  <c r="T102" i="1"/>
  <c r="U102" i="1" s="1"/>
  <c r="Y101" i="1"/>
  <c r="V101" i="1"/>
  <c r="R101" i="1"/>
  <c r="T101" i="1" s="1"/>
  <c r="P101" i="1"/>
  <c r="N101" i="1" s="1"/>
  <c r="BB100" i="1"/>
  <c r="BC100" i="1" s="1"/>
  <c r="BA100" i="1"/>
  <c r="AZ100" i="1"/>
  <c r="BE100" i="1" s="1"/>
  <c r="T100" i="1"/>
  <c r="U100" i="1" s="1"/>
  <c r="W99" i="1"/>
  <c r="V99" i="1"/>
  <c r="T99" i="1"/>
  <c r="R99" i="1"/>
  <c r="P99" i="1"/>
  <c r="N99" i="1"/>
  <c r="AC99" i="1" s="1"/>
  <c r="BB99" i="1" s="1"/>
  <c r="BB98" i="1"/>
  <c r="BC98" i="1" s="1"/>
  <c r="AZ98" i="1"/>
  <c r="BE98" i="1" s="1"/>
  <c r="U98" i="1"/>
  <c r="T98" i="1"/>
  <c r="BC97" i="1"/>
  <c r="BB97" i="1"/>
  <c r="AZ97" i="1"/>
  <c r="V97" i="1"/>
  <c r="T97" i="1"/>
  <c r="U97" i="1" s="1"/>
  <c r="R97" i="1"/>
  <c r="P97" i="1"/>
  <c r="N97" i="1"/>
  <c r="BB96" i="1"/>
  <c r="BC96" i="1" s="1"/>
  <c r="BE96" i="1" s="1"/>
  <c r="BA96" i="1"/>
  <c r="AZ96" i="1"/>
  <c r="U96" i="1"/>
  <c r="T96" i="1"/>
  <c r="V95" i="1"/>
  <c r="U95" i="1"/>
  <c r="R95" i="1"/>
  <c r="T95" i="1" s="1"/>
  <c r="P95" i="1"/>
  <c r="N95" i="1" s="1"/>
  <c r="X95" i="1" s="1"/>
  <c r="BC94" i="1"/>
  <c r="BB94" i="1"/>
  <c r="AZ94" i="1"/>
  <c r="T94" i="1"/>
  <c r="U94" i="1" s="1"/>
  <c r="Y93" i="1"/>
  <c r="V93" i="1"/>
  <c r="R93" i="1"/>
  <c r="T93" i="1" s="1"/>
  <c r="P93" i="1"/>
  <c r="N93" i="1" s="1"/>
  <c r="BB92" i="1"/>
  <c r="BC92" i="1" s="1"/>
  <c r="BE92" i="1" s="1"/>
  <c r="BA92" i="1"/>
  <c r="AZ92" i="1"/>
  <c r="T92" i="1"/>
  <c r="U92" i="1" s="1"/>
  <c r="W91" i="1"/>
  <c r="V91" i="1"/>
  <c r="T91" i="1"/>
  <c r="U91" i="1" s="1"/>
  <c r="R91" i="1"/>
  <c r="P91" i="1"/>
  <c r="N91" i="1"/>
  <c r="AI91" i="1" s="1"/>
  <c r="BB90" i="1"/>
  <c r="BC90" i="1" s="1"/>
  <c r="AZ90" i="1"/>
  <c r="BE90" i="1" s="1"/>
  <c r="U90" i="1"/>
  <c r="T90" i="1"/>
  <c r="BB89" i="1"/>
  <c r="V89" i="1"/>
  <c r="R89" i="1"/>
  <c r="T89" i="1" s="1"/>
  <c r="P89" i="1"/>
  <c r="N89" i="1"/>
  <c r="BE88" i="1"/>
  <c r="BB88" i="1"/>
  <c r="BC88" i="1" s="1"/>
  <c r="BA88" i="1"/>
  <c r="AZ88" i="1"/>
  <c r="T88" i="1"/>
  <c r="U88" i="1" s="1"/>
  <c r="AM87" i="1"/>
  <c r="AJ87" i="1"/>
  <c r="AG87" i="1"/>
  <c r="AD87" i="1"/>
  <c r="AB87" i="1"/>
  <c r="AA87" i="1"/>
  <c r="X87" i="1"/>
  <c r="V87" i="1"/>
  <c r="U87" i="1"/>
  <c r="R87" i="1"/>
  <c r="T87" i="1" s="1"/>
  <c r="P87" i="1"/>
  <c r="N87" i="1" s="1"/>
  <c r="BC86" i="1"/>
  <c r="BB86" i="1"/>
  <c r="AZ86" i="1"/>
  <c r="U86" i="1"/>
  <c r="T86" i="1"/>
  <c r="AC85" i="1"/>
  <c r="Z85" i="1"/>
  <c r="W85" i="1"/>
  <c r="V85" i="1"/>
  <c r="T85" i="1"/>
  <c r="R85" i="1"/>
  <c r="P85" i="1"/>
  <c r="N85" i="1"/>
  <c r="AI85" i="1" s="1"/>
  <c r="BB84" i="1"/>
  <c r="BC84" i="1" s="1"/>
  <c r="BA84" i="1"/>
  <c r="AZ84" i="1"/>
  <c r="T84" i="1"/>
  <c r="U84" i="1" s="1"/>
  <c r="AS83" i="1"/>
  <c r="AQ83" i="1"/>
  <c r="AP83" i="1"/>
  <c r="AG83" i="1"/>
  <c r="AE83" i="1"/>
  <c r="AD83" i="1"/>
  <c r="V83" i="1"/>
  <c r="U83" i="1"/>
  <c r="R83" i="1"/>
  <c r="T83" i="1" s="1"/>
  <c r="P83" i="1"/>
  <c r="N83" i="1" s="1"/>
  <c r="BB82" i="1"/>
  <c r="BC82" i="1" s="1"/>
  <c r="BE82" i="1" s="1"/>
  <c r="BA82" i="1"/>
  <c r="AZ82" i="1"/>
  <c r="T82" i="1"/>
  <c r="U82" i="1" s="1"/>
  <c r="AA81" i="1"/>
  <c r="Z81" i="1"/>
  <c r="V81" i="1"/>
  <c r="U81" i="1"/>
  <c r="T81" i="1"/>
  <c r="R81" i="1"/>
  <c r="P81" i="1"/>
  <c r="N81" i="1"/>
  <c r="AC81" i="1" s="1"/>
  <c r="BB80" i="1"/>
  <c r="BC80" i="1" s="1"/>
  <c r="AZ80" i="1"/>
  <c r="BA80" i="1" s="1"/>
  <c r="T80" i="1"/>
  <c r="U80" i="1" s="1"/>
  <c r="AV79" i="1"/>
  <c r="AI79" i="1"/>
  <c r="Z79" i="1"/>
  <c r="X79" i="1"/>
  <c r="W79" i="1"/>
  <c r="V79" i="1"/>
  <c r="R79" i="1"/>
  <c r="T79" i="1" s="1"/>
  <c r="U79" i="1" s="1"/>
  <c r="P79" i="1"/>
  <c r="N79" i="1" s="1"/>
  <c r="BB78" i="1"/>
  <c r="BC78" i="1" s="1"/>
  <c r="AZ78" i="1"/>
  <c r="U78" i="1"/>
  <c r="T78" i="1"/>
  <c r="BB77" i="1"/>
  <c r="BC77" i="1" s="1"/>
  <c r="BE77" i="1" s="1"/>
  <c r="BA77" i="1"/>
  <c r="AZ77" i="1"/>
  <c r="T77" i="1"/>
  <c r="U77" i="1" s="1"/>
  <c r="P77" i="1"/>
  <c r="N77" i="1" s="1"/>
  <c r="BC76" i="1"/>
  <c r="BE76" i="1" s="1"/>
  <c r="BB76" i="1"/>
  <c r="BA76" i="1"/>
  <c r="AZ76" i="1"/>
  <c r="T76" i="1"/>
  <c r="U76" i="1" s="1"/>
  <c r="AW75" i="1"/>
  <c r="AV75" i="1"/>
  <c r="AM75" i="1"/>
  <c r="AK75" i="1"/>
  <c r="AJ75" i="1"/>
  <c r="AA75" i="1"/>
  <c r="Y75" i="1"/>
  <c r="X75" i="1"/>
  <c r="V75" i="1"/>
  <c r="U75" i="1" s="1"/>
  <c r="T75" i="1"/>
  <c r="R75" i="1"/>
  <c r="P75" i="1"/>
  <c r="N75" i="1" s="1"/>
  <c r="BC74" i="1"/>
  <c r="BB74" i="1"/>
  <c r="AZ74" i="1"/>
  <c r="BE74" i="1" s="1"/>
  <c r="T74" i="1"/>
  <c r="U74" i="1" s="1"/>
  <c r="AB73" i="1"/>
  <c r="AA73" i="1"/>
  <c r="Z73" i="1"/>
  <c r="Y73" i="1"/>
  <c r="X73" i="1"/>
  <c r="W73" i="1"/>
  <c r="V73" i="1"/>
  <c r="U73" i="1"/>
  <c r="T73" i="1"/>
  <c r="R73" i="1"/>
  <c r="P73" i="1"/>
  <c r="N73" i="1"/>
  <c r="AC73" i="1" s="1"/>
  <c r="BB73" i="1" s="1"/>
  <c r="BB72" i="1"/>
  <c r="BC72" i="1" s="1"/>
  <c r="BE72" i="1" s="1"/>
  <c r="BA72" i="1"/>
  <c r="AZ72" i="1"/>
  <c r="U72" i="1"/>
  <c r="T72" i="1"/>
  <c r="AW71" i="1"/>
  <c r="AU71" i="1"/>
  <c r="AT71" i="1"/>
  <c r="AK71" i="1"/>
  <c r="AI71" i="1"/>
  <c r="AH71" i="1"/>
  <c r="Y71" i="1"/>
  <c r="W71" i="1"/>
  <c r="V71" i="1"/>
  <c r="T71" i="1"/>
  <c r="R71" i="1"/>
  <c r="P71" i="1"/>
  <c r="N71" i="1"/>
  <c r="AS71" i="1" s="1"/>
  <c r="BB70" i="1"/>
  <c r="BC70" i="1" s="1"/>
  <c r="BA70" i="1"/>
  <c r="AZ70" i="1"/>
  <c r="BE70" i="1" s="1"/>
  <c r="T70" i="1"/>
  <c r="U70" i="1" s="1"/>
  <c r="BB69" i="1"/>
  <c r="V69" i="1"/>
  <c r="T69" i="1"/>
  <c r="U69" i="1" s="1"/>
  <c r="P69" i="1"/>
  <c r="N69" i="1"/>
  <c r="W69" i="1" s="1"/>
  <c r="BB68" i="1"/>
  <c r="BC68" i="1" s="1"/>
  <c r="BE68" i="1" s="1"/>
  <c r="AZ68" i="1"/>
  <c r="BA68" i="1" s="1"/>
  <c r="U68" i="1"/>
  <c r="T68" i="1"/>
  <c r="BB67" i="1"/>
  <c r="W67" i="1"/>
  <c r="AZ67" i="1" s="1"/>
  <c r="V67" i="1"/>
  <c r="BC67" i="1" s="1"/>
  <c r="U67" i="1"/>
  <c r="T67" i="1"/>
  <c r="P67" i="1"/>
  <c r="N67" i="1" s="1"/>
  <c r="BB66" i="1"/>
  <c r="BC66" i="1" s="1"/>
  <c r="BA66" i="1"/>
  <c r="AZ66" i="1"/>
  <c r="BE66" i="1" s="1"/>
  <c r="U66" i="1"/>
  <c r="T66" i="1"/>
  <c r="AI65" i="1"/>
  <c r="AG65" i="1"/>
  <c r="AF65" i="1"/>
  <c r="W65" i="1"/>
  <c r="V65" i="1"/>
  <c r="T65" i="1"/>
  <c r="U65" i="1" s="1"/>
  <c r="R65" i="1"/>
  <c r="P65" i="1"/>
  <c r="N65" i="1" s="1"/>
  <c r="BC64" i="1"/>
  <c r="BE64" i="1" s="1"/>
  <c r="BB64" i="1"/>
  <c r="AZ64" i="1"/>
  <c r="BA64" i="1" s="1"/>
  <c r="U64" i="1"/>
  <c r="T64" i="1"/>
  <c r="AN63" i="1"/>
  <c r="V63" i="1"/>
  <c r="U63" i="1" s="1"/>
  <c r="R63" i="1"/>
  <c r="T63" i="1" s="1"/>
  <c r="P63" i="1"/>
  <c r="N63" i="1"/>
  <c r="AQ63" i="1" s="1"/>
  <c r="BB62" i="1"/>
  <c r="BC62" i="1" s="1"/>
  <c r="BE62" i="1" s="1"/>
  <c r="AZ62" i="1"/>
  <c r="BA62" i="1" s="1"/>
  <c r="U62" i="1"/>
  <c r="T62" i="1"/>
  <c r="AG61" i="1"/>
  <c r="X61" i="1"/>
  <c r="V61" i="1"/>
  <c r="R61" i="1"/>
  <c r="T61" i="1" s="1"/>
  <c r="U61" i="1" s="1"/>
  <c r="P61" i="1"/>
  <c r="N61" i="1"/>
  <c r="AF61" i="1" s="1"/>
  <c r="BC60" i="1"/>
  <c r="BB60" i="1"/>
  <c r="AZ60" i="1"/>
  <c r="T60" i="1"/>
  <c r="U60" i="1" s="1"/>
  <c r="AN59" i="1"/>
  <c r="AB59" i="1"/>
  <c r="AA59" i="1"/>
  <c r="V59" i="1"/>
  <c r="R59" i="1"/>
  <c r="T59" i="1" s="1"/>
  <c r="P59" i="1"/>
  <c r="N59" i="1" s="1"/>
  <c r="BE58" i="1"/>
  <c r="BC58" i="1"/>
  <c r="BB58" i="1"/>
  <c r="BA58" i="1"/>
  <c r="AZ58" i="1"/>
  <c r="U58" i="1"/>
  <c r="T58" i="1"/>
  <c r="AK57" i="1"/>
  <c r="AJ57" i="1"/>
  <c r="X57" i="1"/>
  <c r="V57" i="1"/>
  <c r="U57" i="1" s="1"/>
  <c r="T57" i="1"/>
  <c r="R57" i="1"/>
  <c r="P57" i="1"/>
  <c r="N57" i="1" s="1"/>
  <c r="AA57" i="1" s="1"/>
  <c r="BC56" i="1"/>
  <c r="BB56" i="1"/>
  <c r="AZ56" i="1"/>
  <c r="BE56" i="1" s="1"/>
  <c r="T56" i="1"/>
  <c r="U56" i="1" s="1"/>
  <c r="AB55" i="1"/>
  <c r="V55" i="1"/>
  <c r="R55" i="1"/>
  <c r="T55" i="1" s="1"/>
  <c r="P55" i="1"/>
  <c r="N55" i="1"/>
  <c r="AE55" i="1" s="1"/>
  <c r="BB54" i="1"/>
  <c r="BC54" i="1" s="1"/>
  <c r="BE54" i="1" s="1"/>
  <c r="AZ54" i="1"/>
  <c r="BA54" i="1" s="1"/>
  <c r="U54" i="1"/>
  <c r="T54" i="1"/>
  <c r="V53" i="1"/>
  <c r="R53" i="1"/>
  <c r="T53" i="1" s="1"/>
  <c r="U53" i="1" s="1"/>
  <c r="P53" i="1"/>
  <c r="N53" i="1" s="1"/>
  <c r="X53" i="1" s="1"/>
  <c r="BB52" i="1"/>
  <c r="BC52" i="1" s="1"/>
  <c r="AZ52" i="1"/>
  <c r="U52" i="1"/>
  <c r="T52" i="1"/>
  <c r="BB51" i="1"/>
  <c r="V51" i="1"/>
  <c r="T51" i="1"/>
  <c r="R51" i="1"/>
  <c r="P51" i="1"/>
  <c r="N51" i="1" s="1"/>
  <c r="BC50" i="1"/>
  <c r="BB50" i="1"/>
  <c r="BA50" i="1"/>
  <c r="AZ50" i="1"/>
  <c r="BE50" i="1" s="1"/>
  <c r="T50" i="1"/>
  <c r="U50" i="1" s="1"/>
  <c r="V49" i="1"/>
  <c r="T49" i="1"/>
  <c r="R49" i="1"/>
  <c r="P49" i="1"/>
  <c r="N49" i="1" s="1"/>
  <c r="BC48" i="1"/>
  <c r="BE48" i="1" s="1"/>
  <c r="BB48" i="1"/>
  <c r="BA48" i="1"/>
  <c r="AZ48" i="1"/>
  <c r="U48" i="1"/>
  <c r="T48" i="1"/>
  <c r="AJ47" i="1"/>
  <c r="AI47" i="1"/>
  <c r="Z47" i="1"/>
  <c r="X47" i="1"/>
  <c r="W47" i="1"/>
  <c r="V47" i="1"/>
  <c r="R47" i="1"/>
  <c r="T47" i="1" s="1"/>
  <c r="U47" i="1" s="1"/>
  <c r="P47" i="1"/>
  <c r="N47" i="1" s="1"/>
  <c r="BB46" i="1"/>
  <c r="BC46" i="1" s="1"/>
  <c r="AZ46" i="1"/>
  <c r="U46" i="1"/>
  <c r="T46" i="1"/>
  <c r="AH45" i="1"/>
  <c r="AF45" i="1"/>
  <c r="AE45" i="1"/>
  <c r="AA45" i="1"/>
  <c r="Z45" i="1"/>
  <c r="V45" i="1"/>
  <c r="T45" i="1"/>
  <c r="R45" i="1"/>
  <c r="P45" i="1"/>
  <c r="N45" i="1"/>
  <c r="AD45" i="1" s="1"/>
  <c r="BC44" i="1"/>
  <c r="BE44" i="1" s="1"/>
  <c r="BB44" i="1"/>
  <c r="AZ44" i="1"/>
  <c r="BA44" i="1" s="1"/>
  <c r="T44" i="1"/>
  <c r="U44" i="1" s="1"/>
  <c r="BB43" i="1"/>
  <c r="V43" i="1"/>
  <c r="T43" i="1"/>
  <c r="R43" i="1"/>
  <c r="P43" i="1"/>
  <c r="N43" i="1" s="1"/>
  <c r="BC42" i="1"/>
  <c r="BB42" i="1"/>
  <c r="AZ42" i="1"/>
  <c r="BE42" i="1" s="1"/>
  <c r="T42" i="1"/>
  <c r="U42" i="1" s="1"/>
  <c r="AB41" i="1"/>
  <c r="V41" i="1"/>
  <c r="U41" i="1"/>
  <c r="T41" i="1"/>
  <c r="R41" i="1"/>
  <c r="P41" i="1"/>
  <c r="N41" i="1" s="1"/>
  <c r="BC40" i="1"/>
  <c r="BE40" i="1" s="1"/>
  <c r="BB40" i="1"/>
  <c r="BA40" i="1"/>
  <c r="AZ40" i="1"/>
  <c r="U40" i="1"/>
  <c r="T40" i="1"/>
  <c r="AJ39" i="1"/>
  <c r="AI39" i="1"/>
  <c r="AE39" i="1"/>
  <c r="AC39" i="1"/>
  <c r="AB39" i="1"/>
  <c r="X39" i="1"/>
  <c r="W39" i="1"/>
  <c r="V39" i="1"/>
  <c r="R39" i="1"/>
  <c r="T39" i="1" s="1"/>
  <c r="U39" i="1" s="1"/>
  <c r="P39" i="1"/>
  <c r="N39" i="1"/>
  <c r="BE38" i="1"/>
  <c r="BB38" i="1"/>
  <c r="BC38" i="1" s="1"/>
  <c r="AZ38" i="1"/>
  <c r="BA38" i="1" s="1"/>
  <c r="U38" i="1"/>
  <c r="T38" i="1"/>
  <c r="AJ37" i="1"/>
  <c r="AI37" i="1"/>
  <c r="AH37" i="1"/>
  <c r="AG37" i="1"/>
  <c r="AF37" i="1"/>
  <c r="AE37" i="1"/>
  <c r="AA37" i="1"/>
  <c r="Z37" i="1"/>
  <c r="Y37" i="1"/>
  <c r="X37" i="1"/>
  <c r="W37" i="1"/>
  <c r="V37" i="1"/>
  <c r="R37" i="1"/>
  <c r="T37" i="1" s="1"/>
  <c r="P37" i="1"/>
  <c r="N37" i="1"/>
  <c r="AD37" i="1" s="1"/>
  <c r="BC36" i="1"/>
  <c r="BB36" i="1"/>
  <c r="AZ36" i="1"/>
  <c r="BE36" i="1" s="1"/>
  <c r="T36" i="1"/>
  <c r="U36" i="1" s="1"/>
  <c r="AP35" i="1"/>
  <c r="AE35" i="1"/>
  <c r="Y35" i="1"/>
  <c r="V35" i="1"/>
  <c r="U35" i="1"/>
  <c r="R35" i="1"/>
  <c r="T35" i="1" s="1"/>
  <c r="P35" i="1"/>
  <c r="N35" i="1" s="1"/>
  <c r="BB34" i="1"/>
  <c r="BC34" i="1" s="1"/>
  <c r="BE34" i="1" s="1"/>
  <c r="BA34" i="1"/>
  <c r="AZ34" i="1"/>
  <c r="U34" i="1"/>
  <c r="T34" i="1"/>
  <c r="AT33" i="1"/>
  <c r="AS33" i="1"/>
  <c r="AR33" i="1"/>
  <c r="AQ33" i="1"/>
  <c r="AM33" i="1"/>
  <c r="AL33" i="1"/>
  <c r="AK33" i="1"/>
  <c r="AJ33" i="1"/>
  <c r="AI33" i="1"/>
  <c r="AH33" i="1"/>
  <c r="AG33" i="1"/>
  <c r="AF33" i="1"/>
  <c r="AE33" i="1"/>
  <c r="AA33" i="1"/>
  <c r="Z33" i="1"/>
  <c r="Y33" i="1"/>
  <c r="X33" i="1"/>
  <c r="W33" i="1"/>
  <c r="V33" i="1"/>
  <c r="T33" i="1"/>
  <c r="R33" i="1"/>
  <c r="P33" i="1"/>
  <c r="N33" i="1"/>
  <c r="AP33" i="1" s="1"/>
  <c r="BB32" i="1"/>
  <c r="BC32" i="1" s="1"/>
  <c r="AZ32" i="1"/>
  <c r="U32" i="1"/>
  <c r="T32" i="1"/>
  <c r="BB31" i="1"/>
  <c r="V31" i="1"/>
  <c r="T31" i="1"/>
  <c r="U31" i="1" s="1"/>
  <c r="R31" i="1"/>
  <c r="P31" i="1"/>
  <c r="N31" i="1"/>
  <c r="Z31" i="1" s="1"/>
  <c r="BC30" i="1"/>
  <c r="BB30" i="1"/>
  <c r="AZ30" i="1"/>
  <c r="BE30" i="1" s="1"/>
  <c r="T30" i="1"/>
  <c r="U30" i="1" s="1"/>
  <c r="V29" i="1"/>
  <c r="T29" i="1"/>
  <c r="U29" i="1" s="1"/>
  <c r="R29" i="1"/>
  <c r="P29" i="1"/>
  <c r="N29" i="1"/>
  <c r="AG29" i="1" s="1"/>
  <c r="BB28" i="1"/>
  <c r="BC28" i="1" s="1"/>
  <c r="BE28" i="1" s="1"/>
  <c r="BA28" i="1"/>
  <c r="AZ28" i="1"/>
  <c r="U28" i="1"/>
  <c r="T28" i="1"/>
  <c r="V27" i="1"/>
  <c r="R27" i="1"/>
  <c r="R139" i="1" s="1"/>
  <c r="P27" i="1"/>
  <c r="N27" i="1" s="1"/>
  <c r="BB26" i="1"/>
  <c r="BC26" i="1" s="1"/>
  <c r="BE26" i="1" s="1"/>
  <c r="AZ26" i="1"/>
  <c r="BA26" i="1" s="1"/>
  <c r="U26" i="1"/>
  <c r="T26" i="1"/>
  <c r="BB25" i="1"/>
  <c r="V25" i="1"/>
  <c r="R25" i="1"/>
  <c r="T25" i="1" s="1"/>
  <c r="U25" i="1" s="1"/>
  <c r="P25" i="1"/>
  <c r="N25" i="1" s="1"/>
  <c r="W25" i="1" s="1"/>
  <c r="BB24" i="1"/>
  <c r="BC24" i="1" s="1"/>
  <c r="AZ24" i="1"/>
  <c r="BE24" i="1" s="1"/>
  <c r="U24" i="1"/>
  <c r="T24" i="1"/>
  <c r="AJ23" i="1"/>
  <c r="AF23" i="1"/>
  <c r="AE23" i="1"/>
  <c r="AA23" i="1"/>
  <c r="Z23" i="1"/>
  <c r="Y23" i="1"/>
  <c r="X23" i="1"/>
  <c r="W23" i="1"/>
  <c r="V23" i="1"/>
  <c r="U23" i="1"/>
  <c r="T23" i="1"/>
  <c r="P23" i="1"/>
  <c r="N23" i="1" s="1"/>
  <c r="AG23" i="1" s="1"/>
  <c r="BB22" i="1"/>
  <c r="BC22" i="1" s="1"/>
  <c r="AZ22" i="1"/>
  <c r="BE22" i="1" s="1"/>
  <c r="T22" i="1"/>
  <c r="U22" i="1" s="1"/>
  <c r="AF21" i="1"/>
  <c r="AC21" i="1"/>
  <c r="AB21" i="1"/>
  <c r="AA21" i="1"/>
  <c r="Y21" i="1"/>
  <c r="X21" i="1"/>
  <c r="V21" i="1"/>
  <c r="U21" i="1" s="1"/>
  <c r="T21" i="1"/>
  <c r="P21" i="1"/>
  <c r="N21" i="1"/>
  <c r="AI21" i="1" s="1"/>
  <c r="BB20" i="1"/>
  <c r="BC20" i="1" s="1"/>
  <c r="BE20" i="1" s="1"/>
  <c r="AZ20" i="1"/>
  <c r="BA20" i="1" s="1"/>
  <c r="U20" i="1"/>
  <c r="T20" i="1"/>
  <c r="AT19" i="1"/>
  <c r="AS19" i="1"/>
  <c r="AR19" i="1"/>
  <c r="AO19" i="1"/>
  <c r="AK19" i="1"/>
  <c r="AH19" i="1"/>
  <c r="AG19" i="1"/>
  <c r="AF19" i="1"/>
  <c r="AC19" i="1"/>
  <c r="Y19" i="1"/>
  <c r="V19" i="1"/>
  <c r="T19" i="1"/>
  <c r="U19" i="1" s="1"/>
  <c r="P19" i="1"/>
  <c r="N19" i="1"/>
  <c r="AN19" i="1" s="1"/>
  <c r="BB18" i="1"/>
  <c r="BC18" i="1" s="1"/>
  <c r="BE18" i="1" s="1"/>
  <c r="AZ18" i="1"/>
  <c r="BA18" i="1" s="1"/>
  <c r="T18" i="1"/>
  <c r="U18" i="1" s="1"/>
  <c r="V17" i="1"/>
  <c r="U17" i="1"/>
  <c r="T17" i="1"/>
  <c r="P17" i="1"/>
  <c r="N17" i="1"/>
  <c r="AC17" i="1" s="1"/>
  <c r="BC16" i="1"/>
  <c r="BB16" i="1"/>
  <c r="BA16" i="1"/>
  <c r="AZ16" i="1"/>
  <c r="BE16" i="1" s="1"/>
  <c r="T16" i="1"/>
  <c r="U16" i="1" s="1"/>
  <c r="V15" i="1"/>
  <c r="T15" i="1"/>
  <c r="P15" i="1"/>
  <c r="N15" i="1" s="1"/>
  <c r="BB14" i="1"/>
  <c r="BC14" i="1" s="1"/>
  <c r="AZ14" i="1"/>
  <c r="T14" i="1"/>
  <c r="U14" i="1" s="1"/>
  <c r="BB13" i="1"/>
  <c r="BC13" i="1" s="1"/>
  <c r="BE13" i="1" s="1"/>
  <c r="BA13" i="1"/>
  <c r="AZ13" i="1"/>
  <c r="U13" i="1"/>
  <c r="T13" i="1"/>
  <c r="P13" i="1"/>
  <c r="N13" i="1" s="1"/>
  <c r="BB12" i="1"/>
  <c r="BC12" i="1" s="1"/>
  <c r="BE12" i="1" s="1"/>
  <c r="BA12" i="1"/>
  <c r="AZ12" i="1"/>
  <c r="T12" i="1"/>
  <c r="U12" i="1" s="1"/>
  <c r="BB11" i="1"/>
  <c r="V11" i="1"/>
  <c r="BC11" i="1" s="1"/>
  <c r="T11" i="1"/>
  <c r="U11" i="1" s="1"/>
  <c r="P11" i="1"/>
  <c r="N11" i="1" s="1"/>
  <c r="BC10" i="1"/>
  <c r="BE10" i="1" s="1"/>
  <c r="BB10" i="1"/>
  <c r="BA10" i="1"/>
  <c r="AZ10" i="1"/>
  <c r="U10" i="1"/>
  <c r="T10" i="1"/>
  <c r="AC9" i="1"/>
  <c r="Y9" i="1"/>
  <c r="V9" i="1"/>
  <c r="T9" i="1"/>
  <c r="U9" i="1" s="1"/>
  <c r="P9" i="1"/>
  <c r="N9" i="1"/>
  <c r="AB9" i="1" s="1"/>
  <c r="BB8" i="1"/>
  <c r="BC8" i="1" s="1"/>
  <c r="BE8" i="1" s="1"/>
  <c r="AZ8" i="1"/>
  <c r="BA8" i="1" s="1"/>
  <c r="T8" i="1"/>
  <c r="U8" i="1" s="1"/>
  <c r="AH7" i="1"/>
  <c r="AA7" i="1"/>
  <c r="Z7" i="1"/>
  <c r="Y7" i="1"/>
  <c r="V7" i="1"/>
  <c r="T7" i="1"/>
  <c r="P7" i="1"/>
  <c r="N7" i="1"/>
  <c r="AC7" i="1" s="1"/>
  <c r="BB6" i="1"/>
  <c r="BC6" i="1" s="1"/>
  <c r="AZ6" i="1"/>
  <c r="BA6" i="1" s="1"/>
  <c r="T6" i="1"/>
  <c r="P12" i="5" l="1"/>
  <c r="M275" i="5"/>
  <c r="M280" i="5"/>
  <c r="J221" i="5"/>
  <c r="P84" i="5"/>
  <c r="J231" i="5"/>
  <c r="J165" i="5"/>
  <c r="O214" i="5"/>
  <c r="J16" i="5"/>
  <c r="J105" i="5"/>
  <c r="L26" i="5"/>
  <c r="O26" i="5" s="1"/>
  <c r="L248" i="5"/>
  <c r="O248" i="5" s="1"/>
  <c r="R248" i="5" s="1"/>
  <c r="P57" i="5"/>
  <c r="I13" i="5"/>
  <c r="J13" i="5" s="1"/>
  <c r="P205" i="5"/>
  <c r="J14" i="5"/>
  <c r="O255" i="5"/>
  <c r="M255" i="5"/>
  <c r="I247" i="5"/>
  <c r="J247" i="5" s="1"/>
  <c r="L33" i="5"/>
  <c r="L10" i="5"/>
  <c r="I88" i="5"/>
  <c r="J88" i="5" s="1"/>
  <c r="O105" i="5"/>
  <c r="M47" i="5"/>
  <c r="I27" i="5"/>
  <c r="J27" i="5" s="1"/>
  <c r="J7" i="5"/>
  <c r="M205" i="5"/>
  <c r="M274" i="5"/>
  <c r="J189" i="5"/>
  <c r="M281" i="5"/>
  <c r="O45" i="5"/>
  <c r="R45" i="5" s="1"/>
  <c r="I23" i="5"/>
  <c r="G10" i="5"/>
  <c r="M119" i="5"/>
  <c r="J55" i="5"/>
  <c r="J159" i="5"/>
  <c r="R204" i="5"/>
  <c r="P204" i="5"/>
  <c r="M256" i="5"/>
  <c r="M121" i="5"/>
  <c r="J44" i="5"/>
  <c r="O112" i="5"/>
  <c r="P112" i="5" s="1"/>
  <c r="M44" i="5"/>
  <c r="J214" i="5"/>
  <c r="J281" i="5"/>
  <c r="J112" i="5"/>
  <c r="S237" i="5"/>
  <c r="O195" i="5"/>
  <c r="R195" i="5" s="1"/>
  <c r="L89" i="5"/>
  <c r="M89" i="5" s="1"/>
  <c r="M17" i="5"/>
  <c r="P60" i="5"/>
  <c r="M196" i="5"/>
  <c r="J218" i="5"/>
  <c r="J212" i="5"/>
  <c r="J148" i="5"/>
  <c r="O159" i="5"/>
  <c r="R159" i="5" s="1"/>
  <c r="F22" i="5"/>
  <c r="G22" i="5" s="1"/>
  <c r="J89" i="5"/>
  <c r="G154" i="5"/>
  <c r="J119" i="5"/>
  <c r="I111" i="5"/>
  <c r="J168" i="5"/>
  <c r="L168" i="5"/>
  <c r="F6" i="5"/>
  <c r="G6" i="5" s="1"/>
  <c r="L185" i="5"/>
  <c r="J185" i="5"/>
  <c r="L114" i="5"/>
  <c r="J114" i="5"/>
  <c r="P258" i="5"/>
  <c r="J195" i="5"/>
  <c r="J64" i="5"/>
  <c r="M81" i="5"/>
  <c r="O81" i="5"/>
  <c r="O117" i="5"/>
  <c r="M117" i="5"/>
  <c r="J261" i="5"/>
  <c r="L300" i="5"/>
  <c r="O300" i="5" s="1"/>
  <c r="S258" i="5"/>
  <c r="M64" i="5"/>
  <c r="G192" i="5"/>
  <c r="J291" i="5"/>
  <c r="M291" i="5"/>
  <c r="P72" i="5"/>
  <c r="M189" i="5"/>
  <c r="O189" i="5"/>
  <c r="L245" i="5"/>
  <c r="J245" i="5"/>
  <c r="L113" i="5"/>
  <c r="J113" i="5"/>
  <c r="J295" i="5"/>
  <c r="P121" i="5"/>
  <c r="R121" i="5"/>
  <c r="M76" i="5"/>
  <c r="O76" i="5"/>
  <c r="M135" i="5"/>
  <c r="O135" i="5"/>
  <c r="O199" i="5"/>
  <c r="M199" i="5"/>
  <c r="I154" i="5"/>
  <c r="J154" i="5" s="1"/>
  <c r="M98" i="5"/>
  <c r="P17" i="5"/>
  <c r="J109" i="5"/>
  <c r="L109" i="5"/>
  <c r="I108" i="5"/>
  <c r="J108" i="5" s="1"/>
  <c r="L242" i="5"/>
  <c r="J242" i="5"/>
  <c r="R291" i="5"/>
  <c r="P291" i="5"/>
  <c r="F150" i="5"/>
  <c r="J19" i="5"/>
  <c r="O32" i="5"/>
  <c r="P32" i="5" s="1"/>
  <c r="L118" i="5"/>
  <c r="J118" i="5"/>
  <c r="O187" i="5"/>
  <c r="M187" i="5"/>
  <c r="O276" i="5"/>
  <c r="M276" i="5"/>
  <c r="J246" i="5"/>
  <c r="L246" i="5"/>
  <c r="M219" i="5"/>
  <c r="O219" i="5"/>
  <c r="M234" i="5"/>
  <c r="O234" i="5"/>
  <c r="J140" i="5"/>
  <c r="L140" i="5"/>
  <c r="O173" i="5"/>
  <c r="M173" i="5"/>
  <c r="O137" i="5"/>
  <c r="M137" i="5"/>
  <c r="L93" i="5"/>
  <c r="J93" i="5"/>
  <c r="I92" i="5"/>
  <c r="U170" i="5"/>
  <c r="S170" i="5"/>
  <c r="O86" i="5"/>
  <c r="M86" i="5"/>
  <c r="O74" i="5"/>
  <c r="M74" i="5"/>
  <c r="J10" i="5"/>
  <c r="I9" i="5"/>
  <c r="J9" i="5" s="1"/>
  <c r="R46" i="5"/>
  <c r="P46" i="5"/>
  <c r="O78" i="5"/>
  <c r="M78" i="5"/>
  <c r="R73" i="5"/>
  <c r="P73" i="5"/>
  <c r="U205" i="5"/>
  <c r="S205" i="5"/>
  <c r="G92" i="5"/>
  <c r="F91" i="5"/>
  <c r="G91" i="5" s="1"/>
  <c r="L52" i="5"/>
  <c r="L50" i="5" s="1"/>
  <c r="J52" i="5"/>
  <c r="M83" i="5"/>
  <c r="O83" i="5"/>
  <c r="O221" i="5"/>
  <c r="M221" i="5"/>
  <c r="I239" i="5"/>
  <c r="J239" i="5" s="1"/>
  <c r="L240" i="5"/>
  <c r="J240" i="5"/>
  <c r="O285" i="5"/>
  <c r="M285" i="5"/>
  <c r="O250" i="5"/>
  <c r="M250" i="5"/>
  <c r="I243" i="5"/>
  <c r="J243" i="5" s="1"/>
  <c r="R268" i="5"/>
  <c r="P268" i="5"/>
  <c r="L292" i="5"/>
  <c r="J292" i="5"/>
  <c r="J294" i="5"/>
  <c r="I293" i="5"/>
  <c r="J293" i="5" s="1"/>
  <c r="L294" i="5"/>
  <c r="R225" i="5"/>
  <c r="P225" i="5"/>
  <c r="R274" i="5"/>
  <c r="P274" i="5"/>
  <c r="L265" i="5"/>
  <c r="J265" i="5"/>
  <c r="I264" i="5"/>
  <c r="O228" i="5"/>
  <c r="M228" i="5"/>
  <c r="O211" i="5"/>
  <c r="M211" i="5"/>
  <c r="V258" i="5"/>
  <c r="Y258" i="5"/>
  <c r="O153" i="5"/>
  <c r="M153" i="5"/>
  <c r="M51" i="5"/>
  <c r="O51" i="5"/>
  <c r="R139" i="5"/>
  <c r="P139" i="5"/>
  <c r="M77" i="5"/>
  <c r="O77" i="5"/>
  <c r="O94" i="5"/>
  <c r="M94" i="5"/>
  <c r="R70" i="5"/>
  <c r="P70" i="5"/>
  <c r="R14" i="5"/>
  <c r="P14" i="5"/>
  <c r="Y297" i="5"/>
  <c r="V297" i="5"/>
  <c r="U296" i="5"/>
  <c r="O224" i="5"/>
  <c r="M224" i="5"/>
  <c r="U60" i="5"/>
  <c r="S60" i="5"/>
  <c r="O261" i="5"/>
  <c r="M261" i="5"/>
  <c r="O110" i="5"/>
  <c r="M110" i="5"/>
  <c r="O29" i="5"/>
  <c r="M29" i="5"/>
  <c r="I50" i="5"/>
  <c r="AA37" i="5"/>
  <c r="J37" i="5"/>
  <c r="O33" i="5"/>
  <c r="M33" i="5"/>
  <c r="M18" i="5"/>
  <c r="O18" i="5"/>
  <c r="O136" i="5"/>
  <c r="M136" i="5"/>
  <c r="J111" i="5"/>
  <c r="X42" i="5"/>
  <c r="X107" i="5" s="1"/>
  <c r="I22" i="5"/>
  <c r="J22" i="5" s="1"/>
  <c r="J23" i="5"/>
  <c r="O253" i="5"/>
  <c r="M253" i="5"/>
  <c r="L252" i="5"/>
  <c r="R282" i="5"/>
  <c r="P282" i="5"/>
  <c r="O238" i="5"/>
  <c r="M238" i="5"/>
  <c r="R290" i="5"/>
  <c r="P290" i="5"/>
  <c r="L209" i="5"/>
  <c r="J209" i="5"/>
  <c r="J208" i="5" s="1"/>
  <c r="I208" i="5"/>
  <c r="L287" i="5"/>
  <c r="J287" i="5"/>
  <c r="Y171" i="5"/>
  <c r="V171" i="5"/>
  <c r="F263" i="5"/>
  <c r="F229" i="5" s="1"/>
  <c r="G229" i="5" s="1"/>
  <c r="G264" i="5"/>
  <c r="G263" i="5" s="1"/>
  <c r="O106" i="5"/>
  <c r="M106" i="5"/>
  <c r="L197" i="5"/>
  <c r="J197" i="5"/>
  <c r="Y157" i="5"/>
  <c r="U157" i="5"/>
  <c r="V157" i="5" s="1"/>
  <c r="S157" i="5"/>
  <c r="O87" i="5"/>
  <c r="M87" i="5"/>
  <c r="O145" i="5"/>
  <c r="L144" i="5"/>
  <c r="M145" i="5"/>
  <c r="M24" i="5"/>
  <c r="O24" i="5"/>
  <c r="O38" i="5"/>
  <c r="M38" i="5"/>
  <c r="L37" i="5"/>
  <c r="M37" i="5" s="1"/>
  <c r="F42" i="5"/>
  <c r="G43" i="5"/>
  <c r="I178" i="5"/>
  <c r="L179" i="5"/>
  <c r="J179" i="5"/>
  <c r="O166" i="5"/>
  <c r="M166" i="5"/>
  <c r="R61" i="5"/>
  <c r="P61" i="5"/>
  <c r="M175" i="5"/>
  <c r="O175" i="5"/>
  <c r="O62" i="5"/>
  <c r="M62" i="5"/>
  <c r="P230" i="5"/>
  <c r="R230" i="5"/>
  <c r="G207" i="5"/>
  <c r="F207" i="5"/>
  <c r="O244" i="5"/>
  <c r="M244" i="5"/>
  <c r="P272" i="5"/>
  <c r="R272" i="5"/>
  <c r="L164" i="5"/>
  <c r="J164" i="5"/>
  <c r="R141" i="5"/>
  <c r="P141" i="5"/>
  <c r="L181" i="5"/>
  <c r="J181" i="5"/>
  <c r="O165" i="5"/>
  <c r="M165" i="5"/>
  <c r="O206" i="5"/>
  <c r="M206" i="5"/>
  <c r="O138" i="5"/>
  <c r="M138" i="5"/>
  <c r="L85" i="5"/>
  <c r="J85" i="5"/>
  <c r="L80" i="5"/>
  <c r="J80" i="5"/>
  <c r="M65" i="5"/>
  <c r="O65" i="5"/>
  <c r="R64" i="5"/>
  <c r="P64" i="5"/>
  <c r="O79" i="5"/>
  <c r="M79" i="5"/>
  <c r="O21" i="5"/>
  <c r="M21" i="5"/>
  <c r="O142" i="5"/>
  <c r="M142" i="5"/>
  <c r="R58" i="5"/>
  <c r="P58" i="5"/>
  <c r="U12" i="5"/>
  <c r="S12" i="5"/>
  <c r="S17" i="5"/>
  <c r="U17" i="5"/>
  <c r="O177" i="5"/>
  <c r="M177" i="5"/>
  <c r="L231" i="5"/>
  <c r="O232" i="5"/>
  <c r="M232" i="5"/>
  <c r="L63" i="5"/>
  <c r="J63" i="5"/>
  <c r="R25" i="5"/>
  <c r="P25" i="5"/>
  <c r="U72" i="5"/>
  <c r="S72" i="5"/>
  <c r="R233" i="5"/>
  <c r="P233" i="5"/>
  <c r="X229" i="5"/>
  <c r="O212" i="5"/>
  <c r="M212" i="5"/>
  <c r="R280" i="5"/>
  <c r="P280" i="5"/>
  <c r="L279" i="5"/>
  <c r="L277" i="5" s="1"/>
  <c r="J279" i="5"/>
  <c r="L167" i="5"/>
  <c r="J167" i="5"/>
  <c r="X192" i="5"/>
  <c r="L241" i="5"/>
  <c r="J241" i="5"/>
  <c r="R101" i="5"/>
  <c r="P101" i="5"/>
  <c r="P195" i="5"/>
  <c r="P180" i="5"/>
  <c r="R180" i="5"/>
  <c r="L134" i="5"/>
  <c r="J134" i="5"/>
  <c r="R147" i="5"/>
  <c r="P147" i="5"/>
  <c r="O35" i="5"/>
  <c r="M35" i="5"/>
  <c r="L34" i="5"/>
  <c r="M34" i="5" s="1"/>
  <c r="O67" i="5"/>
  <c r="M67" i="5"/>
  <c r="O71" i="5"/>
  <c r="M71" i="5"/>
  <c r="L41" i="5"/>
  <c r="J41" i="5"/>
  <c r="AA40" i="5"/>
  <c r="O20" i="5"/>
  <c r="M20" i="5"/>
  <c r="L19" i="5"/>
  <c r="M19" i="5" s="1"/>
  <c r="O90" i="5"/>
  <c r="M90" i="5"/>
  <c r="L289" i="5"/>
  <c r="J289" i="5"/>
  <c r="R214" i="5"/>
  <c r="P214" i="5"/>
  <c r="O201" i="5"/>
  <c r="M201" i="5"/>
  <c r="O8" i="5"/>
  <c r="M8" i="5"/>
  <c r="L7" i="5"/>
  <c r="J257" i="5"/>
  <c r="L257" i="5"/>
  <c r="M186" i="5"/>
  <c r="O186" i="5"/>
  <c r="M146" i="5"/>
  <c r="O146" i="5"/>
  <c r="J144" i="5"/>
  <c r="I143" i="5"/>
  <c r="J143" i="5" s="1"/>
  <c r="I235" i="5"/>
  <c r="L236" i="5"/>
  <c r="J236" i="5"/>
  <c r="U269" i="5"/>
  <c r="S269" i="5"/>
  <c r="L203" i="5"/>
  <c r="J203" i="5"/>
  <c r="I202" i="5"/>
  <c r="J202" i="5" s="1"/>
  <c r="R256" i="5"/>
  <c r="P256" i="5"/>
  <c r="L161" i="5"/>
  <c r="J161" i="5"/>
  <c r="G150" i="5"/>
  <c r="R210" i="5"/>
  <c r="P210" i="5"/>
  <c r="O162" i="5"/>
  <c r="M162" i="5"/>
  <c r="G130" i="5"/>
  <c r="R119" i="5"/>
  <c r="P119" i="5"/>
  <c r="O155" i="5"/>
  <c r="M155" i="5"/>
  <c r="J98" i="5"/>
  <c r="J34" i="5"/>
  <c r="U57" i="5"/>
  <c r="S57" i="5"/>
  <c r="L69" i="5"/>
  <c r="J69" i="5"/>
  <c r="O36" i="5"/>
  <c r="M36" i="5"/>
  <c r="L54" i="5"/>
  <c r="J54" i="5"/>
  <c r="L30" i="5"/>
  <c r="L27" i="5" s="1"/>
  <c r="M27" i="5" s="1"/>
  <c r="J30" i="5"/>
  <c r="I6" i="5"/>
  <c r="R266" i="5"/>
  <c r="P266" i="5"/>
  <c r="L183" i="5"/>
  <c r="J183" i="5"/>
  <c r="O174" i="5"/>
  <c r="M174" i="5"/>
  <c r="L15" i="5"/>
  <c r="J15" i="5"/>
  <c r="O278" i="5"/>
  <c r="M278" i="5"/>
  <c r="M198" i="5"/>
  <c r="O198" i="5"/>
  <c r="P259" i="5"/>
  <c r="R259" i="5"/>
  <c r="M190" i="5"/>
  <c r="O190" i="5"/>
  <c r="R200" i="5"/>
  <c r="P200" i="5"/>
  <c r="L152" i="5"/>
  <c r="J152" i="5"/>
  <c r="O217" i="5"/>
  <c r="M217" i="5"/>
  <c r="R182" i="5"/>
  <c r="P182" i="5"/>
  <c r="R160" i="5"/>
  <c r="P160" i="5"/>
  <c r="L115" i="5"/>
  <c r="J115" i="5"/>
  <c r="V275" i="5"/>
  <c r="Y275" i="5"/>
  <c r="O120" i="5"/>
  <c r="M120" i="5"/>
  <c r="O53" i="5"/>
  <c r="M53" i="5"/>
  <c r="O31" i="5"/>
  <c r="M31" i="5"/>
  <c r="R123" i="5"/>
  <c r="P123" i="5"/>
  <c r="O163" i="5"/>
  <c r="M163" i="5"/>
  <c r="S84" i="5"/>
  <c r="U84" i="5"/>
  <c r="O10" i="5"/>
  <c r="R11" i="5"/>
  <c r="P11" i="5"/>
  <c r="R48" i="5"/>
  <c r="P48" i="5"/>
  <c r="O47" i="5"/>
  <c r="P47" i="5" s="1"/>
  <c r="R40" i="5"/>
  <c r="P40" i="5"/>
  <c r="U288" i="5"/>
  <c r="S288" i="5"/>
  <c r="O151" i="5"/>
  <c r="M151" i="5"/>
  <c r="J270" i="5"/>
  <c r="L270" i="5"/>
  <c r="R32" i="5"/>
  <c r="O262" i="5"/>
  <c r="M262" i="5"/>
  <c r="I277" i="5"/>
  <c r="J277" i="5" s="1"/>
  <c r="J286" i="5"/>
  <c r="L286" i="5"/>
  <c r="L284" i="5" s="1"/>
  <c r="M284" i="5" s="1"/>
  <c r="J273" i="5"/>
  <c r="L273" i="5"/>
  <c r="O267" i="5"/>
  <c r="M267" i="5"/>
  <c r="O283" i="5"/>
  <c r="M283" i="5"/>
  <c r="M223" i="5"/>
  <c r="O223" i="5"/>
  <c r="G251" i="5"/>
  <c r="R191" i="5"/>
  <c r="P191" i="5"/>
  <c r="U196" i="5"/>
  <c r="S196" i="5"/>
  <c r="O249" i="5"/>
  <c r="M249" i="5"/>
  <c r="U227" i="5"/>
  <c r="S227" i="5"/>
  <c r="O98" i="5"/>
  <c r="P98" i="5" s="1"/>
  <c r="R99" i="5"/>
  <c r="P99" i="5"/>
  <c r="P104" i="5"/>
  <c r="R104" i="5"/>
  <c r="L216" i="5"/>
  <c r="J216" i="5"/>
  <c r="I215" i="5"/>
  <c r="J215" i="5" s="1"/>
  <c r="L188" i="5"/>
  <c r="J188" i="5"/>
  <c r="O131" i="5"/>
  <c r="M131" i="5"/>
  <c r="L97" i="5"/>
  <c r="J97" i="5"/>
  <c r="I95" i="5"/>
  <c r="J95" i="5" s="1"/>
  <c r="L103" i="5"/>
  <c r="J103" i="5"/>
  <c r="I102" i="5"/>
  <c r="J102" i="5" s="1"/>
  <c r="I66" i="5"/>
  <c r="J66" i="5" s="1"/>
  <c r="U100" i="5"/>
  <c r="S100" i="5"/>
  <c r="O39" i="5"/>
  <c r="M39" i="5"/>
  <c r="O68" i="5"/>
  <c r="M68" i="5"/>
  <c r="U132" i="5"/>
  <c r="S132" i="5"/>
  <c r="O28" i="5"/>
  <c r="M28" i="5"/>
  <c r="R44" i="5"/>
  <c r="P44" i="5"/>
  <c r="M10" i="5"/>
  <c r="L222" i="5"/>
  <c r="L218" i="5" s="1"/>
  <c r="M218" i="5" s="1"/>
  <c r="J222" i="5"/>
  <c r="L133" i="5"/>
  <c r="J133" i="5"/>
  <c r="I130" i="5"/>
  <c r="R82" i="5"/>
  <c r="P82" i="5"/>
  <c r="O295" i="5"/>
  <c r="M295" i="5"/>
  <c r="V237" i="5"/>
  <c r="Y237" i="5"/>
  <c r="L271" i="5"/>
  <c r="J271" i="5"/>
  <c r="I251" i="5"/>
  <c r="J251" i="5" s="1"/>
  <c r="J252" i="5"/>
  <c r="V184" i="5"/>
  <c r="Y184" i="5"/>
  <c r="S254" i="5"/>
  <c r="U254" i="5"/>
  <c r="L260" i="5"/>
  <c r="J260" i="5"/>
  <c r="I193" i="5"/>
  <c r="L194" i="5"/>
  <c r="J194" i="5"/>
  <c r="O149" i="5"/>
  <c r="M149" i="5"/>
  <c r="L148" i="5"/>
  <c r="M148" i="5" s="1"/>
  <c r="L158" i="5"/>
  <c r="L154" i="5" s="1"/>
  <c r="M154" i="5" s="1"/>
  <c r="J158" i="5"/>
  <c r="M156" i="5"/>
  <c r="O156" i="5"/>
  <c r="L88" i="5"/>
  <c r="M88" i="5" s="1"/>
  <c r="O89" i="5"/>
  <c r="O116" i="5"/>
  <c r="M116" i="5"/>
  <c r="L75" i="5"/>
  <c r="J75" i="5"/>
  <c r="R55" i="5"/>
  <c r="P55" i="5"/>
  <c r="L16" i="5"/>
  <c r="M16" i="5" s="1"/>
  <c r="O56" i="5"/>
  <c r="M56" i="5"/>
  <c r="BC25" i="1"/>
  <c r="AZ25" i="1"/>
  <c r="Z43" i="1"/>
  <c r="X43" i="1"/>
  <c r="W43" i="1"/>
  <c r="Y43" i="1"/>
  <c r="BE67" i="1"/>
  <c r="BA67" i="1"/>
  <c r="BE14" i="1"/>
  <c r="AD27" i="1"/>
  <c r="AA27" i="1"/>
  <c r="Z27" i="1"/>
  <c r="Y27" i="1"/>
  <c r="AC27" i="1"/>
  <c r="AB27" i="1"/>
  <c r="X27" i="1"/>
  <c r="W27" i="1"/>
  <c r="AE27" i="1"/>
  <c r="BB9" i="1"/>
  <c r="AD15" i="1"/>
  <c r="W15" i="1"/>
  <c r="BC15" i="1" s="1"/>
  <c r="AC15" i="1"/>
  <c r="BB15" i="1" s="1"/>
  <c r="AB15" i="1"/>
  <c r="AZ15" i="1" s="1"/>
  <c r="AA15" i="1"/>
  <c r="Z15" i="1"/>
  <c r="X15" i="1"/>
  <c r="Y15" i="1"/>
  <c r="V139" i="1"/>
  <c r="BC69" i="1"/>
  <c r="AZ69" i="1"/>
  <c r="T138" i="1"/>
  <c r="W7" i="1"/>
  <c r="W139" i="1" s="1"/>
  <c r="W164" i="1" s="1"/>
  <c r="AD9" i="1"/>
  <c r="AD19" i="1"/>
  <c r="AP19" i="1"/>
  <c r="BE32" i="1"/>
  <c r="AO35" i="1"/>
  <c r="AC35" i="1"/>
  <c r="AN35" i="1"/>
  <c r="AB35" i="1"/>
  <c r="AM35" i="1"/>
  <c r="AA35" i="1"/>
  <c r="AJ35" i="1"/>
  <c r="X35" i="1"/>
  <c r="AI35" i="1"/>
  <c r="W35" i="1"/>
  <c r="AT35" i="1"/>
  <c r="AH35" i="1"/>
  <c r="AR35" i="1"/>
  <c r="AR139" i="1" s="1"/>
  <c r="AF35" i="1"/>
  <c r="AQ35" i="1"/>
  <c r="AZ39" i="1"/>
  <c r="U43" i="1"/>
  <c r="U45" i="1"/>
  <c r="BE52" i="1"/>
  <c r="BA52" i="1"/>
  <c r="AC55" i="1"/>
  <c r="Y57" i="1"/>
  <c r="AL59" i="1"/>
  <c r="Z59" i="1"/>
  <c r="AK59" i="1"/>
  <c r="Y59" i="1"/>
  <c r="AZ59" i="1" s="1"/>
  <c r="AJ59" i="1"/>
  <c r="X59" i="1"/>
  <c r="AI59" i="1"/>
  <c r="W59" i="1"/>
  <c r="AT59" i="1"/>
  <c r="AH59" i="1"/>
  <c r="AS59" i="1"/>
  <c r="AG59" i="1"/>
  <c r="AR59" i="1"/>
  <c r="AF59" i="1"/>
  <c r="AQ59" i="1"/>
  <c r="AE59" i="1"/>
  <c r="AO59" i="1"/>
  <c r="AC59" i="1"/>
  <c r="AO63" i="1"/>
  <c r="BC73" i="1"/>
  <c r="BE97" i="1"/>
  <c r="BA97" i="1"/>
  <c r="AD17" i="1"/>
  <c r="BB17" i="1" s="1"/>
  <c r="AA29" i="1"/>
  <c r="AJ29" i="1"/>
  <c r="X29" i="1"/>
  <c r="AI29" i="1"/>
  <c r="W29" i="1"/>
  <c r="AH29" i="1"/>
  <c r="AF29" i="1"/>
  <c r="AU53" i="1"/>
  <c r="BE60" i="1"/>
  <c r="BA60" i="1"/>
  <c r="BE78" i="1"/>
  <c r="BA78" i="1"/>
  <c r="Z125" i="1"/>
  <c r="Y125" i="1"/>
  <c r="U6" i="1"/>
  <c r="X7" i="1"/>
  <c r="U15" i="1"/>
  <c r="AE19" i="1"/>
  <c r="BB19" i="1" s="1"/>
  <c r="AQ19" i="1"/>
  <c r="Z21" i="1"/>
  <c r="BA32" i="1"/>
  <c r="AS35" i="1"/>
  <c r="AS139" i="1" s="1"/>
  <c r="U37" i="1"/>
  <c r="U71" i="1"/>
  <c r="AT79" i="1"/>
  <c r="AH79" i="1"/>
  <c r="AS79" i="1"/>
  <c r="AG79" i="1"/>
  <c r="AR79" i="1"/>
  <c r="AF79" i="1"/>
  <c r="AQ79" i="1"/>
  <c r="AE79" i="1"/>
  <c r="AP79" i="1"/>
  <c r="AD79" i="1"/>
  <c r="AO79" i="1"/>
  <c r="AC79" i="1"/>
  <c r="AN79" i="1"/>
  <c r="AB79" i="1"/>
  <c r="AM79" i="1"/>
  <c r="AA79" i="1"/>
  <c r="AW79" i="1"/>
  <c r="AK79" i="1"/>
  <c r="Y79" i="1"/>
  <c r="AZ79" i="1" s="1"/>
  <c r="AC93" i="1"/>
  <c r="BB93" i="1" s="1"/>
  <c r="AB93" i="1"/>
  <c r="AA93" i="1"/>
  <c r="AZ93" i="1" s="1"/>
  <c r="Z93" i="1"/>
  <c r="X93" i="1"/>
  <c r="W93" i="1"/>
  <c r="BE116" i="1"/>
  <c r="W158" i="1"/>
  <c r="Z49" i="1"/>
  <c r="Y49" i="1"/>
  <c r="X49" i="1"/>
  <c r="W49" i="1"/>
  <c r="AG49" i="1"/>
  <c r="AF49" i="1"/>
  <c r="AE49" i="1"/>
  <c r="AC49" i="1"/>
  <c r="AA51" i="1"/>
  <c r="Z51" i="1"/>
  <c r="X51" i="1"/>
  <c r="BC51" i="1" s="1"/>
  <c r="T27" i="1"/>
  <c r="U27" i="1" s="1"/>
  <c r="AZ31" i="1"/>
  <c r="AE41" i="1"/>
  <c r="AD41" i="1"/>
  <c r="AC41" i="1"/>
  <c r="Z41" i="1"/>
  <c r="Y41" i="1"/>
  <c r="X41" i="1"/>
  <c r="BA56" i="1"/>
  <c r="AM63" i="1"/>
  <c r="AA63" i="1"/>
  <c r="AL63" i="1"/>
  <c r="Z63" i="1"/>
  <c r="AK63" i="1"/>
  <c r="Y63" i="1"/>
  <c r="AV63" i="1"/>
  <c r="AJ63" i="1"/>
  <c r="X63" i="1"/>
  <c r="AU63" i="1"/>
  <c r="AI63" i="1"/>
  <c r="W63" i="1"/>
  <c r="AT63" i="1"/>
  <c r="AH63" i="1"/>
  <c r="AS63" i="1"/>
  <c r="AG63" i="1"/>
  <c r="AR63" i="1"/>
  <c r="AF63" i="1"/>
  <c r="AP63" i="1"/>
  <c r="AD63" i="1"/>
  <c r="AN135" i="1"/>
  <c r="AB135" i="1"/>
  <c r="AM135" i="1"/>
  <c r="AA135" i="1"/>
  <c r="AL135" i="1"/>
  <c r="Z135" i="1"/>
  <c r="AK135" i="1"/>
  <c r="Y135" i="1"/>
  <c r="AJ135" i="1"/>
  <c r="X135" i="1"/>
  <c r="AI135" i="1"/>
  <c r="W135" i="1"/>
  <c r="AH135" i="1"/>
  <c r="AG135" i="1"/>
  <c r="AE135" i="1"/>
  <c r="AP135" i="1"/>
  <c r="AD135" i="1"/>
  <c r="AO135" i="1"/>
  <c r="AF135" i="1"/>
  <c r="AG163" i="1"/>
  <c r="AB7" i="1"/>
  <c r="W9" i="1"/>
  <c r="AZ9" i="1" s="1"/>
  <c r="X17" i="1"/>
  <c r="W19" i="1"/>
  <c r="BC19" i="1" s="1"/>
  <c r="AI19" i="1"/>
  <c r="AD21" i="1"/>
  <c r="BB21" i="1" s="1"/>
  <c r="Y29" i="1"/>
  <c r="W31" i="1"/>
  <c r="Z35" i="1"/>
  <c r="BA42" i="1"/>
  <c r="W53" i="1"/>
  <c r="AD59" i="1"/>
  <c r="Y81" i="1"/>
  <c r="AJ81" i="1"/>
  <c r="X81" i="1"/>
  <c r="AI81" i="1"/>
  <c r="W81" i="1"/>
  <c r="AZ81" i="1" s="1"/>
  <c r="AH81" i="1"/>
  <c r="AG81" i="1"/>
  <c r="AF81" i="1"/>
  <c r="AE81" i="1"/>
  <c r="AD81" i="1"/>
  <c r="BB81" i="1" s="1"/>
  <c r="AB81" i="1"/>
  <c r="U133" i="1"/>
  <c r="W17" i="1"/>
  <c r="AZ17" i="1" s="1"/>
  <c r="BE6" i="1"/>
  <c r="X9" i="1"/>
  <c r="AZ11" i="1"/>
  <c r="BA14" i="1"/>
  <c r="Y17" i="1"/>
  <c r="X19" i="1"/>
  <c r="AJ19" i="1"/>
  <c r="AE21" i="1"/>
  <c r="BA22" i="1"/>
  <c r="BA24" i="1"/>
  <c r="Z29" i="1"/>
  <c r="X31" i="1"/>
  <c r="AD35" i="1"/>
  <c r="BA36" i="1"/>
  <c r="AA49" i="1"/>
  <c r="U51" i="1"/>
  <c r="AM59" i="1"/>
  <c r="BA74" i="1"/>
  <c r="Y139" i="1"/>
  <c r="Y164" i="1" s="1"/>
  <c r="AT53" i="1"/>
  <c r="AH53" i="1"/>
  <c r="AS53" i="1"/>
  <c r="AG53" i="1"/>
  <c r="AR53" i="1"/>
  <c r="AF53" i="1"/>
  <c r="AQ53" i="1"/>
  <c r="AE53" i="1"/>
  <c r="AP53" i="1"/>
  <c r="AD53" i="1"/>
  <c r="AO53" i="1"/>
  <c r="AC53" i="1"/>
  <c r="AN53" i="1"/>
  <c r="AB53" i="1"/>
  <c r="AM53" i="1"/>
  <c r="AA53" i="1"/>
  <c r="AK53" i="1"/>
  <c r="Y53" i="1"/>
  <c r="N138" i="1"/>
  <c r="AD7" i="1"/>
  <c r="Z17" i="1"/>
  <c r="Z139" i="1" s="1"/>
  <c r="AB29" i="1"/>
  <c r="Y31" i="1"/>
  <c r="AB49" i="1"/>
  <c r="W51" i="1"/>
  <c r="Z53" i="1"/>
  <c r="AA55" i="1"/>
  <c r="Z55" i="1"/>
  <c r="Y55" i="1"/>
  <c r="X55" i="1"/>
  <c r="W55" i="1"/>
  <c r="AZ55" i="1" s="1"/>
  <c r="AF55" i="1"/>
  <c r="AD55" i="1"/>
  <c r="AI57" i="1"/>
  <c r="W57" i="1"/>
  <c r="AH57" i="1"/>
  <c r="AG57" i="1"/>
  <c r="AF57" i="1"/>
  <c r="AE57" i="1"/>
  <c r="AD57" i="1"/>
  <c r="AC57" i="1"/>
  <c r="BB57" i="1" s="1"/>
  <c r="AB57" i="1"/>
  <c r="Z57" i="1"/>
  <c r="AZ57" i="1" s="1"/>
  <c r="U101" i="1"/>
  <c r="AA109" i="1"/>
  <c r="Z109" i="1"/>
  <c r="X109" i="1"/>
  <c r="W109" i="1"/>
  <c r="Y109" i="1"/>
  <c r="AZ109" i="1" s="1"/>
  <c r="BC126" i="1"/>
  <c r="AH163" i="1"/>
  <c r="BC133" i="1"/>
  <c r="AC135" i="1"/>
  <c r="AE7" i="1"/>
  <c r="Z9" i="1"/>
  <c r="AA17" i="1"/>
  <c r="Z19" i="1"/>
  <c r="AL19" i="1"/>
  <c r="AG21" i="1"/>
  <c r="AC29" i="1"/>
  <c r="BA30" i="1"/>
  <c r="AZ33" i="1"/>
  <c r="U33" i="1"/>
  <c r="AG35" i="1"/>
  <c r="AA39" i="1"/>
  <c r="Z39" i="1"/>
  <c r="Y39" i="1"/>
  <c r="AH39" i="1"/>
  <c r="AG39" i="1"/>
  <c r="AF39" i="1"/>
  <c r="AD39" i="1"/>
  <c r="BB39" i="1" s="1"/>
  <c r="BE46" i="1"/>
  <c r="BA46" i="1"/>
  <c r="AD49" i="1"/>
  <c r="Y51" i="1"/>
  <c r="AI53" i="1"/>
  <c r="AP59" i="1"/>
  <c r="AB63" i="1"/>
  <c r="AJ79" i="1"/>
  <c r="T139" i="1"/>
  <c r="T164" i="1" s="1"/>
  <c r="AF7" i="1"/>
  <c r="AA9" i="1"/>
  <c r="AA139" i="1" s="1"/>
  <c r="AB17" i="1"/>
  <c r="AA19" i="1"/>
  <c r="AZ19" i="1" s="1"/>
  <c r="AM19" i="1"/>
  <c r="AH21" i="1"/>
  <c r="AD23" i="1"/>
  <c r="AC23" i="1"/>
  <c r="AB23" i="1"/>
  <c r="AH23" i="1"/>
  <c r="AH139" i="1" s="1"/>
  <c r="AD29" i="1"/>
  <c r="BC31" i="1"/>
  <c r="AK35" i="1"/>
  <c r="AK139" i="1" s="1"/>
  <c r="W41" i="1"/>
  <c r="AJ53" i="1"/>
  <c r="AC63" i="1"/>
  <c r="AE65" i="1"/>
  <c r="AD65" i="1"/>
  <c r="AC65" i="1"/>
  <c r="AB65" i="1"/>
  <c r="AA65" i="1"/>
  <c r="AL65" i="1"/>
  <c r="Z65" i="1"/>
  <c r="AK65" i="1"/>
  <c r="Y65" i="1"/>
  <c r="AJ65" i="1"/>
  <c r="AZ65" i="1" s="1"/>
  <c r="X65" i="1"/>
  <c r="AH65" i="1"/>
  <c r="AZ73" i="1"/>
  <c r="AU75" i="1"/>
  <c r="AI75" i="1"/>
  <c r="W75" i="1"/>
  <c r="AT75" i="1"/>
  <c r="AT139" i="1" s="1"/>
  <c r="AH75" i="1"/>
  <c r="AS75" i="1"/>
  <c r="AG75" i="1"/>
  <c r="AR75" i="1"/>
  <c r="AF75" i="1"/>
  <c r="AQ75" i="1"/>
  <c r="AE75" i="1"/>
  <c r="AP75" i="1"/>
  <c r="AD75" i="1"/>
  <c r="AO75" i="1"/>
  <c r="AC75" i="1"/>
  <c r="AN75" i="1"/>
  <c r="AB75" i="1"/>
  <c r="AL75" i="1"/>
  <c r="Z75" i="1"/>
  <c r="AL79" i="1"/>
  <c r="AO83" i="1"/>
  <c r="AC83" i="1"/>
  <c r="AN83" i="1"/>
  <c r="AB83" i="1"/>
  <c r="AM83" i="1"/>
  <c r="AA83" i="1"/>
  <c r="AL83" i="1"/>
  <c r="Z83" i="1"/>
  <c r="AW83" i="1"/>
  <c r="AW139" i="1" s="1"/>
  <c r="AK83" i="1"/>
  <c r="Y83" i="1"/>
  <c r="AV83" i="1"/>
  <c r="AJ83" i="1"/>
  <c r="X83" i="1"/>
  <c r="AU83" i="1"/>
  <c r="AI83" i="1"/>
  <c r="W83" i="1"/>
  <c r="AT83" i="1"/>
  <c r="AH83" i="1"/>
  <c r="AR83" i="1"/>
  <c r="AF83" i="1"/>
  <c r="BE84" i="1"/>
  <c r="U109" i="1"/>
  <c r="BC109" i="1"/>
  <c r="U7" i="1"/>
  <c r="AG7" i="1"/>
  <c r="AB19" i="1"/>
  <c r="W21" i="1"/>
  <c r="AJ21" i="1"/>
  <c r="AI23" i="1"/>
  <c r="AE29" i="1"/>
  <c r="AL35" i="1"/>
  <c r="AA41" i="1"/>
  <c r="AH47" i="1"/>
  <c r="AG47" i="1"/>
  <c r="AF47" i="1"/>
  <c r="AE47" i="1"/>
  <c r="AD47" i="1"/>
  <c r="AC47" i="1"/>
  <c r="AB47" i="1"/>
  <c r="AA47" i="1"/>
  <c r="Y47" i="1"/>
  <c r="AL53" i="1"/>
  <c r="AE63" i="1"/>
  <c r="AU79" i="1"/>
  <c r="BA86" i="1"/>
  <c r="BE86" i="1"/>
  <c r="AB125" i="1"/>
  <c r="AG45" i="1"/>
  <c r="W61" i="1"/>
  <c r="AZ61" i="1" s="1"/>
  <c r="X71" i="1"/>
  <c r="AJ71" i="1"/>
  <c r="AV71" i="1"/>
  <c r="AZ75" i="1"/>
  <c r="BE80" i="1"/>
  <c r="AA85" i="1"/>
  <c r="U89" i="1"/>
  <c r="U93" i="1"/>
  <c r="BC99" i="1"/>
  <c r="W107" i="1"/>
  <c r="AD107" i="1"/>
  <c r="AC107" i="1"/>
  <c r="BB107" i="1" s="1"/>
  <c r="BC107" i="1" s="1"/>
  <c r="AB107" i="1"/>
  <c r="Z107" i="1"/>
  <c r="Y107" i="1"/>
  <c r="AD163" i="1"/>
  <c r="AB33" i="1"/>
  <c r="AN33" i="1"/>
  <c r="AN139" i="1" s="1"/>
  <c r="AB37" i="1"/>
  <c r="AZ37" i="1" s="1"/>
  <c r="BC37" i="1"/>
  <c r="W45" i="1"/>
  <c r="AI45" i="1"/>
  <c r="Y61" i="1"/>
  <c r="Z71" i="1"/>
  <c r="AL71" i="1"/>
  <c r="AF85" i="1"/>
  <c r="AC91" i="1"/>
  <c r="Z99" i="1"/>
  <c r="X105" i="1"/>
  <c r="W105" i="1"/>
  <c r="BC105" i="1" s="1"/>
  <c r="Y115" i="1"/>
  <c r="X115" i="1"/>
  <c r="AI115" i="1"/>
  <c r="AZ115" i="1" s="1"/>
  <c r="W115" i="1"/>
  <c r="AH115" i="1"/>
  <c r="AG115" i="1"/>
  <c r="AF115" i="1"/>
  <c r="AE115" i="1"/>
  <c r="AD115" i="1"/>
  <c r="AB115" i="1"/>
  <c r="AA115" i="1"/>
  <c r="U124" i="1"/>
  <c r="AZ124" i="1"/>
  <c r="AP163" i="1"/>
  <c r="BE155" i="1"/>
  <c r="AC33" i="1"/>
  <c r="AO33" i="1"/>
  <c r="AO139" i="1" s="1"/>
  <c r="AC37" i="1"/>
  <c r="BB37" i="1" s="1"/>
  <c r="X45" i="1"/>
  <c r="AJ45" i="1"/>
  <c r="U55" i="1"/>
  <c r="Z61" i="1"/>
  <c r="AA71" i="1"/>
  <c r="AM71" i="1"/>
  <c r="AH85" i="1"/>
  <c r="AI87" i="1"/>
  <c r="W87" i="1"/>
  <c r="AH87" i="1"/>
  <c r="AF87" i="1"/>
  <c r="AE87" i="1"/>
  <c r="AC87" i="1"/>
  <c r="AL87" i="1"/>
  <c r="Z87" i="1"/>
  <c r="AK87" i="1"/>
  <c r="Y87" i="1"/>
  <c r="AF91" i="1"/>
  <c r="AJ138" i="1"/>
  <c r="AY140" i="1"/>
  <c r="AD33" i="1"/>
  <c r="Y45" i="1"/>
  <c r="U49" i="1"/>
  <c r="U59" i="1"/>
  <c r="AA61" i="1"/>
  <c r="AB71" i="1"/>
  <c r="AN71" i="1"/>
  <c r="U105" i="1"/>
  <c r="BE122" i="1"/>
  <c r="BA122" i="1"/>
  <c r="W127" i="1"/>
  <c r="BC128" i="1"/>
  <c r="AZ128" i="1"/>
  <c r="W129" i="1"/>
  <c r="BC130" i="1"/>
  <c r="AK163" i="1"/>
  <c r="BC132" i="1"/>
  <c r="AZ132" i="1"/>
  <c r="AZ134" i="1"/>
  <c r="BE152" i="1"/>
  <c r="AB61" i="1"/>
  <c r="AC71" i="1"/>
  <c r="AO71" i="1"/>
  <c r="AG85" i="1"/>
  <c r="BB85" i="1" s="1"/>
  <c r="AE85" i="1"/>
  <c r="AD85" i="1"/>
  <c r="AB85" i="1"/>
  <c r="AZ85" i="1" s="1"/>
  <c r="AK85" i="1"/>
  <c r="Y85" i="1"/>
  <c r="AJ85" i="1"/>
  <c r="X85" i="1"/>
  <c r="BC85" i="1" s="1"/>
  <c r="AL85" i="1"/>
  <c r="BE94" i="1"/>
  <c r="BA94" i="1"/>
  <c r="BC120" i="1"/>
  <c r="W138" i="1"/>
  <c r="AZ120" i="1"/>
  <c r="Y163" i="1"/>
  <c r="BB126" i="1"/>
  <c r="AB127" i="1"/>
  <c r="AZ126" i="1"/>
  <c r="AL163" i="1"/>
  <c r="AS163" i="1"/>
  <c r="BE145" i="1"/>
  <c r="BE156" i="1"/>
  <c r="AC61" i="1"/>
  <c r="BB61" i="1" s="1"/>
  <c r="AD71" i="1"/>
  <c r="AP71" i="1"/>
  <c r="AM85" i="1"/>
  <c r="Y103" i="1"/>
  <c r="X103" i="1"/>
  <c r="W103" i="1"/>
  <c r="BC103" i="1" s="1"/>
  <c r="W123" i="1"/>
  <c r="AE123" i="1"/>
  <c r="AD123" i="1"/>
  <c r="AC123" i="1"/>
  <c r="AB123" i="1"/>
  <c r="Z123" i="1"/>
  <c r="Y123" i="1"/>
  <c r="Z163" i="1"/>
  <c r="AN163" i="1"/>
  <c r="BC145" i="1"/>
  <c r="BE153" i="1"/>
  <c r="AB45" i="1"/>
  <c r="AD61" i="1"/>
  <c r="AE71" i="1"/>
  <c r="AQ71" i="1"/>
  <c r="AC115" i="1"/>
  <c r="W121" i="1"/>
  <c r="AZ121" i="1" s="1"/>
  <c r="AE131" i="1"/>
  <c r="AD131" i="1"/>
  <c r="AC131" i="1"/>
  <c r="BB131" i="1" s="1"/>
  <c r="AB131" i="1"/>
  <c r="AM131" i="1"/>
  <c r="AA131" i="1"/>
  <c r="AL131" i="1"/>
  <c r="Z131" i="1"/>
  <c r="AK131" i="1"/>
  <c r="Y131" i="1"/>
  <c r="AJ131" i="1"/>
  <c r="X131" i="1"/>
  <c r="BC131" i="1" s="1"/>
  <c r="AH131" i="1"/>
  <c r="AG131" i="1"/>
  <c r="AO163" i="1"/>
  <c r="BC157" i="1"/>
  <c r="AC45" i="1"/>
  <c r="AE61" i="1"/>
  <c r="AF71" i="1"/>
  <c r="AR71" i="1"/>
  <c r="AB91" i="1"/>
  <c r="AA91" i="1"/>
  <c r="AL91" i="1"/>
  <c r="Z91" i="1"/>
  <c r="AK91" i="1"/>
  <c r="Y91" i="1"/>
  <c r="AJ91" i="1"/>
  <c r="X91" i="1"/>
  <c r="AZ91" i="1" s="1"/>
  <c r="AH91" i="1"/>
  <c r="AG91" i="1"/>
  <c r="AE91" i="1"/>
  <c r="AD91" i="1"/>
  <c r="AC95" i="1"/>
  <c r="BB95" i="1" s="1"/>
  <c r="AB95" i="1"/>
  <c r="AA95" i="1"/>
  <c r="Z95" i="1"/>
  <c r="Y95" i="1"/>
  <c r="W95" i="1"/>
  <c r="AB99" i="1"/>
  <c r="AA99" i="1"/>
  <c r="Y99" i="1"/>
  <c r="X99" i="1"/>
  <c r="AE101" i="1"/>
  <c r="AD101" i="1"/>
  <c r="AC101" i="1"/>
  <c r="AB101" i="1"/>
  <c r="AA101" i="1"/>
  <c r="Z101" i="1"/>
  <c r="X101" i="1"/>
  <c r="W101" i="1"/>
  <c r="AZ101" i="1" s="1"/>
  <c r="U103" i="1"/>
  <c r="AB163" i="1"/>
  <c r="BB130" i="1"/>
  <c r="AO154" i="1"/>
  <c r="AO159" i="1" s="1"/>
  <c r="AO165" i="1" s="1"/>
  <c r="AC154" i="1"/>
  <c r="AN154" i="1"/>
  <c r="AB154" i="1"/>
  <c r="AY154" i="1"/>
  <c r="AM154" i="1"/>
  <c r="AA154" i="1"/>
  <c r="AX154" i="1"/>
  <c r="AL154" i="1"/>
  <c r="Z154" i="1"/>
  <c r="Z159" i="1" s="1"/>
  <c r="Z165" i="1" s="1"/>
  <c r="AW154" i="1"/>
  <c r="AK154" i="1"/>
  <c r="AK159" i="1" s="1"/>
  <c r="AK165" i="1" s="1"/>
  <c r="Y154" i="1"/>
  <c r="AV154" i="1"/>
  <c r="AV159" i="1" s="1"/>
  <c r="AV165" i="1" s="1"/>
  <c r="AJ154" i="1"/>
  <c r="AJ159" i="1" s="1"/>
  <c r="AJ165" i="1" s="1"/>
  <c r="X154" i="1"/>
  <c r="AU154" i="1"/>
  <c r="AU159" i="1" s="1"/>
  <c r="AU165" i="1" s="1"/>
  <c r="AI154" i="1"/>
  <c r="AI159" i="1" s="1"/>
  <c r="AI165" i="1" s="1"/>
  <c r="W154" i="1"/>
  <c r="AT154" i="1"/>
  <c r="AH154" i="1"/>
  <c r="V154" i="1"/>
  <c r="AR154" i="1"/>
  <c r="AR159" i="1" s="1"/>
  <c r="AR165" i="1" s="1"/>
  <c r="AF154" i="1"/>
  <c r="AF159" i="1" s="1"/>
  <c r="AF165" i="1" s="1"/>
  <c r="AQ154" i="1"/>
  <c r="AQ159" i="1" s="1"/>
  <c r="AQ165" i="1" s="1"/>
  <c r="AE154" i="1"/>
  <c r="AE159" i="1" s="1"/>
  <c r="AE165" i="1" s="1"/>
  <c r="AF163" i="1"/>
  <c r="AG71" i="1"/>
  <c r="U85" i="1"/>
  <c r="X89" i="1"/>
  <c r="W89" i="1"/>
  <c r="BE106" i="1"/>
  <c r="BA106" i="1"/>
  <c r="AC119" i="1"/>
  <c r="BB119" i="1" s="1"/>
  <c r="AB119" i="1"/>
  <c r="AA119" i="1"/>
  <c r="Z119" i="1"/>
  <c r="Y119" i="1"/>
  <c r="AJ119" i="1"/>
  <c r="X119" i="1"/>
  <c r="AI119" i="1"/>
  <c r="W119" i="1"/>
  <c r="BC119" i="1" s="1"/>
  <c r="AH119" i="1"/>
  <c r="AF119" i="1"/>
  <c r="AE119" i="1"/>
  <c r="AC163" i="1"/>
  <c r="AA133" i="1"/>
  <c r="Z133" i="1"/>
  <c r="Y133" i="1"/>
  <c r="X133" i="1"/>
  <c r="W133" i="1"/>
  <c r="AZ133" i="1" s="1"/>
  <c r="R140" i="1"/>
  <c r="AD154" i="1"/>
  <c r="AD159" i="1" s="1"/>
  <c r="AD165" i="1" s="1"/>
  <c r="AI163" i="1"/>
  <c r="AC113" i="1"/>
  <c r="W125" i="1"/>
  <c r="Y127" i="1"/>
  <c r="BC134" i="1"/>
  <c r="AE138" i="1"/>
  <c r="AB146" i="1"/>
  <c r="AB159" i="1" s="1"/>
  <c r="AB165" i="1" s="1"/>
  <c r="AG158" i="1"/>
  <c r="AG159" i="1" s="1"/>
  <c r="AG165" i="1" s="1"/>
  <c r="AS158" i="1"/>
  <c r="AS159" i="1" s="1"/>
  <c r="AS165" i="1" s="1"/>
  <c r="V159" i="1"/>
  <c r="BA98" i="1"/>
  <c r="BA110" i="1"/>
  <c r="Y111" i="1"/>
  <c r="AD113" i="1"/>
  <c r="BC117" i="1"/>
  <c r="BE117" i="1" s="1"/>
  <c r="X125" i="1"/>
  <c r="Z127" i="1"/>
  <c r="AX140" i="1"/>
  <c r="AC146" i="1"/>
  <c r="V158" i="1"/>
  <c r="AH158" i="1"/>
  <c r="AT158" i="1"/>
  <c r="AT163" i="1"/>
  <c r="V138" i="1"/>
  <c r="X158" i="1"/>
  <c r="AJ158" i="1"/>
  <c r="AV158" i="1"/>
  <c r="AB111" i="1"/>
  <c r="U113" i="1"/>
  <c r="BB124" i="1"/>
  <c r="BC124" i="1" s="1"/>
  <c r="AA125" i="1"/>
  <c r="AC127" i="1"/>
  <c r="BB127" i="1" s="1"/>
  <c r="X129" i="1"/>
  <c r="Y158" i="1"/>
  <c r="AK158" i="1"/>
  <c r="AW158" i="1"/>
  <c r="AC111" i="1"/>
  <c r="AD127" i="1"/>
  <c r="Y129" i="1"/>
  <c r="Z158" i="1"/>
  <c r="AL158" i="1"/>
  <c r="AX158" i="1"/>
  <c r="AZ99" i="1"/>
  <c r="AZ107" i="1"/>
  <c r="AD111" i="1"/>
  <c r="AZ111" i="1" s="1"/>
  <c r="W113" i="1"/>
  <c r="U115" i="1"/>
  <c r="BA118" i="1"/>
  <c r="AC125" i="1"/>
  <c r="AE127" i="1"/>
  <c r="Z129" i="1"/>
  <c r="AZ130" i="1"/>
  <c r="AA158" i="1"/>
  <c r="AA159" i="1" s="1"/>
  <c r="AA165" i="1" s="1"/>
  <c r="AM158" i="1"/>
  <c r="AY158" i="1"/>
  <c r="BA90" i="1"/>
  <c r="X113" i="1"/>
  <c r="AD125" i="1"/>
  <c r="AF127" i="1"/>
  <c r="W146" i="1"/>
  <c r="W159" i="1" s="1"/>
  <c r="W165" i="1" s="1"/>
  <c r="AB158" i="1"/>
  <c r="AN158" i="1"/>
  <c r="Y113" i="1"/>
  <c r="AE125" i="1"/>
  <c r="X146" i="1"/>
  <c r="X159" i="1" s="1"/>
  <c r="X165" i="1" s="1"/>
  <c r="AZ157" i="1"/>
  <c r="BE157" i="1" s="1"/>
  <c r="AC158" i="1"/>
  <c r="AO158" i="1"/>
  <c r="U99" i="1"/>
  <c r="Y146" i="1"/>
  <c r="AD158" i="1"/>
  <c r="AP158" i="1"/>
  <c r="AP159" i="1" s="1"/>
  <c r="AP165" i="1" s="1"/>
  <c r="AE158" i="1"/>
  <c r="R105" i="5" l="1"/>
  <c r="P105" i="5"/>
  <c r="L130" i="5"/>
  <c r="M130" i="5" s="1"/>
  <c r="L23" i="5"/>
  <c r="L247" i="5"/>
  <c r="M247" i="5" s="1"/>
  <c r="P248" i="5"/>
  <c r="M26" i="5"/>
  <c r="R255" i="5"/>
  <c r="P255" i="5"/>
  <c r="M248" i="5"/>
  <c r="P45" i="5"/>
  <c r="P159" i="5"/>
  <c r="X299" i="5"/>
  <c r="F299" i="5"/>
  <c r="F301" i="5" s="1"/>
  <c r="G301" i="5" s="1"/>
  <c r="M300" i="5"/>
  <c r="R112" i="5"/>
  <c r="S112" i="5" s="1"/>
  <c r="M168" i="5"/>
  <c r="O168" i="5"/>
  <c r="U204" i="5"/>
  <c r="S204" i="5"/>
  <c r="J6" i="5"/>
  <c r="S121" i="5"/>
  <c r="U121" i="5"/>
  <c r="O242" i="5"/>
  <c r="M242" i="5"/>
  <c r="P76" i="5"/>
  <c r="R76" i="5"/>
  <c r="R276" i="5"/>
  <c r="P276" i="5"/>
  <c r="O245" i="5"/>
  <c r="O243" i="5" s="1"/>
  <c r="P243" i="5" s="1"/>
  <c r="M245" i="5"/>
  <c r="P117" i="5"/>
  <c r="R117" i="5"/>
  <c r="P81" i="5"/>
  <c r="R81" i="5"/>
  <c r="I207" i="5"/>
  <c r="O118" i="5"/>
  <c r="M118" i="5"/>
  <c r="O109" i="5"/>
  <c r="O108" i="5" s="1"/>
  <c r="M109" i="5"/>
  <c r="R189" i="5"/>
  <c r="P189" i="5"/>
  <c r="L243" i="5"/>
  <c r="M243" i="5" s="1"/>
  <c r="R199" i="5"/>
  <c r="P199" i="5"/>
  <c r="M114" i="5"/>
  <c r="O114" i="5"/>
  <c r="P135" i="5"/>
  <c r="R135" i="5"/>
  <c r="P26" i="5"/>
  <c r="R26" i="5"/>
  <c r="L108" i="5"/>
  <c r="M108" i="5" s="1"/>
  <c r="U291" i="5"/>
  <c r="S291" i="5"/>
  <c r="O185" i="5"/>
  <c r="M185" i="5"/>
  <c r="R187" i="5"/>
  <c r="P187" i="5"/>
  <c r="M277" i="5"/>
  <c r="O113" i="5"/>
  <c r="M113" i="5"/>
  <c r="X301" i="5"/>
  <c r="M50" i="5"/>
  <c r="L43" i="5"/>
  <c r="V296" i="5"/>
  <c r="Y296" i="5"/>
  <c r="U210" i="5"/>
  <c r="S210" i="5"/>
  <c r="R98" i="5"/>
  <c r="S98" i="5" s="1"/>
  <c r="S99" i="5"/>
  <c r="U99" i="5"/>
  <c r="U259" i="5"/>
  <c r="S259" i="5"/>
  <c r="R56" i="5"/>
  <c r="P56" i="5"/>
  <c r="R116" i="5"/>
  <c r="P116" i="5"/>
  <c r="R39" i="5"/>
  <c r="P39" i="5"/>
  <c r="R31" i="5"/>
  <c r="P31" i="5"/>
  <c r="U160" i="5"/>
  <c r="S160" i="5"/>
  <c r="O183" i="5"/>
  <c r="M183" i="5"/>
  <c r="O69" i="5"/>
  <c r="M69" i="5"/>
  <c r="M289" i="5"/>
  <c r="O289" i="5"/>
  <c r="O41" i="5"/>
  <c r="M41" i="5"/>
  <c r="R212" i="5"/>
  <c r="P212" i="5"/>
  <c r="O63" i="5"/>
  <c r="M63" i="5"/>
  <c r="V12" i="5"/>
  <c r="Y12" i="5"/>
  <c r="R62" i="5"/>
  <c r="P62" i="5"/>
  <c r="O23" i="5"/>
  <c r="P24" i="5"/>
  <c r="R24" i="5"/>
  <c r="R87" i="5"/>
  <c r="P87" i="5"/>
  <c r="R110" i="5"/>
  <c r="P110" i="5"/>
  <c r="R153" i="5"/>
  <c r="P153" i="5"/>
  <c r="U46" i="5"/>
  <c r="S46" i="5"/>
  <c r="R283" i="5"/>
  <c r="P283" i="5"/>
  <c r="S44" i="5"/>
  <c r="U44" i="5"/>
  <c r="P10" i="5"/>
  <c r="R211" i="5"/>
  <c r="P211" i="5"/>
  <c r="Y254" i="5"/>
  <c r="V254" i="5"/>
  <c r="R223" i="5"/>
  <c r="P223" i="5"/>
  <c r="R149" i="5"/>
  <c r="P149" i="5"/>
  <c r="O148" i="5"/>
  <c r="P148" i="5" s="1"/>
  <c r="U32" i="5"/>
  <c r="S32" i="5"/>
  <c r="U48" i="5"/>
  <c r="S48" i="5"/>
  <c r="R47" i="5"/>
  <c r="S47" i="5" s="1"/>
  <c r="R198" i="5"/>
  <c r="P198" i="5"/>
  <c r="R162" i="5"/>
  <c r="P162" i="5"/>
  <c r="V269" i="5"/>
  <c r="Y269" i="5"/>
  <c r="M7" i="5"/>
  <c r="O134" i="5"/>
  <c r="M134" i="5"/>
  <c r="X124" i="5"/>
  <c r="X4" i="5"/>
  <c r="P175" i="5"/>
  <c r="R175" i="5"/>
  <c r="L22" i="5"/>
  <c r="M22" i="5" s="1"/>
  <c r="M23" i="5"/>
  <c r="M287" i="5"/>
  <c r="O287" i="5"/>
  <c r="U282" i="5"/>
  <c r="S282" i="5"/>
  <c r="U225" i="5"/>
  <c r="S225" i="5"/>
  <c r="R285" i="5"/>
  <c r="P285" i="5"/>
  <c r="J92" i="5"/>
  <c r="I91" i="5"/>
  <c r="J91" i="5" s="1"/>
  <c r="R219" i="5"/>
  <c r="P219" i="5"/>
  <c r="Y100" i="5"/>
  <c r="V100" i="5"/>
  <c r="S182" i="5"/>
  <c r="U182" i="5"/>
  <c r="R71" i="5"/>
  <c r="P71" i="5"/>
  <c r="O179" i="5"/>
  <c r="M179" i="5"/>
  <c r="L178" i="5"/>
  <c r="R18" i="5"/>
  <c r="P18" i="5"/>
  <c r="O16" i="5"/>
  <c r="P16" i="5" s="1"/>
  <c r="O80" i="5"/>
  <c r="M80" i="5"/>
  <c r="R8" i="5"/>
  <c r="P8" i="5"/>
  <c r="O7" i="5"/>
  <c r="P267" i="5"/>
  <c r="R267" i="5"/>
  <c r="J235" i="5"/>
  <c r="R249" i="5"/>
  <c r="P249" i="5"/>
  <c r="R67" i="5"/>
  <c r="P67" i="5"/>
  <c r="R33" i="5"/>
  <c r="P33" i="5"/>
  <c r="J130" i="5"/>
  <c r="R28" i="5"/>
  <c r="P28" i="5"/>
  <c r="P151" i="5"/>
  <c r="R151" i="5"/>
  <c r="R120" i="5"/>
  <c r="P120" i="5"/>
  <c r="M161" i="5"/>
  <c r="O161" i="5"/>
  <c r="L66" i="5"/>
  <c r="M66" i="5" s="1"/>
  <c r="M167" i="5"/>
  <c r="O167" i="5"/>
  <c r="S233" i="5"/>
  <c r="U233" i="5"/>
  <c r="R21" i="5"/>
  <c r="P21" i="5"/>
  <c r="M181" i="5"/>
  <c r="O181" i="5"/>
  <c r="M144" i="5"/>
  <c r="L143" i="5"/>
  <c r="M143" i="5" s="1"/>
  <c r="O209" i="5"/>
  <c r="M209" i="5"/>
  <c r="L208" i="5"/>
  <c r="U248" i="5"/>
  <c r="S248" i="5"/>
  <c r="U14" i="5"/>
  <c r="S14" i="5"/>
  <c r="S139" i="5"/>
  <c r="U139" i="5"/>
  <c r="R228" i="5"/>
  <c r="P228" i="5"/>
  <c r="M292" i="5"/>
  <c r="O292" i="5"/>
  <c r="Y205" i="5"/>
  <c r="V205" i="5"/>
  <c r="R89" i="5"/>
  <c r="P89" i="5"/>
  <c r="O88" i="5"/>
  <c r="P88" i="5" s="1"/>
  <c r="O270" i="5"/>
  <c r="M270" i="5"/>
  <c r="Y57" i="5"/>
  <c r="V57" i="5"/>
  <c r="R90" i="5"/>
  <c r="P90" i="5"/>
  <c r="M241" i="5"/>
  <c r="O241" i="5"/>
  <c r="R165" i="5"/>
  <c r="P165" i="5"/>
  <c r="M252" i="5"/>
  <c r="L251" i="5"/>
  <c r="M251" i="5" s="1"/>
  <c r="O231" i="5"/>
  <c r="P232" i="5"/>
  <c r="R232" i="5"/>
  <c r="P261" i="5"/>
  <c r="R261" i="5"/>
  <c r="O93" i="5"/>
  <c r="M93" i="5"/>
  <c r="L92" i="5"/>
  <c r="R217" i="5"/>
  <c r="P217" i="5"/>
  <c r="O246" i="5"/>
  <c r="M246" i="5"/>
  <c r="O273" i="5"/>
  <c r="M273" i="5"/>
  <c r="O197" i="5"/>
  <c r="M197" i="5"/>
  <c r="R156" i="5"/>
  <c r="P156" i="5"/>
  <c r="M152" i="5"/>
  <c r="O152" i="5"/>
  <c r="O216" i="5"/>
  <c r="M216" i="5"/>
  <c r="L215" i="5"/>
  <c r="M215" i="5" s="1"/>
  <c r="Y196" i="5"/>
  <c r="V196" i="5"/>
  <c r="O286" i="5"/>
  <c r="O284" i="5" s="1"/>
  <c r="P284" i="5" s="1"/>
  <c r="M286" i="5"/>
  <c r="O54" i="5"/>
  <c r="M54" i="5"/>
  <c r="P155" i="5"/>
  <c r="R155" i="5"/>
  <c r="R146" i="5"/>
  <c r="P146" i="5"/>
  <c r="U214" i="5"/>
  <c r="S214" i="5"/>
  <c r="R20" i="5"/>
  <c r="O19" i="5"/>
  <c r="P19" i="5" s="1"/>
  <c r="P20" i="5"/>
  <c r="R177" i="5"/>
  <c r="P177" i="5"/>
  <c r="R138" i="5"/>
  <c r="P138" i="5"/>
  <c r="S230" i="5"/>
  <c r="U230" i="5"/>
  <c r="P145" i="5"/>
  <c r="O144" i="5"/>
  <c r="R145" i="5"/>
  <c r="R106" i="5"/>
  <c r="P106" i="5"/>
  <c r="R51" i="5"/>
  <c r="P51" i="5"/>
  <c r="I263" i="5"/>
  <c r="J263" i="5" s="1"/>
  <c r="J264" i="5"/>
  <c r="R221" i="5"/>
  <c r="P221" i="5"/>
  <c r="R74" i="5"/>
  <c r="P74" i="5"/>
  <c r="R173" i="5"/>
  <c r="P173" i="5"/>
  <c r="Y227" i="5"/>
  <c r="V227" i="5"/>
  <c r="S266" i="5"/>
  <c r="U266" i="5"/>
  <c r="U58" i="5"/>
  <c r="S58" i="5"/>
  <c r="P295" i="5"/>
  <c r="R295" i="5"/>
  <c r="R244" i="5"/>
  <c r="P244" i="5"/>
  <c r="J178" i="5"/>
  <c r="I172" i="5"/>
  <c r="O188" i="5"/>
  <c r="M188" i="5"/>
  <c r="O252" i="5"/>
  <c r="P253" i="5"/>
  <c r="R253" i="5"/>
  <c r="O194" i="5"/>
  <c r="M194" i="5"/>
  <c r="L193" i="5"/>
  <c r="O30" i="5"/>
  <c r="O27" i="5" s="1"/>
  <c r="P27" i="5" s="1"/>
  <c r="M30" i="5"/>
  <c r="R201" i="5"/>
  <c r="P201" i="5"/>
  <c r="U195" i="5"/>
  <c r="S195" i="5"/>
  <c r="O85" i="5"/>
  <c r="M85" i="5"/>
  <c r="J207" i="5"/>
  <c r="O247" i="5"/>
  <c r="P247" i="5" s="1"/>
  <c r="R137" i="5"/>
  <c r="P137" i="5"/>
  <c r="U55" i="5"/>
  <c r="S55" i="5"/>
  <c r="O75" i="5"/>
  <c r="M75" i="5"/>
  <c r="M271" i="5"/>
  <c r="O271" i="5"/>
  <c r="O133" i="5"/>
  <c r="M133" i="5"/>
  <c r="Y132" i="5"/>
  <c r="V132" i="5"/>
  <c r="O103" i="5"/>
  <c r="M103" i="5"/>
  <c r="L102" i="5"/>
  <c r="M102" i="5" s="1"/>
  <c r="U104" i="5"/>
  <c r="S104" i="5"/>
  <c r="Y288" i="5"/>
  <c r="V288" i="5"/>
  <c r="R163" i="5"/>
  <c r="P163" i="5"/>
  <c r="U200" i="5"/>
  <c r="S200" i="5"/>
  <c r="M15" i="5"/>
  <c r="O15" i="5"/>
  <c r="L13" i="5"/>
  <c r="S256" i="5"/>
  <c r="U256" i="5"/>
  <c r="O279" i="5"/>
  <c r="M279" i="5"/>
  <c r="Y72" i="5"/>
  <c r="V72" i="5"/>
  <c r="Y17" i="5"/>
  <c r="V17" i="5"/>
  <c r="R79" i="5"/>
  <c r="P79" i="5"/>
  <c r="S141" i="5"/>
  <c r="U141" i="5"/>
  <c r="V141" i="5" s="1"/>
  <c r="G42" i="5"/>
  <c r="F107" i="5"/>
  <c r="U290" i="5"/>
  <c r="S290" i="5"/>
  <c r="J50" i="5"/>
  <c r="I43" i="5"/>
  <c r="Y60" i="5"/>
  <c r="V60" i="5"/>
  <c r="S268" i="5"/>
  <c r="U268" i="5"/>
  <c r="R83" i="5"/>
  <c r="P83" i="5"/>
  <c r="U73" i="5"/>
  <c r="S73" i="5"/>
  <c r="O294" i="5"/>
  <c r="M294" i="5"/>
  <c r="L293" i="5"/>
  <c r="M293" i="5" s="1"/>
  <c r="R10" i="5"/>
  <c r="U11" i="5"/>
  <c r="S11" i="5"/>
  <c r="U180" i="5"/>
  <c r="S180" i="5"/>
  <c r="P278" i="5"/>
  <c r="R278" i="5"/>
  <c r="R142" i="5"/>
  <c r="P142" i="5"/>
  <c r="U82" i="5"/>
  <c r="S82" i="5"/>
  <c r="Y84" i="5"/>
  <c r="V84" i="5"/>
  <c r="J193" i="5"/>
  <c r="I192" i="5"/>
  <c r="J192" i="5" s="1"/>
  <c r="U191" i="5"/>
  <c r="S191" i="5"/>
  <c r="R190" i="5"/>
  <c r="P190" i="5"/>
  <c r="R36" i="5"/>
  <c r="P36" i="5"/>
  <c r="U119" i="5"/>
  <c r="S119" i="5"/>
  <c r="R186" i="5"/>
  <c r="P186" i="5"/>
  <c r="U159" i="5"/>
  <c r="S159" i="5"/>
  <c r="R35" i="5"/>
  <c r="P35" i="5"/>
  <c r="O34" i="5"/>
  <c r="P34" i="5" s="1"/>
  <c r="U61" i="5"/>
  <c r="S61" i="5"/>
  <c r="S70" i="5"/>
  <c r="U70" i="5"/>
  <c r="O265" i="5"/>
  <c r="L264" i="5"/>
  <c r="M265" i="5"/>
  <c r="R86" i="5"/>
  <c r="P86" i="5"/>
  <c r="M140" i="5"/>
  <c r="O140" i="5"/>
  <c r="R53" i="5"/>
  <c r="P53" i="5"/>
  <c r="R77" i="5"/>
  <c r="P77" i="5"/>
  <c r="M236" i="5"/>
  <c r="L235" i="5"/>
  <c r="M235" i="5" s="1"/>
  <c r="O236" i="5"/>
  <c r="O240" i="5"/>
  <c r="M240" i="5"/>
  <c r="L239" i="5"/>
  <c r="M239" i="5" s="1"/>
  <c r="U45" i="5"/>
  <c r="S45" i="5"/>
  <c r="O158" i="5"/>
  <c r="M158" i="5"/>
  <c r="O260" i="5"/>
  <c r="M260" i="5"/>
  <c r="O222" i="5"/>
  <c r="O218" i="5" s="1"/>
  <c r="P218" i="5" s="1"/>
  <c r="M222" i="5"/>
  <c r="R68" i="5"/>
  <c r="P68" i="5"/>
  <c r="U40" i="5"/>
  <c r="S40" i="5"/>
  <c r="U123" i="5"/>
  <c r="S123" i="5"/>
  <c r="O115" i="5"/>
  <c r="M115" i="5"/>
  <c r="L111" i="5"/>
  <c r="M111" i="5" s="1"/>
  <c r="P174" i="5"/>
  <c r="R174" i="5"/>
  <c r="G299" i="5"/>
  <c r="U101" i="5"/>
  <c r="S101" i="5"/>
  <c r="S280" i="5"/>
  <c r="U280" i="5"/>
  <c r="U25" i="5"/>
  <c r="S25" i="5"/>
  <c r="U64" i="5"/>
  <c r="S64" i="5"/>
  <c r="R206" i="5"/>
  <c r="P206" i="5"/>
  <c r="M164" i="5"/>
  <c r="O164" i="5"/>
  <c r="R238" i="5"/>
  <c r="P238" i="5"/>
  <c r="R29" i="5"/>
  <c r="P29" i="5"/>
  <c r="R78" i="5"/>
  <c r="P78" i="5"/>
  <c r="R131" i="5"/>
  <c r="P131" i="5"/>
  <c r="P300" i="5"/>
  <c r="R300" i="5"/>
  <c r="M231" i="5"/>
  <c r="O97" i="5"/>
  <c r="M97" i="5"/>
  <c r="L95" i="5"/>
  <c r="M95" i="5" s="1"/>
  <c r="R262" i="5"/>
  <c r="P262" i="5"/>
  <c r="O203" i="5"/>
  <c r="M203" i="5"/>
  <c r="L202" i="5"/>
  <c r="M202" i="5" s="1"/>
  <c r="O257" i="5"/>
  <c r="M257" i="5"/>
  <c r="S147" i="5"/>
  <c r="U147" i="5"/>
  <c r="R65" i="5"/>
  <c r="P65" i="5"/>
  <c r="U272" i="5"/>
  <c r="S272" i="5"/>
  <c r="R166" i="5"/>
  <c r="P166" i="5"/>
  <c r="P38" i="5"/>
  <c r="O37" i="5"/>
  <c r="P37" i="5" s="1"/>
  <c r="R38" i="5"/>
  <c r="O281" i="5"/>
  <c r="P281" i="5" s="1"/>
  <c r="R136" i="5"/>
  <c r="P136" i="5"/>
  <c r="R224" i="5"/>
  <c r="P224" i="5"/>
  <c r="R94" i="5"/>
  <c r="P94" i="5"/>
  <c r="U274" i="5"/>
  <c r="S274" i="5"/>
  <c r="R250" i="5"/>
  <c r="P250" i="5"/>
  <c r="O52" i="5"/>
  <c r="M52" i="5"/>
  <c r="Y170" i="5"/>
  <c r="V170" i="5"/>
  <c r="R234" i="5"/>
  <c r="P234" i="5"/>
  <c r="BE15" i="1"/>
  <c r="BA15" i="1"/>
  <c r="BA133" i="1"/>
  <c r="BE133" i="1"/>
  <c r="BC71" i="1"/>
  <c r="BE19" i="1"/>
  <c r="BA19" i="1"/>
  <c r="BE109" i="1"/>
  <c r="BA109" i="1"/>
  <c r="BA111" i="1"/>
  <c r="BA61" i="1"/>
  <c r="BA93" i="1"/>
  <c r="AS164" i="1"/>
  <c r="AS140" i="1"/>
  <c r="BE85" i="1"/>
  <c r="BA85" i="1"/>
  <c r="AO164" i="1"/>
  <c r="AO140" i="1"/>
  <c r="BA65" i="1"/>
  <c r="AA164" i="1"/>
  <c r="AA166" i="1" s="1"/>
  <c r="AA168" i="1" s="1"/>
  <c r="AA140" i="1"/>
  <c r="AK164" i="1"/>
  <c r="AK140" i="1"/>
  <c r="Z164" i="1"/>
  <c r="Z140" i="1"/>
  <c r="BE81" i="1"/>
  <c r="BA81" i="1"/>
  <c r="BA91" i="1"/>
  <c r="BA115" i="1"/>
  <c r="BE79" i="1"/>
  <c r="BA79" i="1"/>
  <c r="BE57" i="1"/>
  <c r="BA57" i="1"/>
  <c r="BA55" i="1"/>
  <c r="BA101" i="1"/>
  <c r="BE37" i="1"/>
  <c r="BA37" i="1"/>
  <c r="AW164" i="1"/>
  <c r="AW166" i="1" s="1"/>
  <c r="AW168" i="1" s="1"/>
  <c r="AW140" i="1"/>
  <c r="AH164" i="1"/>
  <c r="AH166" i="1" s="1"/>
  <c r="AH168" i="1" s="1"/>
  <c r="AH140" i="1"/>
  <c r="BE9" i="1"/>
  <c r="BA9" i="1"/>
  <c r="BA59" i="1"/>
  <c r="AN164" i="1"/>
  <c r="AN140" i="1"/>
  <c r="AT164" i="1"/>
  <c r="AT140" i="1"/>
  <c r="BA17" i="1"/>
  <c r="AR164" i="1"/>
  <c r="AR166" i="1" s="1"/>
  <c r="AR168" i="1" s="1"/>
  <c r="AR140" i="1"/>
  <c r="AZ158" i="1"/>
  <c r="AW159" i="1"/>
  <c r="AW165" i="1" s="1"/>
  <c r="BB71" i="1"/>
  <c r="BA128" i="1"/>
  <c r="BE128" i="1"/>
  <c r="BC57" i="1"/>
  <c r="BB29" i="1"/>
  <c r="AI139" i="1"/>
  <c r="BE69" i="1"/>
  <c r="BA69" i="1"/>
  <c r="AZ43" i="1"/>
  <c r="BC43" i="1"/>
  <c r="BE130" i="1"/>
  <c r="BA130" i="1"/>
  <c r="AC159" i="1"/>
  <c r="AC165" i="1" s="1"/>
  <c r="BB146" i="1"/>
  <c r="AZ154" i="1"/>
  <c r="BB101" i="1"/>
  <c r="BC101" i="1" s="1"/>
  <c r="BE101" i="1" s="1"/>
  <c r="BB87" i="1"/>
  <c r="BC87" i="1" s="1"/>
  <c r="AF139" i="1"/>
  <c r="BC61" i="1"/>
  <c r="BE61" i="1" s="1"/>
  <c r="BB35" i="1"/>
  <c r="BE99" i="1"/>
  <c r="BA99" i="1"/>
  <c r="BG159" i="1"/>
  <c r="AZ129" i="1"/>
  <c r="BC129" i="1"/>
  <c r="BC41" i="1"/>
  <c r="AZ41" i="1"/>
  <c r="BC89" i="1"/>
  <c r="AZ89" i="1"/>
  <c r="AH159" i="1"/>
  <c r="AH165" i="1" s="1"/>
  <c r="AL159" i="1"/>
  <c r="AL165" i="1" s="1"/>
  <c r="AZ125" i="1"/>
  <c r="BA121" i="1"/>
  <c r="AZ49" i="1"/>
  <c r="AZ127" i="1"/>
  <c r="BC127" i="1"/>
  <c r="AL139" i="1"/>
  <c r="AJ139" i="1"/>
  <c r="AJ164" i="1" s="1"/>
  <c r="BB53" i="1"/>
  <c r="AC139" i="1"/>
  <c r="AS166" i="1"/>
  <c r="AS168" i="1" s="1"/>
  <c r="BC146" i="1"/>
  <c r="AE163" i="1"/>
  <c r="AT159" i="1"/>
  <c r="AT165" i="1" s="1"/>
  <c r="AX159" i="1"/>
  <c r="AX165" i="1" s="1"/>
  <c r="AX166" i="1" s="1"/>
  <c r="AX168" i="1" s="1"/>
  <c r="BB115" i="1"/>
  <c r="BC115" i="1" s="1"/>
  <c r="BE115" i="1" s="1"/>
  <c r="BE126" i="1"/>
  <c r="BC93" i="1"/>
  <c r="BE93" i="1" s="1"/>
  <c r="BB75" i="1"/>
  <c r="BC75" i="1" s="1"/>
  <c r="BE75" i="1" s="1"/>
  <c r="AZ51" i="1"/>
  <c r="AZ63" i="1"/>
  <c r="BC121" i="1"/>
  <c r="BE121" i="1" s="1"/>
  <c r="BB55" i="1"/>
  <c r="V164" i="1"/>
  <c r="BC9" i="1"/>
  <c r="BE107" i="1"/>
  <c r="BA107" i="1"/>
  <c r="T140" i="1"/>
  <c r="T142" i="1" s="1"/>
  <c r="T163" i="1"/>
  <c r="T166" i="1" s="1"/>
  <c r="T168" i="1" s="1"/>
  <c r="BB125" i="1"/>
  <c r="BC125" i="1" s="1"/>
  <c r="Z166" i="1"/>
  <c r="Z168" i="1" s="1"/>
  <c r="BB91" i="1"/>
  <c r="BC91" i="1" s="1"/>
  <c r="BE91" i="1" s="1"/>
  <c r="AZ47" i="1"/>
  <c r="BC21" i="1"/>
  <c r="AZ53" i="1"/>
  <c r="AB139" i="1"/>
  <c r="BC53" i="1"/>
  <c r="AQ139" i="1"/>
  <c r="AU139" i="1"/>
  <c r="AZ23" i="1"/>
  <c r="BG140" i="1"/>
  <c r="AZ27" i="1"/>
  <c r="BA75" i="1"/>
  <c r="BA33" i="1"/>
  <c r="BC55" i="1"/>
  <c r="BE55" i="1" s="1"/>
  <c r="BA39" i="1"/>
  <c r="AZ119" i="1"/>
  <c r="AM159" i="1"/>
  <c r="AM165" i="1" s="1"/>
  <c r="BB45" i="1"/>
  <c r="BC45" i="1" s="1"/>
  <c r="BA134" i="1"/>
  <c r="BE134" i="1"/>
  <c r="AZ87" i="1"/>
  <c r="BB47" i="1"/>
  <c r="BC47" i="1" s="1"/>
  <c r="AZ83" i="1"/>
  <c r="BB65" i="1"/>
  <c r="BC65" i="1" s="1"/>
  <c r="BE65" i="1" s="1"/>
  <c r="BB23" i="1"/>
  <c r="BC23" i="1" s="1"/>
  <c r="BC39" i="1"/>
  <c r="BE39" i="1" s="1"/>
  <c r="AZ135" i="1"/>
  <c r="AZ131" i="1"/>
  <c r="AZ35" i="1"/>
  <c r="BC35" i="1"/>
  <c r="BE31" i="1"/>
  <c r="BA31" i="1"/>
  <c r="Y159" i="1"/>
  <c r="Y165" i="1" s="1"/>
  <c r="BB111" i="1"/>
  <c r="BC111" i="1" s="1"/>
  <c r="BE111" i="1" s="1"/>
  <c r="AY159" i="1"/>
  <c r="AY165" i="1" s="1"/>
  <c r="AY166" i="1" s="1"/>
  <c r="AY168" i="1" s="1"/>
  <c r="AZ103" i="1"/>
  <c r="Y140" i="1"/>
  <c r="BE132" i="1"/>
  <c r="BA132" i="1"/>
  <c r="BB33" i="1"/>
  <c r="BC33" i="1" s="1"/>
  <c r="BE33" i="1" s="1"/>
  <c r="AG139" i="1"/>
  <c r="BE73" i="1"/>
  <c r="BA73" i="1"/>
  <c r="AE139" i="1"/>
  <c r="AE164" i="1" s="1"/>
  <c r="BE11" i="1"/>
  <c r="BA11" i="1"/>
  <c r="BC59" i="1"/>
  <c r="BE59" i="1" s="1"/>
  <c r="AP139" i="1"/>
  <c r="AD139" i="1"/>
  <c r="AZ146" i="1"/>
  <c r="BE146" i="1" s="1"/>
  <c r="Y166" i="1"/>
  <c r="Y168" i="1" s="1"/>
  <c r="AZ105" i="1"/>
  <c r="AJ163" i="1"/>
  <c r="U139" i="1"/>
  <c r="BB49" i="1"/>
  <c r="BC49" i="1" s="1"/>
  <c r="BC29" i="1"/>
  <c r="AZ29" i="1"/>
  <c r="BB27" i="1"/>
  <c r="BC27" i="1" s="1"/>
  <c r="BE25" i="1"/>
  <c r="BA25" i="1"/>
  <c r="BE124" i="1"/>
  <c r="BA124" i="1"/>
  <c r="AZ113" i="1"/>
  <c r="V140" i="1"/>
  <c r="AZ138" i="1"/>
  <c r="V163" i="1"/>
  <c r="BC138" i="1"/>
  <c r="BB113" i="1"/>
  <c r="BC113" i="1" s="1"/>
  <c r="AN159" i="1"/>
  <c r="AN165" i="1" s="1"/>
  <c r="AN166" i="1" s="1"/>
  <c r="AN168" i="1" s="1"/>
  <c r="BC95" i="1"/>
  <c r="AZ95" i="1"/>
  <c r="BB123" i="1"/>
  <c r="BE120" i="1"/>
  <c r="BA120" i="1"/>
  <c r="BC81" i="1"/>
  <c r="BB138" i="1"/>
  <c r="BB83" i="1"/>
  <c r="BC83" i="1" s="1"/>
  <c r="BB63" i="1"/>
  <c r="BC63" i="1" s="1"/>
  <c r="AZ21" i="1"/>
  <c r="AV139" i="1"/>
  <c r="BB41" i="1"/>
  <c r="BB79" i="1"/>
  <c r="BC79" i="1" s="1"/>
  <c r="AZ71" i="1"/>
  <c r="X139" i="1"/>
  <c r="BB59" i="1"/>
  <c r="AZ45" i="1"/>
  <c r="V165" i="1"/>
  <c r="AO166" i="1"/>
  <c r="AO168" i="1" s="1"/>
  <c r="BB163" i="1"/>
  <c r="BC123" i="1"/>
  <c r="AZ123" i="1"/>
  <c r="BB158" i="1"/>
  <c r="BC158" i="1" s="1"/>
  <c r="AT166" i="1"/>
  <c r="AT168" i="1" s="1"/>
  <c r="BB154" i="1"/>
  <c r="BC154" i="1" s="1"/>
  <c r="W140" i="1"/>
  <c r="W163" i="1"/>
  <c r="W166" i="1" s="1"/>
  <c r="W168" i="1" s="1"/>
  <c r="AK166" i="1"/>
  <c r="AK168" i="1" s="1"/>
  <c r="AM139" i="1"/>
  <c r="BB135" i="1"/>
  <c r="BC135" i="1" s="1"/>
  <c r="BC17" i="1"/>
  <c r="BE17" i="1" s="1"/>
  <c r="U138" i="1"/>
  <c r="U140" i="1" s="1"/>
  <c r="AZ7" i="1"/>
  <c r="BB7" i="1"/>
  <c r="BC7" i="1" s="1"/>
  <c r="U112" i="5" l="1"/>
  <c r="S255" i="5"/>
  <c r="U255" i="5"/>
  <c r="R247" i="5"/>
  <c r="S105" i="5"/>
  <c r="U105" i="5"/>
  <c r="Y204" i="5"/>
  <c r="V204" i="5"/>
  <c r="R168" i="5"/>
  <c r="P168" i="5"/>
  <c r="P108" i="5"/>
  <c r="O130" i="5"/>
  <c r="R185" i="5"/>
  <c r="P185" i="5"/>
  <c r="U117" i="5"/>
  <c r="S117" i="5"/>
  <c r="S189" i="5"/>
  <c r="U189" i="5"/>
  <c r="S247" i="5"/>
  <c r="S26" i="5"/>
  <c r="U26" i="5"/>
  <c r="P109" i="5"/>
  <c r="R109" i="5"/>
  <c r="R245" i="5"/>
  <c r="P245" i="5"/>
  <c r="S276" i="5"/>
  <c r="U276" i="5"/>
  <c r="Y291" i="5"/>
  <c r="V291" i="5"/>
  <c r="U135" i="5"/>
  <c r="S135" i="5"/>
  <c r="U76" i="5"/>
  <c r="S76" i="5"/>
  <c r="R113" i="5"/>
  <c r="P113" i="5"/>
  <c r="O154" i="5"/>
  <c r="P154" i="5" s="1"/>
  <c r="R114" i="5"/>
  <c r="P114" i="5"/>
  <c r="P242" i="5"/>
  <c r="R242" i="5"/>
  <c r="R118" i="5"/>
  <c r="P118" i="5"/>
  <c r="U187" i="5"/>
  <c r="S187" i="5"/>
  <c r="U81" i="5"/>
  <c r="S81" i="5"/>
  <c r="Y121" i="5"/>
  <c r="V121" i="5"/>
  <c r="U199" i="5"/>
  <c r="S199" i="5"/>
  <c r="U78" i="5"/>
  <c r="S78" i="5"/>
  <c r="S36" i="5"/>
  <c r="U36" i="5"/>
  <c r="F124" i="5"/>
  <c r="G107" i="5"/>
  <c r="G3" i="5" s="1"/>
  <c r="F3" i="5"/>
  <c r="R19" i="5"/>
  <c r="S19" i="5" s="1"/>
  <c r="S20" i="5"/>
  <c r="U20" i="5"/>
  <c r="R273" i="5"/>
  <c r="P273" i="5"/>
  <c r="R241" i="5"/>
  <c r="P241" i="5"/>
  <c r="Y248" i="5"/>
  <c r="V248" i="5"/>
  <c r="U18" i="5"/>
  <c r="S18" i="5"/>
  <c r="R16" i="5"/>
  <c r="S16" i="5" s="1"/>
  <c r="S149" i="5"/>
  <c r="R148" i="5"/>
  <c r="S148" i="5" s="1"/>
  <c r="U149" i="5"/>
  <c r="S283" i="5"/>
  <c r="U283" i="5"/>
  <c r="U281" i="5" s="1"/>
  <c r="R289" i="5"/>
  <c r="P289" i="5"/>
  <c r="V112" i="5"/>
  <c r="Y112" i="5"/>
  <c r="S166" i="5"/>
  <c r="U166" i="5"/>
  <c r="U206" i="5"/>
  <c r="S206" i="5"/>
  <c r="P260" i="5"/>
  <c r="R260" i="5"/>
  <c r="R194" i="5"/>
  <c r="P194" i="5"/>
  <c r="O193" i="5"/>
  <c r="S177" i="5"/>
  <c r="U177" i="5"/>
  <c r="U94" i="5"/>
  <c r="S94" i="5"/>
  <c r="Y272" i="5"/>
  <c r="V272" i="5"/>
  <c r="Y64" i="5"/>
  <c r="V64" i="5"/>
  <c r="U77" i="5"/>
  <c r="S77" i="5"/>
  <c r="S142" i="5"/>
  <c r="U142" i="5"/>
  <c r="P279" i="5"/>
  <c r="R279" i="5"/>
  <c r="R277" i="5" s="1"/>
  <c r="R85" i="5"/>
  <c r="P85" i="5"/>
  <c r="O251" i="5"/>
  <c r="P251" i="5" s="1"/>
  <c r="P252" i="5"/>
  <c r="R144" i="5"/>
  <c r="U145" i="5"/>
  <c r="S145" i="5"/>
  <c r="R93" i="5"/>
  <c r="P93" i="5"/>
  <c r="O92" i="5"/>
  <c r="U234" i="5"/>
  <c r="S234" i="5"/>
  <c r="U224" i="5"/>
  <c r="S224" i="5"/>
  <c r="U65" i="5"/>
  <c r="S65" i="5"/>
  <c r="R97" i="5"/>
  <c r="P97" i="5"/>
  <c r="O95" i="5"/>
  <c r="P95" i="5" s="1"/>
  <c r="Y25" i="5"/>
  <c r="V25" i="5"/>
  <c r="V123" i="5"/>
  <c r="Y123" i="5"/>
  <c r="Y45" i="5"/>
  <c r="V45" i="5"/>
  <c r="Y61" i="5"/>
  <c r="V61" i="5"/>
  <c r="O277" i="5"/>
  <c r="P277" i="5" s="1"/>
  <c r="Y73" i="5"/>
  <c r="V73" i="5"/>
  <c r="U295" i="5"/>
  <c r="S295" i="5"/>
  <c r="U74" i="5"/>
  <c r="S74" i="5"/>
  <c r="P144" i="5"/>
  <c r="O143" i="5"/>
  <c r="P143" i="5" s="1"/>
  <c r="U261" i="5"/>
  <c r="V261" i="5" s="1"/>
  <c r="S261" i="5"/>
  <c r="R167" i="5"/>
  <c r="P167" i="5"/>
  <c r="U28" i="5"/>
  <c r="S28" i="5"/>
  <c r="U267" i="5"/>
  <c r="S267" i="5"/>
  <c r="M178" i="5"/>
  <c r="L172" i="5"/>
  <c r="U219" i="5"/>
  <c r="S219" i="5"/>
  <c r="O22" i="5"/>
  <c r="P22" i="5" s="1"/>
  <c r="P23" i="5"/>
  <c r="U39" i="5"/>
  <c r="S39" i="5"/>
  <c r="Y147" i="5"/>
  <c r="V147" i="5"/>
  <c r="Y40" i="5"/>
  <c r="V40" i="5"/>
  <c r="U62" i="5"/>
  <c r="S62" i="5"/>
  <c r="U35" i="5"/>
  <c r="S35" i="5"/>
  <c r="R34" i="5"/>
  <c r="S34" i="5" s="1"/>
  <c r="R164" i="5"/>
  <c r="P164" i="5"/>
  <c r="M13" i="5"/>
  <c r="L9" i="5"/>
  <c r="M9" i="5" s="1"/>
  <c r="U155" i="5"/>
  <c r="S155" i="5"/>
  <c r="R152" i="5"/>
  <c r="P152" i="5"/>
  <c r="S232" i="5"/>
  <c r="U232" i="5"/>
  <c r="R231" i="5"/>
  <c r="U228" i="5"/>
  <c r="S228" i="5"/>
  <c r="U33" i="5"/>
  <c r="S33" i="5"/>
  <c r="S8" i="5"/>
  <c r="R7" i="5"/>
  <c r="U8" i="5"/>
  <c r="U71" i="5"/>
  <c r="S71" i="5"/>
  <c r="Y282" i="5"/>
  <c r="V282" i="5"/>
  <c r="P183" i="5"/>
  <c r="R183" i="5"/>
  <c r="Y56" i="5"/>
  <c r="U56" i="5"/>
  <c r="V56" i="5" s="1"/>
  <c r="S56" i="5"/>
  <c r="U29" i="5"/>
  <c r="S29" i="5"/>
  <c r="U190" i="5"/>
  <c r="S190" i="5"/>
  <c r="R292" i="5"/>
  <c r="P292" i="5"/>
  <c r="U162" i="5"/>
  <c r="S162" i="5"/>
  <c r="U83" i="5"/>
  <c r="S83" i="5"/>
  <c r="Y104" i="5"/>
  <c r="V104" i="5"/>
  <c r="P179" i="5"/>
  <c r="O178" i="5"/>
  <c r="R179" i="5"/>
  <c r="R69" i="5"/>
  <c r="P69" i="5"/>
  <c r="V268" i="5"/>
  <c r="Y268" i="5"/>
  <c r="R75" i="5"/>
  <c r="P75" i="5"/>
  <c r="R246" i="5"/>
  <c r="P246" i="5"/>
  <c r="R161" i="5"/>
  <c r="P161" i="5"/>
  <c r="U198" i="5"/>
  <c r="S198" i="5"/>
  <c r="U153" i="5"/>
  <c r="S153" i="5"/>
  <c r="R37" i="5"/>
  <c r="S37" i="5" s="1"/>
  <c r="S38" i="5"/>
  <c r="U38" i="5"/>
  <c r="U68" i="5"/>
  <c r="S68" i="5"/>
  <c r="Y180" i="5"/>
  <c r="V180" i="5"/>
  <c r="U300" i="5"/>
  <c r="S300" i="5"/>
  <c r="O239" i="5"/>
  <c r="P239" i="5" s="1"/>
  <c r="R240" i="5"/>
  <c r="P240" i="5"/>
  <c r="U86" i="5"/>
  <c r="S86" i="5"/>
  <c r="Y159" i="5"/>
  <c r="V159" i="5"/>
  <c r="R15" i="5"/>
  <c r="P15" i="5"/>
  <c r="O13" i="5"/>
  <c r="R103" i="5"/>
  <c r="P103" i="5"/>
  <c r="O102" i="5"/>
  <c r="P102" i="5" s="1"/>
  <c r="V55" i="5"/>
  <c r="R30" i="5"/>
  <c r="R27" i="5" s="1"/>
  <c r="S27" i="5" s="1"/>
  <c r="P30" i="5"/>
  <c r="R188" i="5"/>
  <c r="P188" i="5"/>
  <c r="Y139" i="5"/>
  <c r="V139" i="5"/>
  <c r="O66" i="5"/>
  <c r="P66" i="5" s="1"/>
  <c r="Y182" i="5"/>
  <c r="V182" i="5"/>
  <c r="R281" i="5"/>
  <c r="S281" i="5" s="1"/>
  <c r="U211" i="5"/>
  <c r="V211" i="5" s="1"/>
  <c r="S211" i="5"/>
  <c r="M43" i="5"/>
  <c r="L42" i="5"/>
  <c r="L107" i="5" s="1"/>
  <c r="V280" i="5"/>
  <c r="Y280" i="5"/>
  <c r="U53" i="5"/>
  <c r="V53" i="5" s="1"/>
  <c r="S53" i="5"/>
  <c r="Y53" i="5"/>
  <c r="U278" i="5"/>
  <c r="S278" i="5"/>
  <c r="Y195" i="5"/>
  <c r="V195" i="5"/>
  <c r="V214" i="5"/>
  <c r="Y214" i="5"/>
  <c r="Y46" i="5"/>
  <c r="V46" i="5"/>
  <c r="R140" i="5"/>
  <c r="P140" i="5"/>
  <c r="Y256" i="5"/>
  <c r="V256" i="5"/>
  <c r="U221" i="5"/>
  <c r="S221" i="5"/>
  <c r="U90" i="5"/>
  <c r="S90" i="5"/>
  <c r="X302" i="5"/>
  <c r="U116" i="5"/>
  <c r="S116" i="5"/>
  <c r="Y191" i="5"/>
  <c r="V191" i="5"/>
  <c r="Y58" i="5"/>
  <c r="V58" i="5"/>
  <c r="R216" i="5"/>
  <c r="P216" i="5"/>
  <c r="O215" i="5"/>
  <c r="P215" i="5" s="1"/>
  <c r="R209" i="5"/>
  <c r="P209" i="5"/>
  <c r="O208" i="5"/>
  <c r="R52" i="5"/>
  <c r="R50" i="5" s="1"/>
  <c r="P52" i="5"/>
  <c r="R257" i="5"/>
  <c r="P257" i="5"/>
  <c r="V101" i="5"/>
  <c r="Y101" i="5"/>
  <c r="U79" i="5"/>
  <c r="S79" i="5"/>
  <c r="Y266" i="5"/>
  <c r="V266" i="5"/>
  <c r="S250" i="5"/>
  <c r="U250" i="5"/>
  <c r="U174" i="5"/>
  <c r="S174" i="5"/>
  <c r="R222" i="5"/>
  <c r="R218" i="5" s="1"/>
  <c r="S218" i="5" s="1"/>
  <c r="P222" i="5"/>
  <c r="Y11" i="5"/>
  <c r="V11" i="5"/>
  <c r="U10" i="5"/>
  <c r="M193" i="5"/>
  <c r="L192" i="5"/>
  <c r="M192" i="5" s="1"/>
  <c r="J172" i="5"/>
  <c r="I150" i="5"/>
  <c r="U51" i="5"/>
  <c r="S51" i="5"/>
  <c r="U138" i="5"/>
  <c r="S138" i="5"/>
  <c r="P231" i="5"/>
  <c r="R270" i="5"/>
  <c r="P270" i="5"/>
  <c r="R181" i="5"/>
  <c r="P181" i="5"/>
  <c r="S120" i="5"/>
  <c r="U120" i="5"/>
  <c r="S285" i="5"/>
  <c r="U285" i="5"/>
  <c r="R287" i="5"/>
  <c r="P287" i="5"/>
  <c r="R134" i="5"/>
  <c r="R130" i="5" s="1"/>
  <c r="P134" i="5"/>
  <c r="Y48" i="5"/>
  <c r="V48" i="5"/>
  <c r="U47" i="5"/>
  <c r="U110" i="5"/>
  <c r="S110" i="5"/>
  <c r="R63" i="5"/>
  <c r="P63" i="5"/>
  <c r="Y160" i="5"/>
  <c r="V160" i="5"/>
  <c r="Y259" i="5"/>
  <c r="V259" i="5"/>
  <c r="M208" i="5"/>
  <c r="L207" i="5"/>
  <c r="M207" i="5" s="1"/>
  <c r="S223" i="5"/>
  <c r="U223" i="5"/>
  <c r="S136" i="5"/>
  <c r="U136" i="5"/>
  <c r="V230" i="5"/>
  <c r="Y230" i="5"/>
  <c r="O6" i="5"/>
  <c r="P7" i="5"/>
  <c r="Y210" i="5"/>
  <c r="V210" i="5"/>
  <c r="U238" i="5"/>
  <c r="S238" i="5"/>
  <c r="S201" i="5"/>
  <c r="U201" i="5"/>
  <c r="U146" i="5"/>
  <c r="S146" i="5"/>
  <c r="P203" i="5"/>
  <c r="O202" i="5"/>
  <c r="P202" i="5" s="1"/>
  <c r="R203" i="5"/>
  <c r="R236" i="5"/>
  <c r="P236" i="5"/>
  <c r="O235" i="5"/>
  <c r="P235" i="5" s="1"/>
  <c r="L263" i="5"/>
  <c r="M264" i="5"/>
  <c r="U186" i="5"/>
  <c r="S186" i="5"/>
  <c r="S10" i="5"/>
  <c r="J43" i="5"/>
  <c r="I42" i="5"/>
  <c r="U137" i="5"/>
  <c r="S137" i="5"/>
  <c r="O50" i="5"/>
  <c r="U156" i="5"/>
  <c r="S156" i="5"/>
  <c r="U151" i="5"/>
  <c r="S151" i="5"/>
  <c r="U67" i="5"/>
  <c r="S67" i="5"/>
  <c r="L6" i="5"/>
  <c r="M6" i="5" s="1"/>
  <c r="U98" i="5"/>
  <c r="Y99" i="5"/>
  <c r="V99" i="5"/>
  <c r="V274" i="5"/>
  <c r="Y274" i="5"/>
  <c r="Y200" i="5"/>
  <c r="V200" i="5"/>
  <c r="R80" i="5"/>
  <c r="P80" i="5"/>
  <c r="Y225" i="5"/>
  <c r="V225" i="5"/>
  <c r="Y32" i="5"/>
  <c r="V32" i="5"/>
  <c r="S212" i="5"/>
  <c r="U212" i="5"/>
  <c r="U31" i="5"/>
  <c r="S31" i="5"/>
  <c r="U131" i="5"/>
  <c r="S131" i="5"/>
  <c r="P265" i="5"/>
  <c r="O264" i="5"/>
  <c r="R265" i="5"/>
  <c r="R54" i="5"/>
  <c r="P54" i="5"/>
  <c r="U217" i="5"/>
  <c r="S217" i="5"/>
  <c r="Y44" i="5"/>
  <c r="V44" i="5"/>
  <c r="U262" i="5"/>
  <c r="S262" i="5"/>
  <c r="P130" i="5"/>
  <c r="Y70" i="5"/>
  <c r="V70" i="5"/>
  <c r="V119" i="5"/>
  <c r="Y119" i="5"/>
  <c r="Y82" i="5"/>
  <c r="V82" i="5"/>
  <c r="R133" i="5"/>
  <c r="P133" i="5"/>
  <c r="R252" i="5"/>
  <c r="U253" i="5"/>
  <c r="S253" i="5"/>
  <c r="R197" i="5"/>
  <c r="P197" i="5"/>
  <c r="L91" i="5"/>
  <c r="M91" i="5" s="1"/>
  <c r="M92" i="5"/>
  <c r="U89" i="5"/>
  <c r="S89" i="5"/>
  <c r="R88" i="5"/>
  <c r="S88" i="5" s="1"/>
  <c r="V14" i="5"/>
  <c r="Y14" i="5"/>
  <c r="U21" i="5"/>
  <c r="S21" i="5"/>
  <c r="S249" i="5"/>
  <c r="U249" i="5"/>
  <c r="U87" i="5"/>
  <c r="S87" i="5"/>
  <c r="R115" i="5"/>
  <c r="P115" i="5"/>
  <c r="O111" i="5"/>
  <c r="P111" i="5" s="1"/>
  <c r="R158" i="5"/>
  <c r="P158" i="5"/>
  <c r="R294" i="5"/>
  <c r="P294" i="5"/>
  <c r="O293" i="5"/>
  <c r="P293" i="5" s="1"/>
  <c r="Y290" i="5"/>
  <c r="V290" i="5"/>
  <c r="S163" i="5"/>
  <c r="U163" i="5"/>
  <c r="R271" i="5"/>
  <c r="P271" i="5"/>
  <c r="U244" i="5"/>
  <c r="S244" i="5"/>
  <c r="U173" i="5"/>
  <c r="S173" i="5"/>
  <c r="S106" i="5"/>
  <c r="U106" i="5"/>
  <c r="R286" i="5"/>
  <c r="R284" i="5" s="1"/>
  <c r="S284" i="5" s="1"/>
  <c r="P286" i="5"/>
  <c r="U165" i="5"/>
  <c r="S165" i="5"/>
  <c r="V233" i="5"/>
  <c r="Y233" i="5"/>
  <c r="I229" i="5"/>
  <c r="J229" i="5" s="1"/>
  <c r="U175" i="5"/>
  <c r="S175" i="5"/>
  <c r="R23" i="5"/>
  <c r="U24" i="5"/>
  <c r="S24" i="5"/>
  <c r="R41" i="5"/>
  <c r="P41" i="5"/>
  <c r="BC159" i="1"/>
  <c r="AD164" i="1"/>
  <c r="AD166" i="1" s="1"/>
  <c r="AD168" i="1" s="1"/>
  <c r="AD140" i="1"/>
  <c r="BE119" i="1"/>
  <c r="BA119" i="1"/>
  <c r="AP164" i="1"/>
  <c r="AP166" i="1" s="1"/>
  <c r="AP168" i="1" s="1"/>
  <c r="AP140" i="1"/>
  <c r="BE103" i="1"/>
  <c r="BA103" i="1"/>
  <c r="AQ164" i="1"/>
  <c r="AQ166" i="1" s="1"/>
  <c r="AQ168" i="1" s="1"/>
  <c r="AQ140" i="1"/>
  <c r="BE89" i="1"/>
  <c r="BA89" i="1"/>
  <c r="AU164" i="1"/>
  <c r="AU166" i="1" s="1"/>
  <c r="AU168" i="1" s="1"/>
  <c r="AU140" i="1"/>
  <c r="BE51" i="1"/>
  <c r="BA51" i="1"/>
  <c r="BA43" i="1"/>
  <c r="BE43" i="1"/>
  <c r="AM164" i="1"/>
  <c r="AM166" i="1" s="1"/>
  <c r="AM168" i="1" s="1"/>
  <c r="AM140" i="1"/>
  <c r="BA21" i="1"/>
  <c r="BE21" i="1"/>
  <c r="BA29" i="1"/>
  <c r="BE29" i="1"/>
  <c r="AL164" i="1"/>
  <c r="AL166" i="1" s="1"/>
  <c r="AL168" i="1" s="1"/>
  <c r="AL140" i="1"/>
  <c r="BE41" i="1"/>
  <c r="BA41" i="1"/>
  <c r="AZ159" i="1"/>
  <c r="BE159" i="1" s="1"/>
  <c r="BC163" i="1"/>
  <c r="V166" i="1"/>
  <c r="AZ163" i="1"/>
  <c r="BE53" i="1"/>
  <c r="BA53" i="1"/>
  <c r="AZ165" i="1"/>
  <c r="BA138" i="1"/>
  <c r="BE138" i="1"/>
  <c r="BE127" i="1"/>
  <c r="BE154" i="1"/>
  <c r="AF164" i="1"/>
  <c r="AF166" i="1" s="1"/>
  <c r="AF168" i="1" s="1"/>
  <c r="AF140" i="1"/>
  <c r="BE83" i="1"/>
  <c r="BA83" i="1"/>
  <c r="BE45" i="1"/>
  <c r="BA45" i="1"/>
  <c r="BE87" i="1"/>
  <c r="BA87" i="1"/>
  <c r="BE47" i="1"/>
  <c r="BA47" i="1"/>
  <c r="AZ139" i="1"/>
  <c r="BE49" i="1"/>
  <c r="BA49" i="1"/>
  <c r="BA129" i="1"/>
  <c r="BE129" i="1"/>
  <c r="BB159" i="1"/>
  <c r="AV164" i="1"/>
  <c r="AV166" i="1" s="1"/>
  <c r="AV168" i="1" s="1"/>
  <c r="AV140" i="1"/>
  <c r="AB164" i="1"/>
  <c r="AB166" i="1" s="1"/>
  <c r="AB168" i="1" s="1"/>
  <c r="AB140" i="1"/>
  <c r="BE113" i="1"/>
  <c r="BA113" i="1"/>
  <c r="AJ140" i="1"/>
  <c r="BG160" i="1"/>
  <c r="BB165" i="1"/>
  <c r="BC165" i="1" s="1"/>
  <c r="AC164" i="1"/>
  <c r="BB139" i="1"/>
  <c r="BC139" i="1" s="1"/>
  <c r="AC140" i="1"/>
  <c r="X164" i="1"/>
  <c r="X166" i="1" s="1"/>
  <c r="X168" i="1" s="1"/>
  <c r="X140" i="1"/>
  <c r="AJ166" i="1"/>
  <c r="AJ168" i="1" s="1"/>
  <c r="AG164" i="1"/>
  <c r="AG166" i="1" s="1"/>
  <c r="AG168" i="1" s="1"/>
  <c r="AG140" i="1"/>
  <c r="BE35" i="1"/>
  <c r="BA35" i="1"/>
  <c r="BE27" i="1"/>
  <c r="BA27" i="1"/>
  <c r="AE140" i="1"/>
  <c r="BE71" i="1"/>
  <c r="BA71" i="1"/>
  <c r="BE105" i="1"/>
  <c r="BA105" i="1"/>
  <c r="BA131" i="1"/>
  <c r="BE131" i="1"/>
  <c r="AE166" i="1"/>
  <c r="AE168" i="1" s="1"/>
  <c r="AI164" i="1"/>
  <c r="AI166" i="1" s="1"/>
  <c r="AI168" i="1" s="1"/>
  <c r="AI140" i="1"/>
  <c r="BE7" i="1"/>
  <c r="BA7" i="1"/>
  <c r="BE95" i="1"/>
  <c r="BA95" i="1"/>
  <c r="BE135" i="1"/>
  <c r="BA135" i="1"/>
  <c r="BE125" i="1"/>
  <c r="BA125" i="1"/>
  <c r="BE158" i="1"/>
  <c r="BA123" i="1"/>
  <c r="BE123" i="1"/>
  <c r="BE23" i="1"/>
  <c r="BA23" i="1"/>
  <c r="BA63" i="1"/>
  <c r="BE63" i="1"/>
  <c r="Y105" i="5" l="1"/>
  <c r="V105" i="5"/>
  <c r="R66" i="5"/>
  <c r="S66" i="5" s="1"/>
  <c r="Y255" i="5"/>
  <c r="V255" i="5"/>
  <c r="R243" i="5"/>
  <c r="S243" i="5" s="1"/>
  <c r="U168" i="5"/>
  <c r="S168" i="5"/>
  <c r="Y81" i="5"/>
  <c r="V81" i="5"/>
  <c r="Y187" i="5"/>
  <c r="V187" i="5"/>
  <c r="V26" i="5"/>
  <c r="Y26" i="5"/>
  <c r="U113" i="5"/>
  <c r="S113" i="5"/>
  <c r="S109" i="5"/>
  <c r="U109" i="5"/>
  <c r="U108" i="5" s="1"/>
  <c r="R108" i="5"/>
  <c r="S108" i="5" s="1"/>
  <c r="S277" i="5"/>
  <c r="S245" i="5"/>
  <c r="U245" i="5"/>
  <c r="S118" i="5"/>
  <c r="U118" i="5"/>
  <c r="U242" i="5"/>
  <c r="S242" i="5"/>
  <c r="Y135" i="5"/>
  <c r="V135" i="5"/>
  <c r="Y189" i="5"/>
  <c r="V189" i="5"/>
  <c r="V76" i="5"/>
  <c r="Y76" i="5"/>
  <c r="Y199" i="5"/>
  <c r="V199" i="5"/>
  <c r="U114" i="5"/>
  <c r="S114" i="5"/>
  <c r="Y276" i="5"/>
  <c r="V276" i="5"/>
  <c r="Y117" i="5"/>
  <c r="V117" i="5"/>
  <c r="U247" i="5"/>
  <c r="V247" i="5" s="1"/>
  <c r="S185" i="5"/>
  <c r="U185" i="5"/>
  <c r="R43" i="5"/>
  <c r="S50" i="5"/>
  <c r="Y232" i="5"/>
  <c r="U231" i="5"/>
  <c r="V232" i="5"/>
  <c r="Y221" i="5"/>
  <c r="V221" i="5"/>
  <c r="Y94" i="5"/>
  <c r="V94" i="5"/>
  <c r="Y156" i="5"/>
  <c r="V156" i="5"/>
  <c r="V136" i="5"/>
  <c r="Y136" i="5"/>
  <c r="Y116" i="5"/>
  <c r="V116" i="5"/>
  <c r="U188" i="5"/>
  <c r="S188" i="5"/>
  <c r="Y173" i="5"/>
  <c r="V173" i="5"/>
  <c r="S294" i="5"/>
  <c r="R293" i="5"/>
  <c r="S293" i="5" s="1"/>
  <c r="U294" i="5"/>
  <c r="S197" i="5"/>
  <c r="U197" i="5"/>
  <c r="Y137" i="5"/>
  <c r="V137" i="5"/>
  <c r="R202" i="5"/>
  <c r="S202" i="5" s="1"/>
  <c r="U203" i="5"/>
  <c r="S203" i="5"/>
  <c r="Y238" i="5"/>
  <c r="V238" i="5"/>
  <c r="V47" i="5"/>
  <c r="Y47" i="5"/>
  <c r="R208" i="5"/>
  <c r="U209" i="5"/>
  <c r="S209" i="5"/>
  <c r="V228" i="5"/>
  <c r="Y228" i="5"/>
  <c r="U164" i="5"/>
  <c r="S164" i="5"/>
  <c r="Y20" i="5"/>
  <c r="V20" i="5"/>
  <c r="U19" i="5"/>
  <c r="U80" i="5"/>
  <c r="S80" i="5"/>
  <c r="J42" i="5"/>
  <c r="I107" i="5"/>
  <c r="S181" i="5"/>
  <c r="U181" i="5"/>
  <c r="Y90" i="5"/>
  <c r="V90" i="5"/>
  <c r="Y55" i="5"/>
  <c r="U240" i="5"/>
  <c r="S240" i="5"/>
  <c r="R239" i="5"/>
  <c r="S239" i="5" s="1"/>
  <c r="V153" i="5"/>
  <c r="Y153" i="5"/>
  <c r="U69" i="5"/>
  <c r="S69" i="5"/>
  <c r="U292" i="5"/>
  <c r="S292" i="5"/>
  <c r="S231" i="5"/>
  <c r="S167" i="5"/>
  <c r="U167" i="5"/>
  <c r="Y65" i="5"/>
  <c r="V65" i="5"/>
  <c r="Y206" i="5"/>
  <c r="V206" i="5"/>
  <c r="V10" i="5"/>
  <c r="Y10" i="5"/>
  <c r="Y198" i="5"/>
  <c r="V198" i="5"/>
  <c r="V35" i="5"/>
  <c r="U34" i="5"/>
  <c r="Y35" i="5"/>
  <c r="S103" i="5"/>
  <c r="R102" i="5"/>
  <c r="S102" i="5" s="1"/>
  <c r="U103" i="5"/>
  <c r="V177" i="5"/>
  <c r="Y177" i="5"/>
  <c r="U115" i="5"/>
  <c r="S115" i="5"/>
  <c r="R111" i="5"/>
  <c r="S111" i="5" s="1"/>
  <c r="P13" i="5"/>
  <c r="O9" i="5"/>
  <c r="P9" i="5" s="1"/>
  <c r="Y190" i="5"/>
  <c r="V190" i="5"/>
  <c r="Y71" i="5"/>
  <c r="V71" i="5"/>
  <c r="U152" i="5"/>
  <c r="S152" i="5"/>
  <c r="Y62" i="5"/>
  <c r="V62" i="5"/>
  <c r="M172" i="5"/>
  <c r="L150" i="5"/>
  <c r="V234" i="5"/>
  <c r="Y234" i="5"/>
  <c r="F302" i="5"/>
  <c r="G302" i="5" s="1"/>
  <c r="G124" i="5"/>
  <c r="S252" i="5"/>
  <c r="R251" i="5"/>
  <c r="S251" i="5" s="1"/>
  <c r="S270" i="5"/>
  <c r="U270" i="5"/>
  <c r="U85" i="5"/>
  <c r="S85" i="5"/>
  <c r="P6" i="5"/>
  <c r="P178" i="5"/>
  <c r="O172" i="5"/>
  <c r="U41" i="5"/>
  <c r="S41" i="5"/>
  <c r="U133" i="5"/>
  <c r="S133" i="5"/>
  <c r="V151" i="5"/>
  <c r="Y151" i="5"/>
  <c r="U7" i="5"/>
  <c r="Y8" i="5"/>
  <c r="V8" i="5"/>
  <c r="P92" i="5"/>
  <c r="O91" i="5"/>
  <c r="P91" i="5" s="1"/>
  <c r="Y142" i="5"/>
  <c r="V142" i="5"/>
  <c r="P193" i="5"/>
  <c r="O192" i="5"/>
  <c r="P192" i="5" s="1"/>
  <c r="V36" i="5"/>
  <c r="Y36" i="5"/>
  <c r="S158" i="5"/>
  <c r="U158" i="5"/>
  <c r="U154" i="5" s="1"/>
  <c r="V166" i="5"/>
  <c r="Y166" i="5"/>
  <c r="V262" i="5"/>
  <c r="Y262" i="5"/>
  <c r="S216" i="5"/>
  <c r="R215" i="5"/>
  <c r="S215" i="5" s="1"/>
  <c r="U216" i="5"/>
  <c r="U179" i="5"/>
  <c r="S179" i="5"/>
  <c r="R178" i="5"/>
  <c r="V281" i="5"/>
  <c r="Y281" i="5"/>
  <c r="Y278" i="5"/>
  <c r="V278" i="5"/>
  <c r="Y300" i="5"/>
  <c r="V300" i="5"/>
  <c r="V219" i="5"/>
  <c r="U218" i="5"/>
  <c r="Y219" i="5"/>
  <c r="U279" i="5"/>
  <c r="S279" i="5"/>
  <c r="U271" i="5"/>
  <c r="S271" i="5"/>
  <c r="Y31" i="5"/>
  <c r="V31" i="5"/>
  <c r="U161" i="5"/>
  <c r="S161" i="5"/>
  <c r="Y163" i="5"/>
  <c r="V163" i="5"/>
  <c r="Y212" i="5"/>
  <c r="V212" i="5"/>
  <c r="Y186" i="5"/>
  <c r="V186" i="5"/>
  <c r="U287" i="5"/>
  <c r="S287" i="5"/>
  <c r="Y24" i="5"/>
  <c r="V24" i="5"/>
  <c r="U23" i="5"/>
  <c r="S286" i="5"/>
  <c r="U286" i="5"/>
  <c r="Y217" i="5"/>
  <c r="V217" i="5"/>
  <c r="Y285" i="5"/>
  <c r="V285" i="5"/>
  <c r="Y138" i="5"/>
  <c r="V138" i="5"/>
  <c r="U222" i="5"/>
  <c r="S222" i="5"/>
  <c r="S257" i="5"/>
  <c r="U257" i="5"/>
  <c r="U140" i="5"/>
  <c r="V140" i="5" s="1"/>
  <c r="S140" i="5"/>
  <c r="U15" i="5"/>
  <c r="S15" i="5"/>
  <c r="R13" i="5"/>
  <c r="R6" i="5" s="1"/>
  <c r="S6" i="5" s="1"/>
  <c r="S246" i="5"/>
  <c r="U246" i="5"/>
  <c r="Y29" i="5"/>
  <c r="V29" i="5"/>
  <c r="S7" i="5"/>
  <c r="Y155" i="5"/>
  <c r="V155" i="5"/>
  <c r="Y74" i="5"/>
  <c r="V74" i="5"/>
  <c r="V253" i="5"/>
  <c r="Y253" i="5"/>
  <c r="U252" i="5"/>
  <c r="Y79" i="5"/>
  <c r="V79" i="5"/>
  <c r="Y67" i="5"/>
  <c r="V67" i="5"/>
  <c r="U134" i="5"/>
  <c r="S134" i="5"/>
  <c r="Y18" i="5"/>
  <c r="V18" i="5"/>
  <c r="U16" i="5"/>
  <c r="Y165" i="5"/>
  <c r="V165" i="5"/>
  <c r="R22" i="5"/>
  <c r="S22" i="5" s="1"/>
  <c r="S23" i="5"/>
  <c r="V106" i="5"/>
  <c r="Y106" i="5"/>
  <c r="V87" i="5"/>
  <c r="Y87" i="5"/>
  <c r="Y89" i="5"/>
  <c r="V89" i="5"/>
  <c r="U88" i="5"/>
  <c r="Y98" i="5"/>
  <c r="V98" i="5"/>
  <c r="M263" i="5"/>
  <c r="L229" i="5"/>
  <c r="M229" i="5" s="1"/>
  <c r="Y146" i="5"/>
  <c r="V146" i="5"/>
  <c r="U63" i="5"/>
  <c r="S63" i="5"/>
  <c r="Y68" i="5"/>
  <c r="V68" i="5"/>
  <c r="R154" i="5"/>
  <c r="S154" i="5" s="1"/>
  <c r="Y267" i="5"/>
  <c r="V267" i="5"/>
  <c r="S93" i="5"/>
  <c r="R92" i="5"/>
  <c r="U93" i="5"/>
  <c r="S194" i="5"/>
  <c r="R193" i="5"/>
  <c r="U194" i="5"/>
  <c r="U289" i="5"/>
  <c r="S289" i="5"/>
  <c r="V131" i="5"/>
  <c r="Y131" i="5"/>
  <c r="Y21" i="5"/>
  <c r="V21" i="5"/>
  <c r="Y224" i="5"/>
  <c r="V224" i="5"/>
  <c r="L124" i="5"/>
  <c r="L3" i="5"/>
  <c r="U54" i="5"/>
  <c r="S54" i="5"/>
  <c r="Y174" i="5"/>
  <c r="V174" i="5"/>
  <c r="U37" i="5"/>
  <c r="V38" i="5"/>
  <c r="Y38" i="5"/>
  <c r="V83" i="5"/>
  <c r="Y83" i="5"/>
  <c r="Y295" i="5"/>
  <c r="V295" i="5"/>
  <c r="Y77" i="5"/>
  <c r="V77" i="5"/>
  <c r="U260" i="5"/>
  <c r="S260" i="5"/>
  <c r="Y283" i="5"/>
  <c r="V283" i="5"/>
  <c r="U241" i="5"/>
  <c r="S241" i="5"/>
  <c r="Y78" i="5"/>
  <c r="V78" i="5"/>
  <c r="Y175" i="5"/>
  <c r="V175" i="5"/>
  <c r="U265" i="5"/>
  <c r="S265" i="5"/>
  <c r="R264" i="5"/>
  <c r="P50" i="5"/>
  <c r="O43" i="5"/>
  <c r="V120" i="5"/>
  <c r="Y120" i="5"/>
  <c r="Y51" i="5"/>
  <c r="V51" i="5"/>
  <c r="Y250" i="5"/>
  <c r="V250" i="5"/>
  <c r="P208" i="5"/>
  <c r="O207" i="5"/>
  <c r="P207" i="5" s="1"/>
  <c r="M42" i="5"/>
  <c r="Y33" i="5"/>
  <c r="V33" i="5"/>
  <c r="Y145" i="5"/>
  <c r="U144" i="5"/>
  <c r="V145" i="5"/>
  <c r="Y244" i="5"/>
  <c r="V244" i="5"/>
  <c r="S130" i="5"/>
  <c r="Y201" i="5"/>
  <c r="V201" i="5"/>
  <c r="U52" i="5"/>
  <c r="S52" i="5"/>
  <c r="U75" i="5"/>
  <c r="S75" i="5"/>
  <c r="Y249" i="5"/>
  <c r="V249" i="5"/>
  <c r="O263" i="5"/>
  <c r="P263" i="5" s="1"/>
  <c r="P264" i="5"/>
  <c r="R235" i="5"/>
  <c r="S235" i="5" s="1"/>
  <c r="U236" i="5"/>
  <c r="S236" i="5"/>
  <c r="Y223" i="5"/>
  <c r="V223" i="5"/>
  <c r="Y110" i="5"/>
  <c r="V110" i="5"/>
  <c r="J150" i="5"/>
  <c r="I299" i="5"/>
  <c r="U30" i="5"/>
  <c r="U27" i="5" s="1"/>
  <c r="S30" i="5"/>
  <c r="Y86" i="5"/>
  <c r="V86" i="5"/>
  <c r="Y162" i="5"/>
  <c r="V162" i="5"/>
  <c r="S183" i="5"/>
  <c r="U183" i="5"/>
  <c r="V39" i="5"/>
  <c r="Y39" i="5"/>
  <c r="Y28" i="5"/>
  <c r="V28" i="5"/>
  <c r="R95" i="5"/>
  <c r="S95" i="5" s="1"/>
  <c r="U97" i="5"/>
  <c r="S97" i="5"/>
  <c r="S144" i="5"/>
  <c r="R143" i="5"/>
  <c r="S143" i="5" s="1"/>
  <c r="U148" i="5"/>
  <c r="Y149" i="5"/>
  <c r="V149" i="5"/>
  <c r="S273" i="5"/>
  <c r="U273" i="5"/>
  <c r="BE139" i="1"/>
  <c r="BA139" i="1"/>
  <c r="V168" i="1"/>
  <c r="AZ164" i="1"/>
  <c r="AZ140" i="1"/>
  <c r="BB140" i="1"/>
  <c r="BC140" i="1" s="1"/>
  <c r="BG141" i="1" s="1"/>
  <c r="BB164" i="1"/>
  <c r="BB166" i="1" s="1"/>
  <c r="AC166" i="1"/>
  <c r="AC168" i="1" s="1"/>
  <c r="U66" i="5" l="1"/>
  <c r="Y247" i="5"/>
  <c r="U243" i="5"/>
  <c r="M107" i="5"/>
  <c r="I3" i="5"/>
  <c r="Y168" i="5"/>
  <c r="V168" i="5"/>
  <c r="Y185" i="5"/>
  <c r="V185" i="5"/>
  <c r="V113" i="5"/>
  <c r="Y113" i="5"/>
  <c r="V242" i="5"/>
  <c r="Y242" i="5"/>
  <c r="Y109" i="5"/>
  <c r="V109" i="5"/>
  <c r="U130" i="5"/>
  <c r="V130" i="5" s="1"/>
  <c r="Y118" i="5"/>
  <c r="V118" i="5"/>
  <c r="Y114" i="5"/>
  <c r="V114" i="5"/>
  <c r="Y245" i="5"/>
  <c r="V245" i="5"/>
  <c r="Y279" i="5"/>
  <c r="V279" i="5"/>
  <c r="S178" i="5"/>
  <c r="R172" i="5"/>
  <c r="S172" i="5" s="1"/>
  <c r="V152" i="5"/>
  <c r="Y152" i="5"/>
  <c r="U102" i="5"/>
  <c r="V103" i="5"/>
  <c r="Y103" i="5"/>
  <c r="Y134" i="5"/>
  <c r="V134" i="5"/>
  <c r="V289" i="5"/>
  <c r="Y289" i="5"/>
  <c r="V148" i="5"/>
  <c r="Y148" i="5"/>
  <c r="P43" i="5"/>
  <c r="O42" i="5"/>
  <c r="Y52" i="5"/>
  <c r="V52" i="5"/>
  <c r="V15" i="5"/>
  <c r="Y15" i="5"/>
  <c r="U13" i="5"/>
  <c r="V80" i="5"/>
  <c r="Y80" i="5"/>
  <c r="Y286" i="5"/>
  <c r="V286" i="5"/>
  <c r="V240" i="5"/>
  <c r="U239" i="5"/>
  <c r="Y240" i="5"/>
  <c r="V41" i="5"/>
  <c r="Y41" i="5"/>
  <c r="Y161" i="5"/>
  <c r="V161" i="5"/>
  <c r="P172" i="5"/>
  <c r="O150" i="5"/>
  <c r="R229" i="5"/>
  <c r="Y164" i="5"/>
  <c r="V164" i="5"/>
  <c r="Y188" i="5"/>
  <c r="V188" i="5"/>
  <c r="V231" i="5"/>
  <c r="Y231" i="5"/>
  <c r="S264" i="5"/>
  <c r="R263" i="5"/>
  <c r="S263" i="5" s="1"/>
  <c r="Y54" i="5"/>
  <c r="V54" i="5"/>
  <c r="U215" i="5"/>
  <c r="Y216" i="5"/>
  <c r="V216" i="5"/>
  <c r="Y167" i="5"/>
  <c r="V167" i="5"/>
  <c r="S193" i="5"/>
  <c r="R192" i="5"/>
  <c r="S192" i="5" s="1"/>
  <c r="U202" i="5"/>
  <c r="V203" i="5"/>
  <c r="Y203" i="5"/>
  <c r="Y222" i="5"/>
  <c r="V222" i="5"/>
  <c r="U277" i="5"/>
  <c r="M150" i="5"/>
  <c r="L299" i="5"/>
  <c r="Y260" i="5"/>
  <c r="V260" i="5"/>
  <c r="V30" i="5"/>
  <c r="Y30" i="5"/>
  <c r="Y273" i="5"/>
  <c r="V273" i="5"/>
  <c r="S92" i="5"/>
  <c r="R91" i="5"/>
  <c r="S91" i="5" s="1"/>
  <c r="U251" i="5"/>
  <c r="V252" i="5"/>
  <c r="Y252" i="5"/>
  <c r="Y181" i="5"/>
  <c r="V181" i="5"/>
  <c r="U178" i="5"/>
  <c r="V179" i="5"/>
  <c r="Y179" i="5"/>
  <c r="Y154" i="5"/>
  <c r="V154" i="5"/>
  <c r="V133" i="5"/>
  <c r="Y133" i="5"/>
  <c r="U95" i="5"/>
  <c r="Y97" i="5"/>
  <c r="V97" i="5"/>
  <c r="U264" i="5"/>
  <c r="Y265" i="5"/>
  <c r="V265" i="5"/>
  <c r="U193" i="5"/>
  <c r="Y194" i="5"/>
  <c r="V194" i="5"/>
  <c r="V257" i="5"/>
  <c r="Y257" i="5"/>
  <c r="V34" i="5"/>
  <c r="Y34" i="5"/>
  <c r="V27" i="5"/>
  <c r="Y27" i="5"/>
  <c r="U22" i="5"/>
  <c r="V23" i="5"/>
  <c r="Y23" i="5"/>
  <c r="U50" i="5"/>
  <c r="U92" i="5"/>
  <c r="V93" i="5"/>
  <c r="Y93" i="5"/>
  <c r="I301" i="5"/>
  <c r="J301" i="5" s="1"/>
  <c r="J299" i="5"/>
  <c r="V243" i="5"/>
  <c r="Y243" i="5"/>
  <c r="Y246" i="5"/>
  <c r="V246" i="5"/>
  <c r="O229" i="5"/>
  <c r="P229" i="5" s="1"/>
  <c r="Y115" i="5"/>
  <c r="V115" i="5"/>
  <c r="U111" i="5"/>
  <c r="V292" i="5"/>
  <c r="Y292" i="5"/>
  <c r="Y197" i="5"/>
  <c r="V197" i="5"/>
  <c r="V19" i="5"/>
  <c r="Y19" i="5"/>
  <c r="V66" i="5"/>
  <c r="Y66" i="5"/>
  <c r="Y236" i="5"/>
  <c r="U235" i="5"/>
  <c r="V236" i="5"/>
  <c r="V144" i="5"/>
  <c r="U143" i="5"/>
  <c r="Y144" i="5"/>
  <c r="V241" i="5"/>
  <c r="Y241" i="5"/>
  <c r="Y16" i="5"/>
  <c r="V16" i="5"/>
  <c r="U284" i="5"/>
  <c r="V287" i="5"/>
  <c r="Y287" i="5"/>
  <c r="V271" i="5"/>
  <c r="Y271" i="5"/>
  <c r="Y158" i="5"/>
  <c r="V158" i="5"/>
  <c r="V7" i="5"/>
  <c r="U6" i="5"/>
  <c r="Y7" i="5"/>
  <c r="Y85" i="5"/>
  <c r="V85" i="5"/>
  <c r="I124" i="5"/>
  <c r="J107" i="5"/>
  <c r="U208" i="5"/>
  <c r="V209" i="5"/>
  <c r="Y209" i="5"/>
  <c r="V218" i="5"/>
  <c r="Y218" i="5"/>
  <c r="V63" i="5"/>
  <c r="Y63" i="5"/>
  <c r="V108" i="5"/>
  <c r="Y108" i="5"/>
  <c r="Y183" i="5"/>
  <c r="V183" i="5"/>
  <c r="Y75" i="5"/>
  <c r="V75" i="5"/>
  <c r="V37" i="5"/>
  <c r="Y37" i="5"/>
  <c r="Y88" i="5"/>
  <c r="V88" i="5"/>
  <c r="S13" i="5"/>
  <c r="R9" i="5"/>
  <c r="S9" i="5" s="1"/>
  <c r="Y270" i="5"/>
  <c r="V270" i="5"/>
  <c r="Y69" i="5"/>
  <c r="V69" i="5"/>
  <c r="S208" i="5"/>
  <c r="R207" i="5"/>
  <c r="S207" i="5" s="1"/>
  <c r="U293" i="5"/>
  <c r="Y294" i="5"/>
  <c r="V294" i="5"/>
  <c r="S43" i="5"/>
  <c r="R42" i="5"/>
  <c r="BE140" i="1"/>
  <c r="BA140" i="1"/>
  <c r="AZ166" i="1"/>
  <c r="BC164" i="1"/>
  <c r="BC166" i="1" s="1"/>
  <c r="Y130" i="5" l="1"/>
  <c r="I302" i="5"/>
  <c r="J124" i="5"/>
  <c r="V102" i="5"/>
  <c r="Y102" i="5"/>
  <c r="V239" i="5"/>
  <c r="Y239" i="5"/>
  <c r="P42" i="5"/>
  <c r="O107" i="5"/>
  <c r="V284" i="5"/>
  <c r="Y284" i="5"/>
  <c r="M124" i="5"/>
  <c r="V178" i="5"/>
  <c r="Y178" i="5"/>
  <c r="U172" i="5"/>
  <c r="V264" i="5"/>
  <c r="U263" i="5"/>
  <c r="Y264" i="5"/>
  <c r="M299" i="5"/>
  <c r="L301" i="5"/>
  <c r="V235" i="5"/>
  <c r="Y235" i="5"/>
  <c r="V277" i="5"/>
  <c r="Y277" i="5"/>
  <c r="V215" i="5"/>
  <c r="Y215" i="5"/>
  <c r="S229" i="5"/>
  <c r="V22" i="5"/>
  <c r="Y22" i="5"/>
  <c r="S42" i="5"/>
  <c r="R107" i="5"/>
  <c r="Y95" i="5"/>
  <c r="V95" i="5"/>
  <c r="V202" i="5"/>
  <c r="Y202" i="5"/>
  <c r="V6" i="5"/>
  <c r="Y6" i="5"/>
  <c r="V143" i="5"/>
  <c r="Y143" i="5"/>
  <c r="P150" i="5"/>
  <c r="O299" i="5"/>
  <c r="V111" i="5"/>
  <c r="Y111" i="5"/>
  <c r="V92" i="5"/>
  <c r="U91" i="5"/>
  <c r="Y92" i="5"/>
  <c r="R150" i="5"/>
  <c r="U229" i="5"/>
  <c r="Y193" i="5"/>
  <c r="V193" i="5"/>
  <c r="U192" i="5"/>
  <c r="V251" i="5"/>
  <c r="Y251" i="5"/>
  <c r="Y293" i="5"/>
  <c r="V293" i="5"/>
  <c r="V208" i="5"/>
  <c r="U207" i="5"/>
  <c r="Y208" i="5"/>
  <c r="U43" i="5"/>
  <c r="V50" i="5"/>
  <c r="Y50" i="5"/>
  <c r="Y13" i="5"/>
  <c r="V13" i="5"/>
  <c r="U9" i="5"/>
  <c r="M301" i="5" l="1"/>
  <c r="L302" i="5"/>
  <c r="V43" i="5"/>
  <c r="U42" i="5"/>
  <c r="Y43" i="5"/>
  <c r="S150" i="5"/>
  <c r="R299" i="5"/>
  <c r="V207" i="5"/>
  <c r="Y207" i="5"/>
  <c r="V91" i="5"/>
  <c r="Y91" i="5"/>
  <c r="S107" i="5"/>
  <c r="R124" i="5"/>
  <c r="R3" i="5"/>
  <c r="V9" i="5"/>
  <c r="Y9" i="5"/>
  <c r="O301" i="5"/>
  <c r="P301" i="5" s="1"/>
  <c r="P299" i="5"/>
  <c r="V263" i="5"/>
  <c r="Y263" i="5"/>
  <c r="V229" i="5"/>
  <c r="Y229" i="5"/>
  <c r="V192" i="5"/>
  <c r="Y192" i="5"/>
  <c r="V172" i="5"/>
  <c r="Y172" i="5"/>
  <c r="U150" i="5"/>
  <c r="P107" i="5"/>
  <c r="O124" i="5"/>
  <c r="O3" i="5"/>
  <c r="J302" i="5"/>
  <c r="V42" i="5" l="1"/>
  <c r="Y42" i="5"/>
  <c r="U107" i="5"/>
  <c r="O302" i="5"/>
  <c r="P124" i="5"/>
  <c r="V150" i="5"/>
  <c r="Y150" i="5"/>
  <c r="U299" i="5"/>
  <c r="R301" i="5"/>
  <c r="S301" i="5" s="1"/>
  <c r="S299" i="5"/>
  <c r="M302" i="5"/>
  <c r="S124" i="5"/>
  <c r="V299" i="5" l="1"/>
  <c r="U301" i="5"/>
  <c r="Y299" i="5"/>
  <c r="P302" i="5"/>
  <c r="U124" i="5"/>
  <c r="V107" i="5"/>
  <c r="U3" i="5"/>
  <c r="Y107" i="5"/>
  <c r="R302" i="5"/>
  <c r="S302" i="5" l="1"/>
  <c r="U302" i="5"/>
  <c r="V124" i="5"/>
  <c r="Y124" i="5"/>
  <c r="V301" i="5"/>
  <c r="Y301" i="5"/>
  <c r="V302" i="5" l="1"/>
  <c r="Y302"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Sarmīte Mūze</author>
  </authors>
  <commentList>
    <comment ref="X181" authorId="0" shapeId="0" xr:uid="{E8DD62A5-1266-4249-94CA-91010C280446}">
      <text>
        <r>
          <rPr>
            <b/>
            <sz val="9"/>
            <color indexed="81"/>
            <rFont val="Tahoma"/>
            <family val="2"/>
            <charset val="186"/>
          </rPr>
          <t>Sarmīte Mūze:</t>
        </r>
        <r>
          <rPr>
            <sz val="9"/>
            <color indexed="81"/>
            <rFont val="Tahoma"/>
            <family val="2"/>
            <charset val="186"/>
          </rPr>
          <t xml:space="preserve">
0643; 0645; 0648 izpilde-CKS dotācija 7230- samaksātais no Domes</t>
        </r>
      </text>
    </comment>
    <comment ref="E291" authorId="0" shapeId="0" xr:uid="{FDD52094-EBDF-4168-B4AA-4F366173E4C3}">
      <text>
        <r>
          <rPr>
            <b/>
            <sz val="9"/>
            <color indexed="81"/>
            <rFont val="Tahoma"/>
            <family val="2"/>
            <charset val="186"/>
          </rPr>
          <t>Sarmīte Mūze:</t>
        </r>
        <r>
          <rPr>
            <sz val="9"/>
            <color indexed="81"/>
            <rFont val="Tahoma"/>
            <family val="2"/>
            <charset val="186"/>
          </rPr>
          <t xml:space="preserve">
Šis ir jāizņem no 0930 un jāliek 0982 algā.
</t>
        </r>
      </text>
    </comment>
    <comment ref="F291" authorId="0" shapeId="0" xr:uid="{E5245839-5278-44C2-AC73-A977DD9EA31B}">
      <text>
        <r>
          <rPr>
            <b/>
            <sz val="9"/>
            <color indexed="81"/>
            <rFont val="Tahoma"/>
            <family val="2"/>
            <charset val="186"/>
          </rPr>
          <t>Sarmīte Mūze:</t>
        </r>
        <r>
          <rPr>
            <sz val="9"/>
            <color indexed="81"/>
            <rFont val="Tahoma"/>
            <family val="2"/>
            <charset val="186"/>
          </rPr>
          <t xml:space="preserve">
Šis ir jāizņem no 0930 un jāliek 0982 algā.
</t>
        </r>
      </text>
    </comment>
    <comment ref="I291" authorId="0" shapeId="0" xr:uid="{FAC5A147-5094-4301-A665-1EC206EC562E}">
      <text>
        <r>
          <rPr>
            <b/>
            <sz val="9"/>
            <color indexed="81"/>
            <rFont val="Tahoma"/>
            <family val="2"/>
            <charset val="186"/>
          </rPr>
          <t>Sarmīte Mūze:</t>
        </r>
        <r>
          <rPr>
            <sz val="9"/>
            <color indexed="81"/>
            <rFont val="Tahoma"/>
            <family val="2"/>
            <charset val="186"/>
          </rPr>
          <t xml:space="preserve">
Šis ir jāizņem no 0930 un jāliek 0982 algā.
</t>
        </r>
      </text>
    </comment>
    <comment ref="L291" authorId="0" shapeId="0" xr:uid="{071BBAD9-5611-457A-8959-6EA8D03084EE}">
      <text>
        <r>
          <rPr>
            <b/>
            <sz val="9"/>
            <color indexed="81"/>
            <rFont val="Tahoma"/>
            <family val="2"/>
            <charset val="186"/>
          </rPr>
          <t>Sarmīte Mūze:</t>
        </r>
        <r>
          <rPr>
            <sz val="9"/>
            <color indexed="81"/>
            <rFont val="Tahoma"/>
            <family val="2"/>
            <charset val="186"/>
          </rPr>
          <t xml:space="preserve">
Šis ir jāizņem no 0930 un jāliek 0982 algā.
</t>
        </r>
      </text>
    </comment>
    <comment ref="O291" authorId="0" shapeId="0" xr:uid="{E4B18002-D320-475C-85CA-038FF4451DA1}">
      <text>
        <r>
          <rPr>
            <b/>
            <sz val="9"/>
            <color indexed="81"/>
            <rFont val="Tahoma"/>
            <family val="2"/>
            <charset val="186"/>
          </rPr>
          <t>Sarmīte Mūze:</t>
        </r>
        <r>
          <rPr>
            <sz val="9"/>
            <color indexed="81"/>
            <rFont val="Tahoma"/>
            <family val="2"/>
            <charset val="186"/>
          </rPr>
          <t xml:space="preserve">
Šis ir jāizņem no 0930 un jāliek 0982 algā.
</t>
        </r>
      </text>
    </comment>
    <comment ref="R291" authorId="0" shapeId="0" xr:uid="{B2E5C670-CE0C-4762-8029-72392F4E2551}">
      <text>
        <r>
          <rPr>
            <b/>
            <sz val="9"/>
            <color indexed="81"/>
            <rFont val="Tahoma"/>
            <family val="2"/>
            <charset val="186"/>
          </rPr>
          <t>Sarmīte Mūze:</t>
        </r>
        <r>
          <rPr>
            <sz val="9"/>
            <color indexed="81"/>
            <rFont val="Tahoma"/>
            <family val="2"/>
            <charset val="186"/>
          </rPr>
          <t xml:space="preserve">
Šis ir jāizņem no 0930 un jāliek 0982 algā.
</t>
        </r>
      </text>
    </comment>
    <comment ref="U291" authorId="0" shapeId="0" xr:uid="{A65678C5-B98D-41A6-BACA-5A1F82D3129D}">
      <text>
        <r>
          <rPr>
            <b/>
            <sz val="9"/>
            <color indexed="81"/>
            <rFont val="Tahoma"/>
            <family val="2"/>
            <charset val="186"/>
          </rPr>
          <t>Sarmīte Mūze:</t>
        </r>
        <r>
          <rPr>
            <sz val="9"/>
            <color indexed="81"/>
            <rFont val="Tahoma"/>
            <family val="2"/>
            <charset val="186"/>
          </rPr>
          <t xml:space="preserve">
Šis ir jāizņem no 0930 un jāliek 0982 algā.
</t>
        </r>
      </text>
    </comment>
    <comment ref="X291" authorId="0" shapeId="0" xr:uid="{57D46BB5-B3EA-4FA6-9238-49D6B47980EF}">
      <text>
        <r>
          <rPr>
            <b/>
            <sz val="9"/>
            <color indexed="81"/>
            <rFont val="Tahoma"/>
            <family val="2"/>
            <charset val="186"/>
          </rPr>
          <t>Sarmīte Mūze:</t>
        </r>
        <r>
          <rPr>
            <sz val="9"/>
            <color indexed="81"/>
            <rFont val="Tahoma"/>
            <family val="2"/>
            <charset val="186"/>
          </rPr>
          <t xml:space="preserve">
Šis ir jāizņem no 0930 un jāliek 0982 algā.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Baiba Kanča</author>
    <author>Sarmīte Mūze</author>
  </authors>
  <commentList>
    <comment ref="K118" authorId="0" shapeId="0" xr:uid="{F508C7E4-C0CB-4E58-890C-F7472108C4F9}">
      <text>
        <r>
          <rPr>
            <b/>
            <sz val="9"/>
            <color indexed="81"/>
            <rFont val="Tahoma"/>
            <family val="2"/>
            <charset val="186"/>
          </rPr>
          <t>Baiba Kanča:</t>
        </r>
        <r>
          <rPr>
            <sz val="9"/>
            <color indexed="81"/>
            <rFont val="Tahoma"/>
            <family val="2"/>
            <charset val="186"/>
          </rPr>
          <t xml:space="preserve">
Nav izņemta visa aizņēmuma summa. Atmaksas grafikā ielikts viss plānotais aizņēmums!
</t>
        </r>
      </text>
    </comment>
    <comment ref="D134" authorId="1" shapeId="0" xr:uid="{80B3F0FB-8A6C-4577-9EC9-89B0BCFD4D3F}">
      <text>
        <r>
          <rPr>
            <b/>
            <sz val="9"/>
            <color indexed="81"/>
            <rFont val="Tahoma"/>
            <family val="2"/>
            <charset val="186"/>
          </rPr>
          <t>Sarmīte Mūze:</t>
        </r>
        <r>
          <rPr>
            <sz val="9"/>
            <color indexed="81"/>
            <rFont val="Tahoma"/>
            <family val="2"/>
            <charset val="186"/>
          </rPr>
          <t xml:space="preserve">
Ja ir ERAF 5'000'000</t>
        </r>
      </text>
    </comment>
  </commentList>
</comments>
</file>

<file path=xl/sharedStrings.xml><?xml version="1.0" encoding="utf-8"?>
<sst xmlns="http://schemas.openxmlformats.org/spreadsheetml/2006/main" count="1945" uniqueCount="1271">
  <si>
    <t>Ādažu novada pašvaldības aizņēmumu un citu ilgtermiņa saistību pārskats</t>
  </si>
  <si>
    <t>Aizņēmumu pamatsummu un procentu atmaksa faktiskajiem un plānotajiem aizņēmumiem.</t>
  </si>
  <si>
    <t>A/C</t>
  </si>
  <si>
    <t>Nr.p.k.</t>
  </si>
  <si>
    <t>Nosaukums</t>
  </si>
  <si>
    <t>Aizņēmuma līgums</t>
  </si>
  <si>
    <t>Trančes numurs</t>
  </si>
  <si>
    <t>Līguma noslēgšanas datums</t>
  </si>
  <si>
    <t>Aizņēmuma beigu termiņš</t>
  </si>
  <si>
    <t>Aizņēmuma valūta</t>
  </si>
  <si>
    <t>Aizņēmuma summa, EUR</t>
  </si>
  <si>
    <t>Neatmaksātās pamatsummas atlikums</t>
  </si>
  <si>
    <t>% likmes maiņas datums</t>
  </si>
  <si>
    <t>% likmes veids</t>
  </si>
  <si>
    <t>Kopējā procentu likme (gadā), %</t>
  </si>
  <si>
    <t>Procentu likme , %</t>
  </si>
  <si>
    <t>Apkalpošanas maksa, %</t>
  </si>
  <si>
    <t>Maksājuma veids</t>
  </si>
  <si>
    <t>2024 faktiski samaksāts</t>
  </si>
  <si>
    <t>2024 atlikušais maksājums</t>
  </si>
  <si>
    <t>Pavisam kopā</t>
  </si>
  <si>
    <t>2031 - 2053</t>
  </si>
  <si>
    <t>Kopsumma 2024 - 2053</t>
  </si>
  <si>
    <t>A</t>
  </si>
  <si>
    <t xml:space="preserve">Stabilizācijas aizdevums </t>
  </si>
  <si>
    <t>A2/1/11/107</t>
  </si>
  <si>
    <t>P-50/2011</t>
  </si>
  <si>
    <t>11.04.2011</t>
  </si>
  <si>
    <t>20.04.2036</t>
  </si>
  <si>
    <t>EUR</t>
  </si>
  <si>
    <t>Pamatsumma</t>
  </si>
  <si>
    <t>(1.kārtas 2.posms)</t>
  </si>
  <si>
    <t>12.04.2024</t>
  </si>
  <si>
    <t>Procentu maksa</t>
  </si>
  <si>
    <t>A2/1/11/549</t>
  </si>
  <si>
    <t>P-350/2011</t>
  </si>
  <si>
    <t>22.09.2011</t>
  </si>
  <si>
    <t>22.12.2031</t>
  </si>
  <si>
    <t>(1.kārtas 3.posms)</t>
  </si>
  <si>
    <t>22.09.2023</t>
  </si>
  <si>
    <t>ĀŪ</t>
  </si>
  <si>
    <t>Stabilizācijas aizdevums</t>
  </si>
  <si>
    <t>A2/1/12/328</t>
  </si>
  <si>
    <t>P-219/2012</t>
  </si>
  <si>
    <t>11.07.2012</t>
  </si>
  <si>
    <t>25.03.2032</t>
  </si>
  <si>
    <t>SIA "Ādažu ūdens" (2.kārta 1.posms)</t>
  </si>
  <si>
    <t>06.07.2024</t>
  </si>
  <si>
    <t>A2/1/13/1000</t>
  </si>
  <si>
    <t>P-441/2013</t>
  </si>
  <si>
    <t>26.11.2013</t>
  </si>
  <si>
    <t>27.11.2023</t>
  </si>
  <si>
    <t>(2.kārta 2.posms)</t>
  </si>
  <si>
    <t>22.11.2023</t>
  </si>
  <si>
    <t>Gaujas ielas rekonstrukcija</t>
  </si>
  <si>
    <t>A2/1/17/301</t>
  </si>
  <si>
    <t>P-196/2017</t>
  </si>
  <si>
    <t>19.05.2017</t>
  </si>
  <si>
    <t>20.05.2032</t>
  </si>
  <si>
    <t xml:space="preserve"> (1.-3.kārta)</t>
  </si>
  <si>
    <t>18.05.2024</t>
  </si>
  <si>
    <t>A2/1/17/596</t>
  </si>
  <si>
    <t>P-450/2017</t>
  </si>
  <si>
    <t>21.08.2017</t>
  </si>
  <si>
    <t>20.08.2032</t>
  </si>
  <si>
    <t xml:space="preserve"> (4.kārta)</t>
  </si>
  <si>
    <t>18.08.2024</t>
  </si>
  <si>
    <t xml:space="preserve">Jaunās skolas būvniecība </t>
  </si>
  <si>
    <t>A2/1/18/123</t>
  </si>
  <si>
    <t>P-94/2018</t>
  </si>
  <si>
    <t>03.04.2018</t>
  </si>
  <si>
    <t>22.06.2048</t>
  </si>
  <si>
    <t>(1.-2. kārta)</t>
  </si>
  <si>
    <t>29.03.2024</t>
  </si>
  <si>
    <t>C</t>
  </si>
  <si>
    <t xml:space="preserve">ELFLA projekts pievadceļu attīstība </t>
  </si>
  <si>
    <t>A2/1/18/139</t>
  </si>
  <si>
    <t>P-109/2018</t>
  </si>
  <si>
    <t>05.04.2018</t>
  </si>
  <si>
    <t>22.03.2038</t>
  </si>
  <si>
    <t xml:space="preserve">lauksaimniecības uzņēmumiem </t>
  </si>
  <si>
    <t>30.01.2024</t>
  </si>
  <si>
    <t>Ceļu, ielu infrastruktūras programma</t>
  </si>
  <si>
    <t>A2/1/18/251</t>
  </si>
  <si>
    <t>P-205/2018</t>
  </si>
  <si>
    <t>28.05.2018</t>
  </si>
  <si>
    <t>20.05.2038</t>
  </si>
  <si>
    <t>(1.kārta)</t>
  </si>
  <si>
    <t>24.05.2024</t>
  </si>
  <si>
    <t xml:space="preserve">Komunālās saimniecības </t>
  </si>
  <si>
    <t>A2/1/18/252</t>
  </si>
  <si>
    <t>P-200/2018</t>
  </si>
  <si>
    <t>20.05.2025</t>
  </si>
  <si>
    <t xml:space="preserve">investīcijas transportam </t>
  </si>
  <si>
    <t xml:space="preserve">ES Interreg Igaunijas - Latvijas projekts </t>
  </si>
  <si>
    <t>A2/1/18/255</t>
  </si>
  <si>
    <t>P-203/2018</t>
  </si>
  <si>
    <t>20.05.2033</t>
  </si>
  <si>
    <t>"Hiking Route Along the Baltic Sea Coastline in Latvia-Estonia"</t>
  </si>
  <si>
    <t xml:space="preserve">ERAF projekts Natura 2000 </t>
  </si>
  <si>
    <t>A2/1/18/254</t>
  </si>
  <si>
    <t>P-202/2018</t>
  </si>
  <si>
    <t>Atpūtas taka Carnikavā</t>
  </si>
  <si>
    <t>Prioritāro projektu īstenošana:</t>
  </si>
  <si>
    <t>A2/1/18/452</t>
  </si>
  <si>
    <t>P-374/2018</t>
  </si>
  <si>
    <t>12.07.2018</t>
  </si>
  <si>
    <t>20.06.2028</t>
  </si>
  <si>
    <t xml:space="preserve"> bērnu rotaļu laukumi Carnikavas novadā</t>
  </si>
  <si>
    <t>11.07.2024</t>
  </si>
  <si>
    <t>Izglītības iestāžu investīciju projekts -</t>
  </si>
  <si>
    <t>A2/1/18/529</t>
  </si>
  <si>
    <t>P-435/2018</t>
  </si>
  <si>
    <t>03.08.2018</t>
  </si>
  <si>
    <t>20.07.2048</t>
  </si>
  <si>
    <t xml:space="preserve"> Piejūras PII būvniecība</t>
  </si>
  <si>
    <t>01.08.2024</t>
  </si>
  <si>
    <t xml:space="preserve">Izglītības iestāžu investīciju projekts - </t>
  </si>
  <si>
    <t>A2/1/18/528</t>
  </si>
  <si>
    <t>P-436/2018</t>
  </si>
  <si>
    <t>Carnikavas izglītības iestādes būvniecība no moduļiem</t>
  </si>
  <si>
    <t>A2/1/18/611</t>
  </si>
  <si>
    <t>P-500/2018</t>
  </si>
  <si>
    <t>04.09.2018</t>
  </si>
  <si>
    <t>20.08.2038</t>
  </si>
  <si>
    <t xml:space="preserve"> (2.kārta)</t>
  </si>
  <si>
    <t>30.08.2024</t>
  </si>
  <si>
    <t xml:space="preserve">Ceļu, ielu infrastruktūras programma </t>
  </si>
  <si>
    <t>A2/1/18/643</t>
  </si>
  <si>
    <t>P-537/2018</t>
  </si>
  <si>
    <t>12.09.2018</t>
  </si>
  <si>
    <t>(3.kārta)</t>
  </si>
  <si>
    <t>11.09.2024</t>
  </si>
  <si>
    <t>Attekas ielas rekonstrukcija</t>
  </si>
  <si>
    <t>A2/1/18/644</t>
  </si>
  <si>
    <t>P-538/2018</t>
  </si>
  <si>
    <t>20.09.2033</t>
  </si>
  <si>
    <t>12.09.2024</t>
  </si>
  <si>
    <t>Muižas ielas rekonstrukcijai</t>
  </si>
  <si>
    <t>A2/1/18/711</t>
  </si>
  <si>
    <t>P-580/2018</t>
  </si>
  <si>
    <t>10.10.2018</t>
  </si>
  <si>
    <t>20.09.2028</t>
  </si>
  <si>
    <t>03.10.2023</t>
  </si>
  <si>
    <t>A2/1/18/777</t>
  </si>
  <si>
    <t>P-643/2018</t>
  </si>
  <si>
    <t>12.11.2018</t>
  </si>
  <si>
    <t>20.10.2038</t>
  </si>
  <si>
    <t>( 4.kārta)</t>
  </si>
  <si>
    <t>08.11.2023</t>
  </si>
  <si>
    <t xml:space="preserve">Prioritārais projekts Dambja būvniecība </t>
  </si>
  <si>
    <t>A2/1/18/818</t>
  </si>
  <si>
    <t>P-666/2018</t>
  </si>
  <si>
    <t>21.11.2018</t>
  </si>
  <si>
    <t>22.11.2038</t>
  </si>
  <si>
    <t xml:space="preserve">Valteru ielā </t>
  </si>
  <si>
    <t>14.11.2023</t>
  </si>
  <si>
    <t xml:space="preserve">Pārjaunojuma līgums </t>
  </si>
  <si>
    <t>A2/1/19/50</t>
  </si>
  <si>
    <t>PP-5/2019</t>
  </si>
  <si>
    <t>05.03.2019</t>
  </si>
  <si>
    <t>20.09.2035</t>
  </si>
  <si>
    <t>visiem līgumiem līdz 2015.gadam</t>
  </si>
  <si>
    <t>26.02.2024</t>
  </si>
  <si>
    <t>ELFLA Eimuru - Mangaļu poldera</t>
  </si>
  <si>
    <t>A2/1/19/57</t>
  </si>
  <si>
    <t>P-31/2019</t>
  </si>
  <si>
    <t>06.03.2019</t>
  </si>
  <si>
    <t>20.02.2029</t>
  </si>
  <si>
    <t xml:space="preserve"> meliorācijas grāvju atjaunošana Carnikavas novadā</t>
  </si>
  <si>
    <t>06.03.2024</t>
  </si>
  <si>
    <t xml:space="preserve">ERAF projekta SAM 3.3.1. Uzņēmējdarbības </t>
  </si>
  <si>
    <t>A2/1/19/225</t>
  </si>
  <si>
    <t>P-150/2019</t>
  </si>
  <si>
    <t>13.06.2019</t>
  </si>
  <si>
    <t>20.05.2049</t>
  </si>
  <si>
    <t>attīstībai nepieciešamās infrastruktūras Carnikavas novada Garciemā" īstenošanai</t>
  </si>
  <si>
    <t>06.06.2024</t>
  </si>
  <si>
    <t>SAM 4.2.2. ĀPII remontdarbi</t>
  </si>
  <si>
    <t>A2/1/19/370</t>
  </si>
  <si>
    <t>P-236/2019</t>
  </si>
  <si>
    <t>09.10.2019</t>
  </si>
  <si>
    <t>20.09.2034</t>
  </si>
  <si>
    <t>08.10.2023</t>
  </si>
  <si>
    <t>SAM 5.5.1. Kultūras objektu būvniecība</t>
  </si>
  <si>
    <t>A2/1/19/460</t>
  </si>
  <si>
    <t>P-292/2019</t>
  </si>
  <si>
    <t>11.12.2019</t>
  </si>
  <si>
    <t>21.11.2039</t>
  </si>
  <si>
    <t>06.12.2023</t>
  </si>
  <si>
    <t>Jaunās skolas būvniecība (3. kārta)</t>
  </si>
  <si>
    <t>A2/1/20/158</t>
  </si>
  <si>
    <t>P-119/2020</t>
  </si>
  <si>
    <t>29.04.2020</t>
  </si>
  <si>
    <t>20.04.2048</t>
  </si>
  <si>
    <t>29.04.2024</t>
  </si>
  <si>
    <t>Ataru ceļa rekonstrukcija</t>
  </si>
  <si>
    <t>A2/1/20/411</t>
  </si>
  <si>
    <t>P-177/2020</t>
  </si>
  <si>
    <t>08.07.2020</t>
  </si>
  <si>
    <t>20.06.2035</t>
  </si>
  <si>
    <t>08.07.2024</t>
  </si>
  <si>
    <t>KF projekts "Ūdenssaimniecības</t>
  </si>
  <si>
    <t>A2/1/20/675</t>
  </si>
  <si>
    <t>P-339/2020</t>
  </si>
  <si>
    <t>01.10.2020</t>
  </si>
  <si>
    <t>20.09.2050</t>
  </si>
  <si>
    <t xml:space="preserve"> pakalpojumu attīstība Carnikavā III kārta"</t>
  </si>
  <si>
    <t>01.10.2023</t>
  </si>
  <si>
    <t xml:space="preserve">Carnikavas novada pašvaldības transporta </t>
  </si>
  <si>
    <t>A2/1/20/676</t>
  </si>
  <si>
    <t>P-338/2020</t>
  </si>
  <si>
    <t>20.09.2040</t>
  </si>
  <si>
    <t>infrstruktūras attīstība</t>
  </si>
  <si>
    <t>Priežu ielas rekonstrukcija</t>
  </si>
  <si>
    <t>A2/1/20/746</t>
  </si>
  <si>
    <t>P-392/2020</t>
  </si>
  <si>
    <t>14.10.2020</t>
  </si>
  <si>
    <t>22.09.2025</t>
  </si>
  <si>
    <t>FIX</t>
  </si>
  <si>
    <t xml:space="preserve"> Bukultu ielas rekonstrukcija</t>
  </si>
  <si>
    <t>A2/1/20/745</t>
  </si>
  <si>
    <t>P-393/2020</t>
  </si>
  <si>
    <t>ERAF "Carnikavas pamatskolas pārbūve"</t>
  </si>
  <si>
    <t>A2/1/21/10</t>
  </si>
  <si>
    <t>P-4/2021</t>
  </si>
  <si>
    <t>26.01.2021</t>
  </si>
  <si>
    <t>20.01.2051</t>
  </si>
  <si>
    <t>26.01.2024</t>
  </si>
  <si>
    <t>LAD  projekts koka laipu taka uz jūru</t>
  </si>
  <si>
    <t>A2/1/21/11</t>
  </si>
  <si>
    <t>P-3/2021</t>
  </si>
  <si>
    <t>20.01.2031</t>
  </si>
  <si>
    <t>Prioritārais projekts -</t>
  </si>
  <si>
    <t>A2/1/21/41</t>
  </si>
  <si>
    <t>P-10/2021</t>
  </si>
  <si>
    <t>24.02.2021</t>
  </si>
  <si>
    <t>20.02.2051</t>
  </si>
  <si>
    <t>PII Piejūra" būvniecība"</t>
  </si>
  <si>
    <t>24.02.2024</t>
  </si>
  <si>
    <t>Budžeta un finanšu vadībai</t>
  </si>
  <si>
    <t>A2/1/21/96</t>
  </si>
  <si>
    <t>P-43/2021</t>
  </si>
  <si>
    <t>25.03.2021</t>
  </si>
  <si>
    <t>20.03.2024</t>
  </si>
  <si>
    <t xml:space="preserve"> (Aprīkojums PII Piejūra)</t>
  </si>
  <si>
    <t>PII Piejūra būvniecības pabeigšana</t>
  </si>
  <si>
    <t>A2/1/21/120</t>
  </si>
  <si>
    <t>P-69/2021</t>
  </si>
  <si>
    <t>08.04.2021</t>
  </si>
  <si>
    <t>20.03.2051</t>
  </si>
  <si>
    <t>08.04.2024</t>
  </si>
  <si>
    <t xml:space="preserve">Investīciju projektu īstenošanai </t>
  </si>
  <si>
    <t>A2/1/21/139</t>
  </si>
  <si>
    <t>PP-14/2021</t>
  </si>
  <si>
    <t>26.04.2021</t>
  </si>
  <si>
    <t>21.06.2038</t>
  </si>
  <si>
    <t>(saistību pārjaunojums)</t>
  </si>
  <si>
    <t>22.04.2024</t>
  </si>
  <si>
    <t>Stacijas ielas pārbūve</t>
  </si>
  <si>
    <t>A2/1/21/169</t>
  </si>
  <si>
    <t>P-89/2021</t>
  </si>
  <si>
    <t>30.04.2021</t>
  </si>
  <si>
    <t>20.04.2051</t>
  </si>
  <si>
    <t>30.04.2024</t>
  </si>
  <si>
    <t>Lielās ielas pārbūve</t>
  </si>
  <si>
    <t>A2/1/21/232</t>
  </si>
  <si>
    <t>P-163/2021</t>
  </si>
  <si>
    <t>27.05.2021</t>
  </si>
  <si>
    <t>20.05.2041</t>
  </si>
  <si>
    <t>27.05.2024</t>
  </si>
  <si>
    <t xml:space="preserve">Autostāvvietas izbūve Karlsona parkā, </t>
  </si>
  <si>
    <t>A2/1/21/231</t>
  </si>
  <si>
    <t>P-164/2021</t>
  </si>
  <si>
    <t>Garciemā, Carnikavas novadā</t>
  </si>
  <si>
    <t>Pirmās ielas stāvlaukums pie ĀPII</t>
  </si>
  <si>
    <t>A2/1/21/632</t>
  </si>
  <si>
    <t>P-481/2021</t>
  </si>
  <si>
    <t>14.10.2021</t>
  </si>
  <si>
    <t>21.09.2026</t>
  </si>
  <si>
    <t xml:space="preserve">SAM 9311 Deinstitucionalizācija - </t>
  </si>
  <si>
    <t>A2/1/21/729</t>
  </si>
  <si>
    <t>P-556/2021</t>
  </si>
  <si>
    <t>02.12.2021</t>
  </si>
  <si>
    <t>20.11.2040</t>
  </si>
  <si>
    <t>Dienas centrs</t>
  </si>
  <si>
    <t>02.12.2023</t>
  </si>
  <si>
    <t>Mežaparka ceļa pārbūve</t>
  </si>
  <si>
    <t>A2/1/21/728</t>
  </si>
  <si>
    <t>P-557/2021</t>
  </si>
  <si>
    <t>20.11.2031</t>
  </si>
  <si>
    <t>Ķiršu ielas rekonstrukcija</t>
  </si>
  <si>
    <t>A2/1/21/727</t>
  </si>
  <si>
    <t>P-558/2021</t>
  </si>
  <si>
    <t xml:space="preserve">Carnikavas pamatskolas infrastruktūras </t>
  </si>
  <si>
    <t>A2/1/21/776</t>
  </si>
  <si>
    <t>P-583/2021</t>
  </si>
  <si>
    <t>23.12.2021</t>
  </si>
  <si>
    <t>21.12.2026</t>
  </si>
  <si>
    <t>uzlabošana un mācību vides labiekārtošana</t>
  </si>
  <si>
    <t>23.12.2023</t>
  </si>
  <si>
    <t xml:space="preserve">Laivu ielas (no Cēlāju ciema līdz jūrai Carnikavā) </t>
  </si>
  <si>
    <t>A2/1/22/15</t>
  </si>
  <si>
    <t>P-7/2022</t>
  </si>
  <si>
    <t>02.02.2022</t>
  </si>
  <si>
    <t>20.01.2037</t>
  </si>
  <si>
    <t>un tai piegulošā auto stāvlaukuma projektēšana un būvniecība</t>
  </si>
  <si>
    <t>02.02.2024</t>
  </si>
  <si>
    <t xml:space="preserve">SAM 5.1.1. Pretplūdu pasākumi </t>
  </si>
  <si>
    <t>A2/1/22/123</t>
  </si>
  <si>
    <t>P-70/2022</t>
  </si>
  <si>
    <t>31.05.2022</t>
  </si>
  <si>
    <t>20.05.2037</t>
  </si>
  <si>
    <t>Ādažu centra polderī</t>
  </si>
  <si>
    <t>31.05.2024</t>
  </si>
  <si>
    <t>Gaujas ielas gājēju celiņa izbūve</t>
  </si>
  <si>
    <t>A2/1/22/165</t>
  </si>
  <si>
    <t>P-112/2022</t>
  </si>
  <si>
    <t>04.07.2022</t>
  </si>
  <si>
    <t>21.06.2027</t>
  </si>
  <si>
    <t>04.07.2024</t>
  </si>
  <si>
    <t xml:space="preserve">Skolas ielas projektēšana izbūve - </t>
  </si>
  <si>
    <t>A2/1/22/239</t>
  </si>
  <si>
    <t>P-160/2022</t>
  </si>
  <si>
    <t>20.07.2022</t>
  </si>
  <si>
    <t>20.07.2027</t>
  </si>
  <si>
    <t>3.kārta</t>
  </si>
  <si>
    <t>20.07.2024</t>
  </si>
  <si>
    <t xml:space="preserve">Skolas siltināšana </t>
  </si>
  <si>
    <t>A2/1/22/250</t>
  </si>
  <si>
    <t>P-164/2022</t>
  </si>
  <si>
    <t>03.08.2022</t>
  </si>
  <si>
    <t>20.07.2032</t>
  </si>
  <si>
    <t>un stadiona rekonstrukcija</t>
  </si>
  <si>
    <t>03.08.2024</t>
  </si>
  <si>
    <t>Aizvēju ielas Garciemā,</t>
  </si>
  <si>
    <t>A2/1/22/265</t>
  </si>
  <si>
    <t>P-175/2022</t>
  </si>
  <si>
    <t>08.08.2022</t>
  </si>
  <si>
    <t>20.07.2029</t>
  </si>
  <si>
    <t xml:space="preserve"> dubultā virsmas apstrāde (2.daļa)</t>
  </si>
  <si>
    <t>08.08.2024</t>
  </si>
  <si>
    <t xml:space="preserve">Carnikavas stadiona rekonstrukcija </t>
  </si>
  <si>
    <t>A2/1/22/536</t>
  </si>
  <si>
    <t>P-363/2022</t>
  </si>
  <si>
    <t>29.11.2022</t>
  </si>
  <si>
    <t>20.11.2037</t>
  </si>
  <si>
    <t>(Prioritārais)</t>
  </si>
  <si>
    <t>A2/1/22/538</t>
  </si>
  <si>
    <t>P-361/2022</t>
  </si>
  <si>
    <t>22.11.2032</t>
  </si>
  <si>
    <t>(Covid19)</t>
  </si>
  <si>
    <t xml:space="preserve">ERAF projekta (Nr.5.1.1.0/17/I/009) </t>
  </si>
  <si>
    <t>A2/1/22/582</t>
  </si>
  <si>
    <t>P-389/2022</t>
  </si>
  <si>
    <t>23.12.2022</t>
  </si>
  <si>
    <t>21.12.2037</t>
  </si>
  <si>
    <t>“Novērst plūdu un krasta erozijas risku apdraudējumu Ādažu novadā, 1. daļa” īstenošanai</t>
  </si>
  <si>
    <t xml:space="preserve">Apgaismojuma izbūve uz Salas </t>
  </si>
  <si>
    <t>A2/1/23/103</t>
  </si>
  <si>
    <t>P-57/2023</t>
  </si>
  <si>
    <t>09.05.2023</t>
  </si>
  <si>
    <t>aizsargdamja D-2 posmā, Carnikavas pagastā</t>
  </si>
  <si>
    <t>Carnikavas stadiona rekonstrukcija</t>
  </si>
  <si>
    <t>A2/1/23/156</t>
  </si>
  <si>
    <t>P-104/2023</t>
  </si>
  <si>
    <t>26.06.2023</t>
  </si>
  <si>
    <t xml:space="preserve"> (Prioritārais 2023.g.)</t>
  </si>
  <si>
    <t>26.06.2024</t>
  </si>
  <si>
    <t xml:space="preserve"> "Auto stāvlaukuma Lilastē paplašināšana,</t>
  </si>
  <si>
    <t>A2/1/23/245</t>
  </si>
  <si>
    <t>P-181/2023</t>
  </si>
  <si>
    <t>02.08.2023</t>
  </si>
  <si>
    <t>20.07.2026</t>
  </si>
  <si>
    <t xml:space="preserve"> atpūtas vietu, labiekārtojuma, labierīcību, kempinga iespēju projektēšana un izbūve"</t>
  </si>
  <si>
    <t xml:space="preserve">Ķiršu ielas III kārta </t>
  </si>
  <si>
    <t>A2/1/23/290</t>
  </si>
  <si>
    <t>P-222/2023</t>
  </si>
  <si>
    <t>20.07.2033</t>
  </si>
  <si>
    <t>no Saules ielas līdz Attekas ielai 0.17km</t>
  </si>
  <si>
    <t xml:space="preserve">Ādažu vidusskolas ēkas B korpusa </t>
  </si>
  <si>
    <t>A2/1/23/429</t>
  </si>
  <si>
    <t>P-344/2023</t>
  </si>
  <si>
    <t>un savienojuma daļas starp korpusiem (C un B) fasādes atjaunošana</t>
  </si>
  <si>
    <t xml:space="preserve">Ādažu vidusskolas ēkas A korpusa </t>
  </si>
  <si>
    <t>A2/1/24/230</t>
  </si>
  <si>
    <t>P-217/2024</t>
  </si>
  <si>
    <t>un centrālās daļas fasādes atjaunošana.</t>
  </si>
  <si>
    <t xml:space="preserve"> ”Mobilitātes punkta infrastruktūras izveidošana </t>
  </si>
  <si>
    <t>Plānots</t>
  </si>
  <si>
    <t>Rīgas metropoles areālā – “Carnikava””</t>
  </si>
  <si>
    <t>Maģistrālā  veloceļa izbūve Rīga-Carnikava</t>
  </si>
  <si>
    <t>EKII projekts</t>
  </si>
  <si>
    <t>PII Podnieki UN Krastupes iela</t>
  </si>
  <si>
    <t>Aizņēmumi kopā:</t>
  </si>
  <si>
    <t>Citas ilgtermiņa saistības.</t>
  </si>
  <si>
    <t>Saistību mērķis</t>
  </si>
  <si>
    <t>Līguma Nr.</t>
  </si>
  <si>
    <t>Trānčes Nr.</t>
  </si>
  <si>
    <t>Aizņēmuma summa</t>
  </si>
  <si>
    <t>Galvojums SIA "Ādažu ūdens"</t>
  </si>
  <si>
    <t>Līzings - jauna automašīna Volvo V60</t>
  </si>
  <si>
    <t>(Operatīvais līzings)</t>
  </si>
  <si>
    <t>Līzings - frontālais iekrāvējs</t>
  </si>
  <si>
    <t>Līzings - mikroautobuss</t>
  </si>
  <si>
    <t>Līzings - skolēnu autobuss</t>
  </si>
  <si>
    <t>Kalngales NAI</t>
  </si>
  <si>
    <t xml:space="preserve">Citas ilgtermiņa saistības kopā: </t>
  </si>
  <si>
    <t>Aizņēmumu pamatsummas atmaksa:</t>
  </si>
  <si>
    <t>Aizņēmumu procentu maksa:</t>
  </si>
  <si>
    <t>Citas ilgtermiņa saistības:</t>
  </si>
  <si>
    <t>Aizņēmumi un citas ilgtemiņa saistības kopā:</t>
  </si>
  <si>
    <t>Saistību apmērs % no pamatbudžeta ieņēmumiem:</t>
  </si>
  <si>
    <t>Pašvaldības pamatbudžeta ieņēmumi bez mērķdotācijām un iemaksām PFIF saimnieciskajā gadā:</t>
  </si>
  <si>
    <t>Ādažu pašvaldības apvienotais budžets</t>
  </si>
  <si>
    <t>KA</t>
  </si>
  <si>
    <t>2024. gads</t>
  </si>
  <si>
    <t>CKS</t>
  </si>
  <si>
    <t xml:space="preserve">Ieņēmumu daļa </t>
  </si>
  <si>
    <t xml:space="preserve">N.p.k. </t>
  </si>
  <si>
    <t>Sadaļa</t>
  </si>
  <si>
    <t>25.01.2024. grozījumi</t>
  </si>
  <si>
    <t>Izmaiņa 25.01.2024. - 28.12.2023.</t>
  </si>
  <si>
    <t xml:space="preserve">Komentāri </t>
  </si>
  <si>
    <t>28.03.2024. grozījumi</t>
  </si>
  <si>
    <t>Izmaiņa 28.03.2024. -25.01.2024.</t>
  </si>
  <si>
    <t>25.04.2024. grozījumi</t>
  </si>
  <si>
    <t>Izmaiņa 25.04.2024. -28.03.2024.</t>
  </si>
  <si>
    <t>27.06.2024. grozījumi</t>
  </si>
  <si>
    <t>Izmaiņa 27.06.2024. -25.04.2024.</t>
  </si>
  <si>
    <t>29.08.2024. grozījumi</t>
  </si>
  <si>
    <t>Izmaiņa 29.08.2024. -27.06.2024.</t>
  </si>
  <si>
    <t>24.10.2024. grozījumi</t>
  </si>
  <si>
    <t>Izmaiņa 24.10.2024. -29.08.2024.</t>
  </si>
  <si>
    <t>1., 2., 3., 4., 5.1.</t>
  </si>
  <si>
    <t>Nodokļu ieņēmumi</t>
  </si>
  <si>
    <t>1.1.1.0.</t>
  </si>
  <si>
    <t>1.</t>
  </si>
  <si>
    <t>Iedzīvotāju ienākuma nodoklis</t>
  </si>
  <si>
    <t>PB</t>
  </si>
  <si>
    <t>01.1.1.2.</t>
  </si>
  <si>
    <t>1.1.</t>
  </si>
  <si>
    <t>pārskata gada</t>
  </si>
  <si>
    <t>Uz 06.03. IIN izpilde lielāka par plānoto šajā periodā.</t>
  </si>
  <si>
    <t>Balstoties uz prognozēm, ka IIN gada griezumā varētu būt lielāks kā sākotnēji plānots. Saskaņā ar lēmumu par finanšu un ekonomisko aprēķinu jaunās skolas būvniecībai tiks novirzīts šim mērķim.</t>
  </si>
  <si>
    <t>1., 2., 3., 4.</t>
  </si>
  <si>
    <t>Nekustamā īpašuma nodokļu ieņēmumi</t>
  </si>
  <si>
    <t>4.1.1.0.</t>
  </si>
  <si>
    <t>2.</t>
  </si>
  <si>
    <t>Nekustamā īpašuma nodoklis par zemi</t>
  </si>
  <si>
    <t>04.1.1.1.</t>
  </si>
  <si>
    <t>2.1.</t>
  </si>
  <si>
    <t>04.1.1.2.</t>
  </si>
  <si>
    <t>2.2.</t>
  </si>
  <si>
    <t>iepriekšējo gadu parādi</t>
  </si>
  <si>
    <t>4.1.2.0.</t>
  </si>
  <si>
    <t>3.</t>
  </si>
  <si>
    <t>Nekustamā īpašuma nodoklis par ēkām</t>
  </si>
  <si>
    <t>04.1.2.1.</t>
  </si>
  <si>
    <t>3.1.</t>
  </si>
  <si>
    <t xml:space="preserve">pārskata gada </t>
  </si>
  <si>
    <t>04.1.2.2.</t>
  </si>
  <si>
    <t>3.2.</t>
  </si>
  <si>
    <t>4.1.3.0.</t>
  </si>
  <si>
    <t>4.</t>
  </si>
  <si>
    <t>Nekustamā īpašuma nodoklis par mājokļiem un inženierbūvēm</t>
  </si>
  <si>
    <t>04.1.3.1.</t>
  </si>
  <si>
    <t>4.1.</t>
  </si>
  <si>
    <t>04.1.3.2.</t>
  </si>
  <si>
    <t>4.2.</t>
  </si>
  <si>
    <t>5.</t>
  </si>
  <si>
    <t>Nodokļi un maksājumi par tiesībām lietot atsevišķas preces</t>
  </si>
  <si>
    <t>5.4.1.0.</t>
  </si>
  <si>
    <t>5.1.</t>
  </si>
  <si>
    <t>Azartspēļu nodoklis</t>
  </si>
  <si>
    <t>5.5.3.1.</t>
  </si>
  <si>
    <t>Dabas resursu nodoklis</t>
  </si>
  <si>
    <t>9.0.0.0.</t>
  </si>
  <si>
    <t>6.</t>
  </si>
  <si>
    <t>Valsts (pašvaldību) un kancelejas nodevas</t>
  </si>
  <si>
    <t>9.4.0.0.</t>
  </si>
  <si>
    <t>6.1.</t>
  </si>
  <si>
    <t>valsts nodevas</t>
  </si>
  <si>
    <t>09.4.2.0.</t>
  </si>
  <si>
    <t>6.1.1.</t>
  </si>
  <si>
    <t>t.sk.: - par apliecinājumiem un citu funkciju pildīšanu bāriņtiesā</t>
  </si>
  <si>
    <t>09.4.5.0.</t>
  </si>
  <si>
    <t>6.1.2.</t>
  </si>
  <si>
    <t>t.sk.: - par civilstāvokļa aktu reģistrēšanu, grozīšanu un papildināšanu</t>
  </si>
  <si>
    <t>09.4.9.0.</t>
  </si>
  <si>
    <t>6.1.3.</t>
  </si>
  <si>
    <t>t.sk.: - pārējās valsts nodevas, kuras ieskaita pašvaldību budžetā</t>
  </si>
  <si>
    <t>9.5.0.0.</t>
  </si>
  <si>
    <t>6.2.</t>
  </si>
  <si>
    <t>pašvaldību nodevas</t>
  </si>
  <si>
    <t>09.5.1.1.</t>
  </si>
  <si>
    <t>6.2.1.</t>
  </si>
  <si>
    <t>t.sk.: - nodeva par domes izstrādāto oficiālo dokumentu saņemšanu</t>
  </si>
  <si>
    <t>09.5.1.2.</t>
  </si>
  <si>
    <t>6.2.2.</t>
  </si>
  <si>
    <t>t.sk.: - nodeva par izklaidējoša rakstura pasākumu sarīkošanu publiskās vietās</t>
  </si>
  <si>
    <t>09.5.1.4.</t>
  </si>
  <si>
    <t>6.2.3.</t>
  </si>
  <si>
    <t>t.sk.: - nodeva par tirdzniecību publiskās vietās</t>
  </si>
  <si>
    <t xml:space="preserve">Saskaņā ar 28.03.2024. lēmumu Nr. 119, ieņēmumu palielinājums pārcelts arī uz izdevumu sadaļu GS rīkošanai. (EUR 21'000 (EUR 7'000 tirdzniecības nodevas; EUR 9'000 ieņēmumi par telpu nomu; 5'000 pārējie ieņēmumi)). </t>
  </si>
  <si>
    <t>09.5.1.7.</t>
  </si>
  <si>
    <t>6.2.4.</t>
  </si>
  <si>
    <t>t.sk.: - nodeva par reklāmas, afišu un sludinājumu izvietošanu publiskās vietās</t>
  </si>
  <si>
    <t>09.5.2.1.</t>
  </si>
  <si>
    <t>6.2.5.</t>
  </si>
  <si>
    <t>t.sk.: - nodeva par būvatļaujas saņemšanu</t>
  </si>
  <si>
    <t>09.5.2.9.</t>
  </si>
  <si>
    <t>6.2.6.</t>
  </si>
  <si>
    <t>t.sk.: - pārējās nodevas</t>
  </si>
  <si>
    <t>10.0.0.0.</t>
  </si>
  <si>
    <t>7.</t>
  </si>
  <si>
    <t>Naudas sodi un sankcijas</t>
  </si>
  <si>
    <t>10.1.4.0.</t>
  </si>
  <si>
    <t>7.1.</t>
  </si>
  <si>
    <t>Palielinājums, balstoties uz faktisko izpildi.</t>
  </si>
  <si>
    <t>Plāna palielinājums, balstoties uz faktisko izpildi.</t>
  </si>
  <si>
    <t>10.1.5.0.</t>
  </si>
  <si>
    <t>7.2.</t>
  </si>
  <si>
    <t>Naudas sodi, ko uzliek par pārkāpumiem ceļu satiksmē</t>
  </si>
  <si>
    <t>12.0.0.0.</t>
  </si>
  <si>
    <t>8.</t>
  </si>
  <si>
    <t>Pārējie nenodokļu ieņēmumi</t>
  </si>
  <si>
    <t>12.3.9.9.; 8.3.9.0.; 8.6.1.2.</t>
  </si>
  <si>
    <t>8.1.</t>
  </si>
  <si>
    <t>citi nenodokļu ieņēmumi</t>
  </si>
  <si>
    <t>Konta atlikuma nakts depozīta ieņēmumi.</t>
  </si>
  <si>
    <t>Procentu ieņēmumi no nakts depozīta (šobrīd + EUR 9'309 pret plānoto).</t>
  </si>
  <si>
    <t>Procentu ieņēmumi no nakts depozīta. (Saskaņā ar 30.05.2024. lēmumu Nr. 185 novirzīts projektam pastaigu celiņa izbūve gar Gaujas-Baltezera kanālu)</t>
  </si>
  <si>
    <t>1) Procentu ieņēmumi no nakts depozīta (šobrīd + EUR 26'000 pret plānoto).
2) Iedzīvotāju līdzfinansējums Mežmalas ielas atjaunošanai EUR 31'000. (0645)</t>
  </si>
  <si>
    <t xml:space="preserve">Procentu ieņēmumi no nakts depozīta (šobrīd + EUR 10'000 pret plānoto).
Plāna palielinājums, balstoties uz faktisko izpildi.
</t>
  </si>
  <si>
    <t>12.3.9.5.</t>
  </si>
  <si>
    <t>8.2.</t>
  </si>
  <si>
    <t>līgumsodi un procentu maksājumi par saistību neizpildi</t>
  </si>
  <si>
    <t>8.3.</t>
  </si>
  <si>
    <t>ieņēmumi no zvejas tiesību nomas</t>
  </si>
  <si>
    <t>13.1.0.0.</t>
  </si>
  <si>
    <t>9.</t>
  </si>
  <si>
    <t>Ieņēmumi no pašvaldības īpašuma pārdošana</t>
  </si>
  <si>
    <t>Saņemta nauda no izsolēm. Kopsummā izpilde par EUR 23'095 lielāka kā gada plāns.</t>
  </si>
  <si>
    <t>10.</t>
  </si>
  <si>
    <t>Valsts budžeta transferti un projektu finansējums</t>
  </si>
  <si>
    <t>10.1.</t>
  </si>
  <si>
    <t>Valsts budžeta transferti</t>
  </si>
  <si>
    <t>mērķdotācija</t>
  </si>
  <si>
    <t>18.6.2.3.</t>
  </si>
  <si>
    <t>10.1.1.</t>
  </si>
  <si>
    <t>dotācija mākslas skolas algām</t>
  </si>
  <si>
    <t>Precizēta MD</t>
  </si>
  <si>
    <t>Precizēts mērķdotācijas apjoms sept.-dec.</t>
  </si>
  <si>
    <t>18.6.2.4.</t>
  </si>
  <si>
    <t>10.1.2.</t>
  </si>
  <si>
    <t>dotācija sporta skolai</t>
  </si>
  <si>
    <t xml:space="preserve">Precizēta MD </t>
  </si>
  <si>
    <t>Precizēts mērķdotācijas apjoms</t>
  </si>
  <si>
    <t>18.6.2.10.; 18.6.2.11</t>
  </si>
  <si>
    <t>10.1.3.</t>
  </si>
  <si>
    <t>dotācija skolēnu ēdināšanai</t>
  </si>
  <si>
    <t>18.6.2.5.</t>
  </si>
  <si>
    <t>10.1.4.</t>
  </si>
  <si>
    <t>dotācija mācību līdzekļiem</t>
  </si>
  <si>
    <t>MD mācību līdzekļiem 2024.gadam (sadalās starp izgl. iestādēm)</t>
  </si>
  <si>
    <t xml:space="preserve">  10.1.4.1.</t>
  </si>
  <si>
    <t>t.sk.: - dotācija mācību grāmatām</t>
  </si>
  <si>
    <t xml:space="preserve">  10.1.4.2.</t>
  </si>
  <si>
    <t>t.sk.: - dotācija digitālajiem mācību līdzekļiem</t>
  </si>
  <si>
    <t>18.6.2.0.</t>
  </si>
  <si>
    <t>10.1.5.</t>
  </si>
  <si>
    <t>dotācijas pedagogu algām (vsk., PII)</t>
  </si>
  <si>
    <t>18.6.2.2.</t>
  </si>
  <si>
    <t xml:space="preserve">  10.1.5.1.</t>
  </si>
  <si>
    <t>t.sk.: - piecgadīgo bērnu apmācība</t>
  </si>
  <si>
    <t>18.6.2.1.</t>
  </si>
  <si>
    <t xml:space="preserve">  10.1.5.2.</t>
  </si>
  <si>
    <t>t.sk.: - skolotāju algām</t>
  </si>
  <si>
    <t xml:space="preserve">  10.1.5.3.</t>
  </si>
  <si>
    <t>t.sk.: - interešu izglītība</t>
  </si>
  <si>
    <t>18.6.2.9.</t>
  </si>
  <si>
    <t>10.1.6.</t>
  </si>
  <si>
    <t>dotācija māksliniecisko kolektīvu vadītāju atalgojumam</t>
  </si>
  <si>
    <t>18.6.3.1.</t>
  </si>
  <si>
    <t>10.1.7.</t>
  </si>
  <si>
    <t>Projekts "Skolas soma" Ādaži</t>
  </si>
  <si>
    <t>Jauns līgums 2024.gadam.</t>
  </si>
  <si>
    <t>10.1.8.</t>
  </si>
  <si>
    <t>Projekts "Skolas soma" Carnikava</t>
  </si>
  <si>
    <t>18.6.2.7.</t>
  </si>
  <si>
    <t>10.1.9.</t>
  </si>
  <si>
    <t>dotācija asistenta pakalpojumu nodrošināšanai</t>
  </si>
  <si>
    <t>10.1.10.</t>
  </si>
  <si>
    <t>dotācija sociālajiem darbiniekiem, kuri strādā ar ģimenēm un bērniem</t>
  </si>
  <si>
    <t>AM līdzfinansējums Vecštāles ceļa rekonstrukcijai</t>
  </si>
  <si>
    <t>0420 (18.6.2.9.)</t>
  </si>
  <si>
    <t>10.1.11.</t>
  </si>
  <si>
    <t>valsts dotācija ceļu uzturēšanai</t>
  </si>
  <si>
    <t>Precizēta dotācija +59'292, papildus dotācija par pārņemtajiem ceļiem EUR 1'248</t>
  </si>
  <si>
    <t>Precizēta dotācija par papildus pārņemtajiem ceļiem EUR 3966</t>
  </si>
  <si>
    <t>Valsts finansējums projektu konkursā "Atbalsts jaunatnes politikas īstenošanai vietējā līmenī" Projekts "Mobilais darbs ar jaunatni Ādažu novadā"</t>
  </si>
  <si>
    <t>10.1.12.</t>
  </si>
  <si>
    <t>Dotācijas Ukrainas pilsoņu atbalstam</t>
  </si>
  <si>
    <t>10.1.13.</t>
  </si>
  <si>
    <t>Dotācijas "Energoresursu atbalsts"</t>
  </si>
  <si>
    <t>18.6.2.6.1.</t>
  </si>
  <si>
    <t>10.1.14.</t>
  </si>
  <si>
    <t>Dotācija nodarbinātības pasākumiem</t>
  </si>
  <si>
    <t>0630</t>
  </si>
  <si>
    <t>18.6.2.9.;</t>
  </si>
  <si>
    <t>10.1.15.</t>
  </si>
  <si>
    <t>pārējās dotācijas</t>
  </si>
  <si>
    <t>Valsts finansējums parakstu vākšanai tautas nobalsošanas ierosināšanai par apturēto likumu “Grozījumi Notariāta likumā”</t>
  </si>
  <si>
    <t>CVK finansējums Eiropas parlamenta vēlēšanu nodrošināšanai</t>
  </si>
  <si>
    <t>10.2.</t>
  </si>
  <si>
    <t>ES struktūrfondu līdzekļi un aktivitāšu līdzfinansējumi</t>
  </si>
  <si>
    <t>0634</t>
  </si>
  <si>
    <t>18.6.3.6.</t>
  </si>
  <si>
    <t>10.2.1.</t>
  </si>
  <si>
    <t>Plūdu risku projekts</t>
  </si>
  <si>
    <t>Precizēta projekta NP</t>
  </si>
  <si>
    <t>10.2.2.</t>
  </si>
  <si>
    <t>Pastaigu taka gar Baltezera kanālu</t>
  </si>
  <si>
    <t>18.6.3.4</t>
  </si>
  <si>
    <t>10.2.3.</t>
  </si>
  <si>
    <t>LAD, Jūras Zeme projekts, Mākslu skolas ārtelpas projekts Garā iela 20, Carnikavā</t>
  </si>
  <si>
    <t>10.2.4.</t>
  </si>
  <si>
    <t>Publiskās ārtelpas izveide Gaujas ielā 31 Ādažos</t>
  </si>
  <si>
    <t>Precizēta naudas plūsma</t>
  </si>
  <si>
    <t>10.2.5.</t>
  </si>
  <si>
    <t>Projekts "Eiropas pilsētu iniciatīva"</t>
  </si>
  <si>
    <t>10.2.6.</t>
  </si>
  <si>
    <t>Projekts jauniešu asociāciju federācija Eiropas mobilitātei. CERV programmas projekts "YOUTth and democracy: empowering Europe's next generation"</t>
  </si>
  <si>
    <t>10.2.7.</t>
  </si>
  <si>
    <t>Projekts par energokopienām. Magliano Alpi pašvaldības Itālijā CERV Town Twinning programmas projektsa ietvaros</t>
  </si>
  <si>
    <t>0632.6</t>
  </si>
  <si>
    <t>10.2.8.</t>
  </si>
  <si>
    <t>LIFE NewBauhaus projekts</t>
  </si>
  <si>
    <t>10.2.9.</t>
  </si>
  <si>
    <t>Dalība atveseļošanas un noturības mehānisma pasākumā “Atbalsta pasākumi cilvēkiem ar invaliditāti mājokļu vides pieejamības nodrošināšanai”</t>
  </si>
  <si>
    <t>Saskaņā ar projekta nosacījumiem, tiks ieskaitīts avanss EUR 18'299</t>
  </si>
  <si>
    <t xml:space="preserve">18.6.3.13. </t>
  </si>
  <si>
    <t>10.2.10.</t>
  </si>
  <si>
    <t>SAM 9.2.4.2. projekts "Pasākumi vietējās sabiedrības veselības veicināšanai Ādažu novadā"</t>
  </si>
  <si>
    <t xml:space="preserve">18.6.3.14.  </t>
  </si>
  <si>
    <t>10.2.11.</t>
  </si>
  <si>
    <t>VISA projekts "Atbalsts izglītojamo individuālo kompetenču attīstībai"</t>
  </si>
  <si>
    <t>10.2.12.</t>
  </si>
  <si>
    <t>SAM 9311 Deinstitucionalizācija - Dienas centrs - specializētās darbnīcas</t>
  </si>
  <si>
    <t>10.2.13.</t>
  </si>
  <si>
    <t>Dienas centrs - pakalpojumi (Ā)</t>
  </si>
  <si>
    <t>10.2.14.</t>
  </si>
  <si>
    <t>ESF projekts Atbalsts priekšlaicīgas mācību pārtraukšanas samazināšanai ©</t>
  </si>
  <si>
    <t>18.6.3.20.</t>
  </si>
  <si>
    <t>10.2.15.</t>
  </si>
  <si>
    <t>SAM 5.5.1. Kultūras objektu būvniecība ©</t>
  </si>
  <si>
    <t>10.2.16.</t>
  </si>
  <si>
    <t>ERASMUS + projekti</t>
  </si>
  <si>
    <t>Precizēta projektu naudas plūsma, balstoties uz noslēgtajiem līgumiem - izdevumos zem Carnikavas vidusskolas</t>
  </si>
  <si>
    <t>10.2.17.</t>
  </si>
  <si>
    <t xml:space="preserve"> ”Mobilitātes punkta infrastruktūras izveidošana Rīgas metropoles areālā – “Carnikava””</t>
  </si>
  <si>
    <t>10.2.18.</t>
  </si>
  <si>
    <t>10.2.19.</t>
  </si>
  <si>
    <t>Ģimenes ārsta prakses izveide_Garā iela 20 (ERAF, SAM 9.3.2. 4.kārta)</t>
  </si>
  <si>
    <t>0633.6</t>
  </si>
  <si>
    <t>10.2.20.</t>
  </si>
  <si>
    <t>Pēc lēmuma precizēta naudas plūsma.</t>
  </si>
  <si>
    <t>18.6.4.0.</t>
  </si>
  <si>
    <t>10.3.</t>
  </si>
  <si>
    <t>IIN budžeta dotācija</t>
  </si>
  <si>
    <t>11.</t>
  </si>
  <si>
    <t>Pašvaldību budžeta transferti</t>
  </si>
  <si>
    <t>19.2.1.0.</t>
  </si>
  <si>
    <t>11.1.</t>
  </si>
  <si>
    <t>no citām pašvaldībām izglītības funkciju nodrošināšanai</t>
  </si>
  <si>
    <t>Balstoties uz precizētajiem aprēķiniem.</t>
  </si>
  <si>
    <t>19.2.2.0.</t>
  </si>
  <si>
    <t>11.2.</t>
  </si>
  <si>
    <t>citi ieņēmumi no citām pašvaldībam</t>
  </si>
  <si>
    <t>12.</t>
  </si>
  <si>
    <t>Budžeta iestāžu ieņēmumi</t>
  </si>
  <si>
    <t>21.3.5.0.</t>
  </si>
  <si>
    <t>12.1.</t>
  </si>
  <si>
    <t>maksa par izglītības pakalpojumiem</t>
  </si>
  <si>
    <t>21.3.5.2.</t>
  </si>
  <si>
    <t>12.1.1.</t>
  </si>
  <si>
    <t>ieņēmumi no vecāku maksām (PII)</t>
  </si>
  <si>
    <t>21.3.5.9.</t>
  </si>
  <si>
    <t>12.1.2.</t>
  </si>
  <si>
    <t>ieņēmumi no vecāku maksām (ĀMMS; BJSS)</t>
  </si>
  <si>
    <t>12.2.</t>
  </si>
  <si>
    <t>pārrobežu projektu ieņēmumi ©</t>
  </si>
  <si>
    <t>12.2.1.</t>
  </si>
  <si>
    <t>ES Padomes projekts LIFE COHABIT ©</t>
  </si>
  <si>
    <t>0630.2</t>
  </si>
  <si>
    <t>12.2.2.</t>
  </si>
  <si>
    <t>pārrobežu EST-LAT projekts "Militārais mantojums</t>
  </si>
  <si>
    <t>21.3.8.0.</t>
  </si>
  <si>
    <t>12.3.</t>
  </si>
  <si>
    <t>ieņēmumi par nomu un īri</t>
  </si>
  <si>
    <t>21.3.8.1.</t>
  </si>
  <si>
    <t>12.3.1.</t>
  </si>
  <si>
    <t>ieņēmumi par telpu nomu</t>
  </si>
  <si>
    <t xml:space="preserve">1) Balstoties uz faktisko izpildi, prognoze, ka līdz gada beigām būs lielāki ieņēmumi kā plānots (Sporta daļa)
2) Saskaņā ar 28.03.2024. lēmumu Nr. 119, ieņēmumu palielinājums pārcelts arī uz izdevumu sadaļu GS rīkošanai. (EUR 21'000 (EUR 7'000 tirdzniecības nodevas; EUR 9'000 ieņēmumi par telpu nomu; 5'000 pārējie ieņēmumi)). </t>
  </si>
  <si>
    <t>Balstoties uz faktisko izpildi un precizētajiem aprēķiniem.</t>
  </si>
  <si>
    <t>21.3.8.4.</t>
  </si>
  <si>
    <t>12.3.2.</t>
  </si>
  <si>
    <t>ieņēmumi par zemes nomu</t>
  </si>
  <si>
    <t>21.3.8.9.</t>
  </si>
  <si>
    <t>12.3.3.</t>
  </si>
  <si>
    <t>pārējie ieņēmumi par nomu ©</t>
  </si>
  <si>
    <t>21.3.9.0.</t>
  </si>
  <si>
    <t>12.4.</t>
  </si>
  <si>
    <t>budžeta iestāžu maksas pakalpojumi</t>
  </si>
  <si>
    <t>0812</t>
  </si>
  <si>
    <t>12.4.1.</t>
  </si>
  <si>
    <t>21.3.9.3.</t>
  </si>
  <si>
    <t>12.4.2.</t>
  </si>
  <si>
    <t>ieņēmumi no biļešu realizācijas</t>
  </si>
  <si>
    <t>21.3.9.4.</t>
  </si>
  <si>
    <t>12.4.3.</t>
  </si>
  <si>
    <t>ieņēmumi no dzīvokļu un komunālajiem pakalpojumiem ©</t>
  </si>
  <si>
    <t>KA nepalielina izdevumus, bet samazina plānotos ieņēmumus</t>
  </si>
  <si>
    <t>Atlikta saimnieciskās darbības nodalīšana no CKS EUR 680'342 (ieņēmumu un izdevumu sadaļā)</t>
  </si>
  <si>
    <t>21.3.9.9.; CKS</t>
  </si>
  <si>
    <t>12.5.</t>
  </si>
  <si>
    <t>pārējie ieņēmumi/stāvvietu ieņēmumi</t>
  </si>
  <si>
    <t>Finansējums Piekrastes apsaimniekošanai ieskaitīts 2023.gada beigās (stāv KA)</t>
  </si>
  <si>
    <t>Ieņēmumu pārpilde par maksas stāvvietām (CKS)</t>
  </si>
  <si>
    <t>KOPĀ IEŅĒMUMI:</t>
  </si>
  <si>
    <t>13.</t>
  </si>
  <si>
    <t>Naudas līdzekļu atlikums gada sākumā</t>
  </si>
  <si>
    <t>13.1.</t>
  </si>
  <si>
    <t>Naudas atlikums iezīmētiem mērķiem</t>
  </si>
  <si>
    <t>EUR 104'970 DRN; 
EUR 230 Nodarbinātība; 
EUR - 1 Plūdi; 
EUR 750 ind. komp. att.; 
EUR - 1'034 DI soc. pakalp.; 
EUR - 1'841 Atbalsts priekšlaicīgas māc. Pārtraukš. Samaz.; 
EUR 19'357 Carn. Stad (VK aizņēmums); 
EUR 1'832 Mākslas skolas dotāc; 
EUR 41 ĀBJSS dotāc.; 
EUR 1'093 Aotoceļu MD; 
EUR 13'000 drošības nauda CKS (jāatmaksā); 
EUR 168'382 CKS Saimnieciskā darbība; 
EUR 10'621 Piekrastes apsaimn.; 
EUR 3'808 5-6 gad. MD; 
EUR 904 māc. līdz. MD; 
EUR 17'685 MD pedag.+interešu izgl; 
EUR 76'439 MD ēdināš; 
EUR 38'150 DI darbnīcas;
EUR 31'285 Atskaitīts LAD finansējums Salas dambim (jāatgriež kredīts)
EUR 133'640 Atskaitīts LAD finansējums Lilastes stāvlaukumam (jāatgriež kredīts)</t>
  </si>
  <si>
    <t>13.2.</t>
  </si>
  <si>
    <t>Naudas atlikums pašvaldības līdzekļi</t>
  </si>
  <si>
    <t xml:space="preserve">14. </t>
  </si>
  <si>
    <t>Valsts Kases kredīti</t>
  </si>
  <si>
    <t>14.1.</t>
  </si>
  <si>
    <t>14.2.</t>
  </si>
  <si>
    <t>0630; 0903</t>
  </si>
  <si>
    <t>Jaunas pirmsskolas izglītības iestādes Podniekos</t>
  </si>
  <si>
    <t>Līgums ar CFLA nav noslēgts, līdz ar to zināms, ka projektēšana pilnā apmērā jāmaksā no pašvaldības.</t>
  </si>
  <si>
    <t>F40321210</t>
  </si>
  <si>
    <t>SAM 5.1.1. Pretplūdu pasākumi Ādažu centra polderī, Ādažu novadā</t>
  </si>
  <si>
    <t>Precizēta aizņēmumu summa pēc līguma summas pārcelšanas no 2023.gada</t>
  </si>
  <si>
    <t>14.5.</t>
  </si>
  <si>
    <t>14.6.</t>
  </si>
  <si>
    <t>0954</t>
  </si>
  <si>
    <t>14.3.</t>
  </si>
  <si>
    <t>Ādažu vidusskolas ēkas B korpusa un savienojuma daļas starp korpusiem (C un B) fasādes atjaunošana</t>
  </si>
  <si>
    <t>Decembra rēķins izrakstīts 30.12., samaksa pārceļas uz 2024.gadu, pārcelts 2023.gada aizņēmuma neizņemtais atlikums.</t>
  </si>
  <si>
    <t>14.4.</t>
  </si>
  <si>
    <t>Ādažu vidusskolas ēkas A korpusa, savienojuma daļas starp korpusiem (A un B), kā arī, vidusskolas centrālās daļas, tai skaitā torņa fasādes atjaunošana.</t>
  </si>
  <si>
    <t>14.10.</t>
  </si>
  <si>
    <t>Katlu mājas pārbūve Carnikavā, Tulpju iela 5</t>
  </si>
  <si>
    <t>14.11.</t>
  </si>
  <si>
    <t>Ķiršu ielas III kārta no Saules ielas līdz Attekas ielai 0.17km</t>
  </si>
  <si>
    <t>14.12.</t>
  </si>
  <si>
    <t>Draudzības iela posmā no Saules ielai līdz Podnieku ielai ar ietvi 0.35km</t>
  </si>
  <si>
    <t>PAVISAM KOPĀ IEŅĒMUMI:</t>
  </si>
  <si>
    <t xml:space="preserve">Izdevumu daļa </t>
  </si>
  <si>
    <t>Izmaiņa 23.03.2023. - 26.01.2023.</t>
  </si>
  <si>
    <t>Komentāri</t>
  </si>
  <si>
    <t>Izmaiņa 27.03.2024. -25.01.2024.</t>
  </si>
  <si>
    <t>Vispārējie valdības dienesti</t>
  </si>
  <si>
    <t>0110</t>
  </si>
  <si>
    <t>pārvalde</t>
  </si>
  <si>
    <r>
      <rPr>
        <b/>
        <u/>
        <sz val="11"/>
        <rFont val="Times New Roman"/>
        <family val="1"/>
        <charset val="186"/>
      </rPr>
      <t>Iekš. groz.:</t>
    </r>
    <r>
      <rPr>
        <sz val="11"/>
        <rFont val="Times New Roman"/>
        <family val="1"/>
        <charset val="186"/>
      </rPr>
      <t xml:space="preserve"> EUR 12'100 no plānotā LPS biedra naudai EKK 2239 uz EKK 2232 iekšējā audita pakalpojuma apmaksai.</t>
    </r>
  </si>
  <si>
    <t>0111</t>
  </si>
  <si>
    <t>1.2.</t>
  </si>
  <si>
    <t>deputāti</t>
  </si>
  <si>
    <t>0130</t>
  </si>
  <si>
    <t>1.3.</t>
  </si>
  <si>
    <t>administratīvā komisija</t>
  </si>
  <si>
    <t>0140</t>
  </si>
  <si>
    <t>1.4.</t>
  </si>
  <si>
    <t>iepirkumu komisija</t>
  </si>
  <si>
    <t>0120</t>
  </si>
  <si>
    <t>1.5.</t>
  </si>
  <si>
    <t>vēlēšanu komisija</t>
  </si>
  <si>
    <t>0150</t>
  </si>
  <si>
    <t>1.6.</t>
  </si>
  <si>
    <t>pārējās komisijas</t>
  </si>
  <si>
    <t>1.7.</t>
  </si>
  <si>
    <t>aizņēmumu procentu maksājumi</t>
  </si>
  <si>
    <t>EUR 50'687 aizņēmumu % maksājumu plānotās kopsummas samazinājums uz projekta Pastaigu taka gar Baltezera kanālu budžetu (30.05.2024. ĀND lēmums # 185)</t>
  </si>
  <si>
    <t>Balstoties uz faktisko izpildi veidojas ekonomija, kas tiks novirzīts katlu mājas remontam.</t>
  </si>
  <si>
    <t>1.8.</t>
  </si>
  <si>
    <t>Iemaksas PFIF</t>
  </si>
  <si>
    <t>Uz 06.03. IIN izpilde lielāka par plānoto šajā periodā, līdz ar to arī palielinās iemaksas izlīdzināšanas fondā.</t>
  </si>
  <si>
    <t>0170</t>
  </si>
  <si>
    <t>1.9.</t>
  </si>
  <si>
    <t>Informācijas tehnoloģiju nodaļa, vispārējas nozīmes dienestu darbība un pakalpojumi - datortīkla uzturēšana ©</t>
  </si>
  <si>
    <t>Ekonomija uz neaizpildītajām vakancēm</t>
  </si>
  <si>
    <t>Pārējie vispārēja rakstura transferti</t>
  </si>
  <si>
    <t>0610</t>
  </si>
  <si>
    <t>Izdevumi neparedzētiem gadījumiem</t>
  </si>
  <si>
    <t>0340</t>
  </si>
  <si>
    <t>Sabiedriskā kārtība un drošība</t>
  </si>
  <si>
    <t>Uzkopšanas gada maksa ielikta CKS, bet janvāra maksājums vēl jāveic caur policijas budžetu</t>
  </si>
  <si>
    <t>EUR 13'315 no dotācijas ceļu uzturēšanai uz Pašvaldības policiju ātruma kontroles mērierīces iegādei.</t>
  </si>
  <si>
    <t>EUR 102 uzturēšana, ko veic CKS</t>
  </si>
  <si>
    <t>Papildus līdzekļi klaiņojošo dzīvnieku veterinājajai aprūpei.</t>
  </si>
  <si>
    <t>Ekonomiskā darbība</t>
  </si>
  <si>
    <t>0490</t>
  </si>
  <si>
    <t>Sabiedriskās attiecības, laikraksts</t>
  </si>
  <si>
    <t>4.1.1.</t>
  </si>
  <si>
    <t>Sabiedrisko attiecību nodaļa</t>
  </si>
  <si>
    <t>Avīzes drukai noslēdzies iepirkums, papildus iebudžetētajam nepieciešami EUR 3283, jo pirmos mēnešus vēl lielā cena. Nepieciešamā summa pārcelta no nodaļas sadaļas datotehnika un informatīvie baneri. EUR 544 papildus nepieciešami avīzes izplatīšanai, no drukas, vizualizācijas un publ. aptaujām.</t>
  </si>
  <si>
    <t>EUR 660 no finansējuma publiskajām apspriešanām, reklāmām uz sadaļu"Ādažu vēstis" izplatīšanas izmaksu pieaugumam.</t>
  </si>
  <si>
    <t>4.1.2.</t>
  </si>
  <si>
    <t>Ādažu vēstis</t>
  </si>
  <si>
    <t>0420</t>
  </si>
  <si>
    <t>Autoceļu fonds</t>
  </si>
  <si>
    <t>KA EUR 1'093, precizēta dotācija +59'292, papildus dotācija par pārņemtajiem ceļiem EUR 1'248</t>
  </si>
  <si>
    <t>Vides aizsardzība</t>
  </si>
  <si>
    <t>0510</t>
  </si>
  <si>
    <t>Dabas resursu nodokļa izlietojums</t>
  </si>
  <si>
    <t>Pašvaldības teritoriju un mājokļu apsaimniekošana</t>
  </si>
  <si>
    <t>0620</t>
  </si>
  <si>
    <t>Būvvalde</t>
  </si>
  <si>
    <t>0660</t>
  </si>
  <si>
    <t>6.3.</t>
  </si>
  <si>
    <t>Teritorijas plānošanas nodaļa</t>
  </si>
  <si>
    <r>
      <rPr>
        <b/>
        <sz val="11"/>
        <rFont val="Times New Roman"/>
        <family val="1"/>
        <charset val="186"/>
      </rPr>
      <t>Iekš. groz.:</t>
    </r>
    <r>
      <rPr>
        <sz val="11"/>
        <rFont val="Times New Roman"/>
        <family val="1"/>
        <charset val="186"/>
      </rPr>
      <t xml:space="preserve"> EKK korekcija 1) “Ādažu novada ainavu plāns, tematiskais plānojums” - Tas ir ilgtspējas dokuments kas ir jau pabeigts. Tāpēc šim mērķim 2024.gadā plānotie EUR 38’526 jāpārceļ no EKK 2239 uz EKK ir 5110 “Attīstības pasākumi un programmas”.
2)  “Ādažu novada transporta attīstības plans” - Tas ir ilgtspējas dokuments līdz 2037.gadam, kas norādīts iepirkuma tehniskajā specifikācijā. Tāpēc šim mērķim 2024.gadā plānotie EUR 40’600 jāpārceļ no EKK 2239 uz EKK ir 5140 “Nemateriālo ieguldījumu izveidošana”.</t>
    </r>
  </si>
  <si>
    <t>6.4.</t>
  </si>
  <si>
    <t>Attīstības un projektu nodaļa</t>
  </si>
  <si>
    <t>6.4.1.</t>
  </si>
  <si>
    <t>nodaļa</t>
  </si>
  <si>
    <r>
      <rPr>
        <u/>
        <sz val="11"/>
        <rFont val="Times New Roman"/>
        <family val="1"/>
        <charset val="186"/>
      </rPr>
      <t>1) EUR 2'000 no konta atlikuma apmeklētāju skaitītāja nomaiņai Atpūtas takā dabas parkā “Piejūra”
2)</t>
    </r>
    <r>
      <rPr>
        <b/>
        <u/>
        <sz val="11"/>
        <rFont val="Times New Roman"/>
        <family val="1"/>
        <charset val="186"/>
      </rPr>
      <t xml:space="preserve"> Iekš. groz.:</t>
    </r>
    <r>
      <rPr>
        <sz val="11"/>
        <rFont val="Times New Roman"/>
        <family val="1"/>
        <charset val="186"/>
      </rPr>
      <t xml:space="preserve"> EUR 13'541 no Z-svētku rotājumu finansējuma CoHabit finansējuma atmaksai no EKK 2239 uz EKK 7246</t>
    </r>
  </si>
  <si>
    <t>1) - EUR 7'349 ekonomija uz neaizpildītajām vakancēm;
2) No mobilitātes punkta projekta EUR 5'000 uzņēmējdarbības konkuram izmaksu iegumu analīzes veikšanai un EUR 26'640 tehniskā projekta izstrādāšanai.</t>
  </si>
  <si>
    <t>1) EUR 5'801 no Attīstības nodaļas (ekonomija uz vakancēm) uz projektu Mākslu skolas ārtelpas labiekārtošana. (30.05.2024. ĀND lēmums # 223)
2) EUR 44'284 - ANM pasākuma "Atbalsta pasākumi cilvēkiem ar invaliditāti mājokļu vides pieejamības nodrošināšanai" projekts - Pārcelts uz jaunu struktūru 1018; 
3) Noslēdzies iepirkums uzņēmējdarbības konkursa tehniskā projekta izstrādāšanai par summu EUR 23'293 (aprīļa grozījumos šim mērķim tika pārcelti EUR 26'640 no mobilitātes punkta projekta). Starpība EUR 3'347 atgriezts mobilitātes projektam.</t>
  </si>
  <si>
    <t>1) EUR 44'284 - ANM pasākuma "Atbalsta pasākumi cilvēkiem ar invaliditāti mājokļu vides pieejamības nodrošināšanai" projekts - jūnijā pārcelts uz jaunu struktūru 1018 - jāceļ no izceltā projekta nevis attīst. daļas;
2)  EUR 85'085 - Krastupes ielas projekts - Pārcelts uz atsevišķu struktūru 0631.2; 
3) EUR 120'000 - Jaunais plūdu projekts - Pārcelts uz atsevišķu struktūru 0634.1;
4) EUR 19'840 Saskaņā ar lēmumu par finanšu un ekonomisko aprēķinu jaunās skolas būvniecībai;
5) EUR 8'000 Blusu kroga tehniskajai apsekošanai. (EUR 5'000 no AP nodaļas talgojuma ekonomijas, EUR 1'500 no Novadpētniecības centra un EUR 1'500 no tūrisma sadaļas).</t>
  </si>
  <si>
    <t>0630.1</t>
  </si>
  <si>
    <t>6.4.2.</t>
  </si>
  <si>
    <t>Projekts "Sabiedrība ar dvēseli"</t>
  </si>
  <si>
    <t>6.4.3.</t>
  </si>
  <si>
    <t>Iedzīvotāju iniciatīvas un konkursi.</t>
  </si>
  <si>
    <t>0632.5</t>
  </si>
  <si>
    <t>6.4.4.</t>
  </si>
  <si>
    <t>TEP “Atjaunojamo energoresursu izmantošana Ādažu novadā” (EUCF)</t>
  </si>
  <si>
    <t>0633.1</t>
  </si>
  <si>
    <t>6.4.5.</t>
  </si>
  <si>
    <t>”Mobilitātes punkta infrastruktūras izveidošana Rīgas metropoles areālā – “Carnikava””</t>
  </si>
  <si>
    <t>Pēc naudas plūsmas 2024.gadā mazāks finansējuma apjoms. No mobilitātes punkta proejekta EUR 5'000 uzņēmējdarbības konkuram izmaksu iegumu analīzes veikšanai un EUR 26'640 tehniskā projekta izstrādāšanai.</t>
  </si>
  <si>
    <t>Noslēdzies iepirkums uzņēmējdarbības konkursa tehniskā projekta izstrādāšanai par summu EUR 23'293 (aprīļa grozījumos šim mērķim tika pārcelti EUR 26'640 no mobilitātes punkta projekta). Starpība EUR 3'347 atgriezts mobilitātes projektam.</t>
  </si>
  <si>
    <t>0633.2</t>
  </si>
  <si>
    <t>6.4.6.</t>
  </si>
  <si>
    <t>0631.1</t>
  </si>
  <si>
    <t>6.4.7.</t>
  </si>
  <si>
    <t>EUR 22'000 no ieņēmumu palielinājuma (KA % ieņēmumu palielinājums). (30.05.2024. ĀND lēmums # 185)
EUR 50'687 no aizņēmumu % maksājumu plānotās kopsummas.</t>
  </si>
  <si>
    <t>0632.7</t>
  </si>
  <si>
    <t>6.4.8.</t>
  </si>
  <si>
    <t>EUR 5'801 no Attīstības nodaļas (ekonomija uz vakancēm) uz projektu Mākslu skolas ārtelpas labiekārtošana (30.05.2024. ĀND lēmums # 223)</t>
  </si>
  <si>
    <t>6.4.9.</t>
  </si>
  <si>
    <t>Precizēts CFLA avansa apjoms.</t>
  </si>
  <si>
    <t>6.4.10.</t>
  </si>
  <si>
    <t>6.4.11.</t>
  </si>
  <si>
    <t>6.4.12.</t>
  </si>
  <si>
    <t>6.4.13.</t>
  </si>
  <si>
    <t>6.4.14.</t>
  </si>
  <si>
    <t>ANM pasākuma "Atbalsta pasākumi cilvēkiem ar invaliditāti mājokļu vides pieejamības nodrošināšanai" projekts</t>
  </si>
  <si>
    <t xml:space="preserve">EUR 44'284 - ANM pasākuma "Atbalsta pasākumi cilvēkiem ar invaliditāti mājokļu vides pieejamības nodrošināšanai" projekts - jūnijā pārcelts uz jaunu struktūru 1018 - jāceļ no izceltā projekta nevis attīst. daļas. 
</t>
  </si>
  <si>
    <t>0631.2</t>
  </si>
  <si>
    <t>6.4.15.</t>
  </si>
  <si>
    <t>Krastupes ielas projekts</t>
  </si>
  <si>
    <t xml:space="preserve">EUR 85'085 - Krastupes ielas projekts - Pārcelts uz atsevišķu struktūru 0631.2; 
</t>
  </si>
  <si>
    <t>6.4.16.</t>
  </si>
  <si>
    <t>Pārrobežu EST-LAT projekts "Militārais mantojums ©</t>
  </si>
  <si>
    <t>0633.5</t>
  </si>
  <si>
    <t>6.5.</t>
  </si>
  <si>
    <t>Objektu un teritorijas apsaimniekošana un uzturēšana</t>
  </si>
  <si>
    <t>0670</t>
  </si>
  <si>
    <t>6.5.1.</t>
  </si>
  <si>
    <t xml:space="preserve">Nekustamā īpašumas nodaļa </t>
  </si>
  <si>
    <t>EUR 2400 uzlādes stacijām piedāvāto nekustamo īpašumu novētēšanai (25.07.2024. domes lēmums)</t>
  </si>
  <si>
    <t>0648</t>
  </si>
  <si>
    <t>6.5.2.</t>
  </si>
  <si>
    <t>Vecštāles ceļa rekonstrukcija</t>
  </si>
  <si>
    <t>6.5.3.</t>
  </si>
  <si>
    <t>precizēts KA, VK aizņēmuma summa un atlikušais ienākošais ERAF finansējums</t>
  </si>
  <si>
    <t>0634.1</t>
  </si>
  <si>
    <t>6.5.4.</t>
  </si>
  <si>
    <t>Jaunais plūdu projekts - 2.1.3.2. "Nacionālas nozīmes plūdu un krasta erozijas pasākumi" 1.daļa</t>
  </si>
  <si>
    <t xml:space="preserve">EUR 120'000 - Jaunais plūdu projekts - Pārcelts uz atsevišķu struktūru 0634.1; 
</t>
  </si>
  <si>
    <t>CKS_apsaimniek</t>
  </si>
  <si>
    <t>6.5.5.</t>
  </si>
  <si>
    <t>Pašvaldības aģentūra "Carnikavas Komunālserviss"</t>
  </si>
  <si>
    <t>KA nepalielina izdevumus, bet samazina plānotos ieņēmumsu</t>
  </si>
  <si>
    <t>6.5.6.</t>
  </si>
  <si>
    <t>P/A "Carnikavas komunālserviss" teritorijas un īpašumu apsaimniekošana</t>
  </si>
  <si>
    <t>6.5.6.1</t>
  </si>
  <si>
    <t>Dotācija CKS teritorijas uzturēšanai</t>
  </si>
  <si>
    <t>1) KA - EUR 13'000 drošības nauda CKS (jāatmaksā).
2) Uzkopšanas gada maksa ielikta CKS, bet janvāra maksājums vēl jāveic caur policijas budžetu. (EUR 645).
3) Noslēdzies iepirkums remontam Garā iela 20 ārsta prakse. Summa par EUR 1'835 lielāka.</t>
  </si>
  <si>
    <t>CKS iekšējā pārstrukturēšana:
1) EUR 10'919 no CKS teritorijas kopšanas nodaļas uz CKS AVS uzturēšanas nodaļu.
2) EUR 6'705 no CKS teritorijas kopšanas nodaļas uz CKS AVS PII uzturēšanas nodaļu.
3) EUR 19'453 no CKS teritorijas kopšanas nodaļas uz CKS AVS sākumskolas uzturēšanas nodaļu.</t>
  </si>
  <si>
    <t>1) - EUR 9'076 Ekonomija uz neaizpildītajām vakancēm;
2) + EUR 3'500 atbalstīts zemsv. aktivit. - VW LT 46 hidromanipulatora kapitālais remonts;
3) + EUR 11'000 atbalstīts zemsv. aktivit. - (Mākslu skolas starpsienu izbūve)</t>
  </si>
  <si>
    <r>
      <t>1) EUR 276 Ādažu bibliotēkas uzturēšana, ko veic CKS;
2) EUR 62 Carnikavas bibliotēkas uzturēšana, ko veic CKS;
3) EUR 102 Policijas uzturēšana, ko veic CKS;
4) EUR 28 Kadiķis uzturēšana, ko veic CKS;
5) EUR 165 t/n Ozolaine uzturēšana, ko veic CKS.
6) Stadiona labiekārtošanas darbi veikti caur CKS, pārcelts EUR 6'629 uz CKS teritorijas labiekārtošanas sadaļu.
7)</t>
    </r>
    <r>
      <rPr>
        <u/>
        <sz val="11"/>
        <rFont val="Times New Roman"/>
        <family val="1"/>
        <charset val="186"/>
      </rPr>
      <t xml:space="preserve"> Iekš. groz.:</t>
    </r>
    <r>
      <rPr>
        <sz val="11"/>
        <rFont val="Times New Roman"/>
        <family val="1"/>
        <charset val="186"/>
      </rPr>
      <t xml:space="preserve"> EUR 10'000 no atalgojuma pārcelt siltummezgla rekonstrukcijai Stacijas ielā 5 un 7.
8) </t>
    </r>
    <r>
      <rPr>
        <u/>
        <sz val="11"/>
        <rFont val="Times New Roman"/>
        <family val="1"/>
        <charset val="186"/>
      </rPr>
      <t>Iekš. groz.:</t>
    </r>
    <r>
      <rPr>
        <sz val="11"/>
        <rFont val="Times New Roman"/>
        <family val="1"/>
        <charset val="186"/>
      </rPr>
      <t xml:space="preserve"> EUR 7'865 no ietaupījumu no elektroenerģijas patēriņa samazinājuma novirzīt caurtekas renovācijai Viršu ielā</t>
    </r>
  </si>
  <si>
    <t>1. Kļavu ielas divkāršās virsmas apstrādes veikšanai (08.08.2024. protokollēmums):
1.1. EUR 6'508 no plānotajiem līdzekļiem elektroenerģijas iegādei;
1.2. EUR 328 no gājēju pārejas Siguļos izmaksām.
2. EUR 4'600 no tāmēšanas darbiem paredzētā finansējuma uz PII "Mežavēji" ēkas un telpu remontdarbiem.
3. No Attekas ielas projektēšanas EUR 10'757 Ķiršu ielas III kārtas projekta nobeigumam.
4. EUR 2'978 no Garās ielas 20 remontiem paredzētajiem līdzekļiem uz PII "Strautiņš" terases balsta sienu remontdarbiem.
5. EUR 40'000 katlu mājas remontam (no aizņēmuma % samazinājuma).
6. No Attekas ielas projektēšanas EUR 19'000 Gāzes katla remontam.
7. Tā kā Gaujas 16 netiek vēl pieslēgta centrālai apkurei, tad atlikušie EUR 6'000 uz apkures apmaksu, ko maksā dome nevis CKS.</t>
  </si>
  <si>
    <t>6.5.6.2.</t>
  </si>
  <si>
    <t>Dotācija CKS ceļu uzturēšanai</t>
  </si>
  <si>
    <r>
      <t xml:space="preserve">1. </t>
    </r>
    <r>
      <rPr>
        <b/>
        <i/>
        <u/>
        <sz val="11"/>
        <rFont val="Times New Roman"/>
        <family val="1"/>
        <charset val="186"/>
      </rPr>
      <t>Iekš. groz.:</t>
    </r>
    <r>
      <rPr>
        <i/>
        <sz val="11"/>
        <rFont val="Times New Roman"/>
        <family val="1"/>
        <charset val="186"/>
      </rPr>
      <t xml:space="preserve"> EUR 8'466 no 0649/2244 (tiltu uzturēšana) uz 0649/2246 nogāzes izskalojuma remonts Baltezerā. (08.08.2024. protokollēmums)
2. Kļavu ielas divkāršās virsmas apstrādes veikšanai (08.08.2024. protokollēmums):
2.1. EUR 7'000 no pašizgāzēja pakalpojumu apmaksai paredzētajiem līdzekļiem;
2.2. EUR 3'130 no lietus kanalizācijas uzturēšanas izmaksām;
2.3. EUR 18'034 no tiltu uzturēšanai plānotajām izmaksām.</t>
    </r>
  </si>
  <si>
    <t>1) Ieņēmumu pārpilde par maksas stāvvietām (CKS) minerālmateriālu iegādei ceļu uzturāšanai (CKS).
2) EUR 12'386 no gāzes katla nomaiņai (Rīgas ielā 12, Carnikavā) plānotajiem līdzekļiem (0645) iespējams novirzīt ziemas uzturēšanas pakalpojumiem (0649)
2)  EUR 7'164 no gāzes katla nomaiņai (Rīgas ielā 12, Carnikavā) plānotajiem līdzekļiem (0645) iespējams novirzīt minerālmateriālu iegādei (0649).</t>
  </si>
  <si>
    <t>6.5.6.3.</t>
  </si>
  <si>
    <t>Teritorijas uzturēšana (Dome)</t>
  </si>
  <si>
    <t>1) Energoefektivitātes pasākumu daudzdzīvokļu mājām un pagalmu labiekārtošanai - līdzfinansējums papildus EUR 13'000.
2) Tā kā Gaujas 16 netiek vēl pieslēgta centrālai apkurei, tad atlikušie EUR 6'000 uz apkures apmaksu, ko maksā dome nevis CKS.</t>
  </si>
  <si>
    <t>6.5.7.</t>
  </si>
  <si>
    <t>Tirgus laukuma lietus kanalizācijas izbūve Ādažos</t>
  </si>
  <si>
    <t>6.5.8.</t>
  </si>
  <si>
    <t>Viršu ielas/atzars uz Sproģu ielu asfaltbetona seguma atjaunošana posmā no Dzērveņu ielas līdz Serģu iela (980 m)</t>
  </si>
  <si>
    <t>Viršu ielas prognozētās palielinātās izmaksas</t>
  </si>
  <si>
    <t>6.5.9.</t>
  </si>
  <si>
    <t>Liepu alejas rekonstrukcija</t>
  </si>
  <si>
    <t>6.5.10.</t>
  </si>
  <si>
    <t>Dzirnupes ielas tilta projekts, Carnikava</t>
  </si>
  <si>
    <t>6.5.11.</t>
  </si>
  <si>
    <t>EUR 15'000 no plānotajiem līdzekļiem Draudzības ielas rekonstrukcijai uz Kļavu ielas divkāršās virsmas apstrādes veikšanu. (08.08.2024. protokollēmums)</t>
  </si>
  <si>
    <t>6.5.12.</t>
  </si>
  <si>
    <t>Attekas ielas turpinājums 0,5 km - projektēšana</t>
  </si>
  <si>
    <t>1. No Attekas ielas projektēšanas EUR 10'757 Ķiršu ielas III kārtas projekta nobeigumam.
2. No Attekas ielas projektēšanas EUR 10'022 Mežmalas ielas atjaunošanai pašvaldības līdzfinansējums.
3. No Attekas ielas projektēšanas EUR 19'000 Gāzes katla remontam.</t>
  </si>
  <si>
    <t xml:space="preserve">Apgaismes stabi Attekas ielas savienojumā no Ķiršu līdz Draudzības ielai. </t>
  </si>
  <si>
    <t>6.5.13.</t>
  </si>
  <si>
    <t>6.5.14.</t>
  </si>
  <si>
    <t>Kļavu ielā divkārtas virsmas apstrāde 0.35km</t>
  </si>
  <si>
    <t>Atbalstīts zemsvītras projekts</t>
  </si>
  <si>
    <t>Kļavu ielas divkāršās virsmas apstrādes veikšanai (08.08.2024. protokollēmums):
1) EUR 6'508 no plānotajiem līdzekļiem elektroenerģijas iegādei;
2) EUR 15'000 no plānotajiem līdzekļiem Draudzības ielas rekonstrukcijai;
3) EUR 328 no gājēju pārejas Siguļos izmaksām;
4) EUR 7'000 no pašizgāzēja pakalpojumu apmaksai paredzētajiem līdzekļiem;
5) EUR 3'130 no lietuskanalizācijas uzturēšanas izmaksām;
6) EUR 18'034 no tiltu uzturēšanai plānotajām izmaksām.</t>
  </si>
  <si>
    <t>0633.4</t>
  </si>
  <si>
    <t>6.5.15.</t>
  </si>
  <si>
    <t>Mežmalas ielas seguma vienkāršotā atjaunošana, 0.22km, Alderi</t>
  </si>
  <si>
    <t>1) Iedzīvotāju līdzfinansējums Mežmalas ielas atjaunošanai EUR 31'000.
2) No Attekas ielas projektēšanas EUR 10'022 Mežmalas ielas atjaunošanai pašvaldības līdzfinansējums.</t>
  </si>
  <si>
    <t>Atpūta, kultūra un reliģija</t>
  </si>
  <si>
    <t>Kultūra</t>
  </si>
  <si>
    <t>0841.1</t>
  </si>
  <si>
    <t>7.1.1.</t>
  </si>
  <si>
    <t xml:space="preserve">Ādažu kultūras centrs </t>
  </si>
  <si>
    <t>0841.2</t>
  </si>
  <si>
    <t>7.1.2.</t>
  </si>
  <si>
    <t>Tautas nams "Ozolaine" ©</t>
  </si>
  <si>
    <t>+ EUR 8'500 atbalstīts zemsv. aktivit. - Lielās zāles grīdas seguma remonts</t>
  </si>
  <si>
    <t>EUR 165 t/n Ozolaine uzturēšana, ko veic CKS</t>
  </si>
  <si>
    <t>0841.3</t>
  </si>
  <si>
    <t>7.1.3.</t>
  </si>
  <si>
    <t>Muzejs un Carnikavas novadpētniecības centrs</t>
  </si>
  <si>
    <t>EUR 8'000 Blusu kroga tehniskajai apsekošanai. (EUR 5'000 no AP nodaļas talgojuma ekonomijas, EUR 1'500 no Novadpētniecības centra un EUR 1'500 no tūrisma sadaļas).</t>
  </si>
  <si>
    <t>08412</t>
  </si>
  <si>
    <t>7.1.4.</t>
  </si>
  <si>
    <t>Tūrisms</t>
  </si>
  <si>
    <t>0844.1</t>
  </si>
  <si>
    <t>7.3.</t>
  </si>
  <si>
    <t>SAM 5.5.1. Kultūras objektu būvniecība (maksājumi projekta partneriem) ©</t>
  </si>
  <si>
    <t>AND trūkstošais finansējums uz, ko jāatmaksā citām pašv.</t>
  </si>
  <si>
    <t>0844.2</t>
  </si>
  <si>
    <t>7.4.</t>
  </si>
  <si>
    <t>ES projekts Eiropa pilsoņiem (diskriminētām personām) ©</t>
  </si>
  <si>
    <t>0830</t>
  </si>
  <si>
    <t>7.5.</t>
  </si>
  <si>
    <t xml:space="preserve">Ādažu bibliotēka </t>
  </si>
  <si>
    <t>EUR 276 Ādažu bibliotēkas uzturēšana, ko veic CKS</t>
  </si>
  <si>
    <t>0831</t>
  </si>
  <si>
    <t>7.6.</t>
  </si>
  <si>
    <t xml:space="preserve">Carnikavas bibliotēka </t>
  </si>
  <si>
    <t>EUR 62 Carnikavas bibliotēkas uzturēšana, ko veic CKS</t>
  </si>
  <si>
    <t>7.8.</t>
  </si>
  <si>
    <t>Sporta daļa</t>
  </si>
  <si>
    <t>7.8.1.</t>
  </si>
  <si>
    <t>-  sporta funkcijas nodrošināšana</t>
  </si>
  <si>
    <t>Atalgojums, kas pāriet uz CKS</t>
  </si>
  <si>
    <t>EUR 43'878 Sporta centra uzturēšana, ko veic CKS</t>
  </si>
  <si>
    <t>Latvijas Jaunatnes Olimpiāde Valmierā - NENOTIKS</t>
  </si>
  <si>
    <r>
      <t>1) Automātiskās laistīšanas sistēmas ierīkošana Ādažu stadionā sadarbībā ar Latvijas futbola federāciju. EUR 6'370 no ieņēmumu palielinājuma par pakalpojumiem un</t>
    </r>
    <r>
      <rPr>
        <b/>
        <u/>
        <sz val="11"/>
        <rFont val="Times New Roman"/>
        <family val="1"/>
        <charset val="186"/>
      </rPr>
      <t xml:space="preserve"> iekš. groz.:</t>
    </r>
    <r>
      <rPr>
        <sz val="11"/>
        <rFont val="Times New Roman"/>
        <family val="1"/>
        <charset val="186"/>
      </rPr>
      <t xml:space="preserve"> EUR 4'752 no ekonomijas algu fondā; EUR 8'061 no plānotā āra trenažieriem.
2) EUR 926 Sporta centra uzturēšana, ko veic CKS</t>
    </r>
  </si>
  <si>
    <t>7.8.2.</t>
  </si>
  <si>
    <t>- uzturēšanas izmaksas (CKS)</t>
  </si>
  <si>
    <t>EUR 926 Sporta centra uzturēšana, ko veic CKS</t>
  </si>
  <si>
    <t>0880</t>
  </si>
  <si>
    <t>7.9.</t>
  </si>
  <si>
    <t>Evaņģēliski luteriskās draudzes</t>
  </si>
  <si>
    <t>0843</t>
  </si>
  <si>
    <t>7.10.</t>
  </si>
  <si>
    <t>Multihalle</t>
  </si>
  <si>
    <t>Sociālā aizsardzība</t>
  </si>
  <si>
    <t>Sociālais dienests</t>
  </si>
  <si>
    <t>8.1.1.</t>
  </si>
  <si>
    <t xml:space="preserve">Sociālās funkcijas nodrošināšana </t>
  </si>
  <si>
    <t>EUR 1'186 Soc. dienesta uzturēšana, ko veic CKS</t>
  </si>
  <si>
    <t>8.1.2.</t>
  </si>
  <si>
    <t>Pabalsti</t>
  </si>
  <si>
    <r>
      <rPr>
        <b/>
        <u/>
        <sz val="11"/>
        <rFont val="Times New Roman"/>
        <family val="1"/>
        <charset val="186"/>
      </rPr>
      <t>Iekš. groz.:</t>
    </r>
    <r>
      <rPr>
        <sz val="11"/>
        <rFont val="Times New Roman"/>
        <family val="1"/>
        <charset val="186"/>
      </rPr>
      <t xml:space="preserve"> EKK korekcija EUR 30'000 no EKK 6411 "Samaksa par aprūpi mājās"uz EKK 6419 "Samaksa par pārējiem sociālajiem pakalpojumiem saskaņā ar pašvaldību saistošajiem noteikumiem"</t>
    </r>
  </si>
  <si>
    <t>8.1.3.</t>
  </si>
  <si>
    <t>Mērķdotācija</t>
  </si>
  <si>
    <t>8.1.5.</t>
  </si>
  <si>
    <t>Asistentu pakalpojumi</t>
  </si>
  <si>
    <t>8.1.6.</t>
  </si>
  <si>
    <t>Uzturēšanas izdevumi (CKS)</t>
  </si>
  <si>
    <t>8.1.7.</t>
  </si>
  <si>
    <t>Sociālā centra "Kadiķis" uzturēšana</t>
  </si>
  <si>
    <t>EUR 28 Kadiķis uzturēšana, ko veic CKS</t>
  </si>
  <si>
    <t>Stipendiāti / bezdarbnieki</t>
  </si>
  <si>
    <t>8.2.1.</t>
  </si>
  <si>
    <t>Domes finansējums</t>
  </si>
  <si>
    <t>8.2.2.</t>
  </si>
  <si>
    <t>NVA finansējums</t>
  </si>
  <si>
    <t>SAM 9311 Deinstitucionalizācija - Dienas centrs</t>
  </si>
  <si>
    <t>1014.3</t>
  </si>
  <si>
    <t>8.3.1.</t>
  </si>
  <si>
    <t>DI centra uzturēšanas izdevumi</t>
  </si>
  <si>
    <t>EUR 3'745 DI centra uzturēšana, ko veic CKS</t>
  </si>
  <si>
    <t>8.3.2.</t>
  </si>
  <si>
    <t>DI centra uzturēšanas izdevumi (CKS)</t>
  </si>
  <si>
    <t>8.3.3.</t>
  </si>
  <si>
    <t>DI projekts- specializētās darbnīcas</t>
  </si>
  <si>
    <t>DI projekta KA</t>
  </si>
  <si>
    <t>1014.1</t>
  </si>
  <si>
    <t>8.3.4.</t>
  </si>
  <si>
    <t>DI centra pakalpojumi (projekts)</t>
  </si>
  <si>
    <t>8.4.</t>
  </si>
  <si>
    <t>Bāriņtiesa</t>
  </si>
  <si>
    <t>8.5.</t>
  </si>
  <si>
    <t>8.6.</t>
  </si>
  <si>
    <t>8.7.</t>
  </si>
  <si>
    <t>EUR 44'284 - ANM pasākuma "Atbalsta pasākumi cilvēkiem ar invaliditāti mājokļu vides pieejamības nodrošināšanai" projekts - Pārcelts uz jaunu struktūru 1018</t>
  </si>
  <si>
    <t>1013.1</t>
  </si>
  <si>
    <t>8.8.</t>
  </si>
  <si>
    <t>SAM 9.2.4.2. projekts "Pasākumi vietējās sabiedrības veselības veicināšanai Ādažu novada pašvaldības Ādažu pagastā"</t>
  </si>
  <si>
    <t>1013.2</t>
  </si>
  <si>
    <t>8.9.</t>
  </si>
  <si>
    <t>SAM 9.2.4.2. projekts "Pasākumi vietējās sabiedrības veselības veicināšanai Ādažu novada pašvaldības Carnikavas pagastā"</t>
  </si>
  <si>
    <t>Izglītība</t>
  </si>
  <si>
    <t>7210 (0940; 0970)</t>
  </si>
  <si>
    <t>9.1.</t>
  </si>
  <si>
    <t>Norēķini ar pašvaldību budžetiem par izglītības iestāžu pakalpojumiem</t>
  </si>
  <si>
    <t>9.2.</t>
  </si>
  <si>
    <t>Ādažu Pirmsskolas izglītības iestāde</t>
  </si>
  <si>
    <t>0911</t>
  </si>
  <si>
    <t>9.2.1.</t>
  </si>
  <si>
    <t>pedagogu algas, grāmatas (mērķdotācija)</t>
  </si>
  <si>
    <t>Mērķdotācijas KA</t>
  </si>
  <si>
    <t>MD 2024.gadam māc. līdz.iegāde</t>
  </si>
  <si>
    <t>0910</t>
  </si>
  <si>
    <t>9.2.2.</t>
  </si>
  <si>
    <t>pārējās izmaksas</t>
  </si>
  <si>
    <t>Atalgojums, kas pāriet uz CKS un algas korekcija, precizējot MD</t>
  </si>
  <si>
    <t>EUR 145'959 ĀPII uzturēšana, ko veic CKS</t>
  </si>
  <si>
    <t>EUR 7'811 ĀPII uzturēšana, ko veic CKS</t>
  </si>
  <si>
    <t>9.2.3.</t>
  </si>
  <si>
    <t>uzturēšanas izmaksas (CKS)</t>
  </si>
  <si>
    <t>Strautiņš terases sienu remontam EUR 2'978 no Garās ielas 20 remontiem paredzētajiem līdzekļiem uz PII "Strautiņš" terases balsta sienu remontdarbiem un EUR 11'222 (iekš. groz.) no plānotā piekļuves sisitēmas automatizācijas izmaksām.</t>
  </si>
  <si>
    <t>9.3.</t>
  </si>
  <si>
    <t>Kadagas PII</t>
  </si>
  <si>
    <t>0921</t>
  </si>
  <si>
    <t>9.3.1.</t>
  </si>
  <si>
    <t>0920</t>
  </si>
  <si>
    <t>9.3.2.</t>
  </si>
  <si>
    <t>EUR 64'977 KPII uzturēšana, ko veic CKS</t>
  </si>
  <si>
    <t>9.3.3.</t>
  </si>
  <si>
    <t>EUR 4'600 no tāmēšanas darbiem paredzētā finansējuma uz PII "Mežavēji" ēkas un telpu remontdarbiem.</t>
  </si>
  <si>
    <t>9.4.</t>
  </si>
  <si>
    <t>Pirmsskolas izglītības iestāde "Riekstiņš"</t>
  </si>
  <si>
    <t>09011</t>
  </si>
  <si>
    <t>9.4.1.</t>
  </si>
  <si>
    <t>MD mācību līdzekļiem 2024.gadam</t>
  </si>
  <si>
    <t>0901; 650_0901</t>
  </si>
  <si>
    <t>9.4.2.</t>
  </si>
  <si>
    <t>Grīdas kopšanas ierīces iegādi un Nosūces uzstādīšanu realizēs CKS</t>
  </si>
  <si>
    <t>EUR 3'150 no Ādažu vidusskolas PII uz PII Riekstiņš izglītojamo skaita palielinājumam. Saskaņā ar 30.05.2024. lēmumu Nr. 216 "Par izglītojamo skaita palielināšanu PII "Riekstiņš"</t>
  </si>
  <si>
    <t>Papildus EUR 2'300 no Ādažu vidusskolas PII uz PII Riekstiņš izglītojamo skaita palielinājumam. Saskaņā ar 25.07. grozījumiem 30.05.2024. lēmumu Nr. 216 "Par izglītojamo skaita palielināšanu PII "Riekstiņš". Amatu pārcelšanai EUR 9'536 no Ādažu PII uz PII Riekstiņš</t>
  </si>
  <si>
    <t>9.4.3.</t>
  </si>
  <si>
    <t>0902; 650_0902</t>
  </si>
  <si>
    <t>9.5.</t>
  </si>
  <si>
    <t>Pirmsskolas izglītības iestādes "Piejūra"</t>
  </si>
  <si>
    <t>09021</t>
  </si>
  <si>
    <t>9.5.1.</t>
  </si>
  <si>
    <t>9.5.2.</t>
  </si>
  <si>
    <t>9.5.3.</t>
  </si>
  <si>
    <t>9.6.</t>
  </si>
  <si>
    <t>Privātās izglītības iestādes</t>
  </si>
  <si>
    <t>0970</t>
  </si>
  <si>
    <t>9.6.1.</t>
  </si>
  <si>
    <t>ĀBVS</t>
  </si>
  <si>
    <t>Prezizēta MD un Mērķdotācijas KA</t>
  </si>
  <si>
    <t>Koriģēts interešu izgl. finansējuma sadalījums EUR 49'310 no privātajiem īstenotājiem uz pašvald. Iestādēm un ĀBVS. (uz ĀVS EUR 22'060; uz CPS EUR 18425; uz ĀBVS EUR 8'825)</t>
  </si>
  <si>
    <t>0940.2</t>
  </si>
  <si>
    <t>9.6.2.</t>
  </si>
  <si>
    <t xml:space="preserve">Pārējās privātās PII </t>
  </si>
  <si>
    <t>0940.3</t>
  </si>
  <si>
    <t>9.6.3.</t>
  </si>
  <si>
    <t>Pārējās privātās vidējās izglītības iestādes</t>
  </si>
  <si>
    <t>9.7.</t>
  </si>
  <si>
    <t>Carnikavas vidusskola</t>
  </si>
  <si>
    <t>09821</t>
  </si>
  <si>
    <t>9.7.1.</t>
  </si>
  <si>
    <t>9.7.1.1.</t>
  </si>
  <si>
    <t>MD pedagogiem, māc. grāmatām</t>
  </si>
  <si>
    <t>9.7.1.2.</t>
  </si>
  <si>
    <t>MD interešu izglītība</t>
  </si>
  <si>
    <t>9.7.1.3.</t>
  </si>
  <si>
    <t>MD mācību līdzekļiem</t>
  </si>
  <si>
    <t>9.7.2.</t>
  </si>
  <si>
    <t>ēdināšana (mērķdotācija)</t>
  </si>
  <si>
    <t>0982; 0650_0982</t>
  </si>
  <si>
    <t>9.7.3.</t>
  </si>
  <si>
    <t>Precizēts sadalījums starp pašvaldību un MD</t>
  </si>
  <si>
    <r>
      <rPr>
        <b/>
        <u/>
        <sz val="11"/>
        <rFont val="Times New Roman"/>
        <family val="1"/>
        <charset val="186"/>
      </rPr>
      <t>Protokoll. Iekš groz.:</t>
    </r>
    <r>
      <rPr>
        <sz val="11"/>
        <rFont val="Times New Roman"/>
        <family val="1"/>
        <charset val="186"/>
      </rPr>
      <t xml:space="preserve"> EUR 7'250 no EKK 2264 (multifunkcionālā printera noma uz EKK 5238 printeru iegādei)</t>
    </r>
  </si>
  <si>
    <t>9.7.4.</t>
  </si>
  <si>
    <t>09822</t>
  </si>
  <si>
    <t>9.7.5.</t>
  </si>
  <si>
    <t>projekts "Skolas soma"</t>
  </si>
  <si>
    <t>09825</t>
  </si>
  <si>
    <t>9.7.6.</t>
  </si>
  <si>
    <t>projekti Erasmus+; NordPlus</t>
  </si>
  <si>
    <t>EUR 27'100 Erasmus, NordPlus finansējums attiecināms uz Carnikavas pamatskolu nevis Ādažu vidusskolu</t>
  </si>
  <si>
    <t>0982</t>
  </si>
  <si>
    <t>9.7.7.</t>
  </si>
  <si>
    <t>mācību vides labiekārtošana</t>
  </si>
  <si>
    <t>09823</t>
  </si>
  <si>
    <t>9.8.</t>
  </si>
  <si>
    <t>KA (VK aizņēmums) un uz 2024.gadu pārceļamā summa, jo būvnieks navarēja pabeigt projektu, saskaņā ar līguma termiņiem</t>
  </si>
  <si>
    <t>Stadiona labiekārtošanas darbi veikti caur CKS, pārcelts EUR 6'629 uz CKS teritorijas labiekārtošanas sadaļu.</t>
  </si>
  <si>
    <t>9.9.</t>
  </si>
  <si>
    <t>Ādažu vidusskola</t>
  </si>
  <si>
    <t>9.9.1.</t>
  </si>
  <si>
    <t>9.9.1.1.</t>
  </si>
  <si>
    <t>MD pedagogiem</t>
  </si>
  <si>
    <t>9.9.1.2.</t>
  </si>
  <si>
    <t>9.9.1.3.</t>
  </si>
  <si>
    <t>0950</t>
  </si>
  <si>
    <t>9.9.2.</t>
  </si>
  <si>
    <t>Atalgojums, kas pāriet uz CKS; atalgojuma korekcija, dalot likmes MD</t>
  </si>
  <si>
    <t>EUR 146'203 ĀVS uzturēšana, ko veic CKS</t>
  </si>
  <si>
    <t>+ EUR 21'000 atbalstīts zemsv. aktivit. - 3 uzlādes skapju iegāde; 16 datoru iegāde obligātā mācību procesa nodrošināšanai</t>
  </si>
  <si>
    <t>EUR 6'000 ĀVS uzturēšana, ko veic CKS</t>
  </si>
  <si>
    <t>EUR 5'600 tualešu remontam uz CKS uzturēšanas izmaksu pozīciju</t>
  </si>
  <si>
    <t>9.9.3.</t>
  </si>
  <si>
    <t>1) EUR 10'919 no CKS teritorijas kopšanas nodaļas uz CKS AVS uzturēšanas nodaļu.
2) EUR 146'203 ĀVS uzturēšana, ko veic CKS</t>
  </si>
  <si>
    <t>0957</t>
  </si>
  <si>
    <t>9.9.4.</t>
  </si>
  <si>
    <t>projekts Erasmus+</t>
  </si>
  <si>
    <t>0951</t>
  </si>
  <si>
    <t>9.9.5.</t>
  </si>
  <si>
    <t>9.9.6.</t>
  </si>
  <si>
    <t>Decembra rēķins izrakstīts 30.12., samaksa pārceļas uz 2024.gadu</t>
  </si>
  <si>
    <t>9.9.7.</t>
  </si>
  <si>
    <t>2) EUR 2'300 paskaidrojuma raksts siltināšanai (līgums ar CKS) no EKK 5250 uz EKK 7230.</t>
  </si>
  <si>
    <t>0981</t>
  </si>
  <si>
    <t>9.9.8.</t>
  </si>
  <si>
    <t>sākumskolas uzturēšanas izmaksas</t>
  </si>
  <si>
    <t>Atalgojums, kas pāriet uz CKS; atalgojuma korekcija, dalot likes MD</t>
  </si>
  <si>
    <t>EUR 58'159 ĀVS sākumskolas uzturēšana, ko veic CKS</t>
  </si>
  <si>
    <t>9.9.9.</t>
  </si>
  <si>
    <t>sākumskolas uzturēšanas izmaksas (CKS)</t>
  </si>
  <si>
    <t>1) EUR 19'453 no CKS teritorijas kopšanas nodaļas uz CKS AVS sākumskolas uzturēšanas nodaļu.
2) EUR 58'159 ĀVS sākumskolas uzturēšana, ko veic CKS</t>
  </si>
  <si>
    <t>9.9.10.</t>
  </si>
  <si>
    <t>sākumskolas ēdināšana (mērķdotācija)</t>
  </si>
  <si>
    <t>9.9.11.</t>
  </si>
  <si>
    <t xml:space="preserve">PII </t>
  </si>
  <si>
    <t>0952.1</t>
  </si>
  <si>
    <t>9.9.11.1.</t>
  </si>
  <si>
    <t>- pedagogu algas, māc. līdzekļi (mērķdotācija)</t>
  </si>
  <si>
    <t>0952</t>
  </si>
  <si>
    <t>9.9.11.2.</t>
  </si>
  <si>
    <t>-  uzturēšana</t>
  </si>
  <si>
    <t>9.9.11.3.</t>
  </si>
  <si>
    <t>1) EUR 6'705 no CKS teritorijas kopšanas nodaļas uz CKS AVS PII uzturēšanas nodaļu.
2) EUR 6'000 ĀVS uzturēšana, ko veic CKS</t>
  </si>
  <si>
    <t>9.10.</t>
  </si>
  <si>
    <t>Ādažu novada  Mākslu skola</t>
  </si>
  <si>
    <t>9.10.1.</t>
  </si>
  <si>
    <t>pedagogu algas (mērķdotācija)</t>
  </si>
  <si>
    <t>KA, precizēta MD</t>
  </si>
  <si>
    <t>9.10.2.</t>
  </si>
  <si>
    <t>Atalgojuma pieaugums pēc MD apstiprināšanas un algu tarifikācijas</t>
  </si>
  <si>
    <t>+ EUR 4'000 atbalstīts zemsv. aktivit. - (EUR 11'000 sienu un durvju aiļu izbūve ar durvju uzst. Garā 20 (pie CKS), EUR 4'000 mēbeļu un aprīkojuma iegāde</t>
  </si>
  <si>
    <t>9.11.</t>
  </si>
  <si>
    <t>Sporta skola</t>
  </si>
  <si>
    <t>Precizēta MD un pašvaldības finansējums atalgojumam</t>
  </si>
  <si>
    <t>09651</t>
  </si>
  <si>
    <t>9.11.1.</t>
  </si>
  <si>
    <t>0965</t>
  </si>
  <si>
    <t>9.11.2.</t>
  </si>
  <si>
    <t>Pašvaldības finansējums</t>
  </si>
  <si>
    <t>0930</t>
  </si>
  <si>
    <t>9.12.</t>
  </si>
  <si>
    <t>Izglītības un jaunatnes nodaļa</t>
  </si>
  <si>
    <t>9.13.</t>
  </si>
  <si>
    <t>Līdzfinansējums skolēnu dalībai konkursos</t>
  </si>
  <si>
    <t>0931</t>
  </si>
  <si>
    <t>9.14.</t>
  </si>
  <si>
    <t xml:space="preserve">ESF projekts Atbalsts priekšlaicīgas mācību pārtraukšanas samazināšanai © </t>
  </si>
  <si>
    <t>0932</t>
  </si>
  <si>
    <t>9.15.</t>
  </si>
  <si>
    <t>ESF projekts Karjeras atbalsts vispārējās un profesionālās izglītības iestādēs ©</t>
  </si>
  <si>
    <t>0933</t>
  </si>
  <si>
    <t>9.16.</t>
  </si>
  <si>
    <t>Valsts finansējums projektu konkursā "Atbalsts jaunatnes politikas īstenošanai vietējā līmenī"  projekts "Mobilais darbs ar jaunatni Ādažu novadā"</t>
  </si>
  <si>
    <t>0903</t>
  </si>
  <si>
    <t>9.17.</t>
  </si>
  <si>
    <t>Jaunas pirmsskolas izglītības iestādes Podniekos būvniecība</t>
  </si>
  <si>
    <t>9.18.</t>
  </si>
  <si>
    <t>0956</t>
  </si>
  <si>
    <t>9.18.1.</t>
  </si>
  <si>
    <t>Ādaži</t>
  </si>
  <si>
    <t>09824</t>
  </si>
  <si>
    <t>9.18.2.</t>
  </si>
  <si>
    <t>Carnikava</t>
  </si>
  <si>
    <t>10</t>
  </si>
  <si>
    <t>Ieguldījumi uzņēmumu pamatkapitālā</t>
  </si>
  <si>
    <t>SIA "Ādažu ūdens"</t>
  </si>
  <si>
    <t>SIA "Garkalnes ūdens"</t>
  </si>
  <si>
    <t>KOPĀ IZDEVUMI:</t>
  </si>
  <si>
    <t>Kredītu pamatsummas atmaksa</t>
  </si>
  <si>
    <t>EUR 37'335 Atskaitīts LAD finansējums Salas dambim (jāatgriež kredīts)
EUR 133'640 Atskaitīts LAD finansējums Lilastes stāvlaukumam (jāatgriež kredīts) + 67, lai nosegtu 2024. visu pamatsummu</t>
  </si>
  <si>
    <t>PAVISAM KOPĀ IZDEVUMI:</t>
  </si>
  <si>
    <t>-</t>
  </si>
  <si>
    <t>Naudas līdzekļu atlikums uz gada beigām</t>
  </si>
  <si>
    <t>Plāna palielinājums, balstoties uz faktisko izpildi. Korekcija ieņēmumu un izdevumu sadaļā.</t>
  </si>
  <si>
    <t>Saskaņā ar 11.09. Ārkārtas domes sēdes protokolu EUR 20'000 pārvirzīt no Attekas ielas apgaismes stabu izbūvei plānotajiem līdzekļiem pārcelt pašvaldības NĪ apdrošināšanai.</t>
  </si>
  <si>
    <t>ĀND</t>
  </si>
  <si>
    <t>ziedojumi</t>
  </si>
  <si>
    <t>30.09.2024. fakts</t>
  </si>
  <si>
    <t>30.09.2024. fakts (%) pret 2024. plānu</t>
  </si>
  <si>
    <t>Komentāri par izpildi</t>
  </si>
  <si>
    <t>I.cet. 21%, II.cet.23%. III.cet.28%, IV.cet. 28%</t>
  </si>
  <si>
    <t>Rēķins par visu gadu gada sākumā, var nomaksāt 4os maksājumos.</t>
  </si>
  <si>
    <t>EUR 89 565 - % ieņēmumi no nakts depozīta; 
EUR 31 000 - iedzīvotāju līdzfinansējums par Mežmalas ielu;
EUR 30 153 - nodrošinājuma maksa par izsolēm.</t>
  </si>
  <si>
    <t>Soda nauda trenažieru iepirkumam EUR 2'509; CKS EUR 4'104</t>
  </si>
  <si>
    <t>NĪ daļas kompetencē. Nav vēl ienākusi nauda par izsolēm lētas īres mājokļu būvniecībai EUR….. apmērā.</t>
  </si>
  <si>
    <t>Tiek ieskaitīts reizi ceturksnī.</t>
  </si>
  <si>
    <t>Pēc faktiskās izpildes.</t>
  </si>
  <si>
    <t>Šīs apkures sezonas kompensācijas beigušās.</t>
  </si>
  <si>
    <t>RPR Reemigrācijas konkurss EUR 18 000;
Soc. pabalsti pēc faktiskājām izmaksām EUR 72 858;
CVK finansējums EP vēlēšanām EUR 47 233;
Bezdarbnieku atlīdzība, koord.darba samaksa EUR 17 448;
VB dotācija KAC uzturēšanai EUR 8147.</t>
  </si>
  <si>
    <t>Saskaņā ar projekta NP</t>
  </si>
  <si>
    <t>Par projekta gaitu ziņo IDR (LAD saņemtais finansējums iesaldēts )</t>
  </si>
  <si>
    <t>Saņemts gala maksājums, kas tiks izmantots kā priekšfinansējums jaunajiem Veselības projektiem</t>
  </si>
  <si>
    <t>Nebija plānots???</t>
  </si>
  <si>
    <t>Labklājības ministrijas kompensācija par supervīzijām</t>
  </si>
  <si>
    <t>Maksājumi tiek veikti 3x gadā.</t>
  </si>
  <si>
    <t>Ziņo CKS</t>
  </si>
  <si>
    <t>Par projektiem ziņo IDR</t>
  </si>
  <si>
    <t>Noslēgts aizņēmuma līgums ar VK</t>
  </si>
  <si>
    <t>Saņemts pozitīvs FM lēmums aizdevuma piešķiršanai.</t>
  </si>
  <si>
    <t>Realizē CKS</t>
  </si>
  <si>
    <t>Pašvaldības DRN maksājums</t>
  </si>
  <si>
    <t>Par projekta gaitu ziņo izpilddirektors.</t>
  </si>
  <si>
    <t>EUR 1 037 000 nekustamā īpašuma Liepnieki iegāde</t>
  </si>
  <si>
    <t>Par projekta gaitu ziņo CKS.</t>
  </si>
  <si>
    <r>
      <rPr>
        <b/>
        <u/>
        <sz val="11"/>
        <rFont val="Times New Roman"/>
        <family val="1"/>
        <charset val="186"/>
      </rPr>
      <t>EKK grozījumi:</t>
    </r>
    <r>
      <rPr>
        <sz val="11"/>
        <rFont val="Times New Roman"/>
        <family val="1"/>
        <charset val="186"/>
      </rPr>
      <t xml:space="preserve"> EUR 546'771 no EKK 5250 uz EKK 7230 gaismekļu nomaiņa novadā EKII projekts, līgums noslēgts ar CKS</t>
    </r>
  </si>
  <si>
    <t>Lielākās izmaksas maijā - Gaujas svētki, pasākumi siltajā sezonā.</t>
  </si>
  <si>
    <t>Lielākās izmaksas - Nēģu svētki, pasākumi siltajā sezonā.</t>
  </si>
  <si>
    <t>Atņemts EKK 7230, jo tā izpilde nāk no CKS</t>
  </si>
  <si>
    <t>Iespējams šeit veidojas ~ 200'000 euro rezerve (Aprūpe mājās bērniem invalīdiem (kaut ko MK nepieņēma) un uz skolēnu ēdināšanu, bet to tad būtu prātīgāk novirzīt pašvaldību savst norēķ par audzēkņiem (30.06.75% izpilde)līdzfinansējumam PPII</t>
  </si>
  <si>
    <r>
      <t>Par projekta gaitu ziņo izpilddirektors.</t>
    </r>
    <r>
      <rPr>
        <sz val="11"/>
        <color rgb="FFFF0000"/>
        <rFont val="Times New Roman"/>
        <family val="1"/>
        <charset val="186"/>
      </rPr>
      <t xml:space="preserve"> (pabeigts, bet maza izpilde. Kur grāmatojas?????)</t>
    </r>
  </si>
  <si>
    <t>Norēķini notiek 3x gadā.</t>
  </si>
  <si>
    <r>
      <t xml:space="preserve">1) EUR 10'721 atjaunošanas darbu garantijas remontu summas pārsniegums EUR 10'721 no CKS sadaļā paredzētās remontu rezerves un PII ēkas vērtības palielinājumu EKK 5240.
2) EUR 2'109 no 0910/EKK 1119 uz EKKK 7230 ēku dežurantu nakts stundu apmaksa uz CKS
3) EUR 7'954pārcelti no teritorijas apsaimniekošanas uz </t>
    </r>
    <r>
      <rPr>
        <b/>
        <sz val="11"/>
        <rFont val="Times New Roman"/>
        <family val="1"/>
        <charset val="186"/>
      </rPr>
      <t>PII Strautiņš EUR 4'364</t>
    </r>
    <r>
      <rPr>
        <sz val="11"/>
        <rFont val="Times New Roman"/>
        <family val="1"/>
        <charset val="186"/>
      </rPr>
      <t xml:space="preserve"> un uz sākumskolu EUR 3'590 logu mazgāšanai</t>
    </r>
  </si>
  <si>
    <t>Pedagogiem atvaļinājumi vasarā.</t>
  </si>
  <si>
    <t xml:space="preserve">Tika konstatēta kļūda budžeta tāmes pievienotajā atalgojumu aprēķina tabulā, tāpēc pēc noslēdzošās 2024. gada mērķdotācijas pedagogu darba samaksai uzzināšanas (09.-12.2024.) var konstatēt, ka nav iespējams pārcelt darbiniekus uz valsts finansējumu, tādā veidā samazinot pašvaldības finansējumu. Tāpat tagad  var konstatēt nepieciešamo finansējumu.   </t>
  </si>
  <si>
    <t>Ziņo IDR.</t>
  </si>
  <si>
    <t>1) EUR 12'000 Ādažu vidusskolas ēkas C korpusa otrā stāva tualešu pārbūve (bērnudārza pārbūve). Realizēs CKS - pārcelts no EKK 5250 uz EKK 7230.
2) EUR 8'708 no 0950/EKK 1119 uz EKKK 7230 ēku dežurantu nakts stundu apmaksa uz CKS</t>
  </si>
  <si>
    <t>1) EUR 12'000 Ādažu vidusskolas ēkas C korpusa otrā stāva tualešu pārbūve (bērnudārza pārbūve). Realizēs CKS - pārcelts no EKK 5250 uz EKK 7230.
2) EUR 2'300 paskaidrojuma raksts siltināšanai (līgums ar CKS) no EKK 5250 uz EKK 7230.
3) EUR 8'708 no 0950/EKK 1119 uz EKKK 7230 ēku dežurantu nakts stundu apmaksa uz CKS</t>
  </si>
  <si>
    <t>Pabeigts.</t>
  </si>
  <si>
    <t>EUR 9'168 no 0981/EKK 1119 uz EKKK 7230 ēku dežurantu nakts stundu apmaksa uz CKS</t>
  </si>
  <si>
    <r>
      <t xml:space="preserve">1) EUR 7'954 pārcelti no teritorijas apsaimniekošanas uz PII Strautiņš EUR 4'364 un uz </t>
    </r>
    <r>
      <rPr>
        <b/>
        <sz val="11"/>
        <rFont val="Times New Roman"/>
        <family val="1"/>
        <charset val="186"/>
      </rPr>
      <t>sākumskolu EUR 3'590</t>
    </r>
    <r>
      <rPr>
        <sz val="11"/>
        <rFont val="Times New Roman"/>
        <family val="1"/>
        <charset val="186"/>
      </rPr>
      <t xml:space="preserve"> logu mazgāšanai
2) EUR 9'168 no 0981/EKK 1119 uz EKKK 7230 ēku dežurantu nakts stundu apmaksa uz CKS</t>
    </r>
  </si>
  <si>
    <t>Lielākās plāna pozīcijas bērnu radošās nometnes vasarā.</t>
  </si>
  <si>
    <t>Projekts noslēdzies, konta atlikums.</t>
  </si>
  <si>
    <t xml:space="preserve">Par projekta gaitu ziņo izpilddirektors. </t>
  </si>
  <si>
    <t>2024. gada budžets</t>
  </si>
  <si>
    <t>1) Saskaņā ar  Domes 26.09.2024. lēmumu Nr.383 "Par ēku nojaukšanu pašvaldības īpašumā Balto ceriņu ielā 6A, Gaujā" EUR 4'000 no “Teritorijas uzturēšana (Dome)” EKK 2223 uz "Dotācija CKS teritorijas uzturēšanai" EKK 7230
2) Saskaņā ar  Domes 26.09.2024. lēmumu Nr.384 "Par ēku nojaukšanu pašvaldības īpašumā Salnu ielā 7, Gaujā" EUR 4'000 no “Teritorijas uzturēšana (Dome)” EKK 2223 uz "Dotācija CKS teritorijas uzturēšanai" EKK 7230.
3) EUR 7'164 no gāzes katla nomaiņai (Rīgas ielā 12, Carnikavā) plānotajiem līdzekļiem iespējams novirzīt minerālmateriālu iegādei.
4)  EUR 12'386 no gāzes katla nomaiņai (Rīgas ielā 12, Carnikavā) plānotajiem līdzekļiem iespējams novirzīt ziemas uzturēšanas pakalpojumiem
5) Saskaņā ar 11.09. Ārkārtas domes sēdes protokolu EUR 20'000 pārvirzīt no Attekas ielas apgaismes stabu izbūvei plānotajiem līdzekļiem pārcelt pašvaldības NĪ apdrošināšanai.
6) EUR 7'954pārcelti no teritorijas apsaimniekošanas uz PII Strautiņš EUR 4'364 un uz sākumskolu EUR 3'590 logu mazgāšanai;
7) EUR 3'872 samaksāts no Domes par elektrotīklu apsaimniekošanu, plānots pie CKS =&gt; 0645 no EKK 7230 uz EKK 2244
8) EUR 18’064 samaksāts no Domes par apdrošināšanu (līgums ar Domi), plānots pie CKS =&gt; 0645 no EKK 7230 uz EKK 2247</t>
  </si>
  <si>
    <r>
      <t>1) Saskaņā ar  Domes 26.09.2024. lēmumu Nr.383 "Par ēku nojaukšanu pašvaldības īpašumā Balto ceriņu ielā 6A, Gaujā" EUR 4'000 no “Teritorijas uzturēšana (Dome)” EKK 2223 uz "Dotācija CKS teritorijas uzturēšanai" EKK 7230
2) Saskaņā ar  Domes 26.09.2024. lēmumu Nr.384 "Par ēku nojaukšanu pašvaldības īpašumā Salnu ielā 7, Gaujā" EUR 4'000 no “Teritorijas uzturēšana (Dome)” EKK 2223 uz "Dotācija CKS teritorijas uzturēšanai" EKK 7230
3)</t>
    </r>
    <r>
      <rPr>
        <b/>
        <u/>
        <sz val="11"/>
        <rFont val="Times New Roman"/>
        <family val="1"/>
        <charset val="186"/>
      </rPr>
      <t xml:space="preserve"> I</t>
    </r>
    <r>
      <rPr>
        <b/>
        <i/>
        <u/>
        <sz val="11"/>
        <rFont val="Times New Roman"/>
        <family val="1"/>
        <charset val="186"/>
      </rPr>
      <t>ekš. groz.:</t>
    </r>
    <r>
      <rPr>
        <i/>
        <sz val="11"/>
        <rFont val="Times New Roman"/>
        <family val="1"/>
        <charset val="186"/>
      </rPr>
      <t xml:space="preserve"> Priekšsēdētāja auto Volvo V70 beidzies līzinga periods, izpirkšanas summa EUR 11'200 - EUR 11'200 no EKK 2321 uz EKK 5231</t>
    </r>
    <r>
      <rPr>
        <sz val="11"/>
        <rFont val="Times New Roman"/>
        <family val="1"/>
        <charset val="186"/>
      </rPr>
      <t>;
4) EUR 3'872 samaksāts no Domes par elektrotīklu apsaimniekošanu, plānots pie CKS =&gt; 0645 no EKK 7230 uz EKK 2244;
5) EUR 18’064 samaksāts no Domes par apdrošināšanu (līgums ar Domi), plānots pie CKS =&gt; 0645 no EKK 7230 uz EKK 2247</t>
    </r>
  </si>
  <si>
    <t>Precizēts mērķdotācijas apjoms amatierkolektīvu vadītājiem</t>
  </si>
  <si>
    <t>0630; 0930</t>
  </si>
  <si>
    <t>EUR 1'198 dalība projektā "Kontakts" izglītības iestāžu pārvalžu atbalstam. (izdevumos pie izglītības nodaļas)</t>
  </si>
  <si>
    <t>No atalgojuma ekonomijas sadaļā "deputāti" EUR 28'260 uz pārvaldi - domes un komiteju sēžu zāles aprīkojumam.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</si>
</sst>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_-;\-* #,##0_-;_-* &quot;-&quot;??_-;_-@_-"/>
    <numFmt numFmtId="165" formatCode="_-* #,##0.000_-;\-* #,##0.000_-;_-* &quot;-&quot;??_-;_-@_-"/>
    <numFmt numFmtId="166" formatCode="#,##0_ ;[Red]\-#,##0\ "/>
    <numFmt numFmtId="167" formatCode="0.0%"/>
  </numFmts>
  <fonts count="69" x14ac:knownFonts="1">
    <font>
      <sz val="11"/>
      <color indexed="8"/>
      <name val="Calibri"/>
      <family val="2"/>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rgb="FFFF0000"/>
      <name val="Calibri"/>
      <family val="2"/>
      <charset val="186"/>
      <scheme val="minor"/>
    </font>
    <font>
      <sz val="11"/>
      <color indexed="8"/>
      <name val="Calibri"/>
      <family val="2"/>
      <charset val="186"/>
    </font>
    <font>
      <sz val="11"/>
      <color indexed="8"/>
      <name val="Calibri"/>
      <family val="2"/>
      <charset val="186"/>
      <scheme val="minor"/>
    </font>
    <font>
      <b/>
      <sz val="14"/>
      <color theme="1"/>
      <name val="Calibri"/>
      <family val="2"/>
      <charset val="186"/>
      <scheme val="minor"/>
    </font>
    <font>
      <sz val="11"/>
      <name val="Calibri"/>
      <family val="2"/>
      <charset val="186"/>
      <scheme val="minor"/>
    </font>
    <font>
      <b/>
      <sz val="11"/>
      <color rgb="FFFF0000"/>
      <name val="Calibri"/>
      <family val="2"/>
      <charset val="186"/>
      <scheme val="minor"/>
    </font>
    <font>
      <sz val="10"/>
      <name val="Arial"/>
      <family val="2"/>
      <charset val="186"/>
    </font>
    <font>
      <b/>
      <sz val="12"/>
      <name val="Calibri"/>
      <family val="2"/>
      <charset val="186"/>
      <scheme val="minor"/>
    </font>
    <font>
      <b/>
      <sz val="10"/>
      <name val="Calibri"/>
      <family val="2"/>
      <charset val="186"/>
      <scheme val="minor"/>
    </font>
    <font>
      <b/>
      <sz val="11"/>
      <name val="Calibri"/>
      <family val="2"/>
      <charset val="186"/>
      <scheme val="minor"/>
    </font>
    <font>
      <b/>
      <sz val="11"/>
      <color indexed="8"/>
      <name val="Calibri"/>
      <family val="2"/>
      <charset val="186"/>
      <scheme val="minor"/>
    </font>
    <font>
      <b/>
      <sz val="11"/>
      <color theme="6" tint="-0.249977111117893"/>
      <name val="Calibri"/>
      <family val="2"/>
      <charset val="186"/>
      <scheme val="minor"/>
    </font>
    <font>
      <b/>
      <sz val="11"/>
      <color theme="2" tint="-0.499984740745262"/>
      <name val="Calibri"/>
      <family val="2"/>
      <charset val="186"/>
      <scheme val="minor"/>
    </font>
    <font>
      <b/>
      <sz val="10"/>
      <color indexed="8"/>
      <name val="Calibri"/>
      <family val="2"/>
      <charset val="186"/>
      <scheme val="minor"/>
    </font>
    <font>
      <sz val="10"/>
      <name val="Calibri"/>
      <family val="2"/>
      <charset val="186"/>
      <scheme val="minor"/>
    </font>
    <font>
      <sz val="10"/>
      <color indexed="8"/>
      <name val="Calibri"/>
      <family val="2"/>
      <charset val="186"/>
      <scheme val="minor"/>
    </font>
    <font>
      <b/>
      <sz val="10"/>
      <color theme="6" tint="-0.249977111117893"/>
      <name val="Calibri"/>
      <family val="2"/>
      <charset val="186"/>
      <scheme val="minor"/>
    </font>
    <font>
      <b/>
      <sz val="10"/>
      <color theme="2" tint="-0.499984740745262"/>
      <name val="Calibri"/>
      <family val="2"/>
      <charset val="186"/>
      <scheme val="minor"/>
    </font>
    <font>
      <b/>
      <sz val="10"/>
      <color theme="9" tint="-0.249977111117893"/>
      <name val="Calibri"/>
      <family val="2"/>
      <charset val="186"/>
      <scheme val="minor"/>
    </font>
    <font>
      <b/>
      <sz val="10"/>
      <color rgb="FF7030A0"/>
      <name val="Calibri"/>
      <family val="2"/>
      <charset val="186"/>
      <scheme val="minor"/>
    </font>
    <font>
      <sz val="10"/>
      <color theme="6" tint="-0.249977111117893"/>
      <name val="Calibri"/>
      <family val="2"/>
      <charset val="186"/>
      <scheme val="minor"/>
    </font>
    <font>
      <sz val="10"/>
      <color theme="2" tint="-0.499984740745262"/>
      <name val="Calibri"/>
      <family val="2"/>
      <charset val="186"/>
      <scheme val="minor"/>
    </font>
    <font>
      <sz val="10"/>
      <color theme="9" tint="-0.249977111117893"/>
      <name val="Calibri"/>
      <family val="2"/>
      <charset val="186"/>
      <scheme val="minor"/>
    </font>
    <font>
      <sz val="10"/>
      <color rgb="FF7030A0"/>
      <name val="Calibri"/>
      <family val="2"/>
      <charset val="186"/>
      <scheme val="minor"/>
    </font>
    <font>
      <b/>
      <sz val="11"/>
      <color theme="4"/>
      <name val="Calibri"/>
      <family val="2"/>
      <charset val="186"/>
      <scheme val="minor"/>
    </font>
    <font>
      <b/>
      <sz val="10"/>
      <color theme="4"/>
      <name val="Calibri"/>
      <family val="2"/>
      <charset val="186"/>
      <scheme val="minor"/>
    </font>
    <font>
      <sz val="10"/>
      <color theme="4"/>
      <name val="Calibri"/>
      <family val="2"/>
      <charset val="186"/>
      <scheme val="minor"/>
    </font>
    <font>
      <sz val="11"/>
      <color theme="4"/>
      <name val="Calibri"/>
      <family val="2"/>
      <charset val="186"/>
      <scheme val="minor"/>
    </font>
    <font>
      <sz val="9"/>
      <name val="Calibri"/>
      <family val="2"/>
      <charset val="186"/>
      <scheme val="minor"/>
    </font>
    <font>
      <sz val="10"/>
      <color rgb="FFFF0000"/>
      <name val="Calibri"/>
      <family val="2"/>
      <charset val="186"/>
      <scheme val="minor"/>
    </font>
    <font>
      <b/>
      <sz val="11"/>
      <color theme="9" tint="-0.249977111117893"/>
      <name val="Calibri"/>
      <family val="2"/>
      <charset val="186"/>
      <scheme val="minor"/>
    </font>
    <font>
      <sz val="11"/>
      <color theme="2" tint="-0.499984740745262"/>
      <name val="Calibri"/>
      <family val="2"/>
      <charset val="186"/>
      <scheme val="minor"/>
    </font>
    <font>
      <i/>
      <sz val="11"/>
      <name val="Calibri"/>
      <family val="2"/>
      <charset val="186"/>
      <scheme val="minor"/>
    </font>
    <font>
      <b/>
      <i/>
      <sz val="10"/>
      <color rgb="FFFF0000"/>
      <name val="Calibri"/>
      <family val="2"/>
      <charset val="186"/>
      <scheme val="minor"/>
    </font>
    <font>
      <i/>
      <sz val="11"/>
      <color indexed="8"/>
      <name val="Calibri"/>
      <family val="2"/>
      <charset val="186"/>
      <scheme val="minor"/>
    </font>
    <font>
      <i/>
      <sz val="11"/>
      <color rgb="FFFF0000"/>
      <name val="Calibri"/>
      <family val="2"/>
      <charset val="186"/>
      <scheme val="minor"/>
    </font>
    <font>
      <b/>
      <sz val="9"/>
      <color indexed="81"/>
      <name val="Tahoma"/>
      <family val="2"/>
      <charset val="186"/>
    </font>
    <font>
      <sz val="9"/>
      <color indexed="81"/>
      <name val="Tahoma"/>
      <family val="2"/>
      <charset val="186"/>
    </font>
    <font>
      <sz val="11"/>
      <name val="Times New Roman"/>
      <family val="1"/>
      <charset val="186"/>
    </font>
    <font>
      <b/>
      <sz val="20"/>
      <color indexed="8"/>
      <name val="Times New Roman"/>
      <family val="1"/>
      <charset val="186"/>
    </font>
    <font>
      <b/>
      <sz val="20"/>
      <name val="Times New Roman"/>
      <family val="1"/>
      <charset val="186"/>
    </font>
    <font>
      <sz val="11"/>
      <color rgb="FFFF0000"/>
      <name val="Times New Roman"/>
      <family val="1"/>
      <charset val="186"/>
    </font>
    <font>
      <sz val="9"/>
      <color theme="1"/>
      <name val="Arial"/>
      <family val="2"/>
      <charset val="186"/>
    </font>
    <font>
      <b/>
      <sz val="16"/>
      <color theme="1"/>
      <name val="Times New Roman"/>
      <family val="1"/>
      <charset val="186"/>
    </font>
    <font>
      <b/>
      <sz val="11"/>
      <name val="Times New Roman"/>
      <family val="1"/>
      <charset val="186"/>
    </font>
    <font>
      <b/>
      <sz val="11"/>
      <color rgb="FFFF0000"/>
      <name val="Times New Roman"/>
      <family val="1"/>
      <charset val="186"/>
    </font>
    <font>
      <u/>
      <sz val="9"/>
      <color theme="10"/>
      <name val="Arial"/>
      <family val="2"/>
      <charset val="186"/>
    </font>
    <font>
      <sz val="11"/>
      <color indexed="8"/>
      <name val="Times New Roman"/>
      <family val="1"/>
      <charset val="186"/>
    </font>
    <font>
      <sz val="10"/>
      <name val="Times New Roman"/>
      <family val="1"/>
      <charset val="186"/>
    </font>
    <font>
      <sz val="10"/>
      <color rgb="FFFF0000"/>
      <name val="Times New Roman"/>
      <family val="1"/>
      <charset val="186"/>
    </font>
    <font>
      <b/>
      <u/>
      <sz val="11"/>
      <name val="Times New Roman"/>
      <family val="1"/>
      <charset val="186"/>
    </font>
    <font>
      <sz val="11"/>
      <color theme="3"/>
      <name val="Times New Roman"/>
      <family val="1"/>
      <charset val="186"/>
    </font>
    <font>
      <b/>
      <sz val="11"/>
      <color theme="3"/>
      <name val="Times New Roman"/>
      <family val="1"/>
      <charset val="186"/>
    </font>
    <font>
      <sz val="11"/>
      <color indexed="10"/>
      <name val="Times New Roman"/>
      <family val="1"/>
      <charset val="186"/>
    </font>
    <font>
      <u/>
      <sz val="11"/>
      <name val="Times New Roman"/>
      <family val="1"/>
      <charset val="186"/>
    </font>
    <font>
      <i/>
      <sz val="11"/>
      <name val="Times New Roman"/>
      <family val="1"/>
      <charset val="186"/>
    </font>
    <font>
      <i/>
      <sz val="11"/>
      <color rgb="FFFF0000"/>
      <name val="Times New Roman"/>
      <family val="1"/>
      <charset val="186"/>
    </font>
    <font>
      <b/>
      <i/>
      <u/>
      <sz val="11"/>
      <name val="Times New Roman"/>
      <family val="1"/>
      <charset val="186"/>
    </font>
    <font>
      <i/>
      <sz val="11"/>
      <color indexed="8"/>
      <name val="Times New Roman"/>
      <family val="1"/>
      <charset val="186"/>
    </font>
    <font>
      <b/>
      <sz val="11"/>
      <name val="Times New Roman"/>
      <family val="1"/>
    </font>
    <font>
      <sz val="11"/>
      <color rgb="FF7030A0"/>
      <name val="Times New Roman"/>
      <family val="1"/>
      <charset val="186"/>
    </font>
    <font>
      <b/>
      <sz val="11"/>
      <color rgb="FF7030A0"/>
      <name val="Times New Roman"/>
      <family val="1"/>
      <charset val="186"/>
    </font>
    <font>
      <i/>
      <sz val="11"/>
      <color theme="3"/>
      <name val="Times New Roman"/>
      <family val="1"/>
      <charset val="186"/>
    </font>
    <font>
      <sz val="11"/>
      <color theme="9" tint="-0.249977111117893"/>
      <name val="Times New Roman"/>
      <family val="1"/>
      <charset val="186"/>
    </font>
  </fonts>
  <fills count="23">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2"/>
        <bgColor indexed="64"/>
      </patternFill>
    </fill>
    <fill>
      <patternFill patternType="solid">
        <fgColor theme="7" tint="0.39997558519241921"/>
        <bgColor indexed="64"/>
      </patternFill>
    </fill>
    <fill>
      <patternFill patternType="solid">
        <fgColor theme="5" tint="0.59999389629810485"/>
        <bgColor indexed="64"/>
      </patternFill>
    </fill>
    <fill>
      <patternFill patternType="solid">
        <fgColor theme="2" tint="-9.9978637043366805E-2"/>
        <bgColor indexed="64"/>
      </patternFill>
    </fill>
    <fill>
      <patternFill patternType="solid">
        <fgColor rgb="FFFFFF00"/>
        <bgColor indexed="64"/>
      </patternFill>
    </fill>
    <fill>
      <patternFill patternType="solid">
        <fgColor theme="5" tint="0.79998168889431442"/>
        <bgColor indexed="64"/>
      </patternFill>
    </fill>
    <fill>
      <patternFill patternType="solid">
        <fgColor indexed="22"/>
        <bgColor indexed="64"/>
      </patternFill>
    </fill>
    <fill>
      <patternFill patternType="solid">
        <fgColor indexed="50"/>
        <bgColor indexed="64"/>
      </patternFill>
    </fill>
    <fill>
      <patternFill patternType="solid">
        <fgColor indexed="9"/>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indexed="47"/>
        <bgColor indexed="64"/>
      </patternFill>
    </fill>
    <fill>
      <patternFill patternType="solid">
        <fgColor rgb="FFFFFF99"/>
        <bgColor indexed="64"/>
      </patternFill>
    </fill>
    <fill>
      <patternFill patternType="solid">
        <fgColor indexed="42"/>
        <bgColor indexed="64"/>
      </patternFill>
    </fill>
    <fill>
      <patternFill patternType="solid">
        <fgColor theme="0"/>
        <bgColor indexed="64"/>
      </patternFill>
    </fill>
    <fill>
      <patternFill patternType="solid">
        <fgColor rgb="FF00B0F0"/>
        <bgColor indexed="64"/>
      </patternFill>
    </fill>
    <fill>
      <patternFill patternType="solid">
        <fgColor rgb="FFFFFFCC"/>
        <bgColor indexed="64"/>
      </patternFill>
    </fill>
    <fill>
      <patternFill patternType="solid">
        <fgColor theme="4" tint="0.79998168889431442"/>
        <bgColor indexed="64"/>
      </patternFill>
    </fill>
    <fill>
      <patternFill patternType="solid">
        <fgColor theme="4" tint="0.59999389629810485"/>
        <bgColor indexed="64"/>
      </patternFill>
    </fill>
  </fills>
  <borders count="44">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auto="1"/>
      </right>
      <top/>
      <bottom style="thin">
        <color auto="1"/>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style="medium">
        <color indexed="64"/>
      </right>
      <top style="medium">
        <color indexed="64"/>
      </top>
      <bottom style="thin">
        <color indexed="64"/>
      </bottom>
      <diagonal/>
    </border>
    <border>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right style="medium">
        <color indexed="64"/>
      </right>
      <top style="thin">
        <color indexed="64"/>
      </top>
      <bottom/>
      <diagonal/>
    </border>
  </borders>
  <cellStyleXfs count="21">
    <xf numFmtId="0" fontId="0" fillId="0" borderId="0"/>
    <xf numFmtId="43" fontId="11" fillId="0" borderId="0" applyFill="0" applyBorder="0" applyAlignment="0" applyProtection="0"/>
    <xf numFmtId="9" fontId="6" fillId="0" borderId="0" applyFont="0" applyFill="0" applyBorder="0" applyAlignment="0" applyProtection="0"/>
    <xf numFmtId="0" fontId="4" fillId="0" borderId="0"/>
    <xf numFmtId="0" fontId="11" fillId="0" borderId="0"/>
    <xf numFmtId="0" fontId="4" fillId="0" borderId="0"/>
    <xf numFmtId="0" fontId="4" fillId="0" borderId="0"/>
    <xf numFmtId="43" fontId="47" fillId="0" borderId="0" applyFont="0" applyFill="0" applyBorder="0" applyAlignment="0" applyProtection="0"/>
    <xf numFmtId="9" fontId="6" fillId="0" borderId="0" applyFont="0" applyFill="0" applyBorder="0" applyAlignment="0" applyProtection="0"/>
    <xf numFmtId="9" fontId="47" fillId="0" borderId="0" applyFont="0" applyFill="0" applyBorder="0" applyAlignment="0" applyProtection="0"/>
    <xf numFmtId="43" fontId="6" fillId="0" borderId="0" applyFont="0" applyFill="0" applyBorder="0" applyAlignment="0" applyProtection="0"/>
    <xf numFmtId="0" fontId="51" fillId="0" borderId="0" applyNumberFormat="0" applyFill="0" applyBorder="0" applyAlignment="0" applyProtection="0"/>
    <xf numFmtId="0" fontId="11" fillId="0" borderId="0"/>
    <xf numFmtId="9" fontId="6" fillId="0" borderId="0" applyFont="0" applyFill="0" applyBorder="0" applyAlignment="0" applyProtection="0"/>
    <xf numFmtId="0" fontId="47" fillId="0" borderId="0"/>
    <xf numFmtId="0" fontId="3" fillId="0" borderId="0"/>
    <xf numFmtId="0" fontId="3" fillId="0" borderId="0"/>
    <xf numFmtId="0" fontId="2" fillId="0" borderId="0"/>
    <xf numFmtId="0" fontId="2" fillId="0" borderId="0"/>
    <xf numFmtId="0" fontId="1" fillId="0" borderId="0"/>
    <xf numFmtId="0" fontId="1" fillId="0" borderId="0"/>
  </cellStyleXfs>
  <cellXfs count="569">
    <xf numFmtId="0" fontId="0" fillId="0" borderId="0" xfId="0"/>
    <xf numFmtId="0" fontId="7" fillId="0" borderId="0" xfId="0" applyFont="1"/>
    <xf numFmtId="0" fontId="8" fillId="0" borderId="0" xfId="3" applyFont="1"/>
    <xf numFmtId="0" fontId="9" fillId="0" borderId="0" xfId="0" applyFont="1"/>
    <xf numFmtId="0" fontId="10" fillId="0" borderId="0" xfId="0" applyFont="1"/>
    <xf numFmtId="0" fontId="10" fillId="0" borderId="0" xfId="0" applyFont="1" applyAlignment="1">
      <alignment horizontal="center"/>
    </xf>
    <xf numFmtId="0" fontId="5" fillId="0" borderId="0" xfId="0" applyFont="1"/>
    <xf numFmtId="164" fontId="7" fillId="0" borderId="0" xfId="0" applyNumberFormat="1" applyFont="1"/>
    <xf numFmtId="0" fontId="12" fillId="0" borderId="0" xfId="4" applyFont="1"/>
    <xf numFmtId="164" fontId="10" fillId="0" borderId="0" xfId="0" applyNumberFormat="1" applyFont="1" applyAlignment="1">
      <alignment horizontal="center"/>
    </xf>
    <xf numFmtId="0" fontId="13" fillId="0" borderId="0" xfId="4" applyFont="1"/>
    <xf numFmtId="0" fontId="14" fillId="2" borderId="0" xfId="0" applyFont="1" applyFill="1"/>
    <xf numFmtId="1" fontId="7" fillId="0" borderId="0" xfId="0" applyNumberFormat="1" applyFont="1"/>
    <xf numFmtId="0" fontId="7" fillId="0" borderId="0" xfId="0" applyFont="1" applyAlignment="1">
      <alignment horizontal="center" vertical="center"/>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wrapText="1"/>
    </xf>
    <xf numFmtId="0" fontId="15" fillId="3" borderId="2" xfId="0" applyFont="1" applyFill="1" applyBorder="1" applyAlignment="1">
      <alignment horizontal="center" vertical="center"/>
    </xf>
    <xf numFmtId="0" fontId="14"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17" fillId="3" borderId="2" xfId="0" applyFont="1" applyFill="1" applyBorder="1" applyAlignment="1">
      <alignment horizontal="center" vertical="center" wrapText="1"/>
    </xf>
    <xf numFmtId="0" fontId="7" fillId="0" borderId="3" xfId="0" applyFont="1" applyBorder="1" applyAlignment="1">
      <alignment horizontal="center" vertical="center"/>
    </xf>
    <xf numFmtId="0" fontId="15" fillId="0" borderId="0" xfId="0" applyFont="1"/>
    <xf numFmtId="0" fontId="15" fillId="0" borderId="3" xfId="0" applyFont="1" applyBorder="1"/>
    <xf numFmtId="0" fontId="18" fillId="0" borderId="4" xfId="0" applyFont="1" applyBorder="1"/>
    <xf numFmtId="0" fontId="18" fillId="0" borderId="3" xfId="0" applyFont="1" applyBorder="1"/>
    <xf numFmtId="0" fontId="19" fillId="0" borderId="3" xfId="0" applyFont="1" applyBorder="1"/>
    <xf numFmtId="0" fontId="20" fillId="0" borderId="3" xfId="0" applyFont="1" applyBorder="1"/>
    <xf numFmtId="164" fontId="19" fillId="0" borderId="3" xfId="1" applyNumberFormat="1" applyFont="1" applyBorder="1"/>
    <xf numFmtId="164" fontId="13" fillId="0" borderId="3" xfId="1" applyNumberFormat="1" applyFont="1" applyBorder="1"/>
    <xf numFmtId="165" fontId="13" fillId="0" borderId="3" xfId="1" applyNumberFormat="1" applyFont="1" applyBorder="1"/>
    <xf numFmtId="164" fontId="21" fillId="0" borderId="5" xfId="1" applyNumberFormat="1" applyFont="1" applyBorder="1"/>
    <xf numFmtId="164" fontId="22" fillId="0" borderId="5" xfId="1" applyNumberFormat="1" applyFont="1" applyBorder="1"/>
    <xf numFmtId="166" fontId="23" fillId="0" borderId="5" xfId="1" applyNumberFormat="1" applyFont="1" applyBorder="1"/>
    <xf numFmtId="164" fontId="13" fillId="0" borderId="5" xfId="1" applyNumberFormat="1" applyFont="1" applyBorder="1"/>
    <xf numFmtId="164" fontId="24" fillId="4" borderId="5" xfId="1" applyNumberFormat="1" applyFont="1" applyFill="1" applyBorder="1"/>
    <xf numFmtId="164" fontId="20" fillId="0" borderId="0" xfId="0" applyNumberFormat="1" applyFont="1"/>
    <xf numFmtId="164" fontId="13" fillId="0" borderId="4" xfId="1" applyNumberFormat="1" applyFont="1" applyBorder="1"/>
    <xf numFmtId="164" fontId="13" fillId="4" borderId="5" xfId="1" applyNumberFormat="1" applyFont="1" applyFill="1" applyBorder="1"/>
    <xf numFmtId="164" fontId="15" fillId="0" borderId="0" xfId="0" applyNumberFormat="1" applyFont="1"/>
    <xf numFmtId="0" fontId="7" fillId="0" borderId="6" xfId="0" applyFont="1" applyBorder="1"/>
    <xf numFmtId="0" fontId="20" fillId="0" borderId="7" xfId="0" applyFont="1" applyBorder="1"/>
    <xf numFmtId="0" fontId="18" fillId="0" borderId="6" xfId="0" applyFont="1" applyBorder="1"/>
    <xf numFmtId="0" fontId="19" fillId="0" borderId="6" xfId="0" applyFont="1" applyBorder="1"/>
    <xf numFmtId="0" fontId="20" fillId="0" borderId="6" xfId="0" applyFont="1" applyBorder="1"/>
    <xf numFmtId="164" fontId="19" fillId="0" borderId="6" xfId="1" applyNumberFormat="1" applyFont="1" applyBorder="1"/>
    <xf numFmtId="165" fontId="19" fillId="0" borderId="6" xfId="1" applyNumberFormat="1" applyFont="1" applyBorder="1"/>
    <xf numFmtId="164" fontId="25" fillId="0" borderId="8" xfId="1" applyNumberFormat="1" applyFont="1" applyBorder="1"/>
    <xf numFmtId="164" fontId="26" fillId="0" borderId="8" xfId="1" applyNumberFormat="1" applyFont="1" applyBorder="1"/>
    <xf numFmtId="166" fontId="27" fillId="0" borderId="8" xfId="1" applyNumberFormat="1" applyFont="1" applyBorder="1"/>
    <xf numFmtId="164" fontId="19" fillId="0" borderId="8" xfId="1" applyNumberFormat="1" applyFont="1" applyBorder="1"/>
    <xf numFmtId="164" fontId="28" fillId="4" borderId="8" xfId="1" applyNumberFormat="1" applyFont="1" applyFill="1" applyBorder="1"/>
    <xf numFmtId="164" fontId="19" fillId="0" borderId="7" xfId="1" applyNumberFormat="1" applyFont="1" applyBorder="1"/>
    <xf numFmtId="164" fontId="19" fillId="4" borderId="8" xfId="1" applyNumberFormat="1" applyFont="1" applyFill="1" applyBorder="1"/>
    <xf numFmtId="164" fontId="19" fillId="0" borderId="6" xfId="1" applyNumberFormat="1" applyFont="1" applyFill="1" applyBorder="1"/>
    <xf numFmtId="165" fontId="19" fillId="5" borderId="6" xfId="1" applyNumberFormat="1" applyFont="1" applyFill="1" applyBorder="1"/>
    <xf numFmtId="166" fontId="27" fillId="0" borderId="8" xfId="1" applyNumberFormat="1" applyFont="1" applyFill="1" applyBorder="1"/>
    <xf numFmtId="164" fontId="21" fillId="0" borderId="5" xfId="1" applyNumberFormat="1" applyFont="1" applyFill="1" applyBorder="1"/>
    <xf numFmtId="166" fontId="23" fillId="0" borderId="5" xfId="1" applyNumberFormat="1" applyFont="1" applyFill="1" applyBorder="1"/>
    <xf numFmtId="166" fontId="27" fillId="6" borderId="8" xfId="1" applyNumberFormat="1" applyFont="1" applyFill="1" applyBorder="1"/>
    <xf numFmtId="0" fontId="18" fillId="0" borderId="9" xfId="0" applyFont="1" applyBorder="1"/>
    <xf numFmtId="0" fontId="18" fillId="0" borderId="0" xfId="0" applyFont="1"/>
    <xf numFmtId="0" fontId="19" fillId="0" borderId="0" xfId="0" applyFont="1"/>
    <xf numFmtId="0" fontId="20" fillId="0" borderId="0" xfId="0" applyFont="1"/>
    <xf numFmtId="164" fontId="19" fillId="0" borderId="0" xfId="1" applyNumberFormat="1" applyFont="1" applyBorder="1"/>
    <xf numFmtId="165" fontId="19" fillId="0" borderId="0" xfId="1" applyNumberFormat="1" applyFont="1" applyBorder="1"/>
    <xf numFmtId="164" fontId="25" fillId="0" borderId="10" xfId="1" applyNumberFormat="1" applyFont="1" applyBorder="1"/>
    <xf numFmtId="164" fontId="26" fillId="0" borderId="10" xfId="1" applyNumberFormat="1" applyFont="1" applyBorder="1"/>
    <xf numFmtId="166" fontId="27" fillId="0" borderId="10" xfId="1" applyNumberFormat="1" applyFont="1" applyBorder="1"/>
    <xf numFmtId="164" fontId="19" fillId="0" borderId="10" xfId="1" applyNumberFormat="1" applyFont="1" applyBorder="1"/>
    <xf numFmtId="0" fontId="20" fillId="0" borderId="9" xfId="0" applyFont="1" applyBorder="1"/>
    <xf numFmtId="164" fontId="13" fillId="0" borderId="3" xfId="1" applyNumberFormat="1" applyFont="1" applyFill="1" applyBorder="1"/>
    <xf numFmtId="0" fontId="14" fillId="0" borderId="3" xfId="0" applyFont="1" applyBorder="1"/>
    <xf numFmtId="0" fontId="13" fillId="0" borderId="4" xfId="0" applyFont="1" applyBorder="1"/>
    <xf numFmtId="0" fontId="13" fillId="0" borderId="3" xfId="0" applyFont="1" applyBorder="1"/>
    <xf numFmtId="14" fontId="19" fillId="0" borderId="3" xfId="0" applyNumberFormat="1" applyFont="1" applyBorder="1"/>
    <xf numFmtId="0" fontId="14" fillId="0" borderId="0" xfId="0" applyFont="1"/>
    <xf numFmtId="164" fontId="14" fillId="0" borderId="0" xfId="0" applyNumberFormat="1" applyFont="1"/>
    <xf numFmtId="0" fontId="9" fillId="0" borderId="6" xfId="0" applyFont="1" applyBorder="1"/>
    <xf numFmtId="0" fontId="19" fillId="0" borderId="7" xfId="0" applyFont="1" applyBorder="1"/>
    <xf numFmtId="0" fontId="13" fillId="0" borderId="6" xfId="0" applyFont="1" applyBorder="1"/>
    <xf numFmtId="165" fontId="19" fillId="0" borderId="3" xfId="1" applyNumberFormat="1" applyFont="1" applyBorder="1"/>
    <xf numFmtId="165" fontId="13" fillId="0" borderId="5" xfId="1" applyNumberFormat="1" applyFont="1" applyBorder="1"/>
    <xf numFmtId="166" fontId="13" fillId="0" borderId="5" xfId="1" applyNumberFormat="1" applyFont="1" applyBorder="1"/>
    <xf numFmtId="164" fontId="19" fillId="0" borderId="0" xfId="0" applyNumberFormat="1" applyFont="1"/>
    <xf numFmtId="0" fontId="13" fillId="0" borderId="7" xfId="0" applyFont="1" applyBorder="1"/>
    <xf numFmtId="165" fontId="19" fillId="0" borderId="8" xfId="1" applyNumberFormat="1" applyFont="1" applyBorder="1"/>
    <xf numFmtId="166" fontId="19" fillId="0" borderId="8" xfId="1" applyNumberFormat="1" applyFont="1" applyBorder="1"/>
    <xf numFmtId="0" fontId="29" fillId="0" borderId="3" xfId="0" applyFont="1" applyBorder="1"/>
    <xf numFmtId="0" fontId="30" fillId="0" borderId="4" xfId="0" applyFont="1" applyBorder="1"/>
    <xf numFmtId="0" fontId="30" fillId="0" borderId="3" xfId="0" applyFont="1" applyBorder="1"/>
    <xf numFmtId="0" fontId="31" fillId="0" borderId="3" xfId="0" applyFont="1" applyBorder="1"/>
    <xf numFmtId="164" fontId="31" fillId="0" borderId="3" xfId="1" applyNumberFormat="1" applyFont="1" applyBorder="1"/>
    <xf numFmtId="165" fontId="31" fillId="0" borderId="3" xfId="1" applyNumberFormat="1" applyFont="1" applyBorder="1"/>
    <xf numFmtId="165" fontId="30" fillId="0" borderId="3" xfId="1" applyNumberFormat="1" applyFont="1" applyBorder="1"/>
    <xf numFmtId="165" fontId="30" fillId="0" borderId="5" xfId="1" applyNumberFormat="1" applyFont="1" applyBorder="1"/>
    <xf numFmtId="164" fontId="30" fillId="0" borderId="5" xfId="1" applyNumberFormat="1" applyFont="1" applyBorder="1"/>
    <xf numFmtId="164" fontId="30" fillId="4" borderId="5" xfId="1" applyNumberFormat="1" applyFont="1" applyFill="1" applyBorder="1"/>
    <xf numFmtId="164" fontId="31" fillId="0" borderId="0" xfId="0" applyNumberFormat="1" applyFont="1"/>
    <xf numFmtId="164" fontId="30" fillId="0" borderId="4" xfId="1" applyNumberFormat="1" applyFont="1" applyBorder="1"/>
    <xf numFmtId="0" fontId="32" fillId="0" borderId="0" xfId="0" applyFont="1"/>
    <xf numFmtId="0" fontId="29" fillId="0" borderId="0" xfId="0" applyFont="1"/>
    <xf numFmtId="164" fontId="29" fillId="0" borderId="0" xfId="0" applyNumberFormat="1" applyFont="1"/>
    <xf numFmtId="0" fontId="32" fillId="0" borderId="6" xfId="0" applyFont="1" applyBorder="1"/>
    <xf numFmtId="0" fontId="30" fillId="0" borderId="7" xfId="0" applyFont="1" applyBorder="1"/>
    <xf numFmtId="0" fontId="30" fillId="0" borderId="6" xfId="0" applyFont="1" applyBorder="1"/>
    <xf numFmtId="0" fontId="31" fillId="0" borderId="6" xfId="0" applyFont="1" applyBorder="1"/>
    <xf numFmtId="164" fontId="31" fillId="0" borderId="6" xfId="1" applyNumberFormat="1" applyFont="1" applyBorder="1"/>
    <xf numFmtId="165" fontId="31" fillId="0" borderId="6" xfId="1" applyNumberFormat="1" applyFont="1" applyBorder="1"/>
    <xf numFmtId="165" fontId="31" fillId="0" borderId="8" xfId="1" applyNumberFormat="1" applyFont="1" applyBorder="1"/>
    <xf numFmtId="164" fontId="31" fillId="0" borderId="8" xfId="1" applyNumberFormat="1" applyFont="1" applyBorder="1"/>
    <xf numFmtId="164" fontId="31" fillId="4" borderId="8" xfId="1" applyNumberFormat="1" applyFont="1" applyFill="1" applyBorder="1"/>
    <xf numFmtId="164" fontId="31" fillId="0" borderId="7" xfId="1" applyNumberFormat="1" applyFont="1" applyBorder="1"/>
    <xf numFmtId="164" fontId="31" fillId="0" borderId="3" xfId="1" applyNumberFormat="1" applyFont="1" applyFill="1" applyBorder="1"/>
    <xf numFmtId="165" fontId="31" fillId="0" borderId="3" xfId="1" applyNumberFormat="1" applyFont="1" applyFill="1" applyBorder="1"/>
    <xf numFmtId="165" fontId="30" fillId="0" borderId="3" xfId="1" applyNumberFormat="1" applyFont="1" applyFill="1" applyBorder="1"/>
    <xf numFmtId="165" fontId="30" fillId="0" borderId="5" xfId="1" applyNumberFormat="1" applyFont="1" applyFill="1" applyBorder="1"/>
    <xf numFmtId="164" fontId="30" fillId="0" borderId="5" xfId="1" applyNumberFormat="1" applyFont="1" applyFill="1" applyBorder="1"/>
    <xf numFmtId="164" fontId="30" fillId="0" borderId="4" xfId="1" applyNumberFormat="1" applyFont="1" applyFill="1" applyBorder="1"/>
    <xf numFmtId="164" fontId="31" fillId="0" borderId="6" xfId="1" applyNumberFormat="1" applyFont="1" applyFill="1" applyBorder="1"/>
    <xf numFmtId="165" fontId="31" fillId="0" borderId="6" xfId="1" applyNumberFormat="1" applyFont="1" applyFill="1" applyBorder="1"/>
    <xf numFmtId="165" fontId="31" fillId="0" borderId="8" xfId="1" applyNumberFormat="1" applyFont="1" applyFill="1" applyBorder="1"/>
    <xf numFmtId="164" fontId="31" fillId="0" borderId="8" xfId="1" applyNumberFormat="1" applyFont="1" applyFill="1" applyBorder="1"/>
    <xf numFmtId="164" fontId="31" fillId="0" borderId="7" xfId="1" applyNumberFormat="1" applyFont="1" applyFill="1" applyBorder="1"/>
    <xf numFmtId="164" fontId="31" fillId="0" borderId="6" xfId="0" applyNumberFormat="1" applyFont="1" applyBorder="1"/>
    <xf numFmtId="164" fontId="19" fillId="0" borderId="0" xfId="1" applyNumberFormat="1" applyFont="1" applyFill="1" applyBorder="1"/>
    <xf numFmtId="165" fontId="19" fillId="0" borderId="0" xfId="1" applyNumberFormat="1" applyFont="1" applyFill="1" applyBorder="1"/>
    <xf numFmtId="165" fontId="33" fillId="0" borderId="0" xfId="1" applyNumberFormat="1" applyFont="1" applyFill="1" applyBorder="1"/>
    <xf numFmtId="164" fontId="34" fillId="0" borderId="0" xfId="1" applyNumberFormat="1" applyFont="1" applyFill="1" applyBorder="1"/>
    <xf numFmtId="164" fontId="26" fillId="0" borderId="0" xfId="1" applyNumberFormat="1" applyFont="1" applyFill="1" applyBorder="1"/>
    <xf numFmtId="166" fontId="27" fillId="0" borderId="0" xfId="1" applyNumberFormat="1" applyFont="1" applyFill="1" applyBorder="1"/>
    <xf numFmtId="164" fontId="14" fillId="3" borderId="0" xfId="0" applyNumberFormat="1" applyFont="1" applyFill="1"/>
    <xf numFmtId="164" fontId="11" fillId="0" borderId="0" xfId="1" applyNumberFormat="1"/>
    <xf numFmtId="0" fontId="15" fillId="0" borderId="0" xfId="0" applyFont="1" applyAlignment="1">
      <alignment horizontal="right"/>
    </xf>
    <xf numFmtId="164" fontId="15" fillId="3" borderId="0" xfId="0" applyNumberFormat="1" applyFont="1" applyFill="1"/>
    <xf numFmtId="165" fontId="15" fillId="3" borderId="0" xfId="0" applyNumberFormat="1" applyFont="1" applyFill="1"/>
    <xf numFmtId="165" fontId="15" fillId="0" borderId="0" xfId="0" applyNumberFormat="1" applyFont="1"/>
    <xf numFmtId="165" fontId="13" fillId="0" borderId="0" xfId="1" applyNumberFormat="1" applyFont="1" applyFill="1" applyBorder="1" applyAlignment="1">
      <alignment horizontal="right"/>
    </xf>
    <xf numFmtId="164" fontId="21" fillId="7" borderId="5" xfId="1" applyNumberFormat="1" applyFont="1" applyFill="1" applyBorder="1"/>
    <xf numFmtId="164" fontId="22" fillId="7" borderId="5" xfId="1" applyNumberFormat="1" applyFont="1" applyFill="1" applyBorder="1"/>
    <xf numFmtId="166" fontId="23" fillId="7" borderId="5" xfId="1" applyNumberFormat="1" applyFont="1" applyFill="1" applyBorder="1"/>
    <xf numFmtId="164" fontId="13" fillId="7" borderId="5" xfId="1" applyNumberFormat="1" applyFont="1" applyFill="1" applyBorder="1"/>
    <xf numFmtId="165" fontId="19" fillId="0" borderId="0" xfId="1" applyNumberFormat="1" applyFont="1" applyFill="1" applyBorder="1" applyAlignment="1">
      <alignment horizontal="right"/>
    </xf>
    <xf numFmtId="164" fontId="25" fillId="7" borderId="8" xfId="1" applyNumberFormat="1" applyFont="1" applyFill="1" applyBorder="1"/>
    <xf numFmtId="164" fontId="26" fillId="7" borderId="8" xfId="1" applyNumberFormat="1" applyFont="1" applyFill="1" applyBorder="1"/>
    <xf numFmtId="166" fontId="27" fillId="7" borderId="8" xfId="1" applyNumberFormat="1" applyFont="1" applyFill="1" applyBorder="1"/>
    <xf numFmtId="164" fontId="19" fillId="7" borderId="8" xfId="1" applyNumberFormat="1" applyFont="1" applyFill="1" applyBorder="1"/>
    <xf numFmtId="164" fontId="16" fillId="7" borderId="8" xfId="0" applyNumberFormat="1" applyFont="1" applyFill="1" applyBorder="1"/>
    <xf numFmtId="164" fontId="17" fillId="7" borderId="8" xfId="0" applyNumberFormat="1" applyFont="1" applyFill="1" applyBorder="1"/>
    <xf numFmtId="166" fontId="35" fillId="7" borderId="8" xfId="0" applyNumberFormat="1" applyFont="1" applyFill="1" applyBorder="1"/>
    <xf numFmtId="164" fontId="14" fillId="7" borderId="8" xfId="0" applyNumberFormat="1" applyFont="1" applyFill="1" applyBorder="1"/>
    <xf numFmtId="0" fontId="7" fillId="8" borderId="0" xfId="0" applyFont="1" applyFill="1"/>
    <xf numFmtId="0" fontId="15" fillId="0" borderId="0" xfId="0" applyFont="1" applyAlignment="1">
      <alignment wrapText="1"/>
    </xf>
    <xf numFmtId="0" fontId="14" fillId="0" borderId="0" xfId="0" applyFont="1" applyAlignment="1">
      <alignment wrapText="1"/>
    </xf>
    <xf numFmtId="164" fontId="7" fillId="8" borderId="0" xfId="0" applyNumberFormat="1" applyFont="1" applyFill="1"/>
    <xf numFmtId="164" fontId="5" fillId="0" borderId="0" xfId="0" applyNumberFormat="1" applyFont="1"/>
    <xf numFmtId="164" fontId="9" fillId="0" borderId="0" xfId="0" applyNumberFormat="1" applyFont="1"/>
    <xf numFmtId="14" fontId="20" fillId="0" borderId="3" xfId="0" applyNumberFormat="1" applyFont="1" applyBorder="1"/>
    <xf numFmtId="14" fontId="31" fillId="0" borderId="3" xfId="0" applyNumberFormat="1" applyFont="1" applyBorder="1"/>
    <xf numFmtId="164" fontId="30" fillId="0" borderId="3" xfId="1" applyNumberFormat="1" applyFont="1" applyBorder="1"/>
    <xf numFmtId="0" fontId="30" fillId="0" borderId="0" xfId="0" applyFont="1"/>
    <xf numFmtId="0" fontId="13" fillId="0" borderId="0" xfId="0" applyFont="1"/>
    <xf numFmtId="0" fontId="13" fillId="0" borderId="0" xfId="0" applyFont="1" applyAlignment="1">
      <alignment horizontal="right"/>
    </xf>
    <xf numFmtId="164" fontId="22" fillId="7" borderId="8" xfId="0" applyNumberFormat="1" applyFont="1" applyFill="1" applyBorder="1"/>
    <xf numFmtId="164" fontId="13" fillId="7" borderId="8" xfId="0" applyNumberFormat="1" applyFont="1" applyFill="1" applyBorder="1"/>
    <xf numFmtId="164" fontId="13" fillId="7" borderId="2" xfId="1" applyNumberFormat="1" applyFont="1" applyFill="1" applyBorder="1"/>
    <xf numFmtId="164" fontId="13" fillId="7" borderId="2" xfId="0" applyNumberFormat="1" applyFont="1" applyFill="1" applyBorder="1"/>
    <xf numFmtId="0" fontId="9" fillId="0" borderId="0" xfId="4" applyFont="1" applyAlignment="1">
      <alignment horizontal="right"/>
    </xf>
    <xf numFmtId="164" fontId="9" fillId="0" borderId="10" xfId="0" applyNumberFormat="1" applyFont="1" applyBorder="1"/>
    <xf numFmtId="164" fontId="36" fillId="0" borderId="10" xfId="0" applyNumberFormat="1" applyFont="1" applyBorder="1"/>
    <xf numFmtId="164" fontId="13" fillId="4" borderId="10" xfId="1" applyNumberFormat="1" applyFont="1" applyFill="1" applyBorder="1"/>
    <xf numFmtId="0" fontId="14" fillId="0" borderId="0" xfId="0" applyFont="1" applyAlignment="1">
      <alignment horizontal="right"/>
    </xf>
    <xf numFmtId="164" fontId="14" fillId="7" borderId="2" xfId="0" applyNumberFormat="1" applyFont="1" applyFill="1" applyBorder="1"/>
    <xf numFmtId="164" fontId="17" fillId="7" borderId="2" xfId="0" applyNumberFormat="1" applyFont="1" applyFill="1" applyBorder="1"/>
    <xf numFmtId="0" fontId="36" fillId="0" borderId="0" xfId="0" applyFont="1"/>
    <xf numFmtId="167" fontId="14" fillId="9" borderId="2" xfId="2" applyNumberFormat="1" applyFont="1" applyFill="1" applyBorder="1"/>
    <xf numFmtId="167" fontId="17" fillId="9" borderId="2" xfId="2" applyNumberFormat="1" applyFont="1" applyFill="1" applyBorder="1"/>
    <xf numFmtId="167" fontId="14" fillId="0" borderId="0" xfId="2" applyNumberFormat="1" applyFont="1" applyFill="1"/>
    <xf numFmtId="0" fontId="37" fillId="0" borderId="0" xfId="4" applyFont="1" applyAlignment="1">
      <alignment horizontal="right"/>
    </xf>
    <xf numFmtId="164" fontId="38" fillId="0" borderId="0" xfId="1" applyNumberFormat="1" applyFont="1"/>
    <xf numFmtId="0" fontId="39" fillId="0" borderId="0" xfId="0" applyFont="1"/>
    <xf numFmtId="0" fontId="40" fillId="0" borderId="0" xfId="0" applyFont="1"/>
    <xf numFmtId="167" fontId="40" fillId="0" borderId="0" xfId="2" applyNumberFormat="1" applyFont="1"/>
    <xf numFmtId="167" fontId="5" fillId="0" borderId="0" xfId="2" applyNumberFormat="1" applyFont="1"/>
    <xf numFmtId="9" fontId="7" fillId="0" borderId="0" xfId="0" applyNumberFormat="1" applyFont="1"/>
    <xf numFmtId="164" fontId="19" fillId="0" borderId="0" xfId="1" applyNumberFormat="1" applyFont="1" applyAlignment="1">
      <alignment horizontal="right"/>
    </xf>
    <xf numFmtId="164" fontId="34" fillId="0" borderId="0" xfId="1" applyNumberFormat="1" applyFont="1"/>
    <xf numFmtId="164" fontId="43" fillId="0" borderId="0" xfId="7" applyNumberFormat="1" applyFont="1" applyAlignment="1">
      <alignment wrapText="1"/>
    </xf>
    <xf numFmtId="9" fontId="43" fillId="0" borderId="0" xfId="8" applyFont="1" applyAlignment="1">
      <alignment wrapText="1"/>
    </xf>
    <xf numFmtId="9" fontId="43" fillId="0" borderId="0" xfId="9" applyFont="1" applyAlignment="1">
      <alignment wrapText="1"/>
    </xf>
    <xf numFmtId="164" fontId="46" fillId="0" borderId="0" xfId="7" applyNumberFormat="1" applyFont="1"/>
    <xf numFmtId="164" fontId="43" fillId="0" borderId="0" xfId="7" applyNumberFormat="1" applyFont="1"/>
    <xf numFmtId="1" fontId="46" fillId="0" borderId="0" xfId="8" applyNumberFormat="1" applyFont="1" applyFill="1"/>
    <xf numFmtId="1" fontId="43" fillId="0" borderId="0" xfId="8" applyNumberFormat="1" applyFont="1" applyFill="1"/>
    <xf numFmtId="164" fontId="49" fillId="0" borderId="0" xfId="10" applyNumberFormat="1" applyFont="1"/>
    <xf numFmtId="164" fontId="50" fillId="0" borderId="0" xfId="7" applyNumberFormat="1" applyFont="1"/>
    <xf numFmtId="164" fontId="49" fillId="0" borderId="0" xfId="7" applyNumberFormat="1" applyFont="1"/>
    <xf numFmtId="9" fontId="46" fillId="0" borderId="0" xfId="8" applyFont="1"/>
    <xf numFmtId="9" fontId="43" fillId="0" borderId="0" xfId="8" applyFont="1"/>
    <xf numFmtId="0" fontId="51" fillId="0" borderId="0" xfId="11"/>
    <xf numFmtId="0" fontId="49" fillId="0" borderId="13" xfId="12" applyFont="1" applyBorder="1" applyAlignment="1">
      <alignment horizontal="center" vertical="center" wrapText="1"/>
    </xf>
    <xf numFmtId="164" fontId="49" fillId="0" borderId="13" xfId="7" applyNumberFormat="1" applyFont="1" applyBorder="1" applyAlignment="1">
      <alignment horizontal="center" vertical="center" wrapText="1"/>
    </xf>
    <xf numFmtId="9" fontId="50" fillId="0" borderId="13" xfId="8" applyFont="1" applyBorder="1" applyAlignment="1">
      <alignment horizontal="center" vertical="center" wrapText="1"/>
    </xf>
    <xf numFmtId="9" fontId="49" fillId="0" borderId="13" xfId="8" applyFont="1" applyBorder="1" applyAlignment="1">
      <alignment horizontal="center" vertical="center" wrapText="1"/>
    </xf>
    <xf numFmtId="164" fontId="49" fillId="10" borderId="15" xfId="7" applyNumberFormat="1" applyFont="1" applyFill="1" applyBorder="1"/>
    <xf numFmtId="9" fontId="46" fillId="10" borderId="15" xfId="8" applyFont="1" applyFill="1" applyBorder="1" applyAlignment="1">
      <alignment wrapText="1"/>
    </xf>
    <xf numFmtId="9" fontId="43" fillId="10" borderId="15" xfId="8" applyFont="1" applyFill="1" applyBorder="1" applyAlignment="1">
      <alignment wrapText="1"/>
    </xf>
    <xf numFmtId="164" fontId="49" fillId="11" borderId="15" xfId="7" applyNumberFormat="1" applyFont="1" applyFill="1" applyBorder="1"/>
    <xf numFmtId="9" fontId="50" fillId="11" borderId="15" xfId="8" applyFont="1" applyFill="1" applyBorder="1"/>
    <xf numFmtId="9" fontId="49" fillId="11" borderId="15" xfId="8" applyFont="1" applyFill="1" applyBorder="1"/>
    <xf numFmtId="164" fontId="43" fillId="0" borderId="17" xfId="7" applyNumberFormat="1" applyFont="1" applyBorder="1"/>
    <xf numFmtId="9" fontId="46" fillId="0" borderId="17" xfId="8" applyFont="1" applyFill="1" applyBorder="1"/>
    <xf numFmtId="9" fontId="43" fillId="0" borderId="17" xfId="8" applyFont="1" applyFill="1" applyBorder="1"/>
    <xf numFmtId="9" fontId="43" fillId="0" borderId="17" xfId="8" applyFont="1" applyFill="1" applyBorder="1" applyAlignment="1">
      <alignment wrapText="1"/>
    </xf>
    <xf numFmtId="164" fontId="49" fillId="11" borderId="17" xfId="7" applyNumberFormat="1" applyFont="1" applyFill="1" applyBorder="1"/>
    <xf numFmtId="9" fontId="50" fillId="11" borderId="17" xfId="8" applyFont="1" applyFill="1" applyBorder="1"/>
    <xf numFmtId="9" fontId="49" fillId="11" borderId="17" xfId="8" applyFont="1" applyFill="1" applyBorder="1"/>
    <xf numFmtId="9" fontId="46" fillId="0" borderId="17" xfId="8" applyFont="1" applyBorder="1"/>
    <xf numFmtId="9" fontId="43" fillId="0" borderId="17" xfId="8" applyFont="1" applyBorder="1"/>
    <xf numFmtId="9" fontId="46" fillId="0" borderId="18" xfId="8" applyFont="1" applyFill="1" applyBorder="1"/>
    <xf numFmtId="9" fontId="43" fillId="0" borderId="18" xfId="8" applyFont="1" applyFill="1" applyBorder="1"/>
    <xf numFmtId="9" fontId="46" fillId="0" borderId="18" xfId="8" applyFont="1" applyFill="1" applyBorder="1" applyAlignment="1">
      <alignment wrapText="1"/>
    </xf>
    <xf numFmtId="9" fontId="43" fillId="0" borderId="18" xfId="8" applyFont="1" applyFill="1" applyBorder="1" applyAlignment="1">
      <alignment wrapText="1"/>
    </xf>
    <xf numFmtId="9" fontId="43" fillId="0" borderId="17" xfId="8" applyFont="1" applyBorder="1" applyAlignment="1">
      <alignment wrapText="1"/>
    </xf>
    <xf numFmtId="9" fontId="46" fillId="11" borderId="17" xfId="8" applyFont="1" applyFill="1" applyBorder="1" applyAlignment="1">
      <alignment wrapText="1"/>
    </xf>
    <xf numFmtId="9" fontId="43" fillId="11" borderId="17" xfId="8" applyFont="1" applyFill="1" applyBorder="1" applyAlignment="1">
      <alignment wrapText="1"/>
    </xf>
    <xf numFmtId="9" fontId="46" fillId="0" borderId="17" xfId="8" applyFont="1" applyFill="1" applyBorder="1" applyAlignment="1">
      <alignment wrapText="1"/>
    </xf>
    <xf numFmtId="164" fontId="43" fillId="14" borderId="17" xfId="7" applyNumberFormat="1" applyFont="1" applyFill="1" applyBorder="1"/>
    <xf numFmtId="164" fontId="43" fillId="2" borderId="17" xfId="7" applyNumberFormat="1" applyFont="1" applyFill="1" applyBorder="1"/>
    <xf numFmtId="164" fontId="53" fillId="15" borderId="17" xfId="7" applyNumberFormat="1" applyFont="1" applyFill="1" applyBorder="1"/>
    <xf numFmtId="9" fontId="54" fillId="15" borderId="17" xfId="8" applyFont="1" applyFill="1" applyBorder="1" applyAlignment="1">
      <alignment wrapText="1"/>
    </xf>
    <xf numFmtId="9" fontId="53" fillId="15" borderId="17" xfId="8" applyFont="1" applyFill="1" applyBorder="1" applyAlignment="1">
      <alignment wrapText="1"/>
    </xf>
    <xf numFmtId="9" fontId="53" fillId="16" borderId="17" xfId="8" applyFont="1" applyFill="1" applyBorder="1"/>
    <xf numFmtId="9" fontId="53" fillId="17" borderId="17" xfId="8" applyFont="1" applyFill="1" applyBorder="1"/>
    <xf numFmtId="164" fontId="43" fillId="0" borderId="17" xfId="7" applyNumberFormat="1" applyFont="1" applyFill="1" applyBorder="1"/>
    <xf numFmtId="9" fontId="46" fillId="18" borderId="17" xfId="8" applyFont="1" applyFill="1" applyBorder="1" applyAlignment="1">
      <alignment wrapText="1"/>
    </xf>
    <xf numFmtId="9" fontId="43" fillId="18" borderId="17" xfId="8" applyFont="1" applyFill="1" applyBorder="1" applyAlignment="1">
      <alignment wrapText="1"/>
    </xf>
    <xf numFmtId="9" fontId="43" fillId="16" borderId="17" xfId="8" applyFont="1" applyFill="1" applyBorder="1" applyAlignment="1">
      <alignment wrapText="1"/>
    </xf>
    <xf numFmtId="164" fontId="43" fillId="10" borderId="17" xfId="7" applyNumberFormat="1" applyFont="1" applyFill="1" applyBorder="1"/>
    <xf numFmtId="9" fontId="46" fillId="10" borderId="17" xfId="8" applyFont="1" applyFill="1" applyBorder="1" applyAlignment="1">
      <alignment wrapText="1"/>
    </xf>
    <xf numFmtId="9" fontId="43" fillId="10" borderId="17" xfId="8" applyFont="1" applyFill="1" applyBorder="1" applyAlignment="1">
      <alignment wrapText="1"/>
    </xf>
    <xf numFmtId="9" fontId="43" fillId="16" borderId="18" xfId="8" applyFont="1" applyFill="1" applyBorder="1" applyAlignment="1">
      <alignment wrapText="1"/>
    </xf>
    <xf numFmtId="9" fontId="46" fillId="0" borderId="21" xfId="8" applyFont="1" applyFill="1" applyBorder="1"/>
    <xf numFmtId="9" fontId="43" fillId="0" borderId="21" xfId="8" applyFont="1" applyFill="1" applyBorder="1"/>
    <xf numFmtId="9" fontId="43" fillId="0" borderId="21" xfId="8" applyFont="1" applyFill="1" applyBorder="1" applyAlignment="1">
      <alignment wrapText="1"/>
    </xf>
    <xf numFmtId="1" fontId="46" fillId="0" borderId="17" xfId="8" applyNumberFormat="1" applyFont="1" applyFill="1" applyBorder="1"/>
    <xf numFmtId="1" fontId="43" fillId="0" borderId="17" xfId="8" applyNumberFormat="1" applyFont="1" applyFill="1" applyBorder="1"/>
    <xf numFmtId="164" fontId="49" fillId="0" borderId="13" xfId="7" applyNumberFormat="1" applyFont="1" applyBorder="1"/>
    <xf numFmtId="9" fontId="50" fillId="0" borderId="13" xfId="8" applyFont="1" applyBorder="1"/>
    <xf numFmtId="9" fontId="49" fillId="0" borderId="13" xfId="8" applyFont="1" applyBorder="1"/>
    <xf numFmtId="164" fontId="49" fillId="0" borderId="26" xfId="7" applyNumberFormat="1" applyFont="1" applyBorder="1"/>
    <xf numFmtId="9" fontId="50" fillId="0" borderId="26" xfId="8" applyFont="1" applyFill="1" applyBorder="1"/>
    <xf numFmtId="9" fontId="49" fillId="0" borderId="26" xfId="8" applyFont="1" applyFill="1" applyBorder="1"/>
    <xf numFmtId="164" fontId="49" fillId="11" borderId="21" xfId="7" applyNumberFormat="1" applyFont="1" applyFill="1" applyBorder="1"/>
    <xf numFmtId="164" fontId="43" fillId="0" borderId="21" xfId="7" applyNumberFormat="1" applyFont="1" applyBorder="1"/>
    <xf numFmtId="9" fontId="46" fillId="0" borderId="28" xfId="8" applyFont="1" applyFill="1" applyBorder="1"/>
    <xf numFmtId="9" fontId="46" fillId="0" borderId="20" xfId="8" applyFont="1" applyFill="1" applyBorder="1" applyAlignment="1">
      <alignment wrapText="1"/>
    </xf>
    <xf numFmtId="164" fontId="43" fillId="0" borderId="18" xfId="7" applyNumberFormat="1" applyFont="1" applyBorder="1"/>
    <xf numFmtId="9" fontId="46" fillId="0" borderId="15" xfId="8" applyFont="1" applyFill="1" applyBorder="1"/>
    <xf numFmtId="164" fontId="43" fillId="0" borderId="30" xfId="7" applyNumberFormat="1" applyFont="1" applyBorder="1"/>
    <xf numFmtId="9" fontId="43" fillId="0" borderId="2" xfId="8" applyFont="1" applyFill="1" applyBorder="1"/>
    <xf numFmtId="9" fontId="43" fillId="0" borderId="2" xfId="8" applyFont="1" applyFill="1" applyBorder="1" applyAlignment="1">
      <alignment wrapText="1"/>
    </xf>
    <xf numFmtId="9" fontId="50" fillId="0" borderId="26" xfId="8" applyFont="1" applyBorder="1"/>
    <xf numFmtId="9" fontId="49" fillId="0" borderId="26" xfId="8" applyFont="1" applyBorder="1"/>
    <xf numFmtId="10" fontId="43" fillId="0" borderId="0" xfId="13" applyNumberFormat="1" applyFont="1"/>
    <xf numFmtId="164" fontId="49" fillId="11" borderId="36" xfId="7" applyNumberFormat="1" applyFont="1" applyFill="1" applyBorder="1"/>
    <xf numFmtId="9" fontId="50" fillId="11" borderId="36" xfId="8" applyFont="1" applyFill="1" applyBorder="1"/>
    <xf numFmtId="9" fontId="49" fillId="11" borderId="36" xfId="8" applyFont="1" applyFill="1" applyBorder="1"/>
    <xf numFmtId="9" fontId="46" fillId="10" borderId="17" xfId="8" applyFont="1" applyFill="1" applyBorder="1"/>
    <xf numFmtId="9" fontId="43" fillId="10" borderId="17" xfId="8" applyFont="1" applyFill="1" applyBorder="1"/>
    <xf numFmtId="164" fontId="49" fillId="10" borderId="17" xfId="7" applyNumberFormat="1" applyFont="1" applyFill="1" applyBorder="1"/>
    <xf numFmtId="9" fontId="43" fillId="10" borderId="17" xfId="8" quotePrefix="1" applyFont="1" applyFill="1" applyBorder="1" applyAlignment="1">
      <alignment wrapText="1"/>
    </xf>
    <xf numFmtId="9" fontId="46" fillId="0" borderId="17" xfId="8" applyFont="1" applyBorder="1" applyAlignment="1">
      <alignment wrapText="1"/>
    </xf>
    <xf numFmtId="9" fontId="43" fillId="6" borderId="17" xfId="8" applyFont="1" applyFill="1" applyBorder="1" applyAlignment="1">
      <alignment wrapText="1"/>
    </xf>
    <xf numFmtId="9" fontId="43" fillId="0" borderId="18" xfId="8" applyFont="1" applyBorder="1" applyAlignment="1">
      <alignment wrapText="1"/>
    </xf>
    <xf numFmtId="9" fontId="43" fillId="0" borderId="20" xfId="8" applyFont="1" applyBorder="1" applyAlignment="1">
      <alignment wrapText="1"/>
    </xf>
    <xf numFmtId="9" fontId="50" fillId="10" borderId="17" xfId="8" applyFont="1" applyFill="1" applyBorder="1"/>
    <xf numFmtId="9" fontId="49" fillId="10" borderId="17" xfId="8" applyFont="1" applyFill="1" applyBorder="1"/>
    <xf numFmtId="9" fontId="46" fillId="0" borderId="20" xfId="8" applyFont="1" applyBorder="1" applyAlignment="1">
      <alignment wrapText="1"/>
    </xf>
    <xf numFmtId="164" fontId="43" fillId="19" borderId="17" xfId="7" applyNumberFormat="1" applyFont="1" applyFill="1" applyBorder="1"/>
    <xf numFmtId="164" fontId="60" fillId="19" borderId="17" xfId="7" applyNumberFormat="1" applyFont="1" applyFill="1" applyBorder="1"/>
    <xf numFmtId="9" fontId="61" fillId="0" borderId="17" xfId="8" applyFont="1" applyBorder="1" applyAlignment="1">
      <alignment wrapText="1"/>
    </xf>
    <xf numFmtId="9" fontId="60" fillId="0" borderId="17" xfId="8" applyFont="1" applyBorder="1" applyAlignment="1">
      <alignment wrapText="1"/>
    </xf>
    <xf numFmtId="9" fontId="43" fillId="0" borderId="17" xfId="8" quotePrefix="1" applyFont="1" applyBorder="1" applyAlignment="1">
      <alignment wrapText="1"/>
    </xf>
    <xf numFmtId="9" fontId="61" fillId="0" borderId="17" xfId="8" applyFont="1" applyFill="1" applyBorder="1" applyAlignment="1">
      <alignment wrapText="1"/>
    </xf>
    <xf numFmtId="9" fontId="60" fillId="0" borderId="17" xfId="8" applyFont="1" applyFill="1" applyBorder="1" applyAlignment="1">
      <alignment wrapText="1"/>
    </xf>
    <xf numFmtId="9" fontId="43" fillId="0" borderId="20" xfId="8" applyFont="1" applyFill="1" applyBorder="1" applyAlignment="1">
      <alignment wrapText="1"/>
    </xf>
    <xf numFmtId="9" fontId="61" fillId="8" borderId="17" xfId="8" applyFont="1" applyFill="1" applyBorder="1" applyAlignment="1">
      <alignment wrapText="1"/>
    </xf>
    <xf numFmtId="9" fontId="60" fillId="10" borderId="17" xfId="8" applyFont="1" applyFill="1" applyBorder="1" applyAlignment="1">
      <alignment wrapText="1"/>
    </xf>
    <xf numFmtId="9" fontId="61" fillId="10" borderId="17" xfId="8" applyFont="1" applyFill="1" applyBorder="1" applyAlignment="1">
      <alignment wrapText="1"/>
    </xf>
    <xf numFmtId="164" fontId="43" fillId="18" borderId="17" xfId="7" applyNumberFormat="1" applyFont="1" applyFill="1" applyBorder="1"/>
    <xf numFmtId="9" fontId="46" fillId="18" borderId="17" xfId="8" applyFont="1" applyFill="1" applyBorder="1"/>
    <xf numFmtId="9" fontId="43" fillId="18" borderId="17" xfId="8" applyFont="1" applyFill="1" applyBorder="1"/>
    <xf numFmtId="164" fontId="43" fillId="12" borderId="17" xfId="7" applyNumberFormat="1" applyFont="1" applyFill="1" applyBorder="1"/>
    <xf numFmtId="9" fontId="46" fillId="12" borderId="17" xfId="8" applyFont="1" applyFill="1" applyBorder="1" applyAlignment="1">
      <alignment wrapText="1"/>
    </xf>
    <xf numFmtId="164" fontId="60" fillId="0" borderId="17" xfId="7" applyNumberFormat="1" applyFont="1" applyBorder="1"/>
    <xf numFmtId="9" fontId="60" fillId="16" borderId="17" xfId="8" applyFont="1" applyFill="1" applyBorder="1" applyAlignment="1">
      <alignment wrapText="1"/>
    </xf>
    <xf numFmtId="9" fontId="43" fillId="8" borderId="17" xfId="8" applyFont="1" applyFill="1" applyBorder="1" applyAlignment="1">
      <alignment wrapText="1"/>
    </xf>
    <xf numFmtId="9" fontId="43" fillId="0" borderId="17" xfId="8" quotePrefix="1" applyFont="1" applyFill="1" applyBorder="1" applyAlignment="1">
      <alignment wrapText="1"/>
    </xf>
    <xf numFmtId="9" fontId="60" fillId="0" borderId="19" xfId="8" applyFont="1" applyFill="1" applyBorder="1" applyAlignment="1">
      <alignment wrapText="1"/>
    </xf>
    <xf numFmtId="164" fontId="49" fillId="0" borderId="17" xfId="7" applyNumberFormat="1" applyFont="1" applyBorder="1"/>
    <xf numFmtId="9" fontId="53" fillId="0" borderId="17" xfId="8" applyFont="1" applyFill="1" applyBorder="1" applyAlignment="1">
      <alignment wrapText="1"/>
    </xf>
    <xf numFmtId="164" fontId="49" fillId="0" borderId="38" xfId="7" applyNumberFormat="1" applyFont="1" applyBorder="1"/>
    <xf numFmtId="9" fontId="49" fillId="0" borderId="38" xfId="8" applyFont="1" applyBorder="1"/>
    <xf numFmtId="9" fontId="46" fillId="20" borderId="17" xfId="8" applyFont="1" applyFill="1" applyBorder="1" applyAlignment="1">
      <alignment wrapText="1"/>
    </xf>
    <xf numFmtId="164" fontId="49" fillId="0" borderId="39" xfId="7" applyNumberFormat="1" applyFont="1" applyBorder="1"/>
    <xf numFmtId="9" fontId="43" fillId="0" borderId="39" xfId="8" applyFont="1" applyBorder="1"/>
    <xf numFmtId="164" fontId="49" fillId="11" borderId="42" xfId="7" applyNumberFormat="1" applyFont="1" applyFill="1" applyBorder="1"/>
    <xf numFmtId="9" fontId="49" fillId="11" borderId="42" xfId="8" applyFont="1" applyFill="1" applyBorder="1"/>
    <xf numFmtId="164" fontId="43" fillId="0" borderId="0" xfId="9" applyNumberFormat="1" applyFont="1" applyFill="1"/>
    <xf numFmtId="9" fontId="49" fillId="0" borderId="0" xfId="9" applyFont="1"/>
    <xf numFmtId="164" fontId="66" fillId="0" borderId="0" xfId="10" applyNumberFormat="1" applyFont="1"/>
    <xf numFmtId="9" fontId="65" fillId="0" borderId="0" xfId="8" applyFont="1"/>
    <xf numFmtId="9" fontId="49" fillId="0" borderId="13" xfId="9" applyFont="1" applyBorder="1" applyAlignment="1">
      <alignment horizontal="center" vertical="center" wrapText="1"/>
    </xf>
    <xf numFmtId="9" fontId="49" fillId="10" borderId="15" xfId="9" applyFont="1" applyFill="1" applyBorder="1"/>
    <xf numFmtId="164" fontId="65" fillId="10" borderId="15" xfId="7" applyNumberFormat="1" applyFont="1" applyFill="1" applyBorder="1" applyAlignment="1">
      <alignment wrapText="1"/>
    </xf>
    <xf numFmtId="9" fontId="49" fillId="11" borderId="15" xfId="9" applyFont="1" applyFill="1" applyBorder="1"/>
    <xf numFmtId="9" fontId="43" fillId="0" borderId="17" xfId="9" applyFont="1" applyFill="1" applyBorder="1"/>
    <xf numFmtId="164" fontId="43" fillId="10" borderId="15" xfId="7" applyNumberFormat="1" applyFont="1" applyFill="1" applyBorder="1" applyAlignment="1">
      <alignment wrapText="1"/>
    </xf>
    <xf numFmtId="9" fontId="49" fillId="11" borderId="17" xfId="9" applyFont="1" applyFill="1" applyBorder="1"/>
    <xf numFmtId="9" fontId="43" fillId="0" borderId="17" xfId="9" applyFont="1" applyBorder="1"/>
    <xf numFmtId="164" fontId="49" fillId="11" borderId="17" xfId="9" applyNumberFormat="1" applyFont="1" applyFill="1" applyBorder="1"/>
    <xf numFmtId="9" fontId="43" fillId="14" borderId="17" xfId="9" applyFont="1" applyFill="1" applyBorder="1"/>
    <xf numFmtId="9" fontId="43" fillId="2" borderId="17" xfId="9" applyFont="1" applyFill="1" applyBorder="1"/>
    <xf numFmtId="9" fontId="53" fillId="15" borderId="17" xfId="9" applyFont="1" applyFill="1" applyBorder="1"/>
    <xf numFmtId="9" fontId="43" fillId="22" borderId="17" xfId="9" applyFont="1" applyFill="1" applyBorder="1"/>
    <xf numFmtId="9" fontId="43" fillId="10" borderId="17" xfId="9" applyFont="1" applyFill="1" applyBorder="1"/>
    <xf numFmtId="9" fontId="49" fillId="0" borderId="13" xfId="9" applyFont="1" applyBorder="1"/>
    <xf numFmtId="9" fontId="49" fillId="0" borderId="26" xfId="9" applyFont="1" applyFill="1" applyBorder="1"/>
    <xf numFmtId="9" fontId="49" fillId="11" borderId="21" xfId="9" applyFont="1" applyFill="1" applyBorder="1"/>
    <xf numFmtId="9" fontId="43" fillId="0" borderId="21" xfId="9" applyFont="1" applyFill="1" applyBorder="1"/>
    <xf numFmtId="9" fontId="49" fillId="0" borderId="26" xfId="9" applyFont="1" applyBorder="1"/>
    <xf numFmtId="9" fontId="43" fillId="0" borderId="0" xfId="9" applyFont="1"/>
    <xf numFmtId="10" fontId="46" fillId="0" borderId="0" xfId="13" applyNumberFormat="1" applyFont="1"/>
    <xf numFmtId="10" fontId="65" fillId="0" borderId="0" xfId="13" applyNumberFormat="1" applyFont="1"/>
    <xf numFmtId="9" fontId="66" fillId="0" borderId="13" xfId="8" applyFont="1" applyBorder="1" applyAlignment="1">
      <alignment horizontal="center" vertical="center" wrapText="1"/>
    </xf>
    <xf numFmtId="9" fontId="49" fillId="11" borderId="36" xfId="9" applyFont="1" applyFill="1" applyBorder="1"/>
    <xf numFmtId="9" fontId="49" fillId="10" borderId="17" xfId="9" applyFont="1" applyFill="1" applyBorder="1"/>
    <xf numFmtId="9" fontId="43" fillId="19" borderId="17" xfId="9" applyFont="1" applyFill="1" applyBorder="1"/>
    <xf numFmtId="9" fontId="60" fillId="19" borderId="17" xfId="9" applyFont="1" applyFill="1" applyBorder="1"/>
    <xf numFmtId="164" fontId="43" fillId="10" borderId="17" xfId="9" applyNumberFormat="1" applyFont="1" applyFill="1" applyBorder="1"/>
    <xf numFmtId="9" fontId="43" fillId="18" borderId="17" xfId="9" applyFont="1" applyFill="1" applyBorder="1"/>
    <xf numFmtId="9" fontId="43" fillId="12" borderId="17" xfId="9" applyFont="1" applyFill="1" applyBorder="1"/>
    <xf numFmtId="9" fontId="43" fillId="0" borderId="20" xfId="9" applyFont="1" applyFill="1" applyBorder="1" applyAlignment="1"/>
    <xf numFmtId="9" fontId="60" fillId="0" borderId="17" xfId="9" applyFont="1" applyFill="1" applyBorder="1"/>
    <xf numFmtId="9" fontId="49" fillId="0" borderId="17" xfId="9" applyFont="1" applyFill="1" applyBorder="1"/>
    <xf numFmtId="9" fontId="49" fillId="0" borderId="38" xfId="9" applyFont="1" applyBorder="1"/>
    <xf numFmtId="9" fontId="49" fillId="0" borderId="39" xfId="9" applyFont="1" applyBorder="1"/>
    <xf numFmtId="9" fontId="49" fillId="11" borderId="42" xfId="9" applyFont="1" applyFill="1" applyBorder="1"/>
    <xf numFmtId="164" fontId="46" fillId="0" borderId="0" xfId="7" applyNumberFormat="1" applyFont="1" applyAlignment="1">
      <alignment wrapText="1"/>
    </xf>
    <xf numFmtId="164" fontId="46" fillId="0" borderId="17" xfId="7" applyNumberFormat="1" applyFont="1" applyBorder="1"/>
    <xf numFmtId="164" fontId="43" fillId="0" borderId="43" xfId="7" applyNumberFormat="1" applyFont="1" applyBorder="1"/>
    <xf numFmtId="164" fontId="43" fillId="0" borderId="1" xfId="7" applyNumberFormat="1" applyFont="1" applyBorder="1"/>
    <xf numFmtId="164" fontId="43" fillId="0" borderId="2" xfId="7" applyNumberFormat="1" applyFont="1" applyBorder="1"/>
    <xf numFmtId="9" fontId="43" fillId="0" borderId="19" xfId="8" applyFont="1" applyFill="1" applyBorder="1" applyAlignment="1">
      <alignment horizontal="left" wrapText="1"/>
    </xf>
    <xf numFmtId="9" fontId="43" fillId="0" borderId="20" xfId="8" applyFont="1" applyFill="1" applyBorder="1" applyAlignment="1">
      <alignment horizontal="left" wrapText="1"/>
    </xf>
    <xf numFmtId="9" fontId="43" fillId="20" borderId="19" xfId="8" applyFont="1" applyFill="1" applyBorder="1" applyAlignment="1">
      <alignment horizontal="left" wrapText="1"/>
    </xf>
    <xf numFmtId="9" fontId="43" fillId="20" borderId="20" xfId="8" applyFont="1" applyFill="1" applyBorder="1" applyAlignment="1">
      <alignment horizontal="left" wrapText="1"/>
    </xf>
    <xf numFmtId="9" fontId="43" fillId="0" borderId="19" xfId="8" applyFont="1" applyFill="1" applyBorder="1" applyAlignment="1">
      <alignment horizontal="left" vertical="center" wrapText="1"/>
    </xf>
    <xf numFmtId="9" fontId="43" fillId="0" borderId="20" xfId="8" applyFont="1" applyFill="1" applyBorder="1" applyAlignment="1">
      <alignment horizontal="left" vertical="center" wrapText="1"/>
    </xf>
    <xf numFmtId="9" fontId="43" fillId="0" borderId="19" xfId="9" applyFont="1" applyBorder="1" applyAlignment="1">
      <alignment horizontal="right" wrapText="1"/>
    </xf>
    <xf numFmtId="9" fontId="43" fillId="0" borderId="20" xfId="9" applyFont="1" applyBorder="1" applyAlignment="1">
      <alignment horizontal="right" wrapText="1"/>
    </xf>
    <xf numFmtId="9" fontId="43" fillId="6" borderId="19" xfId="8" applyFont="1" applyFill="1" applyBorder="1" applyAlignment="1">
      <alignment horizontal="left" wrapText="1"/>
    </xf>
    <xf numFmtId="9" fontId="43" fillId="6" borderId="20" xfId="8" applyFont="1" applyFill="1" applyBorder="1" applyAlignment="1">
      <alignment horizontal="left" wrapText="1"/>
    </xf>
    <xf numFmtId="9" fontId="53" fillId="15" borderId="19" xfId="9" applyFont="1" applyFill="1" applyBorder="1" applyAlignment="1">
      <alignment horizontal="right" vertical="center"/>
    </xf>
    <xf numFmtId="9" fontId="53" fillId="15" borderId="20" xfId="9" applyFont="1" applyFill="1" applyBorder="1" applyAlignment="1">
      <alignment horizontal="right" vertical="center"/>
    </xf>
    <xf numFmtId="9" fontId="43" fillId="22" borderId="19" xfId="9" applyFont="1" applyFill="1" applyBorder="1" applyAlignment="1">
      <alignment horizontal="right" vertical="center"/>
    </xf>
    <xf numFmtId="9" fontId="43" fillId="22" borderId="20" xfId="9" applyFont="1" applyFill="1" applyBorder="1" applyAlignment="1">
      <alignment horizontal="right" vertical="center"/>
    </xf>
    <xf numFmtId="0" fontId="43" fillId="0" borderId="0" xfId="19" applyFont="1"/>
    <xf numFmtId="0" fontId="44" fillId="0" borderId="0" xfId="20" applyFont="1"/>
    <xf numFmtId="0" fontId="45" fillId="0" borderId="0" xfId="20" applyFont="1"/>
    <xf numFmtId="0" fontId="43" fillId="0" borderId="0" xfId="19" applyFont="1" applyAlignment="1">
      <alignment wrapText="1"/>
    </xf>
    <xf numFmtId="3" fontId="46" fillId="0" borderId="0" xfId="19" applyNumberFormat="1" applyFont="1"/>
    <xf numFmtId="0" fontId="65" fillId="0" borderId="0" xfId="19" applyFont="1" applyAlignment="1">
      <alignment wrapText="1"/>
    </xf>
    <xf numFmtId="0" fontId="44" fillId="0" borderId="0" xfId="20" applyFont="1"/>
    <xf numFmtId="3" fontId="43" fillId="0" borderId="0" xfId="19" applyNumberFormat="1" applyFont="1"/>
    <xf numFmtId="3" fontId="65" fillId="0" borderId="0" xfId="19" applyNumberFormat="1" applyFont="1"/>
    <xf numFmtId="0" fontId="48" fillId="0" borderId="0" xfId="20" applyFont="1"/>
    <xf numFmtId="0" fontId="49" fillId="0" borderId="11" xfId="19" applyFont="1" applyBorder="1" applyAlignment="1">
      <alignment horizontal="center" vertical="center"/>
    </xf>
    <xf numFmtId="0" fontId="49" fillId="0" borderId="12" xfId="19" applyFont="1" applyBorder="1" applyAlignment="1">
      <alignment horizontal="center" vertical="center" wrapText="1"/>
    </xf>
    <xf numFmtId="0" fontId="49" fillId="10" borderId="14" xfId="19" applyFont="1" applyFill="1" applyBorder="1"/>
    <xf numFmtId="0" fontId="49" fillId="10" borderId="8" xfId="19" applyFont="1" applyFill="1" applyBorder="1" applyAlignment="1">
      <alignment wrapText="1"/>
    </xf>
    <xf numFmtId="3" fontId="49" fillId="10" borderId="15" xfId="19" applyNumberFormat="1" applyFont="1" applyFill="1" applyBorder="1"/>
    <xf numFmtId="0" fontId="49" fillId="11" borderId="14" xfId="19" quotePrefix="1" applyFont="1" applyFill="1" applyBorder="1"/>
    <xf numFmtId="0" fontId="49" fillId="11" borderId="8" xfId="19" applyFont="1" applyFill="1" applyBorder="1" applyAlignment="1">
      <alignment wrapText="1"/>
    </xf>
    <xf numFmtId="3" fontId="49" fillId="11" borderId="15" xfId="19" applyNumberFormat="1" applyFont="1" applyFill="1" applyBorder="1"/>
    <xf numFmtId="3" fontId="66" fillId="11" borderId="15" xfId="19" applyNumberFormat="1" applyFont="1" applyFill="1" applyBorder="1"/>
    <xf numFmtId="0" fontId="52" fillId="0" borderId="0" xfId="19" applyFont="1"/>
    <xf numFmtId="0" fontId="43" fillId="0" borderId="16" xfId="19" applyFont="1" applyBorder="1" applyAlignment="1">
      <alignment horizontal="left" indent="1"/>
    </xf>
    <xf numFmtId="0" fontId="43" fillId="0" borderId="2" xfId="19" applyFont="1" applyBorder="1" applyAlignment="1">
      <alignment horizontal="left" wrapText="1" indent="2"/>
    </xf>
    <xf numFmtId="3" fontId="43" fillId="0" borderId="17" xfId="19" applyNumberFormat="1" applyFont="1" applyBorder="1"/>
    <xf numFmtId="0" fontId="49" fillId="11" borderId="16" xfId="19" applyFont="1" applyFill="1" applyBorder="1"/>
    <xf numFmtId="0" fontId="49" fillId="11" borderId="2" xfId="19" applyFont="1" applyFill="1" applyBorder="1" applyAlignment="1">
      <alignment wrapText="1"/>
    </xf>
    <xf numFmtId="3" fontId="49" fillId="11" borderId="17" xfId="19" applyNumberFormat="1" applyFont="1" applyFill="1" applyBorder="1"/>
    <xf numFmtId="3" fontId="50" fillId="11" borderId="17" xfId="19" applyNumberFormat="1" applyFont="1" applyFill="1" applyBorder="1"/>
    <xf numFmtId="3" fontId="46" fillId="0" borderId="17" xfId="19" applyNumberFormat="1" applyFont="1" applyBorder="1"/>
    <xf numFmtId="0" fontId="1" fillId="0" borderId="0" xfId="19"/>
    <xf numFmtId="3" fontId="46" fillId="11" borderId="17" xfId="19" applyNumberFormat="1" applyFont="1" applyFill="1" applyBorder="1"/>
    <xf numFmtId="0" fontId="53" fillId="0" borderId="16" xfId="19" applyFont="1" applyBorder="1" applyAlignment="1">
      <alignment horizontal="left" indent="2"/>
    </xf>
    <xf numFmtId="0" fontId="53" fillId="0" borderId="2" xfId="19" applyFont="1" applyBorder="1" applyAlignment="1">
      <alignment horizontal="left" wrapText="1" indent="3"/>
    </xf>
    <xf numFmtId="0" fontId="52" fillId="0" borderId="0" xfId="19" quotePrefix="1" applyFont="1"/>
    <xf numFmtId="0" fontId="43" fillId="12" borderId="2" xfId="19" applyFont="1" applyFill="1" applyBorder="1" applyAlignment="1">
      <alignment horizontal="left" wrapText="1" indent="2"/>
    </xf>
    <xf numFmtId="3" fontId="43" fillId="13" borderId="17" xfId="19" applyNumberFormat="1" applyFont="1" applyFill="1" applyBorder="1"/>
    <xf numFmtId="3" fontId="43" fillId="0" borderId="17" xfId="19" applyNumberFormat="1" applyFont="1" applyBorder="1" applyAlignment="1">
      <alignment wrapText="1"/>
    </xf>
    <xf numFmtId="0" fontId="49" fillId="11" borderId="16" xfId="19" quotePrefix="1" applyFont="1" applyFill="1" applyBorder="1"/>
    <xf numFmtId="0" fontId="43" fillId="10" borderId="16" xfId="19" applyFont="1" applyFill="1" applyBorder="1" applyAlignment="1">
      <alignment horizontal="left" indent="1"/>
    </xf>
    <xf numFmtId="0" fontId="43" fillId="10" borderId="2" xfId="19" applyFont="1" applyFill="1" applyBorder="1" applyAlignment="1">
      <alignment horizontal="left" wrapText="1" indent="2"/>
    </xf>
    <xf numFmtId="3" fontId="43" fillId="10" borderId="17" xfId="19" applyNumberFormat="1" applyFont="1" applyFill="1" applyBorder="1"/>
    <xf numFmtId="3" fontId="43" fillId="14" borderId="17" xfId="19" applyNumberFormat="1" applyFont="1" applyFill="1" applyBorder="1"/>
    <xf numFmtId="3" fontId="46" fillId="14" borderId="17" xfId="19" applyNumberFormat="1" applyFont="1" applyFill="1" applyBorder="1"/>
    <xf numFmtId="3" fontId="43" fillId="2" borderId="17" xfId="19" applyNumberFormat="1" applyFont="1" applyFill="1" applyBorder="1"/>
    <xf numFmtId="3" fontId="46" fillId="2" borderId="17" xfId="19" applyNumberFormat="1" applyFont="1" applyFill="1" applyBorder="1" applyAlignment="1">
      <alignment wrapText="1"/>
    </xf>
    <xf numFmtId="3" fontId="43" fillId="2" borderId="17" xfId="19" applyNumberFormat="1" applyFont="1" applyFill="1" applyBorder="1" applyAlignment="1">
      <alignment wrapText="1"/>
    </xf>
    <xf numFmtId="3" fontId="46" fillId="2" borderId="17" xfId="19" applyNumberFormat="1" applyFont="1" applyFill="1" applyBorder="1"/>
    <xf numFmtId="3" fontId="53" fillId="15" borderId="17" xfId="19" applyNumberFormat="1" applyFont="1" applyFill="1" applyBorder="1"/>
    <xf numFmtId="3" fontId="54" fillId="15" borderId="17" xfId="19" applyNumberFormat="1" applyFont="1" applyFill="1" applyBorder="1"/>
    <xf numFmtId="0" fontId="53" fillId="0" borderId="0" xfId="19" applyFont="1"/>
    <xf numFmtId="3" fontId="53" fillId="15" borderId="19" xfId="19" applyNumberFormat="1" applyFont="1" applyFill="1" applyBorder="1" applyAlignment="1">
      <alignment horizontal="right" vertical="center"/>
    </xf>
    <xf numFmtId="3" fontId="53" fillId="17" borderId="17" xfId="19" applyNumberFormat="1" applyFont="1" applyFill="1" applyBorder="1"/>
    <xf numFmtId="3" fontId="53" fillId="15" borderId="20" xfId="19" applyNumberFormat="1" applyFont="1" applyFill="1" applyBorder="1" applyAlignment="1">
      <alignment horizontal="right" vertical="center"/>
    </xf>
    <xf numFmtId="3" fontId="43" fillId="16" borderId="17" xfId="19" applyNumberFormat="1" applyFont="1" applyFill="1" applyBorder="1"/>
    <xf numFmtId="9" fontId="43" fillId="16" borderId="17" xfId="8" applyFont="1" applyFill="1" applyBorder="1"/>
    <xf numFmtId="3" fontId="43" fillId="0" borderId="19" xfId="19" applyNumberFormat="1" applyFont="1" applyBorder="1" applyAlignment="1">
      <alignment horizontal="right" vertical="center"/>
    </xf>
    <xf numFmtId="3" fontId="46" fillId="22" borderId="17" xfId="19" applyNumberFormat="1" applyFont="1" applyFill="1" applyBorder="1"/>
    <xf numFmtId="3" fontId="43" fillId="0" borderId="20" xfId="19" applyNumberFormat="1" applyFont="1" applyBorder="1" applyAlignment="1">
      <alignment horizontal="right" vertical="center"/>
    </xf>
    <xf numFmtId="0" fontId="43" fillId="0" borderId="0" xfId="19" quotePrefix="1" applyFont="1"/>
    <xf numFmtId="0" fontId="43" fillId="5" borderId="2" xfId="19" applyFont="1" applyFill="1" applyBorder="1" applyAlignment="1">
      <alignment horizontal="left" wrapText="1" indent="2"/>
    </xf>
    <xf numFmtId="3" fontId="43" fillId="22" borderId="17" xfId="19" applyNumberFormat="1" applyFont="1" applyFill="1" applyBorder="1"/>
    <xf numFmtId="3" fontId="43" fillId="8" borderId="17" xfId="19" applyNumberFormat="1" applyFont="1" applyFill="1" applyBorder="1"/>
    <xf numFmtId="0" fontId="43" fillId="0" borderId="2" xfId="19" applyFont="1" applyBorder="1" applyAlignment="1">
      <alignment horizontal="left" wrapText="1" indent="3"/>
    </xf>
    <xf numFmtId="3" fontId="46" fillId="8" borderId="17" xfId="19" applyNumberFormat="1" applyFont="1" applyFill="1" applyBorder="1" applyAlignment="1">
      <alignment wrapText="1"/>
    </xf>
    <xf numFmtId="0" fontId="46" fillId="0" borderId="0" xfId="19" applyFont="1"/>
    <xf numFmtId="3" fontId="46" fillId="0" borderId="17" xfId="19" applyNumberFormat="1" applyFont="1" applyBorder="1" applyAlignment="1">
      <alignment wrapText="1"/>
    </xf>
    <xf numFmtId="3" fontId="46" fillId="8" borderId="17" xfId="19" applyNumberFormat="1" applyFont="1" applyFill="1" applyBorder="1"/>
    <xf numFmtId="0" fontId="1" fillId="8" borderId="0" xfId="19" applyFill="1"/>
    <xf numFmtId="0" fontId="43" fillId="5" borderId="2" xfId="19" applyFont="1" applyFill="1" applyBorder="1" applyAlignment="1">
      <alignment horizontal="left" wrapText="1" indent="3"/>
    </xf>
    <xf numFmtId="0" fontId="43" fillId="0" borderId="8" xfId="19" applyFont="1" applyBorder="1" applyAlignment="1">
      <alignment horizontal="left" wrapText="1" indent="2"/>
    </xf>
    <xf numFmtId="3" fontId="46" fillId="11" borderId="17" xfId="19" applyNumberFormat="1" applyFont="1" applyFill="1" applyBorder="1" applyAlignment="1">
      <alignment wrapText="1"/>
    </xf>
    <xf numFmtId="0" fontId="43" fillId="12" borderId="16" xfId="19" applyFont="1" applyFill="1" applyBorder="1" applyAlignment="1">
      <alignment horizontal="left" indent="2"/>
    </xf>
    <xf numFmtId="0" fontId="43" fillId="12" borderId="2" xfId="19" applyFont="1" applyFill="1" applyBorder="1" applyAlignment="1">
      <alignment horizontal="left" wrapText="1" indent="3"/>
    </xf>
    <xf numFmtId="3" fontId="43" fillId="19" borderId="17" xfId="19" applyNumberFormat="1" applyFont="1" applyFill="1" applyBorder="1"/>
    <xf numFmtId="0" fontId="49" fillId="0" borderId="22" xfId="19" applyFont="1" applyBorder="1"/>
    <xf numFmtId="0" fontId="49" fillId="0" borderId="23" xfId="19" applyFont="1" applyBorder="1" applyAlignment="1">
      <alignment horizontal="right" wrapText="1"/>
    </xf>
    <xf numFmtId="3" fontId="49" fillId="0" borderId="13" xfId="19" applyNumberFormat="1" applyFont="1" applyBorder="1"/>
    <xf numFmtId="3" fontId="46" fillId="0" borderId="13" xfId="19" applyNumberFormat="1" applyFont="1" applyBorder="1" applyAlignment="1">
      <alignment wrapText="1"/>
    </xf>
    <xf numFmtId="0" fontId="49" fillId="0" borderId="24" xfId="19" quotePrefix="1" applyFont="1" applyBorder="1"/>
    <xf numFmtId="0" fontId="49" fillId="0" borderId="25" xfId="19" applyFont="1" applyBorder="1" applyAlignment="1">
      <alignment wrapText="1"/>
    </xf>
    <xf numFmtId="3" fontId="49" fillId="0" borderId="26" xfId="19" applyNumberFormat="1" applyFont="1" applyBorder="1"/>
    <xf numFmtId="3" fontId="50" fillId="0" borderId="26" xfId="19" applyNumberFormat="1" applyFont="1" applyBorder="1"/>
    <xf numFmtId="0" fontId="49" fillId="11" borderId="1" xfId="19" applyFont="1" applyFill="1" applyBorder="1" applyAlignment="1">
      <alignment wrapText="1"/>
    </xf>
    <xf numFmtId="3" fontId="49" fillId="11" borderId="21" xfId="19" applyNumberFormat="1" applyFont="1" applyFill="1" applyBorder="1"/>
    <xf numFmtId="49" fontId="43" fillId="0" borderId="1" xfId="19" applyNumberFormat="1" applyFont="1" applyBorder="1" applyAlignment="1">
      <alignment horizontal="left" wrapText="1" indent="4"/>
    </xf>
    <xf numFmtId="3" fontId="43" fillId="0" borderId="21" xfId="19" applyNumberFormat="1" applyFont="1" applyBorder="1"/>
    <xf numFmtId="3" fontId="46" fillId="0" borderId="21" xfId="19" applyNumberFormat="1" applyFont="1" applyBorder="1"/>
    <xf numFmtId="3" fontId="43" fillId="0" borderId="1" xfId="19" applyNumberFormat="1" applyFont="1" applyBorder="1"/>
    <xf numFmtId="3" fontId="46" fillId="0" borderId="21" xfId="19" applyNumberFormat="1" applyFont="1" applyBorder="1" applyAlignment="1">
      <alignment wrapText="1"/>
    </xf>
    <xf numFmtId="49" fontId="43" fillId="20" borderId="1" xfId="19" applyNumberFormat="1" applyFont="1" applyFill="1" applyBorder="1" applyAlignment="1">
      <alignment horizontal="left" wrapText="1" indent="4"/>
    </xf>
    <xf numFmtId="3" fontId="43" fillId="0" borderId="27" xfId="19" applyNumberFormat="1" applyFont="1" applyBorder="1"/>
    <xf numFmtId="49" fontId="43" fillId="0" borderId="4" xfId="19" applyNumberFormat="1" applyFont="1" applyBorder="1" applyAlignment="1">
      <alignment horizontal="left" wrapText="1" indent="4"/>
    </xf>
    <xf numFmtId="49" fontId="43" fillId="0" borderId="2" xfId="19" applyNumberFormat="1" applyFont="1" applyBorder="1" applyAlignment="1">
      <alignment horizontal="left" wrapText="1" indent="4"/>
    </xf>
    <xf numFmtId="3" fontId="43" fillId="0" borderId="18" xfId="19" applyNumberFormat="1" applyFont="1" applyBorder="1"/>
    <xf numFmtId="3" fontId="43" fillId="0" borderId="29" xfId="19" applyNumberFormat="1" applyFont="1" applyBorder="1"/>
    <xf numFmtId="3" fontId="43" fillId="0" borderId="28" xfId="19" applyNumberFormat="1" applyFont="1" applyBorder="1"/>
    <xf numFmtId="0" fontId="43" fillId="12" borderId="31" xfId="19" applyFont="1" applyFill="1" applyBorder="1" applyAlignment="1">
      <alignment horizontal="left" indent="2"/>
    </xf>
    <xf numFmtId="49" fontId="43" fillId="20" borderId="2" xfId="19" applyNumberFormat="1" applyFont="1" applyFill="1" applyBorder="1" applyAlignment="1">
      <alignment horizontal="left" wrapText="1" indent="4"/>
    </xf>
    <xf numFmtId="49" fontId="43" fillId="0" borderId="29" xfId="19" applyNumberFormat="1" applyFont="1" applyBorder="1" applyAlignment="1">
      <alignment horizontal="left" wrapText="1" indent="4"/>
    </xf>
    <xf numFmtId="0" fontId="49" fillId="0" borderId="32" xfId="19" applyFont="1" applyBorder="1"/>
    <xf numFmtId="0" fontId="49" fillId="0" borderId="33" xfId="19" applyFont="1" applyBorder="1" applyAlignment="1">
      <alignment horizontal="right" wrapText="1"/>
    </xf>
    <xf numFmtId="0" fontId="49" fillId="0" borderId="0" xfId="19" applyFont="1"/>
    <xf numFmtId="0" fontId="65" fillId="0" borderId="0" xfId="19" applyFont="1"/>
    <xf numFmtId="0" fontId="1" fillId="0" borderId="0" xfId="19"/>
    <xf numFmtId="49" fontId="49" fillId="11" borderId="34" xfId="19" applyNumberFormat="1" applyFont="1" applyFill="1" applyBorder="1" applyAlignment="1">
      <alignment horizontal="left" indent="2"/>
    </xf>
    <xf numFmtId="49" fontId="49" fillId="11" borderId="35" xfId="19" applyNumberFormat="1" applyFont="1" applyFill="1" applyBorder="1" applyAlignment="1">
      <alignment wrapText="1"/>
    </xf>
    <xf numFmtId="3" fontId="49" fillId="11" borderId="36" xfId="19" applyNumberFormat="1" applyFont="1" applyFill="1" applyBorder="1"/>
    <xf numFmtId="3" fontId="66" fillId="11" borderId="36" xfId="19" applyNumberFormat="1" applyFont="1" applyFill="1" applyBorder="1"/>
    <xf numFmtId="49" fontId="43" fillId="10" borderId="16" xfId="19" applyNumberFormat="1" applyFont="1" applyFill="1" applyBorder="1" applyAlignment="1">
      <alignment horizontal="left" indent="1"/>
    </xf>
    <xf numFmtId="49" fontId="43" fillId="10" borderId="2" xfId="19" applyNumberFormat="1" applyFont="1" applyFill="1" applyBorder="1" applyAlignment="1">
      <alignment horizontal="left" wrapText="1" indent="2"/>
    </xf>
    <xf numFmtId="9" fontId="43" fillId="16" borderId="19" xfId="8" applyFont="1" applyFill="1" applyBorder="1" applyAlignment="1">
      <alignment horizontal="left" wrapText="1"/>
    </xf>
    <xf numFmtId="3" fontId="56" fillId="10" borderId="17" xfId="19" applyNumberFormat="1" applyFont="1" applyFill="1" applyBorder="1"/>
    <xf numFmtId="3" fontId="65" fillId="10" borderId="17" xfId="19" applyNumberFormat="1" applyFont="1" applyFill="1" applyBorder="1"/>
    <xf numFmtId="9" fontId="43" fillId="16" borderId="20" xfId="8" applyFont="1" applyFill="1" applyBorder="1" applyAlignment="1">
      <alignment horizontal="left" wrapText="1"/>
    </xf>
    <xf numFmtId="3" fontId="46" fillId="10" borderId="17" xfId="19" applyNumberFormat="1" applyFont="1" applyFill="1" applyBorder="1"/>
    <xf numFmtId="49" fontId="49" fillId="11" borderId="16" xfId="19" applyNumberFormat="1" applyFont="1" applyFill="1" applyBorder="1"/>
    <xf numFmtId="49" fontId="49" fillId="11" borderId="2" xfId="19" applyNumberFormat="1" applyFont="1" applyFill="1" applyBorder="1" applyAlignment="1">
      <alignment wrapText="1"/>
    </xf>
    <xf numFmtId="3" fontId="46" fillId="10" borderId="17" xfId="19" applyNumberFormat="1" applyFont="1" applyFill="1" applyBorder="1" applyAlignment="1">
      <alignment wrapText="1"/>
    </xf>
    <xf numFmtId="3" fontId="57" fillId="11" borderId="17" xfId="19" applyNumberFormat="1" applyFont="1" applyFill="1" applyBorder="1"/>
    <xf numFmtId="0" fontId="58" fillId="0" borderId="0" xfId="19" applyFont="1"/>
    <xf numFmtId="49" fontId="43" fillId="0" borderId="16" xfId="19" applyNumberFormat="1" applyFont="1" applyBorder="1" applyAlignment="1">
      <alignment horizontal="left" indent="2"/>
    </xf>
    <xf numFmtId="49" fontId="43" fillId="0" borderId="2" xfId="19" applyNumberFormat="1" applyFont="1" applyBorder="1" applyAlignment="1">
      <alignment horizontal="left" wrapText="1" indent="2"/>
    </xf>
    <xf numFmtId="3" fontId="56" fillId="0" borderId="17" xfId="19" applyNumberFormat="1" applyFont="1" applyBorder="1"/>
    <xf numFmtId="49" fontId="49" fillId="10" borderId="2" xfId="19" applyNumberFormat="1" applyFont="1" applyFill="1" applyBorder="1" applyAlignment="1">
      <alignment horizontal="left" wrapText="1" indent="2"/>
    </xf>
    <xf numFmtId="3" fontId="49" fillId="10" borderId="17" xfId="19" applyNumberFormat="1" applyFont="1" applyFill="1" applyBorder="1"/>
    <xf numFmtId="3" fontId="57" fillId="10" borderId="17" xfId="19" applyNumberFormat="1" applyFont="1" applyFill="1" applyBorder="1"/>
    <xf numFmtId="3" fontId="50" fillId="10" borderId="17" xfId="19" applyNumberFormat="1" applyFont="1" applyFill="1" applyBorder="1"/>
    <xf numFmtId="3" fontId="43" fillId="6" borderId="17" xfId="19" applyNumberFormat="1" applyFont="1" applyFill="1" applyBorder="1"/>
    <xf numFmtId="3" fontId="56" fillId="0" borderId="19" xfId="19" applyNumberFormat="1" applyFont="1" applyBorder="1" applyAlignment="1">
      <alignment horizontal="right"/>
    </xf>
    <xf numFmtId="3" fontId="56" fillId="0" borderId="20" xfId="19" applyNumberFormat="1" applyFont="1" applyBorder="1" applyAlignment="1">
      <alignment horizontal="right"/>
    </xf>
    <xf numFmtId="49" fontId="43" fillId="21" borderId="16" xfId="19" applyNumberFormat="1" applyFont="1" applyFill="1" applyBorder="1" applyAlignment="1">
      <alignment horizontal="left" indent="2"/>
    </xf>
    <xf numFmtId="0" fontId="43" fillId="18" borderId="2" xfId="19" applyFont="1" applyFill="1" applyBorder="1" applyAlignment="1">
      <alignment horizontal="left" wrapText="1" indent="3"/>
    </xf>
    <xf numFmtId="0" fontId="43" fillId="8" borderId="0" xfId="19" quotePrefix="1" applyFont="1" applyFill="1"/>
    <xf numFmtId="3" fontId="46" fillId="19" borderId="17" xfId="19" applyNumberFormat="1" applyFont="1" applyFill="1" applyBorder="1"/>
    <xf numFmtId="0" fontId="60" fillId="0" borderId="0" xfId="19" quotePrefix="1" applyFont="1"/>
    <xf numFmtId="49" fontId="60" fillId="0" borderId="16" xfId="19" applyNumberFormat="1" applyFont="1" applyBorder="1" applyAlignment="1">
      <alignment horizontal="left" indent="3"/>
    </xf>
    <xf numFmtId="0" fontId="60" fillId="18" borderId="2" xfId="19" applyFont="1" applyFill="1" applyBorder="1" applyAlignment="1">
      <alignment horizontal="left" wrapText="1" indent="6"/>
    </xf>
    <xf numFmtId="3" fontId="60" fillId="0" borderId="17" xfId="19" applyNumberFormat="1" applyFont="1" applyBorder="1"/>
    <xf numFmtId="3" fontId="60" fillId="19" borderId="17" xfId="19" applyNumberFormat="1" applyFont="1" applyFill="1" applyBorder="1"/>
    <xf numFmtId="3" fontId="61" fillId="19" borderId="17" xfId="19" applyNumberFormat="1" applyFont="1" applyFill="1" applyBorder="1"/>
    <xf numFmtId="0" fontId="60" fillId="0" borderId="0" xfId="19" applyFont="1"/>
    <xf numFmtId="3" fontId="67" fillId="19" borderId="17" xfId="19" applyNumberFormat="1" applyFont="1" applyFill="1" applyBorder="1"/>
    <xf numFmtId="3" fontId="43" fillId="18" borderId="17" xfId="19" applyNumberFormat="1" applyFont="1" applyFill="1" applyBorder="1"/>
    <xf numFmtId="3" fontId="46" fillId="13" borderId="17" xfId="19" applyNumberFormat="1" applyFont="1" applyFill="1" applyBorder="1"/>
    <xf numFmtId="9" fontId="43" fillId="16" borderId="19" xfId="8" quotePrefix="1" applyFont="1" applyFill="1" applyBorder="1" applyAlignment="1">
      <alignment horizontal="center" vertical="center" wrapText="1"/>
    </xf>
    <xf numFmtId="9" fontId="43" fillId="16" borderId="20" xfId="8" quotePrefix="1" applyFont="1" applyFill="1" applyBorder="1" applyAlignment="1">
      <alignment horizontal="center" vertical="center" wrapText="1"/>
    </xf>
    <xf numFmtId="49" fontId="43" fillId="21" borderId="16" xfId="19" applyNumberFormat="1" applyFont="1" applyFill="1" applyBorder="1" applyAlignment="1">
      <alignment horizontal="left" indent="1"/>
    </xf>
    <xf numFmtId="0" fontId="43" fillId="18" borderId="2" xfId="19" applyFont="1" applyFill="1" applyBorder="1" applyAlignment="1">
      <alignment horizontal="left" indent="2"/>
    </xf>
    <xf numFmtId="0" fontId="52" fillId="18" borderId="2" xfId="19" applyFont="1" applyFill="1" applyBorder="1" applyAlignment="1">
      <alignment horizontal="left" indent="2"/>
    </xf>
    <xf numFmtId="3" fontId="56" fillId="13" borderId="17" xfId="19" applyNumberFormat="1" applyFont="1" applyFill="1" applyBorder="1"/>
    <xf numFmtId="0" fontId="52" fillId="18" borderId="0" xfId="19" applyFont="1" applyFill="1"/>
    <xf numFmtId="0" fontId="43" fillId="18" borderId="37" xfId="19" applyFont="1" applyFill="1" applyBorder="1" applyAlignment="1">
      <alignment horizontal="left" indent="3"/>
    </xf>
    <xf numFmtId="3" fontId="56" fillId="18" borderId="17" xfId="19" applyNumberFormat="1" applyFont="1" applyFill="1" applyBorder="1"/>
    <xf numFmtId="3" fontId="46" fillId="18" borderId="17" xfId="19" applyNumberFormat="1" applyFont="1" applyFill="1" applyBorder="1"/>
    <xf numFmtId="3" fontId="56" fillId="14" borderId="17" xfId="19" applyNumberFormat="1" applyFont="1" applyFill="1" applyBorder="1"/>
    <xf numFmtId="0" fontId="52" fillId="0" borderId="2" xfId="19" applyFont="1" applyBorder="1" applyAlignment="1">
      <alignment horizontal="left" indent="2"/>
    </xf>
    <xf numFmtId="0" fontId="43" fillId="0" borderId="37" xfId="19" applyFont="1" applyBorder="1" applyAlignment="1">
      <alignment horizontal="left" indent="3"/>
    </xf>
    <xf numFmtId="0" fontId="52" fillId="21" borderId="2" xfId="19" applyFont="1" applyFill="1" applyBorder="1" applyAlignment="1">
      <alignment horizontal="left" indent="2"/>
    </xf>
    <xf numFmtId="3" fontId="56" fillId="8" borderId="17" xfId="19" applyNumberFormat="1" applyFont="1" applyFill="1" applyBorder="1"/>
    <xf numFmtId="0" fontId="43" fillId="0" borderId="0" xfId="19" applyFont="1" applyAlignment="1">
      <alignment horizontal="right"/>
    </xf>
    <xf numFmtId="3" fontId="43" fillId="12" borderId="17" xfId="19" applyNumberFormat="1" applyFont="1" applyFill="1" applyBorder="1"/>
    <xf numFmtId="3" fontId="46" fillId="12" borderId="17" xfId="19" applyNumberFormat="1" applyFont="1" applyFill="1" applyBorder="1"/>
    <xf numFmtId="49" fontId="49" fillId="10" borderId="16" xfId="19" applyNumberFormat="1" applyFont="1" applyFill="1" applyBorder="1" applyAlignment="1">
      <alignment horizontal="left" indent="1"/>
    </xf>
    <xf numFmtId="0" fontId="43" fillId="12" borderId="0" xfId="19" quotePrefix="1" applyFont="1" applyFill="1"/>
    <xf numFmtId="0" fontId="43" fillId="12" borderId="0" xfId="19" applyFont="1" applyFill="1"/>
    <xf numFmtId="49" fontId="43" fillId="12" borderId="16" xfId="19" applyNumberFormat="1" applyFont="1" applyFill="1" applyBorder="1" applyAlignment="1">
      <alignment horizontal="left" indent="2"/>
    </xf>
    <xf numFmtId="49" fontId="43" fillId="12" borderId="2" xfId="19" applyNumberFormat="1" applyFont="1" applyFill="1" applyBorder="1" applyAlignment="1">
      <alignment horizontal="left" wrapText="1" indent="4"/>
    </xf>
    <xf numFmtId="3" fontId="68" fillId="0" borderId="17" xfId="19" applyNumberFormat="1" applyFont="1" applyBorder="1"/>
    <xf numFmtId="0" fontId="63" fillId="0" borderId="0" xfId="19" quotePrefix="1" applyFont="1"/>
    <xf numFmtId="3" fontId="61" fillId="0" borderId="17" xfId="19" applyNumberFormat="1" applyFont="1" applyBorder="1"/>
    <xf numFmtId="0" fontId="63" fillId="0" borderId="0" xfId="19" applyFont="1"/>
    <xf numFmtId="0" fontId="56" fillId="0" borderId="0" xfId="19" applyFont="1"/>
    <xf numFmtId="0" fontId="56" fillId="0" borderId="0" xfId="19" quotePrefix="1" applyFont="1"/>
    <xf numFmtId="49" fontId="49" fillId="0" borderId="16" xfId="19" applyNumberFormat="1" applyFont="1" applyBorder="1" applyAlignment="1">
      <alignment horizontal="left" indent="2"/>
    </xf>
    <xf numFmtId="49" fontId="49" fillId="0" borderId="2" xfId="19" applyNumberFormat="1" applyFont="1" applyBorder="1" applyAlignment="1">
      <alignment horizontal="left" wrapText="1" indent="4"/>
    </xf>
    <xf numFmtId="3" fontId="49" fillId="0" borderId="17" xfId="19" applyNumberFormat="1" applyFont="1" applyBorder="1"/>
    <xf numFmtId="3" fontId="50" fillId="0" borderId="17" xfId="19" applyNumberFormat="1" applyFont="1" applyBorder="1"/>
    <xf numFmtId="0" fontId="57" fillId="0" borderId="0" xfId="19" applyFont="1"/>
    <xf numFmtId="49" fontId="43" fillId="0" borderId="16" xfId="19" applyNumberFormat="1" applyFont="1" applyBorder="1" applyAlignment="1">
      <alignment horizontal="left" indent="3"/>
    </xf>
    <xf numFmtId="49" fontId="64" fillId="10" borderId="16" xfId="19" applyNumberFormat="1" applyFont="1" applyFill="1" applyBorder="1" applyAlignment="1">
      <alignment horizontal="left" indent="1"/>
    </xf>
    <xf numFmtId="49" fontId="49" fillId="0" borderId="22" xfId="19" applyNumberFormat="1" applyFont="1" applyBorder="1"/>
    <xf numFmtId="49" fontId="49" fillId="0" borderId="23" xfId="19" applyNumberFormat="1" applyFont="1" applyBorder="1" applyAlignment="1">
      <alignment horizontal="right" wrapText="1"/>
    </xf>
    <xf numFmtId="3" fontId="49" fillId="0" borderId="38" xfId="19" applyNumberFormat="1" applyFont="1" applyBorder="1"/>
    <xf numFmtId="3" fontId="50" fillId="0" borderId="38" xfId="19" applyNumberFormat="1" applyFont="1" applyBorder="1"/>
    <xf numFmtId="3" fontId="49" fillId="0" borderId="0" xfId="19" applyNumberFormat="1" applyFont="1"/>
    <xf numFmtId="3" fontId="49" fillId="0" borderId="39" xfId="19" applyNumberFormat="1" applyFont="1" applyBorder="1"/>
    <xf numFmtId="3" fontId="50" fillId="0" borderId="39" xfId="19" applyNumberFormat="1" applyFont="1" applyBorder="1"/>
    <xf numFmtId="49" fontId="49" fillId="11" borderId="40" xfId="19" applyNumberFormat="1" applyFont="1" applyFill="1" applyBorder="1" applyAlignment="1">
      <alignment horizontal="center"/>
    </xf>
    <xf numFmtId="49" fontId="49" fillId="11" borderId="41" xfId="19" applyNumberFormat="1" applyFont="1" applyFill="1" applyBorder="1" applyAlignment="1">
      <alignment wrapText="1"/>
    </xf>
    <xf numFmtId="3" fontId="49" fillId="11" borderId="42" xfId="19" applyNumberFormat="1" applyFont="1" applyFill="1" applyBorder="1"/>
    <xf numFmtId="3" fontId="50" fillId="11" borderId="42" xfId="19" applyNumberFormat="1" applyFont="1" applyFill="1" applyBorder="1"/>
    <xf numFmtId="164" fontId="43" fillId="0" borderId="0" xfId="7" applyNumberFormat="1" applyFont="1" applyFill="1" applyAlignment="1">
      <alignment wrapText="1"/>
    </xf>
    <xf numFmtId="0" fontId="43" fillId="0" borderId="0" xfId="19" applyFont="1" applyFill="1" applyAlignment="1">
      <alignment wrapText="1"/>
    </xf>
    <xf numFmtId="9" fontId="46" fillId="0" borderId="0" xfId="8" applyFont="1" applyFill="1" applyAlignment="1">
      <alignment wrapText="1"/>
    </xf>
    <xf numFmtId="164" fontId="43" fillId="0" borderId="0" xfId="19" applyNumberFormat="1" applyFont="1" applyFill="1" applyAlignment="1">
      <alignment wrapText="1"/>
    </xf>
    <xf numFmtId="9" fontId="43" fillId="0" borderId="0" xfId="8" applyFont="1" applyFill="1" applyAlignment="1">
      <alignment wrapText="1"/>
    </xf>
    <xf numFmtId="9" fontId="43" fillId="0" borderId="0" xfId="9" applyFont="1" applyFill="1" applyAlignment="1">
      <alignment wrapText="1"/>
    </xf>
    <xf numFmtId="3" fontId="43" fillId="0" borderId="0" xfId="19" applyNumberFormat="1" applyFont="1" applyFill="1" applyAlignment="1">
      <alignment wrapText="1"/>
    </xf>
    <xf numFmtId="164" fontId="43" fillId="0" borderId="0" xfId="7" applyNumberFormat="1" applyFont="1" applyFill="1"/>
    <xf numFmtId="3" fontId="43" fillId="0" borderId="0" xfId="19" applyNumberFormat="1" applyFont="1" applyFill="1"/>
  </cellXfs>
  <cellStyles count="21">
    <cellStyle name="Comma" xfId="1" builtinId="3"/>
    <cellStyle name="Comma 2" xfId="7" xr:uid="{F5BECBBB-49A8-406A-9145-BBF5BB697659}"/>
    <cellStyle name="Hyperlink" xfId="11" builtinId="8"/>
    <cellStyle name="Komats 10" xfId="10" xr:uid="{FBEAA70E-C81F-4D86-A0CC-FE82D431A69F}"/>
    <cellStyle name="Normal" xfId="0" builtinId="0"/>
    <cellStyle name="Normal 2" xfId="14" xr:uid="{A5B10D52-F6AA-4267-9C4D-B1D9D18B176E}"/>
    <cellStyle name="Normal 2 2" xfId="12" xr:uid="{5E5AB803-503F-4885-AB87-AA1E6FD23DFB}"/>
    <cellStyle name="Normal 4" xfId="4" xr:uid="{CC943A41-7412-410B-8A42-C002F21F9050}"/>
    <cellStyle name="Parasts 2 2 2 2" xfId="3" xr:uid="{D4225C18-CE8A-40A3-97BE-34DEE06B8438}"/>
    <cellStyle name="Parasts 2 2 5" xfId="5" xr:uid="{29CC19C4-3105-4411-8593-0406E92EC8B4}"/>
    <cellStyle name="Parasts 2 2 5 2" xfId="6" xr:uid="{FD6ECBB0-A354-44FD-9195-96CCB14EAEE3}"/>
    <cellStyle name="Parasts 2 2 5 2 2" xfId="16" xr:uid="{552B34DD-17A4-4E75-ABAF-6F2E64A23029}"/>
    <cellStyle name="Parasts 2 2 5 2 3" xfId="18" xr:uid="{6A84F2BA-28DE-4544-B850-0A7A87505173}"/>
    <cellStyle name="Parasts 2 2 5 2 4" xfId="20" xr:uid="{331BAF18-BDBF-40E9-AFBE-B3FAF876167F}"/>
    <cellStyle name="Parasts 2 2 5 3" xfId="15" xr:uid="{F40EB062-329E-467E-AFCD-CC54035CE5B3}"/>
    <cellStyle name="Parasts 2 2 5 4" xfId="17" xr:uid="{8F57A1B5-D5AC-431B-A18A-39D1FD5653F2}"/>
    <cellStyle name="Parasts 2 2 5 5" xfId="19" xr:uid="{678EBDE6-B70C-448A-A5DF-9412B4C842CF}"/>
    <cellStyle name="Percent" xfId="2" builtinId="5"/>
    <cellStyle name="Percent 2" xfId="9" xr:uid="{CAC0B271-FCD0-4182-A305-ACD484AA82DC}"/>
    <cellStyle name="Percent 4" xfId="13" xr:uid="{6E4A1C7F-F987-473B-A430-9038231AA609}"/>
    <cellStyle name="Procenti 2 3" xfId="8" xr:uid="{EB6A54A7-FB35-4D76-8665-18B561818290}"/>
  </cellStyles>
  <dxfs count="7">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Sarmite.Muze\Nextcloud\Finansu%20nodala%20kopmape\2024\10_2024\1_Budzets_2024_Oktobris.xlsx" TargetMode="External"/><Relationship Id="rId1" Type="http://schemas.openxmlformats.org/officeDocument/2006/relationships/externalLinkPath" Target="1_Budzets_2024_Oktobri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heck"/>
      <sheetName val="Izpilde"/>
      <sheetName val="IIN_PFIF"/>
      <sheetName val="Filtri"/>
      <sheetName val="Faila apraksts"/>
      <sheetName val="INPUT_nekopet"/>
      <sheetName val="BAZE_2024"/>
      <sheetName val="Nodalas"/>
      <sheetName val="EKK"/>
      <sheetName val="Investīcijas_2024"/>
      <sheetName val="Ieņēmumi_28122023"/>
      <sheetName val="Tames"/>
      <sheetName val="OKT_Groz"/>
      <sheetName val="2024.gada budzeta plans_apvieno"/>
      <sheetName val="Grafiki_budžeta_izpilde"/>
      <sheetName val="2022-2027"/>
      <sheetName val="KA_31122023"/>
      <sheetName val="CKS"/>
      <sheetName val="Grafiki"/>
      <sheetName val="Grafiki_2024"/>
      <sheetName val="PII_mac_lidz"/>
      <sheetName val="0630_Tāmes"/>
      <sheetName val="0930_Tāmes"/>
      <sheetName val="0812_Sporta pasākumi_komandas"/>
      <sheetName val="0812_Subsīdijas sportam"/>
      <sheetName val="0841.1_Svētku tāmes paraugs"/>
      <sheetName val="0841ĀKC Skatuves gaismu sistēma"/>
      <sheetName val="Investicijas_2023_2026"/>
      <sheetName val="31122022_final"/>
      <sheetName val="Algas_2024"/>
      <sheetName val="5.piel.EKK"/>
      <sheetName val="Deputāti"/>
      <sheetName val="Velesanu_komis_loc"/>
      <sheetName val="Adm_komisija"/>
      <sheetName val="Iepirk_komisija"/>
      <sheetName val="Komisij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82F69-6981-486F-B08F-1155B790B376}">
  <sheetPr>
    <tabColor rgb="FF92D050"/>
  </sheetPr>
  <dimension ref="A1:AB302"/>
  <sheetViews>
    <sheetView tabSelected="1" zoomScaleNormal="100" zoomScaleSheetLayoutView="80" workbookViewId="0">
      <pane xSplit="4" ySplit="5" topLeftCell="R6" activePane="bottomRight" state="frozen"/>
      <selection activeCell="C1" sqref="C1"/>
      <selection pane="topRight" activeCell="E1" sqref="E1"/>
      <selection pane="bottomLeft" activeCell="C6" sqref="C6"/>
      <selection pane="bottomRight" activeCell="A303" sqref="A303:XFD313"/>
    </sheetView>
  </sheetViews>
  <sheetFormatPr defaultRowHeight="13.8" outlineLevelRow="1" outlineLevelCol="2" x14ac:dyDescent="0.25"/>
  <cols>
    <col min="1" max="1" width="7" style="370" hidden="1" customWidth="1" outlineLevel="2"/>
    <col min="2" max="2" width="10.109375" style="370" hidden="1" customWidth="1" outlineLevel="2"/>
    <col min="3" max="3" width="13.33203125" style="470" customWidth="1" collapsed="1"/>
    <col min="4" max="4" width="39.109375" style="373" customWidth="1"/>
    <col min="5" max="5" width="13.21875" style="192" customWidth="1"/>
    <col min="6" max="6" width="13.21875" style="193" customWidth="1" collapsed="1"/>
    <col min="7" max="7" width="13.21875" style="370" hidden="1" customWidth="1" outlineLevel="1"/>
    <col min="8" max="8" width="48" style="199" hidden="1" customWidth="1" outlineLevel="1" collapsed="1"/>
    <col min="9" max="9" width="13.21875" style="370" customWidth="1" collapsed="1"/>
    <col min="10" max="10" width="13.21875" style="370" hidden="1" customWidth="1" outlineLevel="1"/>
    <col min="11" max="11" width="50.109375" style="200" hidden="1" customWidth="1" outlineLevel="1" collapsed="1"/>
    <col min="12" max="12" width="13.21875" style="370" customWidth="1" collapsed="1"/>
    <col min="13" max="13" width="13.21875" style="370" hidden="1" customWidth="1" outlineLevel="1"/>
    <col min="14" max="14" width="57.6640625" style="200" hidden="1" customWidth="1" outlineLevel="1" collapsed="1"/>
    <col min="15" max="15" width="13.21875" style="370" customWidth="1" collapsed="1"/>
    <col min="16" max="16" width="13.21875" style="370" hidden="1" customWidth="1" outlineLevel="1"/>
    <col min="17" max="17" width="50.109375" style="200" hidden="1" customWidth="1" outlineLevel="1" collapsed="1"/>
    <col min="18" max="18" width="13.21875" style="370" customWidth="1" collapsed="1"/>
    <col min="19" max="19" width="13.21875" style="370" hidden="1" customWidth="1" outlineLevel="1"/>
    <col min="20" max="20" width="61.21875" style="200" hidden="1" customWidth="1" outlineLevel="1" collapsed="1"/>
    <col min="21" max="21" width="13.21875" style="370" customWidth="1" collapsed="1"/>
    <col min="22" max="22" width="13.21875" style="370" customWidth="1"/>
    <col min="23" max="23" width="49.77734375" style="200" customWidth="1" collapsed="1"/>
    <col min="24" max="24" width="13.21875" style="433" hidden="1" customWidth="1" outlineLevel="1" collapsed="1"/>
    <col min="25" max="25" width="13.21875" style="334" hidden="1" customWidth="1" outlineLevel="1" collapsed="1"/>
    <col min="26" max="26" width="40.77734375" style="471" hidden="1" customWidth="1" outlineLevel="1" collapsed="1"/>
    <col min="27" max="27" width="8.88671875" style="370" collapsed="1"/>
    <col min="28" max="192" width="8.88671875" style="370"/>
    <col min="193" max="194" width="0" style="370" hidden="1" customWidth="1"/>
    <col min="195" max="195" width="12.21875" style="370" customWidth="1"/>
    <col min="196" max="196" width="47" style="370" customWidth="1"/>
    <col min="197" max="236" width="0" style="370" hidden="1" customWidth="1"/>
    <col min="237" max="238" width="13.21875" style="370" customWidth="1"/>
    <col min="239" max="240" width="0" style="370" hidden="1" customWidth="1"/>
    <col min="241" max="241" width="13.21875" style="370" customWidth="1"/>
    <col min="242" max="243" width="0" style="370" hidden="1" customWidth="1"/>
    <col min="244" max="244" width="13.21875" style="370" customWidth="1"/>
    <col min="245" max="246" width="0" style="370" hidden="1" customWidth="1"/>
    <col min="247" max="247" width="13.21875" style="370" customWidth="1"/>
    <col min="248" max="249" width="0" style="370" hidden="1" customWidth="1"/>
    <col min="250" max="250" width="13.21875" style="370" customWidth="1"/>
    <col min="251" max="252" width="0" style="370" hidden="1" customWidth="1"/>
    <col min="253" max="254" width="13.21875" style="370" customWidth="1"/>
    <col min="255" max="255" width="39.44140625" style="370" customWidth="1"/>
    <col min="256" max="260" width="13.21875" style="370" customWidth="1"/>
    <col min="261" max="261" width="56.77734375" style="370" customWidth="1"/>
    <col min="262" max="262" width="11.77734375" style="370" customWidth="1"/>
    <col min="263" max="448" width="8.88671875" style="370"/>
    <col min="449" max="450" width="0" style="370" hidden="1" customWidth="1"/>
    <col min="451" max="451" width="12.21875" style="370" customWidth="1"/>
    <col min="452" max="452" width="47" style="370" customWidth="1"/>
    <col min="453" max="492" width="0" style="370" hidden="1" customWidth="1"/>
    <col min="493" max="494" width="13.21875" style="370" customWidth="1"/>
    <col min="495" max="496" width="0" style="370" hidden="1" customWidth="1"/>
    <col min="497" max="497" width="13.21875" style="370" customWidth="1"/>
    <col min="498" max="499" width="0" style="370" hidden="1" customWidth="1"/>
    <col min="500" max="500" width="13.21875" style="370" customWidth="1"/>
    <col min="501" max="502" width="0" style="370" hidden="1" customWidth="1"/>
    <col min="503" max="503" width="13.21875" style="370" customWidth="1"/>
    <col min="504" max="505" width="0" style="370" hidden="1" customWidth="1"/>
    <col min="506" max="506" width="13.21875" style="370" customWidth="1"/>
    <col min="507" max="508" width="0" style="370" hidden="1" customWidth="1"/>
    <col min="509" max="510" width="13.21875" style="370" customWidth="1"/>
    <col min="511" max="511" width="39.44140625" style="370" customWidth="1"/>
    <col min="512" max="516" width="13.21875" style="370" customWidth="1"/>
    <col min="517" max="517" width="56.77734375" style="370" customWidth="1"/>
    <col min="518" max="518" width="11.77734375" style="370" customWidth="1"/>
    <col min="519" max="704" width="8.88671875" style="370"/>
    <col min="705" max="706" width="0" style="370" hidden="1" customWidth="1"/>
    <col min="707" max="707" width="12.21875" style="370" customWidth="1"/>
    <col min="708" max="708" width="47" style="370" customWidth="1"/>
    <col min="709" max="748" width="0" style="370" hidden="1" customWidth="1"/>
    <col min="749" max="750" width="13.21875" style="370" customWidth="1"/>
    <col min="751" max="752" width="0" style="370" hidden="1" customWidth="1"/>
    <col min="753" max="753" width="13.21875" style="370" customWidth="1"/>
    <col min="754" max="755" width="0" style="370" hidden="1" customWidth="1"/>
    <col min="756" max="756" width="13.21875" style="370" customWidth="1"/>
    <col min="757" max="758" width="0" style="370" hidden="1" customWidth="1"/>
    <col min="759" max="759" width="13.21875" style="370" customWidth="1"/>
    <col min="760" max="761" width="0" style="370" hidden="1" customWidth="1"/>
    <col min="762" max="762" width="13.21875" style="370" customWidth="1"/>
    <col min="763" max="764" width="0" style="370" hidden="1" customWidth="1"/>
    <col min="765" max="766" width="13.21875" style="370" customWidth="1"/>
    <col min="767" max="767" width="39.44140625" style="370" customWidth="1"/>
    <col min="768" max="772" width="13.21875" style="370" customWidth="1"/>
    <col min="773" max="773" width="56.77734375" style="370" customWidth="1"/>
    <col min="774" max="774" width="11.77734375" style="370" customWidth="1"/>
    <col min="775" max="960" width="8.88671875" style="370"/>
    <col min="961" max="962" width="0" style="370" hidden="1" customWidth="1"/>
    <col min="963" max="963" width="12.21875" style="370" customWidth="1"/>
    <col min="964" max="964" width="47" style="370" customWidth="1"/>
    <col min="965" max="1004" width="0" style="370" hidden="1" customWidth="1"/>
    <col min="1005" max="1006" width="13.21875" style="370" customWidth="1"/>
    <col min="1007" max="1008" width="0" style="370" hidden="1" customWidth="1"/>
    <col min="1009" max="1009" width="13.21875" style="370" customWidth="1"/>
    <col min="1010" max="1011" width="0" style="370" hidden="1" customWidth="1"/>
    <col min="1012" max="1012" width="13.21875" style="370" customWidth="1"/>
    <col min="1013" max="1014" width="0" style="370" hidden="1" customWidth="1"/>
    <col min="1015" max="1015" width="13.21875" style="370" customWidth="1"/>
    <col min="1016" max="1017" width="0" style="370" hidden="1" customWidth="1"/>
    <col min="1018" max="1018" width="13.21875" style="370" customWidth="1"/>
    <col min="1019" max="1020" width="0" style="370" hidden="1" customWidth="1"/>
    <col min="1021" max="1022" width="13.21875" style="370" customWidth="1"/>
    <col min="1023" max="1023" width="39.44140625" style="370" customWidth="1"/>
    <col min="1024" max="1028" width="13.21875" style="370" customWidth="1"/>
    <col min="1029" max="1029" width="56.77734375" style="370" customWidth="1"/>
    <col min="1030" max="1030" width="11.77734375" style="370" customWidth="1"/>
    <col min="1031" max="1216" width="8.88671875" style="370"/>
    <col min="1217" max="1218" width="0" style="370" hidden="1" customWidth="1"/>
    <col min="1219" max="1219" width="12.21875" style="370" customWidth="1"/>
    <col min="1220" max="1220" width="47" style="370" customWidth="1"/>
    <col min="1221" max="1260" width="0" style="370" hidden="1" customWidth="1"/>
    <col min="1261" max="1262" width="13.21875" style="370" customWidth="1"/>
    <col min="1263" max="1264" width="0" style="370" hidden="1" customWidth="1"/>
    <col min="1265" max="1265" width="13.21875" style="370" customWidth="1"/>
    <col min="1266" max="1267" width="0" style="370" hidden="1" customWidth="1"/>
    <col min="1268" max="1268" width="13.21875" style="370" customWidth="1"/>
    <col min="1269" max="1270" width="0" style="370" hidden="1" customWidth="1"/>
    <col min="1271" max="1271" width="13.21875" style="370" customWidth="1"/>
    <col min="1272" max="1273" width="0" style="370" hidden="1" customWidth="1"/>
    <col min="1274" max="1274" width="13.21875" style="370" customWidth="1"/>
    <col min="1275" max="1276" width="0" style="370" hidden="1" customWidth="1"/>
    <col min="1277" max="1278" width="13.21875" style="370" customWidth="1"/>
    <col min="1279" max="1279" width="39.44140625" style="370" customWidth="1"/>
    <col min="1280" max="1284" width="13.21875" style="370" customWidth="1"/>
    <col min="1285" max="1285" width="56.77734375" style="370" customWidth="1"/>
    <col min="1286" max="1286" width="11.77734375" style="370" customWidth="1"/>
    <col min="1287" max="1472" width="8.88671875" style="370"/>
    <col min="1473" max="1474" width="0" style="370" hidden="1" customWidth="1"/>
    <col min="1475" max="1475" width="12.21875" style="370" customWidth="1"/>
    <col min="1476" max="1476" width="47" style="370" customWidth="1"/>
    <col min="1477" max="1516" width="0" style="370" hidden="1" customWidth="1"/>
    <col min="1517" max="1518" width="13.21875" style="370" customWidth="1"/>
    <col min="1519" max="1520" width="0" style="370" hidden="1" customWidth="1"/>
    <col min="1521" max="1521" width="13.21875" style="370" customWidth="1"/>
    <col min="1522" max="1523" width="0" style="370" hidden="1" customWidth="1"/>
    <col min="1524" max="1524" width="13.21875" style="370" customWidth="1"/>
    <col min="1525" max="1526" width="0" style="370" hidden="1" customWidth="1"/>
    <col min="1527" max="1527" width="13.21875" style="370" customWidth="1"/>
    <col min="1528" max="1529" width="0" style="370" hidden="1" customWidth="1"/>
    <col min="1530" max="1530" width="13.21875" style="370" customWidth="1"/>
    <col min="1531" max="1532" width="0" style="370" hidden="1" customWidth="1"/>
    <col min="1533" max="1534" width="13.21875" style="370" customWidth="1"/>
    <col min="1535" max="1535" width="39.44140625" style="370" customWidth="1"/>
    <col min="1536" max="1540" width="13.21875" style="370" customWidth="1"/>
    <col min="1541" max="1541" width="56.77734375" style="370" customWidth="1"/>
    <col min="1542" max="1542" width="11.77734375" style="370" customWidth="1"/>
    <col min="1543" max="1728" width="8.88671875" style="370"/>
    <col min="1729" max="1730" width="0" style="370" hidden="1" customWidth="1"/>
    <col min="1731" max="1731" width="12.21875" style="370" customWidth="1"/>
    <col min="1732" max="1732" width="47" style="370" customWidth="1"/>
    <col min="1733" max="1772" width="0" style="370" hidden="1" customWidth="1"/>
    <col min="1773" max="1774" width="13.21875" style="370" customWidth="1"/>
    <col min="1775" max="1776" width="0" style="370" hidden="1" customWidth="1"/>
    <col min="1777" max="1777" width="13.21875" style="370" customWidth="1"/>
    <col min="1778" max="1779" width="0" style="370" hidden="1" customWidth="1"/>
    <col min="1780" max="1780" width="13.21875" style="370" customWidth="1"/>
    <col min="1781" max="1782" width="0" style="370" hidden="1" customWidth="1"/>
    <col min="1783" max="1783" width="13.21875" style="370" customWidth="1"/>
    <col min="1784" max="1785" width="0" style="370" hidden="1" customWidth="1"/>
    <col min="1786" max="1786" width="13.21875" style="370" customWidth="1"/>
    <col min="1787" max="1788" width="0" style="370" hidden="1" customWidth="1"/>
    <col min="1789" max="1790" width="13.21875" style="370" customWidth="1"/>
    <col min="1791" max="1791" width="39.44140625" style="370" customWidth="1"/>
    <col min="1792" max="1796" width="13.21875" style="370" customWidth="1"/>
    <col min="1797" max="1797" width="56.77734375" style="370" customWidth="1"/>
    <col min="1798" max="1798" width="11.77734375" style="370" customWidth="1"/>
    <col min="1799" max="1984" width="8.88671875" style="370"/>
    <col min="1985" max="1986" width="0" style="370" hidden="1" customWidth="1"/>
    <col min="1987" max="1987" width="12.21875" style="370" customWidth="1"/>
    <col min="1988" max="1988" width="47" style="370" customWidth="1"/>
    <col min="1989" max="2028" width="0" style="370" hidden="1" customWidth="1"/>
    <col min="2029" max="2030" width="13.21875" style="370" customWidth="1"/>
    <col min="2031" max="2032" width="0" style="370" hidden="1" customWidth="1"/>
    <col min="2033" max="2033" width="13.21875" style="370" customWidth="1"/>
    <col min="2034" max="2035" width="0" style="370" hidden="1" customWidth="1"/>
    <col min="2036" max="2036" width="13.21875" style="370" customWidth="1"/>
    <col min="2037" max="2038" width="0" style="370" hidden="1" customWidth="1"/>
    <col min="2039" max="2039" width="13.21875" style="370" customWidth="1"/>
    <col min="2040" max="2041" width="0" style="370" hidden="1" customWidth="1"/>
    <col min="2042" max="2042" width="13.21875" style="370" customWidth="1"/>
    <col min="2043" max="2044" width="0" style="370" hidden="1" customWidth="1"/>
    <col min="2045" max="2046" width="13.21875" style="370" customWidth="1"/>
    <col min="2047" max="2047" width="39.44140625" style="370" customWidth="1"/>
    <col min="2048" max="2052" width="13.21875" style="370" customWidth="1"/>
    <col min="2053" max="2053" width="56.77734375" style="370" customWidth="1"/>
    <col min="2054" max="2054" width="11.77734375" style="370" customWidth="1"/>
    <col min="2055" max="2240" width="8.88671875" style="370"/>
    <col min="2241" max="2242" width="0" style="370" hidden="1" customWidth="1"/>
    <col min="2243" max="2243" width="12.21875" style="370" customWidth="1"/>
    <col min="2244" max="2244" width="47" style="370" customWidth="1"/>
    <col min="2245" max="2284" width="0" style="370" hidden="1" customWidth="1"/>
    <col min="2285" max="2286" width="13.21875" style="370" customWidth="1"/>
    <col min="2287" max="2288" width="0" style="370" hidden="1" customWidth="1"/>
    <col min="2289" max="2289" width="13.21875" style="370" customWidth="1"/>
    <col min="2290" max="2291" width="0" style="370" hidden="1" customWidth="1"/>
    <col min="2292" max="2292" width="13.21875" style="370" customWidth="1"/>
    <col min="2293" max="2294" width="0" style="370" hidden="1" customWidth="1"/>
    <col min="2295" max="2295" width="13.21875" style="370" customWidth="1"/>
    <col min="2296" max="2297" width="0" style="370" hidden="1" customWidth="1"/>
    <col min="2298" max="2298" width="13.21875" style="370" customWidth="1"/>
    <col min="2299" max="2300" width="0" style="370" hidden="1" customWidth="1"/>
    <col min="2301" max="2302" width="13.21875" style="370" customWidth="1"/>
    <col min="2303" max="2303" width="39.44140625" style="370" customWidth="1"/>
    <col min="2304" max="2308" width="13.21875" style="370" customWidth="1"/>
    <col min="2309" max="2309" width="56.77734375" style="370" customWidth="1"/>
    <col min="2310" max="2310" width="11.77734375" style="370" customWidth="1"/>
    <col min="2311" max="2496" width="8.88671875" style="370"/>
    <col min="2497" max="2498" width="0" style="370" hidden="1" customWidth="1"/>
    <col min="2499" max="2499" width="12.21875" style="370" customWidth="1"/>
    <col min="2500" max="2500" width="47" style="370" customWidth="1"/>
    <col min="2501" max="2540" width="0" style="370" hidden="1" customWidth="1"/>
    <col min="2541" max="2542" width="13.21875" style="370" customWidth="1"/>
    <col min="2543" max="2544" width="0" style="370" hidden="1" customWidth="1"/>
    <col min="2545" max="2545" width="13.21875" style="370" customWidth="1"/>
    <col min="2546" max="2547" width="0" style="370" hidden="1" customWidth="1"/>
    <col min="2548" max="2548" width="13.21875" style="370" customWidth="1"/>
    <col min="2549" max="2550" width="0" style="370" hidden="1" customWidth="1"/>
    <col min="2551" max="2551" width="13.21875" style="370" customWidth="1"/>
    <col min="2552" max="2553" width="0" style="370" hidden="1" customWidth="1"/>
    <col min="2554" max="2554" width="13.21875" style="370" customWidth="1"/>
    <col min="2555" max="2556" width="0" style="370" hidden="1" customWidth="1"/>
    <col min="2557" max="2558" width="13.21875" style="370" customWidth="1"/>
    <col min="2559" max="2559" width="39.44140625" style="370" customWidth="1"/>
    <col min="2560" max="2564" width="13.21875" style="370" customWidth="1"/>
    <col min="2565" max="2565" width="56.77734375" style="370" customWidth="1"/>
    <col min="2566" max="2566" width="11.77734375" style="370" customWidth="1"/>
    <col min="2567" max="2752" width="8.88671875" style="370"/>
    <col min="2753" max="2754" width="0" style="370" hidden="1" customWidth="1"/>
    <col min="2755" max="2755" width="12.21875" style="370" customWidth="1"/>
    <col min="2756" max="2756" width="47" style="370" customWidth="1"/>
    <col min="2757" max="2796" width="0" style="370" hidden="1" customWidth="1"/>
    <col min="2797" max="2798" width="13.21875" style="370" customWidth="1"/>
    <col min="2799" max="2800" width="0" style="370" hidden="1" customWidth="1"/>
    <col min="2801" max="2801" width="13.21875" style="370" customWidth="1"/>
    <col min="2802" max="2803" width="0" style="370" hidden="1" customWidth="1"/>
    <col min="2804" max="2804" width="13.21875" style="370" customWidth="1"/>
    <col min="2805" max="2806" width="0" style="370" hidden="1" customWidth="1"/>
    <col min="2807" max="2807" width="13.21875" style="370" customWidth="1"/>
    <col min="2808" max="2809" width="0" style="370" hidden="1" customWidth="1"/>
    <col min="2810" max="2810" width="13.21875" style="370" customWidth="1"/>
    <col min="2811" max="2812" width="0" style="370" hidden="1" customWidth="1"/>
    <col min="2813" max="2814" width="13.21875" style="370" customWidth="1"/>
    <col min="2815" max="2815" width="39.44140625" style="370" customWidth="1"/>
    <col min="2816" max="2820" width="13.21875" style="370" customWidth="1"/>
    <col min="2821" max="2821" width="56.77734375" style="370" customWidth="1"/>
    <col min="2822" max="2822" width="11.77734375" style="370" customWidth="1"/>
    <col min="2823" max="3008" width="8.88671875" style="370"/>
    <col min="3009" max="3010" width="0" style="370" hidden="1" customWidth="1"/>
    <col min="3011" max="3011" width="12.21875" style="370" customWidth="1"/>
    <col min="3012" max="3012" width="47" style="370" customWidth="1"/>
    <col min="3013" max="3052" width="0" style="370" hidden="1" customWidth="1"/>
    <col min="3053" max="3054" width="13.21875" style="370" customWidth="1"/>
    <col min="3055" max="3056" width="0" style="370" hidden="1" customWidth="1"/>
    <col min="3057" max="3057" width="13.21875" style="370" customWidth="1"/>
    <col min="3058" max="3059" width="0" style="370" hidden="1" customWidth="1"/>
    <col min="3060" max="3060" width="13.21875" style="370" customWidth="1"/>
    <col min="3061" max="3062" width="0" style="370" hidden="1" customWidth="1"/>
    <col min="3063" max="3063" width="13.21875" style="370" customWidth="1"/>
    <col min="3064" max="3065" width="0" style="370" hidden="1" customWidth="1"/>
    <col min="3066" max="3066" width="13.21875" style="370" customWidth="1"/>
    <col min="3067" max="3068" width="0" style="370" hidden="1" customWidth="1"/>
    <col min="3069" max="3070" width="13.21875" style="370" customWidth="1"/>
    <col min="3071" max="3071" width="39.44140625" style="370" customWidth="1"/>
    <col min="3072" max="3076" width="13.21875" style="370" customWidth="1"/>
    <col min="3077" max="3077" width="56.77734375" style="370" customWidth="1"/>
    <col min="3078" max="3078" width="11.77734375" style="370" customWidth="1"/>
    <col min="3079" max="3264" width="8.88671875" style="370"/>
    <col min="3265" max="3266" width="0" style="370" hidden="1" customWidth="1"/>
    <col min="3267" max="3267" width="12.21875" style="370" customWidth="1"/>
    <col min="3268" max="3268" width="47" style="370" customWidth="1"/>
    <col min="3269" max="3308" width="0" style="370" hidden="1" customWidth="1"/>
    <col min="3309" max="3310" width="13.21875" style="370" customWidth="1"/>
    <col min="3311" max="3312" width="0" style="370" hidden="1" customWidth="1"/>
    <col min="3313" max="3313" width="13.21875" style="370" customWidth="1"/>
    <col min="3314" max="3315" width="0" style="370" hidden="1" customWidth="1"/>
    <col min="3316" max="3316" width="13.21875" style="370" customWidth="1"/>
    <col min="3317" max="3318" width="0" style="370" hidden="1" customWidth="1"/>
    <col min="3319" max="3319" width="13.21875" style="370" customWidth="1"/>
    <col min="3320" max="3321" width="0" style="370" hidden="1" customWidth="1"/>
    <col min="3322" max="3322" width="13.21875" style="370" customWidth="1"/>
    <col min="3323" max="3324" width="0" style="370" hidden="1" customWidth="1"/>
    <col min="3325" max="3326" width="13.21875" style="370" customWidth="1"/>
    <col min="3327" max="3327" width="39.44140625" style="370" customWidth="1"/>
    <col min="3328" max="3332" width="13.21875" style="370" customWidth="1"/>
    <col min="3333" max="3333" width="56.77734375" style="370" customWidth="1"/>
    <col min="3334" max="3334" width="11.77734375" style="370" customWidth="1"/>
    <col min="3335" max="3520" width="8.88671875" style="370"/>
    <col min="3521" max="3522" width="0" style="370" hidden="1" customWidth="1"/>
    <col min="3523" max="3523" width="12.21875" style="370" customWidth="1"/>
    <col min="3524" max="3524" width="47" style="370" customWidth="1"/>
    <col min="3525" max="3564" width="0" style="370" hidden="1" customWidth="1"/>
    <col min="3565" max="3566" width="13.21875" style="370" customWidth="1"/>
    <col min="3567" max="3568" width="0" style="370" hidden="1" customWidth="1"/>
    <col min="3569" max="3569" width="13.21875" style="370" customWidth="1"/>
    <col min="3570" max="3571" width="0" style="370" hidden="1" customWidth="1"/>
    <col min="3572" max="3572" width="13.21875" style="370" customWidth="1"/>
    <col min="3573" max="3574" width="0" style="370" hidden="1" customWidth="1"/>
    <col min="3575" max="3575" width="13.21875" style="370" customWidth="1"/>
    <col min="3576" max="3577" width="0" style="370" hidden="1" customWidth="1"/>
    <col min="3578" max="3578" width="13.21875" style="370" customWidth="1"/>
    <col min="3579" max="3580" width="0" style="370" hidden="1" customWidth="1"/>
    <col min="3581" max="3582" width="13.21875" style="370" customWidth="1"/>
    <col min="3583" max="3583" width="39.44140625" style="370" customWidth="1"/>
    <col min="3584" max="3588" width="13.21875" style="370" customWidth="1"/>
    <col min="3589" max="3589" width="56.77734375" style="370" customWidth="1"/>
    <col min="3590" max="3590" width="11.77734375" style="370" customWidth="1"/>
    <col min="3591" max="3776" width="8.88671875" style="370"/>
    <col min="3777" max="3778" width="0" style="370" hidden="1" customWidth="1"/>
    <col min="3779" max="3779" width="12.21875" style="370" customWidth="1"/>
    <col min="3780" max="3780" width="47" style="370" customWidth="1"/>
    <col min="3781" max="3820" width="0" style="370" hidden="1" customWidth="1"/>
    <col min="3821" max="3822" width="13.21875" style="370" customWidth="1"/>
    <col min="3823" max="3824" width="0" style="370" hidden="1" customWidth="1"/>
    <col min="3825" max="3825" width="13.21875" style="370" customWidth="1"/>
    <col min="3826" max="3827" width="0" style="370" hidden="1" customWidth="1"/>
    <col min="3828" max="3828" width="13.21875" style="370" customWidth="1"/>
    <col min="3829" max="3830" width="0" style="370" hidden="1" customWidth="1"/>
    <col min="3831" max="3831" width="13.21875" style="370" customWidth="1"/>
    <col min="3832" max="3833" width="0" style="370" hidden="1" customWidth="1"/>
    <col min="3834" max="3834" width="13.21875" style="370" customWidth="1"/>
    <col min="3835" max="3836" width="0" style="370" hidden="1" customWidth="1"/>
    <col min="3837" max="3838" width="13.21875" style="370" customWidth="1"/>
    <col min="3839" max="3839" width="39.44140625" style="370" customWidth="1"/>
    <col min="3840" max="3844" width="13.21875" style="370" customWidth="1"/>
    <col min="3845" max="3845" width="56.77734375" style="370" customWidth="1"/>
    <col min="3846" max="3846" width="11.77734375" style="370" customWidth="1"/>
    <col min="3847" max="4032" width="8.88671875" style="370"/>
    <col min="4033" max="4034" width="0" style="370" hidden="1" customWidth="1"/>
    <col min="4035" max="4035" width="12.21875" style="370" customWidth="1"/>
    <col min="4036" max="4036" width="47" style="370" customWidth="1"/>
    <col min="4037" max="4076" width="0" style="370" hidden="1" customWidth="1"/>
    <col min="4077" max="4078" width="13.21875" style="370" customWidth="1"/>
    <col min="4079" max="4080" width="0" style="370" hidden="1" customWidth="1"/>
    <col min="4081" max="4081" width="13.21875" style="370" customWidth="1"/>
    <col min="4082" max="4083" width="0" style="370" hidden="1" customWidth="1"/>
    <col min="4084" max="4084" width="13.21875" style="370" customWidth="1"/>
    <col min="4085" max="4086" width="0" style="370" hidden="1" customWidth="1"/>
    <col min="4087" max="4087" width="13.21875" style="370" customWidth="1"/>
    <col min="4088" max="4089" width="0" style="370" hidden="1" customWidth="1"/>
    <col min="4090" max="4090" width="13.21875" style="370" customWidth="1"/>
    <col min="4091" max="4092" width="0" style="370" hidden="1" customWidth="1"/>
    <col min="4093" max="4094" width="13.21875" style="370" customWidth="1"/>
    <col min="4095" max="4095" width="39.44140625" style="370" customWidth="1"/>
    <col min="4096" max="4100" width="13.21875" style="370" customWidth="1"/>
    <col min="4101" max="4101" width="56.77734375" style="370" customWidth="1"/>
    <col min="4102" max="4102" width="11.77734375" style="370" customWidth="1"/>
    <col min="4103" max="4288" width="8.88671875" style="370"/>
    <col min="4289" max="4290" width="0" style="370" hidden="1" customWidth="1"/>
    <col min="4291" max="4291" width="12.21875" style="370" customWidth="1"/>
    <col min="4292" max="4292" width="47" style="370" customWidth="1"/>
    <col min="4293" max="4332" width="0" style="370" hidden="1" customWidth="1"/>
    <col min="4333" max="4334" width="13.21875" style="370" customWidth="1"/>
    <col min="4335" max="4336" width="0" style="370" hidden="1" customWidth="1"/>
    <col min="4337" max="4337" width="13.21875" style="370" customWidth="1"/>
    <col min="4338" max="4339" width="0" style="370" hidden="1" customWidth="1"/>
    <col min="4340" max="4340" width="13.21875" style="370" customWidth="1"/>
    <col min="4341" max="4342" width="0" style="370" hidden="1" customWidth="1"/>
    <col min="4343" max="4343" width="13.21875" style="370" customWidth="1"/>
    <col min="4344" max="4345" width="0" style="370" hidden="1" customWidth="1"/>
    <col min="4346" max="4346" width="13.21875" style="370" customWidth="1"/>
    <col min="4347" max="4348" width="0" style="370" hidden="1" customWidth="1"/>
    <col min="4349" max="4350" width="13.21875" style="370" customWidth="1"/>
    <col min="4351" max="4351" width="39.44140625" style="370" customWidth="1"/>
    <col min="4352" max="4356" width="13.21875" style="370" customWidth="1"/>
    <col min="4357" max="4357" width="56.77734375" style="370" customWidth="1"/>
    <col min="4358" max="4358" width="11.77734375" style="370" customWidth="1"/>
    <col min="4359" max="4544" width="8.88671875" style="370"/>
    <col min="4545" max="4546" width="0" style="370" hidden="1" customWidth="1"/>
    <col min="4547" max="4547" width="12.21875" style="370" customWidth="1"/>
    <col min="4548" max="4548" width="47" style="370" customWidth="1"/>
    <col min="4549" max="4588" width="0" style="370" hidden="1" customWidth="1"/>
    <col min="4589" max="4590" width="13.21875" style="370" customWidth="1"/>
    <col min="4591" max="4592" width="0" style="370" hidden="1" customWidth="1"/>
    <col min="4593" max="4593" width="13.21875" style="370" customWidth="1"/>
    <col min="4594" max="4595" width="0" style="370" hidden="1" customWidth="1"/>
    <col min="4596" max="4596" width="13.21875" style="370" customWidth="1"/>
    <col min="4597" max="4598" width="0" style="370" hidden="1" customWidth="1"/>
    <col min="4599" max="4599" width="13.21875" style="370" customWidth="1"/>
    <col min="4600" max="4601" width="0" style="370" hidden="1" customWidth="1"/>
    <col min="4602" max="4602" width="13.21875" style="370" customWidth="1"/>
    <col min="4603" max="4604" width="0" style="370" hidden="1" customWidth="1"/>
    <col min="4605" max="4606" width="13.21875" style="370" customWidth="1"/>
    <col min="4607" max="4607" width="39.44140625" style="370" customWidth="1"/>
    <col min="4608" max="4612" width="13.21875" style="370" customWidth="1"/>
    <col min="4613" max="4613" width="56.77734375" style="370" customWidth="1"/>
    <col min="4614" max="4614" width="11.77734375" style="370" customWidth="1"/>
    <col min="4615" max="4800" width="8.88671875" style="370"/>
    <col min="4801" max="4802" width="0" style="370" hidden="1" customWidth="1"/>
    <col min="4803" max="4803" width="12.21875" style="370" customWidth="1"/>
    <col min="4804" max="4804" width="47" style="370" customWidth="1"/>
    <col min="4805" max="4844" width="0" style="370" hidden="1" customWidth="1"/>
    <col min="4845" max="4846" width="13.21875" style="370" customWidth="1"/>
    <col min="4847" max="4848" width="0" style="370" hidden="1" customWidth="1"/>
    <col min="4849" max="4849" width="13.21875" style="370" customWidth="1"/>
    <col min="4850" max="4851" width="0" style="370" hidden="1" customWidth="1"/>
    <col min="4852" max="4852" width="13.21875" style="370" customWidth="1"/>
    <col min="4853" max="4854" width="0" style="370" hidden="1" customWidth="1"/>
    <col min="4855" max="4855" width="13.21875" style="370" customWidth="1"/>
    <col min="4856" max="4857" width="0" style="370" hidden="1" customWidth="1"/>
    <col min="4858" max="4858" width="13.21875" style="370" customWidth="1"/>
    <col min="4859" max="4860" width="0" style="370" hidden="1" customWidth="1"/>
    <col min="4861" max="4862" width="13.21875" style="370" customWidth="1"/>
    <col min="4863" max="4863" width="39.44140625" style="370" customWidth="1"/>
    <col min="4864" max="4868" width="13.21875" style="370" customWidth="1"/>
    <col min="4869" max="4869" width="56.77734375" style="370" customWidth="1"/>
    <col min="4870" max="4870" width="11.77734375" style="370" customWidth="1"/>
    <col min="4871" max="5056" width="8.88671875" style="370"/>
    <col min="5057" max="5058" width="0" style="370" hidden="1" customWidth="1"/>
    <col min="5059" max="5059" width="12.21875" style="370" customWidth="1"/>
    <col min="5060" max="5060" width="47" style="370" customWidth="1"/>
    <col min="5061" max="5100" width="0" style="370" hidden="1" customWidth="1"/>
    <col min="5101" max="5102" width="13.21875" style="370" customWidth="1"/>
    <col min="5103" max="5104" width="0" style="370" hidden="1" customWidth="1"/>
    <col min="5105" max="5105" width="13.21875" style="370" customWidth="1"/>
    <col min="5106" max="5107" width="0" style="370" hidden="1" customWidth="1"/>
    <col min="5108" max="5108" width="13.21875" style="370" customWidth="1"/>
    <col min="5109" max="5110" width="0" style="370" hidden="1" customWidth="1"/>
    <col min="5111" max="5111" width="13.21875" style="370" customWidth="1"/>
    <col min="5112" max="5113" width="0" style="370" hidden="1" customWidth="1"/>
    <col min="5114" max="5114" width="13.21875" style="370" customWidth="1"/>
    <col min="5115" max="5116" width="0" style="370" hidden="1" customWidth="1"/>
    <col min="5117" max="5118" width="13.21875" style="370" customWidth="1"/>
    <col min="5119" max="5119" width="39.44140625" style="370" customWidth="1"/>
    <col min="5120" max="5124" width="13.21875" style="370" customWidth="1"/>
    <col min="5125" max="5125" width="56.77734375" style="370" customWidth="1"/>
    <col min="5126" max="5126" width="11.77734375" style="370" customWidth="1"/>
    <col min="5127" max="5312" width="8.88671875" style="370"/>
    <col min="5313" max="5314" width="0" style="370" hidden="1" customWidth="1"/>
    <col min="5315" max="5315" width="12.21875" style="370" customWidth="1"/>
    <col min="5316" max="5316" width="47" style="370" customWidth="1"/>
    <col min="5317" max="5356" width="0" style="370" hidden="1" customWidth="1"/>
    <col min="5357" max="5358" width="13.21875" style="370" customWidth="1"/>
    <col min="5359" max="5360" width="0" style="370" hidden="1" customWidth="1"/>
    <col min="5361" max="5361" width="13.21875" style="370" customWidth="1"/>
    <col min="5362" max="5363" width="0" style="370" hidden="1" customWidth="1"/>
    <col min="5364" max="5364" width="13.21875" style="370" customWidth="1"/>
    <col min="5365" max="5366" width="0" style="370" hidden="1" customWidth="1"/>
    <col min="5367" max="5367" width="13.21875" style="370" customWidth="1"/>
    <col min="5368" max="5369" width="0" style="370" hidden="1" customWidth="1"/>
    <col min="5370" max="5370" width="13.21875" style="370" customWidth="1"/>
    <col min="5371" max="5372" width="0" style="370" hidden="1" customWidth="1"/>
    <col min="5373" max="5374" width="13.21875" style="370" customWidth="1"/>
    <col min="5375" max="5375" width="39.44140625" style="370" customWidth="1"/>
    <col min="5376" max="5380" width="13.21875" style="370" customWidth="1"/>
    <col min="5381" max="5381" width="56.77734375" style="370" customWidth="1"/>
    <col min="5382" max="5382" width="11.77734375" style="370" customWidth="1"/>
    <col min="5383" max="5568" width="8.88671875" style="370"/>
    <col min="5569" max="5570" width="0" style="370" hidden="1" customWidth="1"/>
    <col min="5571" max="5571" width="12.21875" style="370" customWidth="1"/>
    <col min="5572" max="5572" width="47" style="370" customWidth="1"/>
    <col min="5573" max="5612" width="0" style="370" hidden="1" customWidth="1"/>
    <col min="5613" max="5614" width="13.21875" style="370" customWidth="1"/>
    <col min="5615" max="5616" width="0" style="370" hidden="1" customWidth="1"/>
    <col min="5617" max="5617" width="13.21875" style="370" customWidth="1"/>
    <col min="5618" max="5619" width="0" style="370" hidden="1" customWidth="1"/>
    <col min="5620" max="5620" width="13.21875" style="370" customWidth="1"/>
    <col min="5621" max="5622" width="0" style="370" hidden="1" customWidth="1"/>
    <col min="5623" max="5623" width="13.21875" style="370" customWidth="1"/>
    <col min="5624" max="5625" width="0" style="370" hidden="1" customWidth="1"/>
    <col min="5626" max="5626" width="13.21875" style="370" customWidth="1"/>
    <col min="5627" max="5628" width="0" style="370" hidden="1" customWidth="1"/>
    <col min="5629" max="5630" width="13.21875" style="370" customWidth="1"/>
    <col min="5631" max="5631" width="39.44140625" style="370" customWidth="1"/>
    <col min="5632" max="5636" width="13.21875" style="370" customWidth="1"/>
    <col min="5637" max="5637" width="56.77734375" style="370" customWidth="1"/>
    <col min="5638" max="5638" width="11.77734375" style="370" customWidth="1"/>
    <col min="5639" max="5824" width="8.88671875" style="370"/>
    <col min="5825" max="5826" width="0" style="370" hidden="1" customWidth="1"/>
    <col min="5827" max="5827" width="12.21875" style="370" customWidth="1"/>
    <col min="5828" max="5828" width="47" style="370" customWidth="1"/>
    <col min="5829" max="5868" width="0" style="370" hidden="1" customWidth="1"/>
    <col min="5869" max="5870" width="13.21875" style="370" customWidth="1"/>
    <col min="5871" max="5872" width="0" style="370" hidden="1" customWidth="1"/>
    <col min="5873" max="5873" width="13.21875" style="370" customWidth="1"/>
    <col min="5874" max="5875" width="0" style="370" hidden="1" customWidth="1"/>
    <col min="5876" max="5876" width="13.21875" style="370" customWidth="1"/>
    <col min="5877" max="5878" width="0" style="370" hidden="1" customWidth="1"/>
    <col min="5879" max="5879" width="13.21875" style="370" customWidth="1"/>
    <col min="5880" max="5881" width="0" style="370" hidden="1" customWidth="1"/>
    <col min="5882" max="5882" width="13.21875" style="370" customWidth="1"/>
    <col min="5883" max="5884" width="0" style="370" hidden="1" customWidth="1"/>
    <col min="5885" max="5886" width="13.21875" style="370" customWidth="1"/>
    <col min="5887" max="5887" width="39.44140625" style="370" customWidth="1"/>
    <col min="5888" max="5892" width="13.21875" style="370" customWidth="1"/>
    <col min="5893" max="5893" width="56.77734375" style="370" customWidth="1"/>
    <col min="5894" max="5894" width="11.77734375" style="370" customWidth="1"/>
    <col min="5895" max="6080" width="8.88671875" style="370"/>
    <col min="6081" max="6082" width="0" style="370" hidden="1" customWidth="1"/>
    <col min="6083" max="6083" width="12.21875" style="370" customWidth="1"/>
    <col min="6084" max="6084" width="47" style="370" customWidth="1"/>
    <col min="6085" max="6124" width="0" style="370" hidden="1" customWidth="1"/>
    <col min="6125" max="6126" width="13.21875" style="370" customWidth="1"/>
    <col min="6127" max="6128" width="0" style="370" hidden="1" customWidth="1"/>
    <col min="6129" max="6129" width="13.21875" style="370" customWidth="1"/>
    <col min="6130" max="6131" width="0" style="370" hidden="1" customWidth="1"/>
    <col min="6132" max="6132" width="13.21875" style="370" customWidth="1"/>
    <col min="6133" max="6134" width="0" style="370" hidden="1" customWidth="1"/>
    <col min="6135" max="6135" width="13.21875" style="370" customWidth="1"/>
    <col min="6136" max="6137" width="0" style="370" hidden="1" customWidth="1"/>
    <col min="6138" max="6138" width="13.21875" style="370" customWidth="1"/>
    <col min="6139" max="6140" width="0" style="370" hidden="1" customWidth="1"/>
    <col min="6141" max="6142" width="13.21875" style="370" customWidth="1"/>
    <col min="6143" max="6143" width="39.44140625" style="370" customWidth="1"/>
    <col min="6144" max="6148" width="13.21875" style="370" customWidth="1"/>
    <col min="6149" max="6149" width="56.77734375" style="370" customWidth="1"/>
    <col min="6150" max="6150" width="11.77734375" style="370" customWidth="1"/>
    <col min="6151" max="6336" width="8.88671875" style="370"/>
    <col min="6337" max="6338" width="0" style="370" hidden="1" customWidth="1"/>
    <col min="6339" max="6339" width="12.21875" style="370" customWidth="1"/>
    <col min="6340" max="6340" width="47" style="370" customWidth="1"/>
    <col min="6341" max="6380" width="0" style="370" hidden="1" customWidth="1"/>
    <col min="6381" max="6382" width="13.21875" style="370" customWidth="1"/>
    <col min="6383" max="6384" width="0" style="370" hidden="1" customWidth="1"/>
    <col min="6385" max="6385" width="13.21875" style="370" customWidth="1"/>
    <col min="6386" max="6387" width="0" style="370" hidden="1" customWidth="1"/>
    <col min="6388" max="6388" width="13.21875" style="370" customWidth="1"/>
    <col min="6389" max="6390" width="0" style="370" hidden="1" customWidth="1"/>
    <col min="6391" max="6391" width="13.21875" style="370" customWidth="1"/>
    <col min="6392" max="6393" width="0" style="370" hidden="1" customWidth="1"/>
    <col min="6394" max="6394" width="13.21875" style="370" customWidth="1"/>
    <col min="6395" max="6396" width="0" style="370" hidden="1" customWidth="1"/>
    <col min="6397" max="6398" width="13.21875" style="370" customWidth="1"/>
    <col min="6399" max="6399" width="39.44140625" style="370" customWidth="1"/>
    <col min="6400" max="6404" width="13.21875" style="370" customWidth="1"/>
    <col min="6405" max="6405" width="56.77734375" style="370" customWidth="1"/>
    <col min="6406" max="6406" width="11.77734375" style="370" customWidth="1"/>
    <col min="6407" max="6592" width="8.88671875" style="370"/>
    <col min="6593" max="6594" width="0" style="370" hidden="1" customWidth="1"/>
    <col min="6595" max="6595" width="12.21875" style="370" customWidth="1"/>
    <col min="6596" max="6596" width="47" style="370" customWidth="1"/>
    <col min="6597" max="6636" width="0" style="370" hidden="1" customWidth="1"/>
    <col min="6637" max="6638" width="13.21875" style="370" customWidth="1"/>
    <col min="6639" max="6640" width="0" style="370" hidden="1" customWidth="1"/>
    <col min="6641" max="6641" width="13.21875" style="370" customWidth="1"/>
    <col min="6642" max="6643" width="0" style="370" hidden="1" customWidth="1"/>
    <col min="6644" max="6644" width="13.21875" style="370" customWidth="1"/>
    <col min="6645" max="6646" width="0" style="370" hidden="1" customWidth="1"/>
    <col min="6647" max="6647" width="13.21875" style="370" customWidth="1"/>
    <col min="6648" max="6649" width="0" style="370" hidden="1" customWidth="1"/>
    <col min="6650" max="6650" width="13.21875" style="370" customWidth="1"/>
    <col min="6651" max="6652" width="0" style="370" hidden="1" customWidth="1"/>
    <col min="6653" max="6654" width="13.21875" style="370" customWidth="1"/>
    <col min="6655" max="6655" width="39.44140625" style="370" customWidth="1"/>
    <col min="6656" max="6660" width="13.21875" style="370" customWidth="1"/>
    <col min="6661" max="6661" width="56.77734375" style="370" customWidth="1"/>
    <col min="6662" max="6662" width="11.77734375" style="370" customWidth="1"/>
    <col min="6663" max="6848" width="8.88671875" style="370"/>
    <col min="6849" max="6850" width="0" style="370" hidden="1" customWidth="1"/>
    <col min="6851" max="6851" width="12.21875" style="370" customWidth="1"/>
    <col min="6852" max="6852" width="47" style="370" customWidth="1"/>
    <col min="6853" max="6892" width="0" style="370" hidden="1" customWidth="1"/>
    <col min="6893" max="6894" width="13.21875" style="370" customWidth="1"/>
    <col min="6895" max="6896" width="0" style="370" hidden="1" customWidth="1"/>
    <col min="6897" max="6897" width="13.21875" style="370" customWidth="1"/>
    <col min="6898" max="6899" width="0" style="370" hidden="1" customWidth="1"/>
    <col min="6900" max="6900" width="13.21875" style="370" customWidth="1"/>
    <col min="6901" max="6902" width="0" style="370" hidden="1" customWidth="1"/>
    <col min="6903" max="6903" width="13.21875" style="370" customWidth="1"/>
    <col min="6904" max="6905" width="0" style="370" hidden="1" customWidth="1"/>
    <col min="6906" max="6906" width="13.21875" style="370" customWidth="1"/>
    <col min="6907" max="6908" width="0" style="370" hidden="1" customWidth="1"/>
    <col min="6909" max="6910" width="13.21875" style="370" customWidth="1"/>
    <col min="6911" max="6911" width="39.44140625" style="370" customWidth="1"/>
    <col min="6912" max="6916" width="13.21875" style="370" customWidth="1"/>
    <col min="6917" max="6917" width="56.77734375" style="370" customWidth="1"/>
    <col min="6918" max="6918" width="11.77734375" style="370" customWidth="1"/>
    <col min="6919" max="7104" width="8.88671875" style="370"/>
    <col min="7105" max="7106" width="0" style="370" hidden="1" customWidth="1"/>
    <col min="7107" max="7107" width="12.21875" style="370" customWidth="1"/>
    <col min="7108" max="7108" width="47" style="370" customWidth="1"/>
    <col min="7109" max="7148" width="0" style="370" hidden="1" customWidth="1"/>
    <col min="7149" max="7150" width="13.21875" style="370" customWidth="1"/>
    <col min="7151" max="7152" width="0" style="370" hidden="1" customWidth="1"/>
    <col min="7153" max="7153" width="13.21875" style="370" customWidth="1"/>
    <col min="7154" max="7155" width="0" style="370" hidden="1" customWidth="1"/>
    <col min="7156" max="7156" width="13.21875" style="370" customWidth="1"/>
    <col min="7157" max="7158" width="0" style="370" hidden="1" customWidth="1"/>
    <col min="7159" max="7159" width="13.21875" style="370" customWidth="1"/>
    <col min="7160" max="7161" width="0" style="370" hidden="1" customWidth="1"/>
    <col min="7162" max="7162" width="13.21875" style="370" customWidth="1"/>
    <col min="7163" max="7164" width="0" style="370" hidden="1" customWidth="1"/>
    <col min="7165" max="7166" width="13.21875" style="370" customWidth="1"/>
    <col min="7167" max="7167" width="39.44140625" style="370" customWidth="1"/>
    <col min="7168" max="7172" width="13.21875" style="370" customWidth="1"/>
    <col min="7173" max="7173" width="56.77734375" style="370" customWidth="1"/>
    <col min="7174" max="7174" width="11.77734375" style="370" customWidth="1"/>
    <col min="7175" max="7360" width="8.88671875" style="370"/>
    <col min="7361" max="7362" width="0" style="370" hidden="1" customWidth="1"/>
    <col min="7363" max="7363" width="12.21875" style="370" customWidth="1"/>
    <col min="7364" max="7364" width="47" style="370" customWidth="1"/>
    <col min="7365" max="7404" width="0" style="370" hidden="1" customWidth="1"/>
    <col min="7405" max="7406" width="13.21875" style="370" customWidth="1"/>
    <col min="7407" max="7408" width="0" style="370" hidden="1" customWidth="1"/>
    <col min="7409" max="7409" width="13.21875" style="370" customWidth="1"/>
    <col min="7410" max="7411" width="0" style="370" hidden="1" customWidth="1"/>
    <col min="7412" max="7412" width="13.21875" style="370" customWidth="1"/>
    <col min="7413" max="7414" width="0" style="370" hidden="1" customWidth="1"/>
    <col min="7415" max="7415" width="13.21875" style="370" customWidth="1"/>
    <col min="7416" max="7417" width="0" style="370" hidden="1" customWidth="1"/>
    <col min="7418" max="7418" width="13.21875" style="370" customWidth="1"/>
    <col min="7419" max="7420" width="0" style="370" hidden="1" customWidth="1"/>
    <col min="7421" max="7422" width="13.21875" style="370" customWidth="1"/>
    <col min="7423" max="7423" width="39.44140625" style="370" customWidth="1"/>
    <col min="7424" max="7428" width="13.21875" style="370" customWidth="1"/>
    <col min="7429" max="7429" width="56.77734375" style="370" customWidth="1"/>
    <col min="7430" max="7430" width="11.77734375" style="370" customWidth="1"/>
    <col min="7431" max="7616" width="8.88671875" style="370"/>
    <col min="7617" max="7618" width="0" style="370" hidden="1" customWidth="1"/>
    <col min="7619" max="7619" width="12.21875" style="370" customWidth="1"/>
    <col min="7620" max="7620" width="47" style="370" customWidth="1"/>
    <col min="7621" max="7660" width="0" style="370" hidden="1" customWidth="1"/>
    <col min="7661" max="7662" width="13.21875" style="370" customWidth="1"/>
    <col min="7663" max="7664" width="0" style="370" hidden="1" customWidth="1"/>
    <col min="7665" max="7665" width="13.21875" style="370" customWidth="1"/>
    <col min="7666" max="7667" width="0" style="370" hidden="1" customWidth="1"/>
    <col min="7668" max="7668" width="13.21875" style="370" customWidth="1"/>
    <col min="7669" max="7670" width="0" style="370" hidden="1" customWidth="1"/>
    <col min="7671" max="7671" width="13.21875" style="370" customWidth="1"/>
    <col min="7672" max="7673" width="0" style="370" hidden="1" customWidth="1"/>
    <col min="7674" max="7674" width="13.21875" style="370" customWidth="1"/>
    <col min="7675" max="7676" width="0" style="370" hidden="1" customWidth="1"/>
    <col min="7677" max="7678" width="13.21875" style="370" customWidth="1"/>
    <col min="7679" max="7679" width="39.44140625" style="370" customWidth="1"/>
    <col min="7680" max="7684" width="13.21875" style="370" customWidth="1"/>
    <col min="7685" max="7685" width="56.77734375" style="370" customWidth="1"/>
    <col min="7686" max="7686" width="11.77734375" style="370" customWidth="1"/>
    <col min="7687" max="7872" width="8.88671875" style="370"/>
    <col min="7873" max="7874" width="0" style="370" hidden="1" customWidth="1"/>
    <col min="7875" max="7875" width="12.21875" style="370" customWidth="1"/>
    <col min="7876" max="7876" width="47" style="370" customWidth="1"/>
    <col min="7877" max="7916" width="0" style="370" hidden="1" customWidth="1"/>
    <col min="7917" max="7918" width="13.21875" style="370" customWidth="1"/>
    <col min="7919" max="7920" width="0" style="370" hidden="1" customWidth="1"/>
    <col min="7921" max="7921" width="13.21875" style="370" customWidth="1"/>
    <col min="7922" max="7923" width="0" style="370" hidden="1" customWidth="1"/>
    <col min="7924" max="7924" width="13.21875" style="370" customWidth="1"/>
    <col min="7925" max="7926" width="0" style="370" hidden="1" customWidth="1"/>
    <col min="7927" max="7927" width="13.21875" style="370" customWidth="1"/>
    <col min="7928" max="7929" width="0" style="370" hidden="1" customWidth="1"/>
    <col min="7930" max="7930" width="13.21875" style="370" customWidth="1"/>
    <col min="7931" max="7932" width="0" style="370" hidden="1" customWidth="1"/>
    <col min="7933" max="7934" width="13.21875" style="370" customWidth="1"/>
    <col min="7935" max="7935" width="39.44140625" style="370" customWidth="1"/>
    <col min="7936" max="7940" width="13.21875" style="370" customWidth="1"/>
    <col min="7941" max="7941" width="56.77734375" style="370" customWidth="1"/>
    <col min="7942" max="7942" width="11.77734375" style="370" customWidth="1"/>
    <col min="7943" max="8128" width="8.88671875" style="370"/>
    <col min="8129" max="8130" width="0" style="370" hidden="1" customWidth="1"/>
    <col min="8131" max="8131" width="12.21875" style="370" customWidth="1"/>
    <col min="8132" max="8132" width="47" style="370" customWidth="1"/>
    <col min="8133" max="8172" width="0" style="370" hidden="1" customWidth="1"/>
    <col min="8173" max="8174" width="13.21875" style="370" customWidth="1"/>
    <col min="8175" max="8176" width="0" style="370" hidden="1" customWidth="1"/>
    <col min="8177" max="8177" width="13.21875" style="370" customWidth="1"/>
    <col min="8178" max="8179" width="0" style="370" hidden="1" customWidth="1"/>
    <col min="8180" max="8180" width="13.21875" style="370" customWidth="1"/>
    <col min="8181" max="8182" width="0" style="370" hidden="1" customWidth="1"/>
    <col min="8183" max="8183" width="13.21875" style="370" customWidth="1"/>
    <col min="8184" max="8185" width="0" style="370" hidden="1" customWidth="1"/>
    <col min="8186" max="8186" width="13.21875" style="370" customWidth="1"/>
    <col min="8187" max="8188" width="0" style="370" hidden="1" customWidth="1"/>
    <col min="8189" max="8190" width="13.21875" style="370" customWidth="1"/>
    <col min="8191" max="8191" width="39.44140625" style="370" customWidth="1"/>
    <col min="8192" max="8196" width="13.21875" style="370" customWidth="1"/>
    <col min="8197" max="8197" width="56.77734375" style="370" customWidth="1"/>
    <col min="8198" max="8198" width="11.77734375" style="370" customWidth="1"/>
    <col min="8199" max="8384" width="8.88671875" style="370"/>
    <col min="8385" max="8386" width="0" style="370" hidden="1" customWidth="1"/>
    <col min="8387" max="8387" width="12.21875" style="370" customWidth="1"/>
    <col min="8388" max="8388" width="47" style="370" customWidth="1"/>
    <col min="8389" max="8428" width="0" style="370" hidden="1" customWidth="1"/>
    <col min="8429" max="8430" width="13.21875" style="370" customWidth="1"/>
    <col min="8431" max="8432" width="0" style="370" hidden="1" customWidth="1"/>
    <col min="8433" max="8433" width="13.21875" style="370" customWidth="1"/>
    <col min="8434" max="8435" width="0" style="370" hidden="1" customWidth="1"/>
    <col min="8436" max="8436" width="13.21875" style="370" customWidth="1"/>
    <col min="8437" max="8438" width="0" style="370" hidden="1" customWidth="1"/>
    <col min="8439" max="8439" width="13.21875" style="370" customWidth="1"/>
    <col min="8440" max="8441" width="0" style="370" hidden="1" customWidth="1"/>
    <col min="8442" max="8442" width="13.21875" style="370" customWidth="1"/>
    <col min="8443" max="8444" width="0" style="370" hidden="1" customWidth="1"/>
    <col min="8445" max="8446" width="13.21875" style="370" customWidth="1"/>
    <col min="8447" max="8447" width="39.44140625" style="370" customWidth="1"/>
    <col min="8448" max="8452" width="13.21875" style="370" customWidth="1"/>
    <col min="8453" max="8453" width="56.77734375" style="370" customWidth="1"/>
    <col min="8454" max="8454" width="11.77734375" style="370" customWidth="1"/>
    <col min="8455" max="8640" width="8.88671875" style="370"/>
    <col min="8641" max="8642" width="0" style="370" hidden="1" customWidth="1"/>
    <col min="8643" max="8643" width="12.21875" style="370" customWidth="1"/>
    <col min="8644" max="8644" width="47" style="370" customWidth="1"/>
    <col min="8645" max="8684" width="0" style="370" hidden="1" customWidth="1"/>
    <col min="8685" max="8686" width="13.21875" style="370" customWidth="1"/>
    <col min="8687" max="8688" width="0" style="370" hidden="1" customWidth="1"/>
    <col min="8689" max="8689" width="13.21875" style="370" customWidth="1"/>
    <col min="8690" max="8691" width="0" style="370" hidden="1" customWidth="1"/>
    <col min="8692" max="8692" width="13.21875" style="370" customWidth="1"/>
    <col min="8693" max="8694" width="0" style="370" hidden="1" customWidth="1"/>
    <col min="8695" max="8695" width="13.21875" style="370" customWidth="1"/>
    <col min="8696" max="8697" width="0" style="370" hidden="1" customWidth="1"/>
    <col min="8698" max="8698" width="13.21875" style="370" customWidth="1"/>
    <col min="8699" max="8700" width="0" style="370" hidden="1" customWidth="1"/>
    <col min="8701" max="8702" width="13.21875" style="370" customWidth="1"/>
    <col min="8703" max="8703" width="39.44140625" style="370" customWidth="1"/>
    <col min="8704" max="8708" width="13.21875" style="370" customWidth="1"/>
    <col min="8709" max="8709" width="56.77734375" style="370" customWidth="1"/>
    <col min="8710" max="8710" width="11.77734375" style="370" customWidth="1"/>
    <col min="8711" max="8896" width="8.88671875" style="370"/>
    <col min="8897" max="8898" width="0" style="370" hidden="1" customWidth="1"/>
    <col min="8899" max="8899" width="12.21875" style="370" customWidth="1"/>
    <col min="8900" max="8900" width="47" style="370" customWidth="1"/>
    <col min="8901" max="8940" width="0" style="370" hidden="1" customWidth="1"/>
    <col min="8941" max="8942" width="13.21875" style="370" customWidth="1"/>
    <col min="8943" max="8944" width="0" style="370" hidden="1" customWidth="1"/>
    <col min="8945" max="8945" width="13.21875" style="370" customWidth="1"/>
    <col min="8946" max="8947" width="0" style="370" hidden="1" customWidth="1"/>
    <col min="8948" max="8948" width="13.21875" style="370" customWidth="1"/>
    <col min="8949" max="8950" width="0" style="370" hidden="1" customWidth="1"/>
    <col min="8951" max="8951" width="13.21875" style="370" customWidth="1"/>
    <col min="8952" max="8953" width="0" style="370" hidden="1" customWidth="1"/>
    <col min="8954" max="8954" width="13.21875" style="370" customWidth="1"/>
    <col min="8955" max="8956" width="0" style="370" hidden="1" customWidth="1"/>
    <col min="8957" max="8958" width="13.21875" style="370" customWidth="1"/>
    <col min="8959" max="8959" width="39.44140625" style="370" customWidth="1"/>
    <col min="8960" max="8964" width="13.21875" style="370" customWidth="1"/>
    <col min="8965" max="8965" width="56.77734375" style="370" customWidth="1"/>
    <col min="8966" max="8966" width="11.77734375" style="370" customWidth="1"/>
    <col min="8967" max="9152" width="8.88671875" style="370"/>
    <col min="9153" max="9154" width="0" style="370" hidden="1" customWidth="1"/>
    <col min="9155" max="9155" width="12.21875" style="370" customWidth="1"/>
    <col min="9156" max="9156" width="47" style="370" customWidth="1"/>
    <col min="9157" max="9196" width="0" style="370" hidden="1" customWidth="1"/>
    <col min="9197" max="9198" width="13.21875" style="370" customWidth="1"/>
    <col min="9199" max="9200" width="0" style="370" hidden="1" customWidth="1"/>
    <col min="9201" max="9201" width="13.21875" style="370" customWidth="1"/>
    <col min="9202" max="9203" width="0" style="370" hidden="1" customWidth="1"/>
    <col min="9204" max="9204" width="13.21875" style="370" customWidth="1"/>
    <col min="9205" max="9206" width="0" style="370" hidden="1" customWidth="1"/>
    <col min="9207" max="9207" width="13.21875" style="370" customWidth="1"/>
    <col min="9208" max="9209" width="0" style="370" hidden="1" customWidth="1"/>
    <col min="9210" max="9210" width="13.21875" style="370" customWidth="1"/>
    <col min="9211" max="9212" width="0" style="370" hidden="1" customWidth="1"/>
    <col min="9213" max="9214" width="13.21875" style="370" customWidth="1"/>
    <col min="9215" max="9215" width="39.44140625" style="370" customWidth="1"/>
    <col min="9216" max="9220" width="13.21875" style="370" customWidth="1"/>
    <col min="9221" max="9221" width="56.77734375" style="370" customWidth="1"/>
    <col min="9222" max="9222" width="11.77734375" style="370" customWidth="1"/>
    <col min="9223" max="9408" width="8.88671875" style="370"/>
    <col min="9409" max="9410" width="0" style="370" hidden="1" customWidth="1"/>
    <col min="9411" max="9411" width="12.21875" style="370" customWidth="1"/>
    <col min="9412" max="9412" width="47" style="370" customWidth="1"/>
    <col min="9413" max="9452" width="0" style="370" hidden="1" customWidth="1"/>
    <col min="9453" max="9454" width="13.21875" style="370" customWidth="1"/>
    <col min="9455" max="9456" width="0" style="370" hidden="1" customWidth="1"/>
    <col min="9457" max="9457" width="13.21875" style="370" customWidth="1"/>
    <col min="9458" max="9459" width="0" style="370" hidden="1" customWidth="1"/>
    <col min="9460" max="9460" width="13.21875" style="370" customWidth="1"/>
    <col min="9461" max="9462" width="0" style="370" hidden="1" customWidth="1"/>
    <col min="9463" max="9463" width="13.21875" style="370" customWidth="1"/>
    <col min="9464" max="9465" width="0" style="370" hidden="1" customWidth="1"/>
    <col min="9466" max="9466" width="13.21875" style="370" customWidth="1"/>
    <col min="9467" max="9468" width="0" style="370" hidden="1" customWidth="1"/>
    <col min="9469" max="9470" width="13.21875" style="370" customWidth="1"/>
    <col min="9471" max="9471" width="39.44140625" style="370" customWidth="1"/>
    <col min="9472" max="9476" width="13.21875" style="370" customWidth="1"/>
    <col min="9477" max="9477" width="56.77734375" style="370" customWidth="1"/>
    <col min="9478" max="9478" width="11.77734375" style="370" customWidth="1"/>
    <col min="9479" max="9664" width="8.88671875" style="370"/>
    <col min="9665" max="9666" width="0" style="370" hidden="1" customWidth="1"/>
    <col min="9667" max="9667" width="12.21875" style="370" customWidth="1"/>
    <col min="9668" max="9668" width="47" style="370" customWidth="1"/>
    <col min="9669" max="9708" width="0" style="370" hidden="1" customWidth="1"/>
    <col min="9709" max="9710" width="13.21875" style="370" customWidth="1"/>
    <col min="9711" max="9712" width="0" style="370" hidden="1" customWidth="1"/>
    <col min="9713" max="9713" width="13.21875" style="370" customWidth="1"/>
    <col min="9714" max="9715" width="0" style="370" hidden="1" customWidth="1"/>
    <col min="9716" max="9716" width="13.21875" style="370" customWidth="1"/>
    <col min="9717" max="9718" width="0" style="370" hidden="1" customWidth="1"/>
    <col min="9719" max="9719" width="13.21875" style="370" customWidth="1"/>
    <col min="9720" max="9721" width="0" style="370" hidden="1" customWidth="1"/>
    <col min="9722" max="9722" width="13.21875" style="370" customWidth="1"/>
    <col min="9723" max="9724" width="0" style="370" hidden="1" customWidth="1"/>
    <col min="9725" max="9726" width="13.21875" style="370" customWidth="1"/>
    <col min="9727" max="9727" width="39.44140625" style="370" customWidth="1"/>
    <col min="9728" max="9732" width="13.21875" style="370" customWidth="1"/>
    <col min="9733" max="9733" width="56.77734375" style="370" customWidth="1"/>
    <col min="9734" max="9734" width="11.77734375" style="370" customWidth="1"/>
    <col min="9735" max="9920" width="8.88671875" style="370"/>
    <col min="9921" max="9922" width="0" style="370" hidden="1" customWidth="1"/>
    <col min="9923" max="9923" width="12.21875" style="370" customWidth="1"/>
    <col min="9924" max="9924" width="47" style="370" customWidth="1"/>
    <col min="9925" max="9964" width="0" style="370" hidden="1" customWidth="1"/>
    <col min="9965" max="9966" width="13.21875" style="370" customWidth="1"/>
    <col min="9967" max="9968" width="0" style="370" hidden="1" customWidth="1"/>
    <col min="9969" max="9969" width="13.21875" style="370" customWidth="1"/>
    <col min="9970" max="9971" width="0" style="370" hidden="1" customWidth="1"/>
    <col min="9972" max="9972" width="13.21875" style="370" customWidth="1"/>
    <col min="9973" max="9974" width="0" style="370" hidden="1" customWidth="1"/>
    <col min="9975" max="9975" width="13.21875" style="370" customWidth="1"/>
    <col min="9976" max="9977" width="0" style="370" hidden="1" customWidth="1"/>
    <col min="9978" max="9978" width="13.21875" style="370" customWidth="1"/>
    <col min="9979" max="9980" width="0" style="370" hidden="1" customWidth="1"/>
    <col min="9981" max="9982" width="13.21875" style="370" customWidth="1"/>
    <col min="9983" max="9983" width="39.44140625" style="370" customWidth="1"/>
    <col min="9984" max="9988" width="13.21875" style="370" customWidth="1"/>
    <col min="9989" max="9989" width="56.77734375" style="370" customWidth="1"/>
    <col min="9990" max="9990" width="11.77734375" style="370" customWidth="1"/>
    <col min="9991" max="10176" width="8.88671875" style="370"/>
    <col min="10177" max="10178" width="0" style="370" hidden="1" customWidth="1"/>
    <col min="10179" max="10179" width="12.21875" style="370" customWidth="1"/>
    <col min="10180" max="10180" width="47" style="370" customWidth="1"/>
    <col min="10181" max="10220" width="0" style="370" hidden="1" customWidth="1"/>
    <col min="10221" max="10222" width="13.21875" style="370" customWidth="1"/>
    <col min="10223" max="10224" width="0" style="370" hidden="1" customWidth="1"/>
    <col min="10225" max="10225" width="13.21875" style="370" customWidth="1"/>
    <col min="10226" max="10227" width="0" style="370" hidden="1" customWidth="1"/>
    <col min="10228" max="10228" width="13.21875" style="370" customWidth="1"/>
    <col min="10229" max="10230" width="0" style="370" hidden="1" customWidth="1"/>
    <col min="10231" max="10231" width="13.21875" style="370" customWidth="1"/>
    <col min="10232" max="10233" width="0" style="370" hidden="1" customWidth="1"/>
    <col min="10234" max="10234" width="13.21875" style="370" customWidth="1"/>
    <col min="10235" max="10236" width="0" style="370" hidden="1" customWidth="1"/>
    <col min="10237" max="10238" width="13.21875" style="370" customWidth="1"/>
    <col min="10239" max="10239" width="39.44140625" style="370" customWidth="1"/>
    <col min="10240" max="10244" width="13.21875" style="370" customWidth="1"/>
    <col min="10245" max="10245" width="56.77734375" style="370" customWidth="1"/>
    <col min="10246" max="10246" width="11.77734375" style="370" customWidth="1"/>
    <col min="10247" max="10432" width="8.88671875" style="370"/>
    <col min="10433" max="10434" width="0" style="370" hidden="1" customWidth="1"/>
    <col min="10435" max="10435" width="12.21875" style="370" customWidth="1"/>
    <col min="10436" max="10436" width="47" style="370" customWidth="1"/>
    <col min="10437" max="10476" width="0" style="370" hidden="1" customWidth="1"/>
    <col min="10477" max="10478" width="13.21875" style="370" customWidth="1"/>
    <col min="10479" max="10480" width="0" style="370" hidden="1" customWidth="1"/>
    <col min="10481" max="10481" width="13.21875" style="370" customWidth="1"/>
    <col min="10482" max="10483" width="0" style="370" hidden="1" customWidth="1"/>
    <col min="10484" max="10484" width="13.21875" style="370" customWidth="1"/>
    <col min="10485" max="10486" width="0" style="370" hidden="1" customWidth="1"/>
    <col min="10487" max="10487" width="13.21875" style="370" customWidth="1"/>
    <col min="10488" max="10489" width="0" style="370" hidden="1" customWidth="1"/>
    <col min="10490" max="10490" width="13.21875" style="370" customWidth="1"/>
    <col min="10491" max="10492" width="0" style="370" hidden="1" customWidth="1"/>
    <col min="10493" max="10494" width="13.21875" style="370" customWidth="1"/>
    <col min="10495" max="10495" width="39.44140625" style="370" customWidth="1"/>
    <col min="10496" max="10500" width="13.21875" style="370" customWidth="1"/>
    <col min="10501" max="10501" width="56.77734375" style="370" customWidth="1"/>
    <col min="10502" max="10502" width="11.77734375" style="370" customWidth="1"/>
    <col min="10503" max="10688" width="8.88671875" style="370"/>
    <col min="10689" max="10690" width="0" style="370" hidden="1" customWidth="1"/>
    <col min="10691" max="10691" width="12.21875" style="370" customWidth="1"/>
    <col min="10692" max="10692" width="47" style="370" customWidth="1"/>
    <col min="10693" max="10732" width="0" style="370" hidden="1" customWidth="1"/>
    <col min="10733" max="10734" width="13.21875" style="370" customWidth="1"/>
    <col min="10735" max="10736" width="0" style="370" hidden="1" customWidth="1"/>
    <col min="10737" max="10737" width="13.21875" style="370" customWidth="1"/>
    <col min="10738" max="10739" width="0" style="370" hidden="1" customWidth="1"/>
    <col min="10740" max="10740" width="13.21875" style="370" customWidth="1"/>
    <col min="10741" max="10742" width="0" style="370" hidden="1" customWidth="1"/>
    <col min="10743" max="10743" width="13.21875" style="370" customWidth="1"/>
    <col min="10744" max="10745" width="0" style="370" hidden="1" customWidth="1"/>
    <col min="10746" max="10746" width="13.21875" style="370" customWidth="1"/>
    <col min="10747" max="10748" width="0" style="370" hidden="1" customWidth="1"/>
    <col min="10749" max="10750" width="13.21875" style="370" customWidth="1"/>
    <col min="10751" max="10751" width="39.44140625" style="370" customWidth="1"/>
    <col min="10752" max="10756" width="13.21875" style="370" customWidth="1"/>
    <col min="10757" max="10757" width="56.77734375" style="370" customWidth="1"/>
    <col min="10758" max="10758" width="11.77734375" style="370" customWidth="1"/>
    <col min="10759" max="10944" width="8.88671875" style="370"/>
    <col min="10945" max="10946" width="0" style="370" hidden="1" customWidth="1"/>
    <col min="10947" max="10947" width="12.21875" style="370" customWidth="1"/>
    <col min="10948" max="10948" width="47" style="370" customWidth="1"/>
    <col min="10949" max="10988" width="0" style="370" hidden="1" customWidth="1"/>
    <col min="10989" max="10990" width="13.21875" style="370" customWidth="1"/>
    <col min="10991" max="10992" width="0" style="370" hidden="1" customWidth="1"/>
    <col min="10993" max="10993" width="13.21875" style="370" customWidth="1"/>
    <col min="10994" max="10995" width="0" style="370" hidden="1" customWidth="1"/>
    <col min="10996" max="10996" width="13.21875" style="370" customWidth="1"/>
    <col min="10997" max="10998" width="0" style="370" hidden="1" customWidth="1"/>
    <col min="10999" max="10999" width="13.21875" style="370" customWidth="1"/>
    <col min="11000" max="11001" width="0" style="370" hidden="1" customWidth="1"/>
    <col min="11002" max="11002" width="13.21875" style="370" customWidth="1"/>
    <col min="11003" max="11004" width="0" style="370" hidden="1" customWidth="1"/>
    <col min="11005" max="11006" width="13.21875" style="370" customWidth="1"/>
    <col min="11007" max="11007" width="39.44140625" style="370" customWidth="1"/>
    <col min="11008" max="11012" width="13.21875" style="370" customWidth="1"/>
    <col min="11013" max="11013" width="56.77734375" style="370" customWidth="1"/>
    <col min="11014" max="11014" width="11.77734375" style="370" customWidth="1"/>
    <col min="11015" max="11200" width="8.88671875" style="370"/>
    <col min="11201" max="11202" width="0" style="370" hidden="1" customWidth="1"/>
    <col min="11203" max="11203" width="12.21875" style="370" customWidth="1"/>
    <col min="11204" max="11204" width="47" style="370" customWidth="1"/>
    <col min="11205" max="11244" width="0" style="370" hidden="1" customWidth="1"/>
    <col min="11245" max="11246" width="13.21875" style="370" customWidth="1"/>
    <col min="11247" max="11248" width="0" style="370" hidden="1" customWidth="1"/>
    <col min="11249" max="11249" width="13.21875" style="370" customWidth="1"/>
    <col min="11250" max="11251" width="0" style="370" hidden="1" customWidth="1"/>
    <col min="11252" max="11252" width="13.21875" style="370" customWidth="1"/>
    <col min="11253" max="11254" width="0" style="370" hidden="1" customWidth="1"/>
    <col min="11255" max="11255" width="13.21875" style="370" customWidth="1"/>
    <col min="11256" max="11257" width="0" style="370" hidden="1" customWidth="1"/>
    <col min="11258" max="11258" width="13.21875" style="370" customWidth="1"/>
    <col min="11259" max="11260" width="0" style="370" hidden="1" customWidth="1"/>
    <col min="11261" max="11262" width="13.21875" style="370" customWidth="1"/>
    <col min="11263" max="11263" width="39.44140625" style="370" customWidth="1"/>
    <col min="11264" max="11268" width="13.21875" style="370" customWidth="1"/>
    <col min="11269" max="11269" width="56.77734375" style="370" customWidth="1"/>
    <col min="11270" max="11270" width="11.77734375" style="370" customWidth="1"/>
    <col min="11271" max="11456" width="8.88671875" style="370"/>
    <col min="11457" max="11458" width="0" style="370" hidden="1" customWidth="1"/>
    <col min="11459" max="11459" width="12.21875" style="370" customWidth="1"/>
    <col min="11460" max="11460" width="47" style="370" customWidth="1"/>
    <col min="11461" max="11500" width="0" style="370" hidden="1" customWidth="1"/>
    <col min="11501" max="11502" width="13.21875" style="370" customWidth="1"/>
    <col min="11503" max="11504" width="0" style="370" hidden="1" customWidth="1"/>
    <col min="11505" max="11505" width="13.21875" style="370" customWidth="1"/>
    <col min="11506" max="11507" width="0" style="370" hidden="1" customWidth="1"/>
    <col min="11508" max="11508" width="13.21875" style="370" customWidth="1"/>
    <col min="11509" max="11510" width="0" style="370" hidden="1" customWidth="1"/>
    <col min="11511" max="11511" width="13.21875" style="370" customWidth="1"/>
    <col min="11512" max="11513" width="0" style="370" hidden="1" customWidth="1"/>
    <col min="11514" max="11514" width="13.21875" style="370" customWidth="1"/>
    <col min="11515" max="11516" width="0" style="370" hidden="1" customWidth="1"/>
    <col min="11517" max="11518" width="13.21875" style="370" customWidth="1"/>
    <col min="11519" max="11519" width="39.44140625" style="370" customWidth="1"/>
    <col min="11520" max="11524" width="13.21875" style="370" customWidth="1"/>
    <col min="11525" max="11525" width="56.77734375" style="370" customWidth="1"/>
    <col min="11526" max="11526" width="11.77734375" style="370" customWidth="1"/>
    <col min="11527" max="11712" width="8.88671875" style="370"/>
    <col min="11713" max="11714" width="0" style="370" hidden="1" customWidth="1"/>
    <col min="11715" max="11715" width="12.21875" style="370" customWidth="1"/>
    <col min="11716" max="11716" width="47" style="370" customWidth="1"/>
    <col min="11717" max="11756" width="0" style="370" hidden="1" customWidth="1"/>
    <col min="11757" max="11758" width="13.21875" style="370" customWidth="1"/>
    <col min="11759" max="11760" width="0" style="370" hidden="1" customWidth="1"/>
    <col min="11761" max="11761" width="13.21875" style="370" customWidth="1"/>
    <col min="11762" max="11763" width="0" style="370" hidden="1" customWidth="1"/>
    <col min="11764" max="11764" width="13.21875" style="370" customWidth="1"/>
    <col min="11765" max="11766" width="0" style="370" hidden="1" customWidth="1"/>
    <col min="11767" max="11767" width="13.21875" style="370" customWidth="1"/>
    <col min="11768" max="11769" width="0" style="370" hidden="1" customWidth="1"/>
    <col min="11770" max="11770" width="13.21875" style="370" customWidth="1"/>
    <col min="11771" max="11772" width="0" style="370" hidden="1" customWidth="1"/>
    <col min="11773" max="11774" width="13.21875" style="370" customWidth="1"/>
    <col min="11775" max="11775" width="39.44140625" style="370" customWidth="1"/>
    <col min="11776" max="11780" width="13.21875" style="370" customWidth="1"/>
    <col min="11781" max="11781" width="56.77734375" style="370" customWidth="1"/>
    <col min="11782" max="11782" width="11.77734375" style="370" customWidth="1"/>
    <col min="11783" max="11968" width="8.88671875" style="370"/>
    <col min="11969" max="11970" width="0" style="370" hidden="1" customWidth="1"/>
    <col min="11971" max="11971" width="12.21875" style="370" customWidth="1"/>
    <col min="11972" max="11972" width="47" style="370" customWidth="1"/>
    <col min="11973" max="12012" width="0" style="370" hidden="1" customWidth="1"/>
    <col min="12013" max="12014" width="13.21875" style="370" customWidth="1"/>
    <col min="12015" max="12016" width="0" style="370" hidden="1" customWidth="1"/>
    <col min="12017" max="12017" width="13.21875" style="370" customWidth="1"/>
    <col min="12018" max="12019" width="0" style="370" hidden="1" customWidth="1"/>
    <col min="12020" max="12020" width="13.21875" style="370" customWidth="1"/>
    <col min="12021" max="12022" width="0" style="370" hidden="1" customWidth="1"/>
    <col min="12023" max="12023" width="13.21875" style="370" customWidth="1"/>
    <col min="12024" max="12025" width="0" style="370" hidden="1" customWidth="1"/>
    <col min="12026" max="12026" width="13.21875" style="370" customWidth="1"/>
    <col min="12027" max="12028" width="0" style="370" hidden="1" customWidth="1"/>
    <col min="12029" max="12030" width="13.21875" style="370" customWidth="1"/>
    <col min="12031" max="12031" width="39.44140625" style="370" customWidth="1"/>
    <col min="12032" max="12036" width="13.21875" style="370" customWidth="1"/>
    <col min="12037" max="12037" width="56.77734375" style="370" customWidth="1"/>
    <col min="12038" max="12038" width="11.77734375" style="370" customWidth="1"/>
    <col min="12039" max="12224" width="8.88671875" style="370"/>
    <col min="12225" max="12226" width="0" style="370" hidden="1" customWidth="1"/>
    <col min="12227" max="12227" width="12.21875" style="370" customWidth="1"/>
    <col min="12228" max="12228" width="47" style="370" customWidth="1"/>
    <col min="12229" max="12268" width="0" style="370" hidden="1" customWidth="1"/>
    <col min="12269" max="12270" width="13.21875" style="370" customWidth="1"/>
    <col min="12271" max="12272" width="0" style="370" hidden="1" customWidth="1"/>
    <col min="12273" max="12273" width="13.21875" style="370" customWidth="1"/>
    <col min="12274" max="12275" width="0" style="370" hidden="1" customWidth="1"/>
    <col min="12276" max="12276" width="13.21875" style="370" customWidth="1"/>
    <col min="12277" max="12278" width="0" style="370" hidden="1" customWidth="1"/>
    <col min="12279" max="12279" width="13.21875" style="370" customWidth="1"/>
    <col min="12280" max="12281" width="0" style="370" hidden="1" customWidth="1"/>
    <col min="12282" max="12282" width="13.21875" style="370" customWidth="1"/>
    <col min="12283" max="12284" width="0" style="370" hidden="1" customWidth="1"/>
    <col min="12285" max="12286" width="13.21875" style="370" customWidth="1"/>
    <col min="12287" max="12287" width="39.44140625" style="370" customWidth="1"/>
    <col min="12288" max="12292" width="13.21875" style="370" customWidth="1"/>
    <col min="12293" max="12293" width="56.77734375" style="370" customWidth="1"/>
    <col min="12294" max="12294" width="11.77734375" style="370" customWidth="1"/>
    <col min="12295" max="12480" width="8.88671875" style="370"/>
    <col min="12481" max="12482" width="0" style="370" hidden="1" customWidth="1"/>
    <col min="12483" max="12483" width="12.21875" style="370" customWidth="1"/>
    <col min="12484" max="12484" width="47" style="370" customWidth="1"/>
    <col min="12485" max="12524" width="0" style="370" hidden="1" customWidth="1"/>
    <col min="12525" max="12526" width="13.21875" style="370" customWidth="1"/>
    <col min="12527" max="12528" width="0" style="370" hidden="1" customWidth="1"/>
    <col min="12529" max="12529" width="13.21875" style="370" customWidth="1"/>
    <col min="12530" max="12531" width="0" style="370" hidden="1" customWidth="1"/>
    <col min="12532" max="12532" width="13.21875" style="370" customWidth="1"/>
    <col min="12533" max="12534" width="0" style="370" hidden="1" customWidth="1"/>
    <col min="12535" max="12535" width="13.21875" style="370" customWidth="1"/>
    <col min="12536" max="12537" width="0" style="370" hidden="1" customWidth="1"/>
    <col min="12538" max="12538" width="13.21875" style="370" customWidth="1"/>
    <col min="12539" max="12540" width="0" style="370" hidden="1" customWidth="1"/>
    <col min="12541" max="12542" width="13.21875" style="370" customWidth="1"/>
    <col min="12543" max="12543" width="39.44140625" style="370" customWidth="1"/>
    <col min="12544" max="12548" width="13.21875" style="370" customWidth="1"/>
    <col min="12549" max="12549" width="56.77734375" style="370" customWidth="1"/>
    <col min="12550" max="12550" width="11.77734375" style="370" customWidth="1"/>
    <col min="12551" max="12736" width="8.88671875" style="370"/>
    <col min="12737" max="12738" width="0" style="370" hidden="1" customWidth="1"/>
    <col min="12739" max="12739" width="12.21875" style="370" customWidth="1"/>
    <col min="12740" max="12740" width="47" style="370" customWidth="1"/>
    <col min="12741" max="12780" width="0" style="370" hidden="1" customWidth="1"/>
    <col min="12781" max="12782" width="13.21875" style="370" customWidth="1"/>
    <col min="12783" max="12784" width="0" style="370" hidden="1" customWidth="1"/>
    <col min="12785" max="12785" width="13.21875" style="370" customWidth="1"/>
    <col min="12786" max="12787" width="0" style="370" hidden="1" customWidth="1"/>
    <col min="12788" max="12788" width="13.21875" style="370" customWidth="1"/>
    <col min="12789" max="12790" width="0" style="370" hidden="1" customWidth="1"/>
    <col min="12791" max="12791" width="13.21875" style="370" customWidth="1"/>
    <col min="12792" max="12793" width="0" style="370" hidden="1" customWidth="1"/>
    <col min="12794" max="12794" width="13.21875" style="370" customWidth="1"/>
    <col min="12795" max="12796" width="0" style="370" hidden="1" customWidth="1"/>
    <col min="12797" max="12798" width="13.21875" style="370" customWidth="1"/>
    <col min="12799" max="12799" width="39.44140625" style="370" customWidth="1"/>
    <col min="12800" max="12804" width="13.21875" style="370" customWidth="1"/>
    <col min="12805" max="12805" width="56.77734375" style="370" customWidth="1"/>
    <col min="12806" max="12806" width="11.77734375" style="370" customWidth="1"/>
    <col min="12807" max="12992" width="8.88671875" style="370"/>
    <col min="12993" max="12994" width="0" style="370" hidden="1" customWidth="1"/>
    <col min="12995" max="12995" width="12.21875" style="370" customWidth="1"/>
    <col min="12996" max="12996" width="47" style="370" customWidth="1"/>
    <col min="12997" max="13036" width="0" style="370" hidden="1" customWidth="1"/>
    <col min="13037" max="13038" width="13.21875" style="370" customWidth="1"/>
    <col min="13039" max="13040" width="0" style="370" hidden="1" customWidth="1"/>
    <col min="13041" max="13041" width="13.21875" style="370" customWidth="1"/>
    <col min="13042" max="13043" width="0" style="370" hidden="1" customWidth="1"/>
    <col min="13044" max="13044" width="13.21875" style="370" customWidth="1"/>
    <col min="13045" max="13046" width="0" style="370" hidden="1" customWidth="1"/>
    <col min="13047" max="13047" width="13.21875" style="370" customWidth="1"/>
    <col min="13048" max="13049" width="0" style="370" hidden="1" customWidth="1"/>
    <col min="13050" max="13050" width="13.21875" style="370" customWidth="1"/>
    <col min="13051" max="13052" width="0" style="370" hidden="1" customWidth="1"/>
    <col min="13053" max="13054" width="13.21875" style="370" customWidth="1"/>
    <col min="13055" max="13055" width="39.44140625" style="370" customWidth="1"/>
    <col min="13056" max="13060" width="13.21875" style="370" customWidth="1"/>
    <col min="13061" max="13061" width="56.77734375" style="370" customWidth="1"/>
    <col min="13062" max="13062" width="11.77734375" style="370" customWidth="1"/>
    <col min="13063" max="13248" width="8.88671875" style="370"/>
    <col min="13249" max="13250" width="0" style="370" hidden="1" customWidth="1"/>
    <col min="13251" max="13251" width="12.21875" style="370" customWidth="1"/>
    <col min="13252" max="13252" width="47" style="370" customWidth="1"/>
    <col min="13253" max="13292" width="0" style="370" hidden="1" customWidth="1"/>
    <col min="13293" max="13294" width="13.21875" style="370" customWidth="1"/>
    <col min="13295" max="13296" width="0" style="370" hidden="1" customWidth="1"/>
    <col min="13297" max="13297" width="13.21875" style="370" customWidth="1"/>
    <col min="13298" max="13299" width="0" style="370" hidden="1" customWidth="1"/>
    <col min="13300" max="13300" width="13.21875" style="370" customWidth="1"/>
    <col min="13301" max="13302" width="0" style="370" hidden="1" customWidth="1"/>
    <col min="13303" max="13303" width="13.21875" style="370" customWidth="1"/>
    <col min="13304" max="13305" width="0" style="370" hidden="1" customWidth="1"/>
    <col min="13306" max="13306" width="13.21875" style="370" customWidth="1"/>
    <col min="13307" max="13308" width="0" style="370" hidden="1" customWidth="1"/>
    <col min="13309" max="13310" width="13.21875" style="370" customWidth="1"/>
    <col min="13311" max="13311" width="39.44140625" style="370" customWidth="1"/>
    <col min="13312" max="13316" width="13.21875" style="370" customWidth="1"/>
    <col min="13317" max="13317" width="56.77734375" style="370" customWidth="1"/>
    <col min="13318" max="13318" width="11.77734375" style="370" customWidth="1"/>
    <col min="13319" max="13504" width="8.88671875" style="370"/>
    <col min="13505" max="13506" width="0" style="370" hidden="1" customWidth="1"/>
    <col min="13507" max="13507" width="12.21875" style="370" customWidth="1"/>
    <col min="13508" max="13508" width="47" style="370" customWidth="1"/>
    <col min="13509" max="13548" width="0" style="370" hidden="1" customWidth="1"/>
    <col min="13549" max="13550" width="13.21875" style="370" customWidth="1"/>
    <col min="13551" max="13552" width="0" style="370" hidden="1" customWidth="1"/>
    <col min="13553" max="13553" width="13.21875" style="370" customWidth="1"/>
    <col min="13554" max="13555" width="0" style="370" hidden="1" customWidth="1"/>
    <col min="13556" max="13556" width="13.21875" style="370" customWidth="1"/>
    <col min="13557" max="13558" width="0" style="370" hidden="1" customWidth="1"/>
    <col min="13559" max="13559" width="13.21875" style="370" customWidth="1"/>
    <col min="13560" max="13561" width="0" style="370" hidden="1" customWidth="1"/>
    <col min="13562" max="13562" width="13.21875" style="370" customWidth="1"/>
    <col min="13563" max="13564" width="0" style="370" hidden="1" customWidth="1"/>
    <col min="13565" max="13566" width="13.21875" style="370" customWidth="1"/>
    <col min="13567" max="13567" width="39.44140625" style="370" customWidth="1"/>
    <col min="13568" max="13572" width="13.21875" style="370" customWidth="1"/>
    <col min="13573" max="13573" width="56.77734375" style="370" customWidth="1"/>
    <col min="13574" max="13574" width="11.77734375" style="370" customWidth="1"/>
    <col min="13575" max="13760" width="8.88671875" style="370"/>
    <col min="13761" max="13762" width="0" style="370" hidden="1" customWidth="1"/>
    <col min="13763" max="13763" width="12.21875" style="370" customWidth="1"/>
    <col min="13764" max="13764" width="47" style="370" customWidth="1"/>
    <col min="13765" max="13804" width="0" style="370" hidden="1" customWidth="1"/>
    <col min="13805" max="13806" width="13.21875" style="370" customWidth="1"/>
    <col min="13807" max="13808" width="0" style="370" hidden="1" customWidth="1"/>
    <col min="13809" max="13809" width="13.21875" style="370" customWidth="1"/>
    <col min="13810" max="13811" width="0" style="370" hidden="1" customWidth="1"/>
    <col min="13812" max="13812" width="13.21875" style="370" customWidth="1"/>
    <col min="13813" max="13814" width="0" style="370" hidden="1" customWidth="1"/>
    <col min="13815" max="13815" width="13.21875" style="370" customWidth="1"/>
    <col min="13816" max="13817" width="0" style="370" hidden="1" customWidth="1"/>
    <col min="13818" max="13818" width="13.21875" style="370" customWidth="1"/>
    <col min="13819" max="13820" width="0" style="370" hidden="1" customWidth="1"/>
    <col min="13821" max="13822" width="13.21875" style="370" customWidth="1"/>
    <col min="13823" max="13823" width="39.44140625" style="370" customWidth="1"/>
    <col min="13824" max="13828" width="13.21875" style="370" customWidth="1"/>
    <col min="13829" max="13829" width="56.77734375" style="370" customWidth="1"/>
    <col min="13830" max="13830" width="11.77734375" style="370" customWidth="1"/>
    <col min="13831" max="14016" width="8.88671875" style="370"/>
    <col min="14017" max="14018" width="0" style="370" hidden="1" customWidth="1"/>
    <col min="14019" max="14019" width="12.21875" style="370" customWidth="1"/>
    <col min="14020" max="14020" width="47" style="370" customWidth="1"/>
    <col min="14021" max="14060" width="0" style="370" hidden="1" customWidth="1"/>
    <col min="14061" max="14062" width="13.21875" style="370" customWidth="1"/>
    <col min="14063" max="14064" width="0" style="370" hidden="1" customWidth="1"/>
    <col min="14065" max="14065" width="13.21875" style="370" customWidth="1"/>
    <col min="14066" max="14067" width="0" style="370" hidden="1" customWidth="1"/>
    <col min="14068" max="14068" width="13.21875" style="370" customWidth="1"/>
    <col min="14069" max="14070" width="0" style="370" hidden="1" customWidth="1"/>
    <col min="14071" max="14071" width="13.21875" style="370" customWidth="1"/>
    <col min="14072" max="14073" width="0" style="370" hidden="1" customWidth="1"/>
    <col min="14074" max="14074" width="13.21875" style="370" customWidth="1"/>
    <col min="14075" max="14076" width="0" style="370" hidden="1" customWidth="1"/>
    <col min="14077" max="14078" width="13.21875" style="370" customWidth="1"/>
    <col min="14079" max="14079" width="39.44140625" style="370" customWidth="1"/>
    <col min="14080" max="14084" width="13.21875" style="370" customWidth="1"/>
    <col min="14085" max="14085" width="56.77734375" style="370" customWidth="1"/>
    <col min="14086" max="14086" width="11.77734375" style="370" customWidth="1"/>
    <col min="14087" max="14272" width="8.88671875" style="370"/>
    <col min="14273" max="14274" width="0" style="370" hidden="1" customWidth="1"/>
    <col min="14275" max="14275" width="12.21875" style="370" customWidth="1"/>
    <col min="14276" max="14276" width="47" style="370" customWidth="1"/>
    <col min="14277" max="14316" width="0" style="370" hidden="1" customWidth="1"/>
    <col min="14317" max="14318" width="13.21875" style="370" customWidth="1"/>
    <col min="14319" max="14320" width="0" style="370" hidden="1" customWidth="1"/>
    <col min="14321" max="14321" width="13.21875" style="370" customWidth="1"/>
    <col min="14322" max="14323" width="0" style="370" hidden="1" customWidth="1"/>
    <col min="14324" max="14324" width="13.21875" style="370" customWidth="1"/>
    <col min="14325" max="14326" width="0" style="370" hidden="1" customWidth="1"/>
    <col min="14327" max="14327" width="13.21875" style="370" customWidth="1"/>
    <col min="14328" max="14329" width="0" style="370" hidden="1" customWidth="1"/>
    <col min="14330" max="14330" width="13.21875" style="370" customWidth="1"/>
    <col min="14331" max="14332" width="0" style="370" hidden="1" customWidth="1"/>
    <col min="14333" max="14334" width="13.21875" style="370" customWidth="1"/>
    <col min="14335" max="14335" width="39.44140625" style="370" customWidth="1"/>
    <col min="14336" max="14340" width="13.21875" style="370" customWidth="1"/>
    <col min="14341" max="14341" width="56.77734375" style="370" customWidth="1"/>
    <col min="14342" max="14342" width="11.77734375" style="370" customWidth="1"/>
    <col min="14343" max="14528" width="8.88671875" style="370"/>
    <col min="14529" max="14530" width="0" style="370" hidden="1" customWidth="1"/>
    <col min="14531" max="14531" width="12.21875" style="370" customWidth="1"/>
    <col min="14532" max="14532" width="47" style="370" customWidth="1"/>
    <col min="14533" max="14572" width="0" style="370" hidden="1" customWidth="1"/>
    <col min="14573" max="14574" width="13.21875" style="370" customWidth="1"/>
    <col min="14575" max="14576" width="0" style="370" hidden="1" customWidth="1"/>
    <col min="14577" max="14577" width="13.21875" style="370" customWidth="1"/>
    <col min="14578" max="14579" width="0" style="370" hidden="1" customWidth="1"/>
    <col min="14580" max="14580" width="13.21875" style="370" customWidth="1"/>
    <col min="14581" max="14582" width="0" style="370" hidden="1" customWidth="1"/>
    <col min="14583" max="14583" width="13.21875" style="370" customWidth="1"/>
    <col min="14584" max="14585" width="0" style="370" hidden="1" customWidth="1"/>
    <col min="14586" max="14586" width="13.21875" style="370" customWidth="1"/>
    <col min="14587" max="14588" width="0" style="370" hidden="1" customWidth="1"/>
    <col min="14589" max="14590" width="13.21875" style="370" customWidth="1"/>
    <col min="14591" max="14591" width="39.44140625" style="370" customWidth="1"/>
    <col min="14592" max="14596" width="13.21875" style="370" customWidth="1"/>
    <col min="14597" max="14597" width="56.77734375" style="370" customWidth="1"/>
    <col min="14598" max="14598" width="11.77734375" style="370" customWidth="1"/>
    <col min="14599" max="14784" width="8.88671875" style="370"/>
    <col min="14785" max="14786" width="0" style="370" hidden="1" customWidth="1"/>
    <col min="14787" max="14787" width="12.21875" style="370" customWidth="1"/>
    <col min="14788" max="14788" width="47" style="370" customWidth="1"/>
    <col min="14789" max="14828" width="0" style="370" hidden="1" customWidth="1"/>
    <col min="14829" max="14830" width="13.21875" style="370" customWidth="1"/>
    <col min="14831" max="14832" width="0" style="370" hidden="1" customWidth="1"/>
    <col min="14833" max="14833" width="13.21875" style="370" customWidth="1"/>
    <col min="14834" max="14835" width="0" style="370" hidden="1" customWidth="1"/>
    <col min="14836" max="14836" width="13.21875" style="370" customWidth="1"/>
    <col min="14837" max="14838" width="0" style="370" hidden="1" customWidth="1"/>
    <col min="14839" max="14839" width="13.21875" style="370" customWidth="1"/>
    <col min="14840" max="14841" width="0" style="370" hidden="1" customWidth="1"/>
    <col min="14842" max="14842" width="13.21875" style="370" customWidth="1"/>
    <col min="14843" max="14844" width="0" style="370" hidden="1" customWidth="1"/>
    <col min="14845" max="14846" width="13.21875" style="370" customWidth="1"/>
    <col min="14847" max="14847" width="39.44140625" style="370" customWidth="1"/>
    <col min="14848" max="14852" width="13.21875" style="370" customWidth="1"/>
    <col min="14853" max="14853" width="56.77734375" style="370" customWidth="1"/>
    <col min="14854" max="14854" width="11.77734375" style="370" customWidth="1"/>
    <col min="14855" max="15040" width="8.88671875" style="370"/>
    <col min="15041" max="15042" width="0" style="370" hidden="1" customWidth="1"/>
    <col min="15043" max="15043" width="12.21875" style="370" customWidth="1"/>
    <col min="15044" max="15044" width="47" style="370" customWidth="1"/>
    <col min="15045" max="15084" width="0" style="370" hidden="1" customWidth="1"/>
    <col min="15085" max="15086" width="13.21875" style="370" customWidth="1"/>
    <col min="15087" max="15088" width="0" style="370" hidden="1" customWidth="1"/>
    <col min="15089" max="15089" width="13.21875" style="370" customWidth="1"/>
    <col min="15090" max="15091" width="0" style="370" hidden="1" customWidth="1"/>
    <col min="15092" max="15092" width="13.21875" style="370" customWidth="1"/>
    <col min="15093" max="15094" width="0" style="370" hidden="1" customWidth="1"/>
    <col min="15095" max="15095" width="13.21875" style="370" customWidth="1"/>
    <col min="15096" max="15097" width="0" style="370" hidden="1" customWidth="1"/>
    <col min="15098" max="15098" width="13.21875" style="370" customWidth="1"/>
    <col min="15099" max="15100" width="0" style="370" hidden="1" customWidth="1"/>
    <col min="15101" max="15102" width="13.21875" style="370" customWidth="1"/>
    <col min="15103" max="15103" width="39.44140625" style="370" customWidth="1"/>
    <col min="15104" max="15108" width="13.21875" style="370" customWidth="1"/>
    <col min="15109" max="15109" width="56.77734375" style="370" customWidth="1"/>
    <col min="15110" max="15110" width="11.77734375" style="370" customWidth="1"/>
    <col min="15111" max="15296" width="8.88671875" style="370"/>
    <col min="15297" max="15298" width="0" style="370" hidden="1" customWidth="1"/>
    <col min="15299" max="15299" width="12.21875" style="370" customWidth="1"/>
    <col min="15300" max="15300" width="47" style="370" customWidth="1"/>
    <col min="15301" max="15340" width="0" style="370" hidden="1" customWidth="1"/>
    <col min="15341" max="15342" width="13.21875" style="370" customWidth="1"/>
    <col min="15343" max="15344" width="0" style="370" hidden="1" customWidth="1"/>
    <col min="15345" max="15345" width="13.21875" style="370" customWidth="1"/>
    <col min="15346" max="15347" width="0" style="370" hidden="1" customWidth="1"/>
    <col min="15348" max="15348" width="13.21875" style="370" customWidth="1"/>
    <col min="15349" max="15350" width="0" style="370" hidden="1" customWidth="1"/>
    <col min="15351" max="15351" width="13.21875" style="370" customWidth="1"/>
    <col min="15352" max="15353" width="0" style="370" hidden="1" customWidth="1"/>
    <col min="15354" max="15354" width="13.21875" style="370" customWidth="1"/>
    <col min="15355" max="15356" width="0" style="370" hidden="1" customWidth="1"/>
    <col min="15357" max="15358" width="13.21875" style="370" customWidth="1"/>
    <col min="15359" max="15359" width="39.44140625" style="370" customWidth="1"/>
    <col min="15360" max="15364" width="13.21875" style="370" customWidth="1"/>
    <col min="15365" max="15365" width="56.77734375" style="370" customWidth="1"/>
    <col min="15366" max="15366" width="11.77734375" style="370" customWidth="1"/>
    <col min="15367" max="15552" width="8.88671875" style="370"/>
    <col min="15553" max="15554" width="0" style="370" hidden="1" customWidth="1"/>
    <col min="15555" max="15555" width="12.21875" style="370" customWidth="1"/>
    <col min="15556" max="15556" width="47" style="370" customWidth="1"/>
    <col min="15557" max="15596" width="0" style="370" hidden="1" customWidth="1"/>
    <col min="15597" max="15598" width="13.21875" style="370" customWidth="1"/>
    <col min="15599" max="15600" width="0" style="370" hidden="1" customWidth="1"/>
    <col min="15601" max="15601" width="13.21875" style="370" customWidth="1"/>
    <col min="15602" max="15603" width="0" style="370" hidden="1" customWidth="1"/>
    <col min="15604" max="15604" width="13.21875" style="370" customWidth="1"/>
    <col min="15605" max="15606" width="0" style="370" hidden="1" customWidth="1"/>
    <col min="15607" max="15607" width="13.21875" style="370" customWidth="1"/>
    <col min="15608" max="15609" width="0" style="370" hidden="1" customWidth="1"/>
    <col min="15610" max="15610" width="13.21875" style="370" customWidth="1"/>
    <col min="15611" max="15612" width="0" style="370" hidden="1" customWidth="1"/>
    <col min="15613" max="15614" width="13.21875" style="370" customWidth="1"/>
    <col min="15615" max="15615" width="39.44140625" style="370" customWidth="1"/>
    <col min="15616" max="15620" width="13.21875" style="370" customWidth="1"/>
    <col min="15621" max="15621" width="56.77734375" style="370" customWidth="1"/>
    <col min="15622" max="15622" width="11.77734375" style="370" customWidth="1"/>
    <col min="15623" max="15808" width="8.88671875" style="370"/>
    <col min="15809" max="15810" width="0" style="370" hidden="1" customWidth="1"/>
    <col min="15811" max="15811" width="12.21875" style="370" customWidth="1"/>
    <col min="15812" max="15812" width="47" style="370" customWidth="1"/>
    <col min="15813" max="15852" width="0" style="370" hidden="1" customWidth="1"/>
    <col min="15853" max="15854" width="13.21875" style="370" customWidth="1"/>
    <col min="15855" max="15856" width="0" style="370" hidden="1" customWidth="1"/>
    <col min="15857" max="15857" width="13.21875" style="370" customWidth="1"/>
    <col min="15858" max="15859" width="0" style="370" hidden="1" customWidth="1"/>
    <col min="15860" max="15860" width="13.21875" style="370" customWidth="1"/>
    <col min="15861" max="15862" width="0" style="370" hidden="1" customWidth="1"/>
    <col min="15863" max="15863" width="13.21875" style="370" customWidth="1"/>
    <col min="15864" max="15865" width="0" style="370" hidden="1" customWidth="1"/>
    <col min="15866" max="15866" width="13.21875" style="370" customWidth="1"/>
    <col min="15867" max="15868" width="0" style="370" hidden="1" customWidth="1"/>
    <col min="15869" max="15870" width="13.21875" style="370" customWidth="1"/>
    <col min="15871" max="15871" width="39.44140625" style="370" customWidth="1"/>
    <col min="15872" max="15876" width="13.21875" style="370" customWidth="1"/>
    <col min="15877" max="15877" width="56.77734375" style="370" customWidth="1"/>
    <col min="15878" max="15878" width="11.77734375" style="370" customWidth="1"/>
    <col min="15879" max="16064" width="8.88671875" style="370"/>
    <col min="16065" max="16066" width="0" style="370" hidden="1" customWidth="1"/>
    <col min="16067" max="16067" width="12.21875" style="370" customWidth="1"/>
    <col min="16068" max="16068" width="47" style="370" customWidth="1"/>
    <col min="16069" max="16108" width="0" style="370" hidden="1" customWidth="1"/>
    <col min="16109" max="16110" width="13.21875" style="370" customWidth="1"/>
    <col min="16111" max="16112" width="0" style="370" hidden="1" customWidth="1"/>
    <col min="16113" max="16113" width="13.21875" style="370" customWidth="1"/>
    <col min="16114" max="16115" width="0" style="370" hidden="1" customWidth="1"/>
    <col min="16116" max="16116" width="13.21875" style="370" customWidth="1"/>
    <col min="16117" max="16118" width="0" style="370" hidden="1" customWidth="1"/>
    <col min="16119" max="16119" width="13.21875" style="370" customWidth="1"/>
    <col min="16120" max="16121" width="0" style="370" hidden="1" customWidth="1"/>
    <col min="16122" max="16122" width="13.21875" style="370" customWidth="1"/>
    <col min="16123" max="16124" width="0" style="370" hidden="1" customWidth="1"/>
    <col min="16125" max="16126" width="13.21875" style="370" customWidth="1"/>
    <col min="16127" max="16127" width="39.44140625" style="370" customWidth="1"/>
    <col min="16128" max="16132" width="13.21875" style="370" customWidth="1"/>
    <col min="16133" max="16133" width="56.77734375" style="370" customWidth="1"/>
    <col min="16134" max="16134" width="11.77734375" style="370" customWidth="1"/>
    <col min="16135" max="16333" width="8.88671875" style="370"/>
    <col min="16334" max="16366" width="8.109375" style="370" customWidth="1"/>
    <col min="16367" max="16374" width="8.88671875" style="370"/>
    <col min="16375" max="16384" width="8.109375" style="370" customWidth="1"/>
  </cols>
  <sheetData>
    <row r="1" spans="1:26" ht="24.6" outlineLevel="1" x14ac:dyDescent="0.4">
      <c r="C1" s="371" t="s">
        <v>414</v>
      </c>
      <c r="D1" s="372"/>
      <c r="E1" s="351"/>
      <c r="F1" s="560"/>
      <c r="G1" s="561"/>
      <c r="H1" s="562"/>
      <c r="I1" s="563"/>
      <c r="J1" s="561"/>
      <c r="K1" s="564"/>
      <c r="L1" s="565"/>
      <c r="M1" s="561"/>
      <c r="N1" s="564"/>
      <c r="O1" s="566"/>
      <c r="P1" s="561"/>
      <c r="Q1" s="564"/>
      <c r="R1" s="566"/>
      <c r="S1" s="561"/>
      <c r="T1" s="564"/>
      <c r="U1" s="565"/>
      <c r="V1" s="373"/>
      <c r="W1" s="190"/>
      <c r="X1" s="189">
        <v>38801336.789999999</v>
      </c>
      <c r="Y1" s="191" t="s">
        <v>1216</v>
      </c>
      <c r="Z1" s="375"/>
    </row>
    <row r="2" spans="1:26" ht="24.6" outlineLevel="1" x14ac:dyDescent="0.4">
      <c r="C2" s="376" t="s">
        <v>416</v>
      </c>
      <c r="D2" s="376"/>
      <c r="F2" s="567"/>
      <c r="G2" s="568"/>
      <c r="H2" s="194"/>
      <c r="I2" s="568"/>
      <c r="J2" s="568"/>
      <c r="K2" s="195"/>
      <c r="L2" s="568"/>
      <c r="M2" s="568"/>
      <c r="N2" s="195"/>
      <c r="O2" s="568"/>
      <c r="P2" s="568"/>
      <c r="Q2" s="195"/>
      <c r="R2" s="568"/>
      <c r="S2" s="568"/>
      <c r="T2" s="195"/>
      <c r="U2" s="568"/>
      <c r="V2" s="377"/>
      <c r="W2" s="195"/>
      <c r="X2" s="193">
        <v>1393734</v>
      </c>
      <c r="Y2" s="311" t="s">
        <v>417</v>
      </c>
      <c r="Z2" s="378"/>
    </row>
    <row r="3" spans="1:26" ht="20.399999999999999" outlineLevel="1" x14ac:dyDescent="0.35">
      <c r="C3" s="379" t="s">
        <v>418</v>
      </c>
      <c r="D3" s="379"/>
      <c r="E3" s="198">
        <v>34344586.609999999</v>
      </c>
      <c r="F3" s="198">
        <f>F107-F138-F42</f>
        <v>34165584</v>
      </c>
      <c r="G3" s="198">
        <f t="shared" ref="G3:I3" si="0">G107-G138-G42</f>
        <v>-179002.6099999994</v>
      </c>
      <c r="H3" s="198">
        <f t="shared" si="0"/>
        <v>0</v>
      </c>
      <c r="I3" s="198">
        <f t="shared" si="0"/>
        <v>34548139</v>
      </c>
      <c r="J3" s="196"/>
      <c r="L3" s="198">
        <f>L107-L138-L42</f>
        <v>34580543</v>
      </c>
      <c r="M3" s="196"/>
      <c r="O3" s="198">
        <f>O107-O138-O42</f>
        <v>35310255</v>
      </c>
      <c r="P3" s="196"/>
      <c r="R3" s="198">
        <f>R107-R138-R42</f>
        <v>35765825</v>
      </c>
      <c r="S3" s="196"/>
      <c r="U3" s="198">
        <f>U107-U138-U42</f>
        <v>35862625</v>
      </c>
      <c r="V3" s="196"/>
      <c r="X3" s="196">
        <f>SUM(X1:X2)</f>
        <v>40195070.789999999</v>
      </c>
      <c r="Y3" s="312">
        <f>9/12</f>
        <v>0.75</v>
      </c>
      <c r="Z3" s="313"/>
    </row>
    <row r="4" spans="1:26" ht="14.4" outlineLevel="1" thickBot="1" x14ac:dyDescent="0.3">
      <c r="C4" s="201"/>
      <c r="E4" s="197"/>
      <c r="F4" s="198"/>
      <c r="G4" s="200"/>
      <c r="I4" s="198"/>
      <c r="J4" s="200"/>
      <c r="L4" s="198"/>
      <c r="M4" s="200"/>
      <c r="O4" s="198"/>
      <c r="P4" s="200"/>
      <c r="R4" s="198"/>
      <c r="S4" s="200"/>
      <c r="U4" s="198"/>
      <c r="V4" s="200"/>
      <c r="X4" s="197">
        <f>X3-X107</f>
        <v>1453.5199999958277</v>
      </c>
      <c r="Y4" s="192" t="s">
        <v>1217</v>
      </c>
      <c r="Z4" s="314"/>
    </row>
    <row r="5" spans="1:26" ht="55.2" customHeight="1" thickBot="1" x14ac:dyDescent="0.3">
      <c r="C5" s="380" t="s">
        <v>419</v>
      </c>
      <c r="D5" s="381" t="s">
        <v>420</v>
      </c>
      <c r="E5" s="203" t="s">
        <v>1264</v>
      </c>
      <c r="F5" s="203" t="s">
        <v>421</v>
      </c>
      <c r="G5" s="202" t="s">
        <v>422</v>
      </c>
      <c r="H5" s="204" t="s">
        <v>423</v>
      </c>
      <c r="I5" s="202" t="s">
        <v>424</v>
      </c>
      <c r="J5" s="202" t="s">
        <v>425</v>
      </c>
      <c r="K5" s="205" t="s">
        <v>423</v>
      </c>
      <c r="L5" s="202" t="s">
        <v>426</v>
      </c>
      <c r="M5" s="202" t="s">
        <v>427</v>
      </c>
      <c r="N5" s="205" t="s">
        <v>423</v>
      </c>
      <c r="O5" s="202" t="s">
        <v>428</v>
      </c>
      <c r="P5" s="202" t="s">
        <v>429</v>
      </c>
      <c r="Q5" s="205" t="s">
        <v>423</v>
      </c>
      <c r="R5" s="202" t="s">
        <v>430</v>
      </c>
      <c r="S5" s="202" t="s">
        <v>431</v>
      </c>
      <c r="T5" s="205" t="s">
        <v>423</v>
      </c>
      <c r="U5" s="202" t="s">
        <v>432</v>
      </c>
      <c r="V5" s="202" t="s">
        <v>433</v>
      </c>
      <c r="W5" s="205" t="s">
        <v>423</v>
      </c>
      <c r="X5" s="202" t="s">
        <v>1218</v>
      </c>
      <c r="Y5" s="315" t="s">
        <v>1219</v>
      </c>
      <c r="Z5" s="205" t="s">
        <v>1220</v>
      </c>
    </row>
    <row r="6" spans="1:26" x14ac:dyDescent="0.25">
      <c r="C6" s="382" t="s">
        <v>434</v>
      </c>
      <c r="D6" s="383" t="s">
        <v>435</v>
      </c>
      <c r="E6" s="206">
        <v>38074624</v>
      </c>
      <c r="F6" s="206">
        <f t="shared" ref="F6" si="1">ROUND((F7+F10+F13+F16+F19),0)</f>
        <v>38074624</v>
      </c>
      <c r="G6" s="384">
        <f>F6-E6</f>
        <v>0</v>
      </c>
      <c r="H6" s="207"/>
      <c r="I6" s="206">
        <f>ROUND((I7+I10+I13+I16+I19),0)</f>
        <v>38519847</v>
      </c>
      <c r="J6" s="384">
        <f>I6-F6</f>
        <v>445223</v>
      </c>
      <c r="K6" s="208"/>
      <c r="L6" s="206">
        <f>ROUND((L7+L10+L13+L16+L19),0)</f>
        <v>38519847</v>
      </c>
      <c r="M6" s="384">
        <f>L6-I6</f>
        <v>0</v>
      </c>
      <c r="N6" s="208"/>
      <c r="O6" s="206">
        <f>ROUND((O7+O10+O13+O16+O19),0)</f>
        <v>38519847</v>
      </c>
      <c r="P6" s="384">
        <f>O6-L6</f>
        <v>0</v>
      </c>
      <c r="Q6" s="208"/>
      <c r="R6" s="206">
        <f>ROUND((R7+R10+R13+R16+R19),0)</f>
        <v>38539687</v>
      </c>
      <c r="S6" s="384">
        <f>R6-O6</f>
        <v>19840</v>
      </c>
      <c r="T6" s="208"/>
      <c r="U6" s="206">
        <f>ROUND((U7+U10+U13+U16+U19),0)</f>
        <v>38539687</v>
      </c>
      <c r="V6" s="384">
        <f>U6-R6</f>
        <v>0</v>
      </c>
      <c r="W6" s="208"/>
      <c r="X6" s="206">
        <f>ROUND((X7+X10+X13+X16+X19),0)</f>
        <v>29885578</v>
      </c>
      <c r="Y6" s="316">
        <f t="shared" ref="Y6:Y52" si="2">X6/U6</f>
        <v>0.77544942178694909</v>
      </c>
      <c r="Z6" s="317"/>
    </row>
    <row r="7" spans="1:26" x14ac:dyDescent="0.25">
      <c r="B7" s="370" t="s">
        <v>436</v>
      </c>
      <c r="C7" s="385" t="s">
        <v>437</v>
      </c>
      <c r="D7" s="386" t="s">
        <v>438</v>
      </c>
      <c r="E7" s="209">
        <v>34831773</v>
      </c>
      <c r="F7" s="209">
        <f t="shared" ref="F7" si="3">SUM(F8:F8)</f>
        <v>34831773</v>
      </c>
      <c r="G7" s="387">
        <f t="shared" ref="G7:G71" si="4">F7-E7</f>
        <v>0</v>
      </c>
      <c r="H7" s="210"/>
      <c r="I7" s="387">
        <f>SUM(I8:I8)</f>
        <v>35276996</v>
      </c>
      <c r="J7" s="387">
        <f>I7-F7</f>
        <v>445223</v>
      </c>
      <c r="K7" s="211"/>
      <c r="L7" s="387">
        <f>SUM(L8:L8)</f>
        <v>35276996</v>
      </c>
      <c r="M7" s="387">
        <f>L7-I7</f>
        <v>0</v>
      </c>
      <c r="N7" s="211"/>
      <c r="O7" s="387">
        <f>SUM(O8:O8)</f>
        <v>35276996</v>
      </c>
      <c r="P7" s="387">
        <f>O7-L7</f>
        <v>0</v>
      </c>
      <c r="Q7" s="211"/>
      <c r="R7" s="387">
        <f>SUM(R8:R8)</f>
        <v>35296836</v>
      </c>
      <c r="S7" s="387">
        <f>R7-O7</f>
        <v>19840</v>
      </c>
      <c r="T7" s="211"/>
      <c r="U7" s="387">
        <f>SUM(U8:U8)</f>
        <v>35296836</v>
      </c>
      <c r="V7" s="387">
        <f>U7-R7</f>
        <v>0</v>
      </c>
      <c r="W7" s="211"/>
      <c r="X7" s="387">
        <f>SUM(X8:X8)</f>
        <v>26886600.870000001</v>
      </c>
      <c r="Y7" s="318">
        <f t="shared" si="2"/>
        <v>0.76172835633199532</v>
      </c>
      <c r="Z7" s="388"/>
    </row>
    <row r="8" spans="1:26" ht="43.5" customHeight="1" x14ac:dyDescent="0.25">
      <c r="A8" s="370" t="s">
        <v>439</v>
      </c>
      <c r="B8" s="389" t="s">
        <v>440</v>
      </c>
      <c r="C8" s="390" t="s">
        <v>441</v>
      </c>
      <c r="D8" s="391" t="s">
        <v>442</v>
      </c>
      <c r="E8" s="212">
        <v>34831773</v>
      </c>
      <c r="F8" s="212">
        <f>ROUND(E8,0)</f>
        <v>34831773</v>
      </c>
      <c r="G8" s="392">
        <f t="shared" si="4"/>
        <v>0</v>
      </c>
      <c r="H8" s="213"/>
      <c r="I8" s="392">
        <f>ROUND(F8,0)+331540+113683</f>
        <v>35276996</v>
      </c>
      <c r="J8" s="392">
        <f>I8-F8</f>
        <v>445223</v>
      </c>
      <c r="K8" s="214" t="s">
        <v>443</v>
      </c>
      <c r="L8" s="392">
        <f>ROUND(I8,0)</f>
        <v>35276996</v>
      </c>
      <c r="M8" s="392">
        <f>L8-I8</f>
        <v>0</v>
      </c>
      <c r="N8" s="214"/>
      <c r="O8" s="392">
        <f>ROUND(L8,0)</f>
        <v>35276996</v>
      </c>
      <c r="P8" s="392">
        <f>O8-L8</f>
        <v>0</v>
      </c>
      <c r="Q8" s="214"/>
      <c r="R8" s="392">
        <f>ROUND(O8,0)+19840</f>
        <v>35296836</v>
      </c>
      <c r="S8" s="392">
        <f>R8-O8</f>
        <v>19840</v>
      </c>
      <c r="T8" s="215" t="s">
        <v>444</v>
      </c>
      <c r="U8" s="392">
        <f>ROUND(R8,0)</f>
        <v>35296836</v>
      </c>
      <c r="V8" s="392">
        <f>U8-R8</f>
        <v>0</v>
      </c>
      <c r="W8" s="215"/>
      <c r="X8" s="392">
        <v>26886600.870000001</v>
      </c>
      <c r="Y8" s="319">
        <f t="shared" si="2"/>
        <v>0.76172835633199532</v>
      </c>
      <c r="Z8" s="392" t="s">
        <v>1221</v>
      </c>
    </row>
    <row r="9" spans="1:26" ht="32.4" customHeight="1" x14ac:dyDescent="0.25">
      <c r="C9" s="382" t="s">
        <v>445</v>
      </c>
      <c r="D9" s="383" t="s">
        <v>446</v>
      </c>
      <c r="E9" s="206">
        <v>3172850.61</v>
      </c>
      <c r="F9" s="206">
        <f>F10+F13+F16</f>
        <v>3172851</v>
      </c>
      <c r="G9" s="384">
        <f t="shared" si="4"/>
        <v>0.39000000013038516</v>
      </c>
      <c r="H9" s="207"/>
      <c r="I9" s="206">
        <f>I10+I13+I16</f>
        <v>3172851</v>
      </c>
      <c r="J9" s="384">
        <f t="shared" ref="J9:J76" si="5">I9-F9</f>
        <v>0</v>
      </c>
      <c r="K9" s="208"/>
      <c r="L9" s="206">
        <f>L10+L13+L16</f>
        <v>3172851</v>
      </c>
      <c r="M9" s="384">
        <f t="shared" ref="M9:M76" si="6">L9-I9</f>
        <v>0</v>
      </c>
      <c r="N9" s="208"/>
      <c r="O9" s="206">
        <f>O10+O13+O16</f>
        <v>3172851</v>
      </c>
      <c r="P9" s="384">
        <f t="shared" ref="P9:P76" si="7">O9-L9</f>
        <v>0</v>
      </c>
      <c r="Q9" s="208"/>
      <c r="R9" s="206">
        <f>R10+R13+R16</f>
        <v>3172851</v>
      </c>
      <c r="S9" s="384">
        <f t="shared" ref="S9:S63" si="8">R9-O9</f>
        <v>0</v>
      </c>
      <c r="T9" s="208"/>
      <c r="U9" s="206">
        <f>U10+U13+U16</f>
        <v>3172851</v>
      </c>
      <c r="V9" s="384">
        <f t="shared" ref="V9:V63" si="9">U9-R9</f>
        <v>0</v>
      </c>
      <c r="W9" s="208"/>
      <c r="X9" s="206">
        <f>X10+X13+X16</f>
        <v>2940814.66</v>
      </c>
      <c r="Y9" s="316">
        <f t="shared" si="2"/>
        <v>0.92686818889383715</v>
      </c>
      <c r="Z9" s="320" t="s">
        <v>1222</v>
      </c>
    </row>
    <row r="10" spans="1:26" x14ac:dyDescent="0.25">
      <c r="B10" s="370" t="s">
        <v>447</v>
      </c>
      <c r="C10" s="393" t="s">
        <v>448</v>
      </c>
      <c r="D10" s="394" t="s">
        <v>449</v>
      </c>
      <c r="E10" s="216">
        <v>2040017.74</v>
      </c>
      <c r="F10" s="216">
        <f>SUM(F11:F12)</f>
        <v>2040018</v>
      </c>
      <c r="G10" s="395">
        <f t="shared" si="4"/>
        <v>0.26000000000931323</v>
      </c>
      <c r="H10" s="217"/>
      <c r="I10" s="395">
        <f>SUM(I11:I12)</f>
        <v>2040018</v>
      </c>
      <c r="J10" s="395">
        <f t="shared" si="5"/>
        <v>0</v>
      </c>
      <c r="K10" s="218"/>
      <c r="L10" s="395">
        <f>SUM(L11:L12)</f>
        <v>2040018</v>
      </c>
      <c r="M10" s="395">
        <f t="shared" si="6"/>
        <v>0</v>
      </c>
      <c r="N10" s="218"/>
      <c r="O10" s="395">
        <f>SUM(O11:O12)</f>
        <v>2040018</v>
      </c>
      <c r="P10" s="395">
        <f t="shared" si="7"/>
        <v>0</v>
      </c>
      <c r="Q10" s="218"/>
      <c r="R10" s="395">
        <f>SUM(R11:R12)</f>
        <v>2040018</v>
      </c>
      <c r="S10" s="395">
        <f t="shared" si="8"/>
        <v>0</v>
      </c>
      <c r="T10" s="218"/>
      <c r="U10" s="395">
        <f>SUM(U11:U12)</f>
        <v>2040018</v>
      </c>
      <c r="V10" s="395">
        <f t="shared" si="9"/>
        <v>0</v>
      </c>
      <c r="W10" s="218"/>
      <c r="X10" s="395">
        <f>SUM(X11:X12)</f>
        <v>1872197.98</v>
      </c>
      <c r="Y10" s="321">
        <f t="shared" si="2"/>
        <v>0.9177360101724592</v>
      </c>
      <c r="Z10" s="396"/>
    </row>
    <row r="11" spans="1:26" x14ac:dyDescent="0.25">
      <c r="A11" s="370" t="s">
        <v>439</v>
      </c>
      <c r="B11" s="389" t="s">
        <v>450</v>
      </c>
      <c r="C11" s="390" t="s">
        <v>451</v>
      </c>
      <c r="D11" s="391" t="s">
        <v>442</v>
      </c>
      <c r="E11" s="212">
        <v>1900000</v>
      </c>
      <c r="F11" s="212">
        <f>ROUND(E11,0)</f>
        <v>1900000</v>
      </c>
      <c r="G11" s="392">
        <f t="shared" si="4"/>
        <v>0</v>
      </c>
      <c r="H11" s="219"/>
      <c r="I11" s="392">
        <f>ROUND(F11,0)</f>
        <v>1900000</v>
      </c>
      <c r="J11" s="392">
        <f t="shared" si="5"/>
        <v>0</v>
      </c>
      <c r="K11" s="220"/>
      <c r="L11" s="392">
        <f>ROUND(I11,0)</f>
        <v>1900000</v>
      </c>
      <c r="M11" s="392">
        <f t="shared" si="6"/>
        <v>0</v>
      </c>
      <c r="N11" s="220"/>
      <c r="O11" s="392">
        <f>ROUND(L11,0)</f>
        <v>1900000</v>
      </c>
      <c r="P11" s="392">
        <f t="shared" si="7"/>
        <v>0</v>
      </c>
      <c r="Q11" s="220"/>
      <c r="R11" s="392">
        <f>ROUND(O11,0)</f>
        <v>1900000</v>
      </c>
      <c r="S11" s="392">
        <f t="shared" si="8"/>
        <v>0</v>
      </c>
      <c r="T11" s="220"/>
      <c r="U11" s="392">
        <f>ROUND(R11,0)</f>
        <v>1900000</v>
      </c>
      <c r="V11" s="392">
        <f t="shared" si="9"/>
        <v>0</v>
      </c>
      <c r="W11" s="220"/>
      <c r="X11" s="392">
        <v>1792573.51</v>
      </c>
      <c r="Y11" s="319">
        <f t="shared" si="2"/>
        <v>0.94345974210526318</v>
      </c>
      <c r="Z11" s="397"/>
    </row>
    <row r="12" spans="1:26" x14ac:dyDescent="0.25">
      <c r="A12" s="370" t="s">
        <v>439</v>
      </c>
      <c r="B12" s="389" t="s">
        <v>452</v>
      </c>
      <c r="C12" s="390" t="s">
        <v>453</v>
      </c>
      <c r="D12" s="391" t="s">
        <v>454</v>
      </c>
      <c r="E12" s="212">
        <v>140017.74</v>
      </c>
      <c r="F12" s="212">
        <f>ROUND(E12,0)</f>
        <v>140018</v>
      </c>
      <c r="G12" s="392">
        <f t="shared" si="4"/>
        <v>0.26000000000931323</v>
      </c>
      <c r="H12" s="213"/>
      <c r="I12" s="392">
        <f>ROUND(F12,0)</f>
        <v>140018</v>
      </c>
      <c r="J12" s="392">
        <f t="shared" si="5"/>
        <v>0</v>
      </c>
      <c r="K12" s="214"/>
      <c r="L12" s="392">
        <f>ROUND(I12,0)</f>
        <v>140018</v>
      </c>
      <c r="M12" s="392">
        <f t="shared" si="6"/>
        <v>0</v>
      </c>
      <c r="N12" s="214"/>
      <c r="O12" s="392">
        <f>ROUND(L12,0)</f>
        <v>140018</v>
      </c>
      <c r="P12" s="392">
        <f t="shared" si="7"/>
        <v>0</v>
      </c>
      <c r="Q12" s="214"/>
      <c r="R12" s="392">
        <f>ROUND(O12,0)</f>
        <v>140018</v>
      </c>
      <c r="S12" s="392">
        <f t="shared" si="8"/>
        <v>0</v>
      </c>
      <c r="T12" s="214"/>
      <c r="U12" s="392">
        <f>ROUND(R12,0)</f>
        <v>140018</v>
      </c>
      <c r="V12" s="392">
        <f t="shared" si="9"/>
        <v>0</v>
      </c>
      <c r="W12" s="214"/>
      <c r="X12" s="392">
        <v>79624.47</v>
      </c>
      <c r="Y12" s="319">
        <f t="shared" si="2"/>
        <v>0.56867309917296349</v>
      </c>
      <c r="Z12" s="397"/>
    </row>
    <row r="13" spans="1:26" x14ac:dyDescent="0.25">
      <c r="B13" s="370" t="s">
        <v>455</v>
      </c>
      <c r="C13" s="393" t="s">
        <v>456</v>
      </c>
      <c r="D13" s="394" t="s">
        <v>457</v>
      </c>
      <c r="E13" s="216">
        <v>410966.93</v>
      </c>
      <c r="F13" s="216">
        <f>SUM(F14:F15)</f>
        <v>410967</v>
      </c>
      <c r="G13" s="395">
        <f t="shared" si="4"/>
        <v>7.0000000006984919E-2</v>
      </c>
      <c r="H13" s="217"/>
      <c r="I13" s="395">
        <f>SUM(I14:I15)</f>
        <v>410967</v>
      </c>
      <c r="J13" s="395">
        <f t="shared" si="5"/>
        <v>0</v>
      </c>
      <c r="K13" s="218"/>
      <c r="L13" s="395">
        <f>SUM(L14:L15)</f>
        <v>410967</v>
      </c>
      <c r="M13" s="395">
        <f t="shared" si="6"/>
        <v>0</v>
      </c>
      <c r="N13" s="218"/>
      <c r="O13" s="395">
        <f>SUM(O14:O15)</f>
        <v>410967</v>
      </c>
      <c r="P13" s="395">
        <f t="shared" si="7"/>
        <v>0</v>
      </c>
      <c r="Q13" s="218"/>
      <c r="R13" s="395">
        <f>SUM(R14:R15)</f>
        <v>410967</v>
      </c>
      <c r="S13" s="395">
        <f t="shared" si="8"/>
        <v>0</v>
      </c>
      <c r="T13" s="218"/>
      <c r="U13" s="395">
        <f>SUM(U14:U15)</f>
        <v>410967</v>
      </c>
      <c r="V13" s="395">
        <f t="shared" si="9"/>
        <v>0</v>
      </c>
      <c r="W13" s="218"/>
      <c r="X13" s="395">
        <f>SUM(X14:X15)</f>
        <v>363006.41000000003</v>
      </c>
      <c r="Y13" s="321">
        <f t="shared" si="2"/>
        <v>0.88329819669219189</v>
      </c>
      <c r="Z13" s="396"/>
    </row>
    <row r="14" spans="1:26" x14ac:dyDescent="0.25">
      <c r="A14" s="370" t="s">
        <v>439</v>
      </c>
      <c r="B14" s="389" t="s">
        <v>458</v>
      </c>
      <c r="C14" s="390" t="s">
        <v>459</v>
      </c>
      <c r="D14" s="391" t="s">
        <v>460</v>
      </c>
      <c r="E14" s="212">
        <v>350989</v>
      </c>
      <c r="F14" s="212">
        <f>ROUND(E14,0)</f>
        <v>350989</v>
      </c>
      <c r="G14" s="392">
        <f t="shared" si="4"/>
        <v>0</v>
      </c>
      <c r="H14" s="221"/>
      <c r="I14" s="392">
        <f>ROUND(F14,0)</f>
        <v>350989</v>
      </c>
      <c r="J14" s="392">
        <f t="shared" si="5"/>
        <v>0</v>
      </c>
      <c r="K14" s="222"/>
      <c r="L14" s="392">
        <f>ROUND(I14,0)</f>
        <v>350989</v>
      </c>
      <c r="M14" s="392">
        <f t="shared" si="6"/>
        <v>0</v>
      </c>
      <c r="N14" s="222"/>
      <c r="O14" s="392">
        <f>ROUND(L14,0)</f>
        <v>350989</v>
      </c>
      <c r="P14" s="392">
        <f t="shared" si="7"/>
        <v>0</v>
      </c>
      <c r="Q14" s="222"/>
      <c r="R14" s="392">
        <f>ROUND(O14,0)</f>
        <v>350989</v>
      </c>
      <c r="S14" s="392">
        <f t="shared" si="8"/>
        <v>0</v>
      </c>
      <c r="T14" s="222"/>
      <c r="U14" s="392">
        <f>ROUND(R14,0)</f>
        <v>350989</v>
      </c>
      <c r="V14" s="392">
        <f t="shared" si="9"/>
        <v>0</v>
      </c>
      <c r="W14" s="222"/>
      <c r="X14" s="392">
        <v>330557.52</v>
      </c>
      <c r="Y14" s="319">
        <f t="shared" si="2"/>
        <v>0.94178883098900545</v>
      </c>
      <c r="Z14" s="397"/>
    </row>
    <row r="15" spans="1:26" x14ac:dyDescent="0.25">
      <c r="A15" s="370" t="s">
        <v>439</v>
      </c>
      <c r="B15" s="389" t="s">
        <v>461</v>
      </c>
      <c r="C15" s="390" t="s">
        <v>462</v>
      </c>
      <c r="D15" s="391" t="s">
        <v>454</v>
      </c>
      <c r="E15" s="212">
        <v>59977.93</v>
      </c>
      <c r="F15" s="212">
        <f>ROUND(E15,0)</f>
        <v>59978</v>
      </c>
      <c r="G15" s="392">
        <f t="shared" si="4"/>
        <v>6.9999999999708962E-2</v>
      </c>
      <c r="H15" s="213"/>
      <c r="I15" s="392">
        <f>ROUND(F15,0)</f>
        <v>59978</v>
      </c>
      <c r="J15" s="392">
        <f t="shared" si="5"/>
        <v>0</v>
      </c>
      <c r="K15" s="214"/>
      <c r="L15" s="392">
        <f>ROUND(I15,0)</f>
        <v>59978</v>
      </c>
      <c r="M15" s="392">
        <f t="shared" si="6"/>
        <v>0</v>
      </c>
      <c r="N15" s="214"/>
      <c r="O15" s="392">
        <f>ROUND(L15,0)</f>
        <v>59978</v>
      </c>
      <c r="P15" s="392">
        <f t="shared" si="7"/>
        <v>0</v>
      </c>
      <c r="Q15" s="214"/>
      <c r="R15" s="392">
        <f>ROUND(O15,0)</f>
        <v>59978</v>
      </c>
      <c r="S15" s="392">
        <f t="shared" si="8"/>
        <v>0</v>
      </c>
      <c r="T15" s="214"/>
      <c r="U15" s="392">
        <f>ROUND(R15,0)</f>
        <v>59978</v>
      </c>
      <c r="V15" s="392">
        <f t="shared" si="9"/>
        <v>0</v>
      </c>
      <c r="W15" s="214"/>
      <c r="X15" s="392">
        <v>32448.89</v>
      </c>
      <c r="Y15" s="319">
        <f t="shared" si="2"/>
        <v>0.54101320484177529</v>
      </c>
      <c r="Z15" s="397"/>
    </row>
    <row r="16" spans="1:26" ht="27.6" x14ac:dyDescent="0.25">
      <c r="B16" s="370" t="s">
        <v>463</v>
      </c>
      <c r="C16" s="393" t="s">
        <v>464</v>
      </c>
      <c r="D16" s="394" t="s">
        <v>465</v>
      </c>
      <c r="E16" s="216">
        <v>721865.94</v>
      </c>
      <c r="F16" s="216">
        <f>SUM(F17:F18)</f>
        <v>721866</v>
      </c>
      <c r="G16" s="395">
        <f t="shared" si="4"/>
        <v>6.0000000055879354E-2</v>
      </c>
      <c r="H16" s="217"/>
      <c r="I16" s="395">
        <f>SUM(I17:I18)</f>
        <v>721866</v>
      </c>
      <c r="J16" s="395">
        <f t="shared" si="5"/>
        <v>0</v>
      </c>
      <c r="K16" s="218"/>
      <c r="L16" s="395">
        <f>SUM(L17:L18)</f>
        <v>721866</v>
      </c>
      <c r="M16" s="395">
        <f t="shared" si="6"/>
        <v>0</v>
      </c>
      <c r="N16" s="218"/>
      <c r="O16" s="395">
        <f>SUM(O17:O18)</f>
        <v>721866</v>
      </c>
      <c r="P16" s="395">
        <f t="shared" si="7"/>
        <v>0</v>
      </c>
      <c r="Q16" s="218"/>
      <c r="R16" s="395">
        <f>SUM(R17:R18)</f>
        <v>721866</v>
      </c>
      <c r="S16" s="395">
        <f t="shared" si="8"/>
        <v>0</v>
      </c>
      <c r="T16" s="218"/>
      <c r="U16" s="395">
        <f>SUM(U17:U18)</f>
        <v>721866</v>
      </c>
      <c r="V16" s="395">
        <f t="shared" si="9"/>
        <v>0</v>
      </c>
      <c r="W16" s="218"/>
      <c r="X16" s="395">
        <f>SUM(X17:X18)</f>
        <v>705610.27</v>
      </c>
      <c r="Y16" s="321">
        <f t="shared" si="2"/>
        <v>0.9774809590699659</v>
      </c>
      <c r="Z16" s="396"/>
    </row>
    <row r="17" spans="1:26" ht="18.75" customHeight="1" x14ac:dyDescent="0.25">
      <c r="A17" s="370" t="s">
        <v>439</v>
      </c>
      <c r="B17" s="389" t="s">
        <v>466</v>
      </c>
      <c r="C17" s="390" t="s">
        <v>467</v>
      </c>
      <c r="D17" s="391" t="s">
        <v>460</v>
      </c>
      <c r="E17" s="212">
        <v>650000</v>
      </c>
      <c r="F17" s="212">
        <f>ROUND(E17,0)</f>
        <v>650000</v>
      </c>
      <c r="G17" s="392">
        <f t="shared" si="4"/>
        <v>0</v>
      </c>
      <c r="H17" s="221"/>
      <c r="I17" s="392">
        <f>ROUND(F17,0)</f>
        <v>650000</v>
      </c>
      <c r="J17" s="392">
        <f t="shared" si="5"/>
        <v>0</v>
      </c>
      <c r="K17" s="222"/>
      <c r="L17" s="392">
        <f>ROUND(I17,0)</f>
        <v>650000</v>
      </c>
      <c r="M17" s="392">
        <f t="shared" si="6"/>
        <v>0</v>
      </c>
      <c r="N17" s="222"/>
      <c r="O17" s="392">
        <f>ROUND(L17,0)</f>
        <v>650000</v>
      </c>
      <c r="P17" s="392">
        <f t="shared" si="7"/>
        <v>0</v>
      </c>
      <c r="Q17" s="222"/>
      <c r="R17" s="392">
        <f>ROUND(O17,0)</f>
        <v>650000</v>
      </c>
      <c r="S17" s="392">
        <f t="shared" si="8"/>
        <v>0</v>
      </c>
      <c r="T17" s="222"/>
      <c r="U17" s="392">
        <f>ROUND(R17,0)</f>
        <v>650000</v>
      </c>
      <c r="V17" s="392">
        <f t="shared" si="9"/>
        <v>0</v>
      </c>
      <c r="W17" s="222"/>
      <c r="X17" s="392">
        <v>668706.42000000004</v>
      </c>
      <c r="Y17" s="319">
        <f t="shared" si="2"/>
        <v>1.0287791076923078</v>
      </c>
      <c r="Z17" s="397"/>
    </row>
    <row r="18" spans="1:26" x14ac:dyDescent="0.25">
      <c r="A18" s="370" t="s">
        <v>439</v>
      </c>
      <c r="B18" s="389" t="s">
        <v>468</v>
      </c>
      <c r="C18" s="390" t="s">
        <v>469</v>
      </c>
      <c r="D18" s="391" t="s">
        <v>454</v>
      </c>
      <c r="E18" s="212">
        <v>71865.94</v>
      </c>
      <c r="F18" s="212">
        <f>ROUND(E18,0)</f>
        <v>71866</v>
      </c>
      <c r="G18" s="392">
        <f t="shared" si="4"/>
        <v>5.9999999997671694E-2</v>
      </c>
      <c r="H18" s="219"/>
      <c r="I18" s="392">
        <f>ROUND(F18,0)</f>
        <v>71866</v>
      </c>
      <c r="J18" s="392">
        <f t="shared" si="5"/>
        <v>0</v>
      </c>
      <c r="K18" s="220"/>
      <c r="L18" s="392">
        <f>ROUND(I18,0)</f>
        <v>71866</v>
      </c>
      <c r="M18" s="392">
        <f t="shared" si="6"/>
        <v>0</v>
      </c>
      <c r="N18" s="220"/>
      <c r="O18" s="392">
        <f>ROUND(L18,0)</f>
        <v>71866</v>
      </c>
      <c r="P18" s="392">
        <f t="shared" si="7"/>
        <v>0</v>
      </c>
      <c r="Q18" s="220"/>
      <c r="R18" s="392">
        <f>ROUND(O18,0)</f>
        <v>71866</v>
      </c>
      <c r="S18" s="392">
        <f t="shared" si="8"/>
        <v>0</v>
      </c>
      <c r="T18" s="220"/>
      <c r="U18" s="392">
        <f>ROUND(R18,0)</f>
        <v>71866</v>
      </c>
      <c r="V18" s="392">
        <f t="shared" si="9"/>
        <v>0</v>
      </c>
      <c r="W18" s="220"/>
      <c r="X18" s="392">
        <v>36903.85</v>
      </c>
      <c r="Y18" s="319">
        <f t="shared" si="2"/>
        <v>0.51350916984387607</v>
      </c>
      <c r="Z18" s="397"/>
    </row>
    <row r="19" spans="1:26" ht="28.2" x14ac:dyDescent="0.3">
      <c r="B19" s="398"/>
      <c r="C19" s="393" t="s">
        <v>470</v>
      </c>
      <c r="D19" s="394" t="s">
        <v>471</v>
      </c>
      <c r="E19" s="216">
        <v>70000</v>
      </c>
      <c r="F19" s="216">
        <f t="shared" ref="F19" si="10">SUM(F20:F21)</f>
        <v>70000</v>
      </c>
      <c r="G19" s="395">
        <f t="shared" si="4"/>
        <v>0</v>
      </c>
      <c r="H19" s="217"/>
      <c r="I19" s="395">
        <f>SUM(I20:I21)</f>
        <v>70000</v>
      </c>
      <c r="J19" s="395">
        <f t="shared" si="5"/>
        <v>0</v>
      </c>
      <c r="K19" s="218"/>
      <c r="L19" s="395">
        <f>SUM(L20:L21)</f>
        <v>70000</v>
      </c>
      <c r="M19" s="395">
        <f t="shared" si="6"/>
        <v>0</v>
      </c>
      <c r="N19" s="218"/>
      <c r="O19" s="395">
        <f>SUM(O20:O21)</f>
        <v>70000</v>
      </c>
      <c r="P19" s="395">
        <f t="shared" si="7"/>
        <v>0</v>
      </c>
      <c r="Q19" s="218"/>
      <c r="R19" s="395">
        <f>SUM(R20:R21)</f>
        <v>70000</v>
      </c>
      <c r="S19" s="395">
        <f t="shared" si="8"/>
        <v>0</v>
      </c>
      <c r="T19" s="218"/>
      <c r="U19" s="395">
        <f>SUM(U20:U21)</f>
        <v>70000</v>
      </c>
      <c r="V19" s="395">
        <f t="shared" si="9"/>
        <v>0</v>
      </c>
      <c r="W19" s="218"/>
      <c r="X19" s="395">
        <f>SUM(X20:X21)</f>
        <v>58162.9</v>
      </c>
      <c r="Y19" s="321">
        <f t="shared" si="2"/>
        <v>0.83089857142857149</v>
      </c>
      <c r="Z19" s="396"/>
    </row>
    <row r="20" spans="1:26" ht="14.4" customHeight="1" outlineLevel="1" x14ac:dyDescent="0.25">
      <c r="B20" s="389" t="s">
        <v>472</v>
      </c>
      <c r="C20" s="390" t="s">
        <v>473</v>
      </c>
      <c r="D20" s="391" t="s">
        <v>474</v>
      </c>
      <c r="E20" s="212">
        <v>0</v>
      </c>
      <c r="F20" s="212">
        <f>ROUND(E20,0)</f>
        <v>0</v>
      </c>
      <c r="G20" s="392">
        <f t="shared" si="4"/>
        <v>0</v>
      </c>
      <c r="H20" s="221"/>
      <c r="I20" s="392">
        <f>ROUND(F20,0)</f>
        <v>0</v>
      </c>
      <c r="J20" s="392">
        <f t="shared" si="5"/>
        <v>0</v>
      </c>
      <c r="K20" s="222"/>
      <c r="L20" s="392">
        <f>ROUND(I20,0)</f>
        <v>0</v>
      </c>
      <c r="M20" s="392">
        <f t="shared" si="6"/>
        <v>0</v>
      </c>
      <c r="N20" s="222"/>
      <c r="O20" s="392">
        <f>ROUND(L20,0)</f>
        <v>0</v>
      </c>
      <c r="P20" s="392">
        <f t="shared" si="7"/>
        <v>0</v>
      </c>
      <c r="Q20" s="222"/>
      <c r="R20" s="392">
        <f>ROUND(O20,0)</f>
        <v>0</v>
      </c>
      <c r="S20" s="392">
        <f t="shared" si="8"/>
        <v>0</v>
      </c>
      <c r="T20" s="222"/>
      <c r="U20" s="392">
        <f>ROUND(R20,0)</f>
        <v>0</v>
      </c>
      <c r="V20" s="392">
        <f t="shared" si="9"/>
        <v>0</v>
      </c>
      <c r="W20" s="222"/>
      <c r="X20" s="392">
        <v>4713.5</v>
      </c>
      <c r="Y20" s="319" t="e">
        <f t="shared" si="2"/>
        <v>#DIV/0!</v>
      </c>
      <c r="Z20" s="397"/>
    </row>
    <row r="21" spans="1:26" ht="15.6" customHeight="1" x14ac:dyDescent="0.25">
      <c r="B21" s="389" t="s">
        <v>475</v>
      </c>
      <c r="C21" s="390" t="s">
        <v>473</v>
      </c>
      <c r="D21" s="391" t="s">
        <v>476</v>
      </c>
      <c r="E21" s="212">
        <v>70000</v>
      </c>
      <c r="F21" s="212">
        <f>ROUND(E21,0)</f>
        <v>70000</v>
      </c>
      <c r="G21" s="392">
        <f t="shared" si="4"/>
        <v>0</v>
      </c>
      <c r="H21" s="223"/>
      <c r="I21" s="392">
        <f>ROUND(F21,0)</f>
        <v>70000</v>
      </c>
      <c r="J21" s="392">
        <f t="shared" si="5"/>
        <v>0</v>
      </c>
      <c r="K21" s="224"/>
      <c r="L21" s="392">
        <f>ROUND(I21,0)</f>
        <v>70000</v>
      </c>
      <c r="M21" s="392">
        <f t="shared" si="6"/>
        <v>0</v>
      </c>
      <c r="N21" s="224"/>
      <c r="O21" s="392">
        <f>ROUND(L21,0)</f>
        <v>70000</v>
      </c>
      <c r="P21" s="392">
        <f t="shared" si="7"/>
        <v>0</v>
      </c>
      <c r="Q21" s="224"/>
      <c r="R21" s="392">
        <f>ROUND(O21,0)</f>
        <v>70000</v>
      </c>
      <c r="S21" s="392">
        <f t="shared" si="8"/>
        <v>0</v>
      </c>
      <c r="T21" s="224"/>
      <c r="U21" s="392">
        <f>ROUND(R21,0)</f>
        <v>70000</v>
      </c>
      <c r="V21" s="392">
        <f t="shared" si="9"/>
        <v>0</v>
      </c>
      <c r="W21" s="224"/>
      <c r="X21" s="392">
        <v>53449.4</v>
      </c>
      <c r="Y21" s="319">
        <f t="shared" si="2"/>
        <v>0.76356285714285721</v>
      </c>
      <c r="Z21" s="397"/>
    </row>
    <row r="22" spans="1:26" ht="15.75" customHeight="1" x14ac:dyDescent="0.25">
      <c r="B22" s="370" t="s">
        <v>477</v>
      </c>
      <c r="C22" s="393" t="s">
        <v>478</v>
      </c>
      <c r="D22" s="394" t="s">
        <v>479</v>
      </c>
      <c r="E22" s="216">
        <v>160000</v>
      </c>
      <c r="F22" s="216">
        <f t="shared" ref="F22" si="11">F23+F27</f>
        <v>160000</v>
      </c>
      <c r="G22" s="395">
        <f t="shared" si="4"/>
        <v>0</v>
      </c>
      <c r="H22" s="217"/>
      <c r="I22" s="395">
        <f>I23+I27</f>
        <v>160000</v>
      </c>
      <c r="J22" s="395">
        <f t="shared" si="5"/>
        <v>0</v>
      </c>
      <c r="K22" s="218"/>
      <c r="L22" s="395">
        <f>L23+L27</f>
        <v>160000</v>
      </c>
      <c r="M22" s="395">
        <f t="shared" si="6"/>
        <v>0</v>
      </c>
      <c r="N22" s="218"/>
      <c r="O22" s="395">
        <f>O23+O27</f>
        <v>167000</v>
      </c>
      <c r="P22" s="395">
        <f t="shared" si="7"/>
        <v>7000</v>
      </c>
      <c r="Q22" s="218"/>
      <c r="R22" s="395">
        <f>R23+R27</f>
        <v>167000</v>
      </c>
      <c r="S22" s="395">
        <f t="shared" si="8"/>
        <v>0</v>
      </c>
      <c r="T22" s="218"/>
      <c r="U22" s="395">
        <f>U23+U27</f>
        <v>167000</v>
      </c>
      <c r="V22" s="395">
        <f t="shared" si="9"/>
        <v>0</v>
      </c>
      <c r="W22" s="218"/>
      <c r="X22" s="395">
        <f>X23+X27</f>
        <v>138876.38</v>
      </c>
      <c r="Y22" s="321">
        <f t="shared" si="2"/>
        <v>0.83159508982035935</v>
      </c>
      <c r="Z22" s="399"/>
    </row>
    <row r="23" spans="1:26" x14ac:dyDescent="0.25">
      <c r="A23" s="370" t="s">
        <v>439</v>
      </c>
      <c r="B23" s="370" t="s">
        <v>480</v>
      </c>
      <c r="C23" s="390" t="s">
        <v>481</v>
      </c>
      <c r="D23" s="391" t="s">
        <v>482</v>
      </c>
      <c r="E23" s="212">
        <v>6700</v>
      </c>
      <c r="F23" s="212">
        <f>F24+F25+F26</f>
        <v>6700</v>
      </c>
      <c r="G23" s="392">
        <f>F23-E23</f>
        <v>0</v>
      </c>
      <c r="H23" s="219"/>
      <c r="I23" s="392">
        <f>I24+I25+I26</f>
        <v>6700</v>
      </c>
      <c r="J23" s="392">
        <f t="shared" si="5"/>
        <v>0</v>
      </c>
      <c r="K23" s="220"/>
      <c r="L23" s="392">
        <f>L24+L25+L26</f>
        <v>6700</v>
      </c>
      <c r="M23" s="392">
        <f t="shared" si="6"/>
        <v>0</v>
      </c>
      <c r="N23" s="220"/>
      <c r="O23" s="392">
        <f>O24+O25+O26</f>
        <v>6700</v>
      </c>
      <c r="P23" s="392">
        <f t="shared" si="7"/>
        <v>0</v>
      </c>
      <c r="Q23" s="220"/>
      <c r="R23" s="392">
        <f>R24+R25+R26</f>
        <v>6700</v>
      </c>
      <c r="S23" s="392">
        <f t="shared" si="8"/>
        <v>0</v>
      </c>
      <c r="T23" s="220"/>
      <c r="U23" s="392">
        <f>U24+U25+U26</f>
        <v>6700</v>
      </c>
      <c r="V23" s="392">
        <f t="shared" si="9"/>
        <v>0</v>
      </c>
      <c r="W23" s="220"/>
      <c r="X23" s="392">
        <f>X24+X25+X26</f>
        <v>4680.9699999999993</v>
      </c>
      <c r="Y23" s="322">
        <f t="shared" si="2"/>
        <v>0.69865223880597005</v>
      </c>
      <c r="Z23" s="397"/>
    </row>
    <row r="24" spans="1:26" ht="26.4" x14ac:dyDescent="0.25">
      <c r="B24" s="389" t="s">
        <v>483</v>
      </c>
      <c r="C24" s="400" t="s">
        <v>484</v>
      </c>
      <c r="D24" s="401" t="s">
        <v>485</v>
      </c>
      <c r="E24" s="212">
        <v>1700</v>
      </c>
      <c r="F24" s="212">
        <f>ROUND(E24,0)</f>
        <v>1700</v>
      </c>
      <c r="G24" s="392">
        <f t="shared" si="4"/>
        <v>0</v>
      </c>
      <c r="H24" s="219"/>
      <c r="I24" s="392">
        <f>ROUND(F24,0)</f>
        <v>1700</v>
      </c>
      <c r="J24" s="392">
        <f t="shared" si="5"/>
        <v>0</v>
      </c>
      <c r="K24" s="220"/>
      <c r="L24" s="392">
        <f>ROUND(I24,0)</f>
        <v>1700</v>
      </c>
      <c r="M24" s="392">
        <f t="shared" si="6"/>
        <v>0</v>
      </c>
      <c r="N24" s="220"/>
      <c r="O24" s="392">
        <f>ROUND(L24,0)</f>
        <v>1700</v>
      </c>
      <c r="P24" s="392">
        <f t="shared" si="7"/>
        <v>0</v>
      </c>
      <c r="Q24" s="220"/>
      <c r="R24" s="392">
        <f>ROUND(O24,0)</f>
        <v>1700</v>
      </c>
      <c r="S24" s="392">
        <f t="shared" si="8"/>
        <v>0</v>
      </c>
      <c r="T24" s="220"/>
      <c r="U24" s="392">
        <f>ROUND(R24,0)</f>
        <v>1700</v>
      </c>
      <c r="V24" s="392">
        <f t="shared" si="9"/>
        <v>0</v>
      </c>
      <c r="W24" s="220"/>
      <c r="X24" s="392">
        <v>997.29</v>
      </c>
      <c r="Y24" s="319">
        <f t="shared" si="2"/>
        <v>0.58664117647058822</v>
      </c>
      <c r="Z24" s="397"/>
    </row>
    <row r="25" spans="1:26" ht="26.4" x14ac:dyDescent="0.25">
      <c r="B25" s="389" t="s">
        <v>486</v>
      </c>
      <c r="C25" s="400" t="s">
        <v>487</v>
      </c>
      <c r="D25" s="401" t="s">
        <v>488</v>
      </c>
      <c r="E25" s="212">
        <v>4500</v>
      </c>
      <c r="F25" s="212">
        <f>ROUND(E25,0)</f>
        <v>4500</v>
      </c>
      <c r="G25" s="392">
        <f t="shared" si="4"/>
        <v>0</v>
      </c>
      <c r="H25" s="219"/>
      <c r="I25" s="392">
        <f>ROUND(F25,0)</f>
        <v>4500</v>
      </c>
      <c r="J25" s="392">
        <f t="shared" si="5"/>
        <v>0</v>
      </c>
      <c r="K25" s="220"/>
      <c r="L25" s="392">
        <f>ROUND(I25,0)</f>
        <v>4500</v>
      </c>
      <c r="M25" s="392">
        <f t="shared" si="6"/>
        <v>0</v>
      </c>
      <c r="N25" s="220"/>
      <c r="O25" s="392">
        <f>ROUND(L25,0)</f>
        <v>4500</v>
      </c>
      <c r="P25" s="392">
        <f t="shared" si="7"/>
        <v>0</v>
      </c>
      <c r="Q25" s="220"/>
      <c r="R25" s="392">
        <f>ROUND(O25,0)</f>
        <v>4500</v>
      </c>
      <c r="S25" s="392">
        <f t="shared" si="8"/>
        <v>0</v>
      </c>
      <c r="T25" s="220"/>
      <c r="U25" s="392">
        <f>ROUND(R25,0)</f>
        <v>4500</v>
      </c>
      <c r="V25" s="392">
        <f t="shared" si="9"/>
        <v>0</v>
      </c>
      <c r="W25" s="220"/>
      <c r="X25" s="392">
        <v>3235.18</v>
      </c>
      <c r="Y25" s="319">
        <f t="shared" si="2"/>
        <v>0.71892888888888884</v>
      </c>
      <c r="Z25" s="397"/>
    </row>
    <row r="26" spans="1:26" ht="26.4" x14ac:dyDescent="0.25">
      <c r="B26" s="389" t="s">
        <v>489</v>
      </c>
      <c r="C26" s="400" t="s">
        <v>490</v>
      </c>
      <c r="D26" s="401" t="s">
        <v>491</v>
      </c>
      <c r="E26" s="212">
        <v>500</v>
      </c>
      <c r="F26" s="212">
        <f>ROUND(E26,0)</f>
        <v>500</v>
      </c>
      <c r="G26" s="392">
        <f t="shared" si="4"/>
        <v>0</v>
      </c>
      <c r="H26" s="219"/>
      <c r="I26" s="392">
        <f>ROUND(F26,0)</f>
        <v>500</v>
      </c>
      <c r="J26" s="392">
        <f t="shared" si="5"/>
        <v>0</v>
      </c>
      <c r="K26" s="220"/>
      <c r="L26" s="392">
        <f>ROUND(I26,0)</f>
        <v>500</v>
      </c>
      <c r="M26" s="392">
        <f t="shared" si="6"/>
        <v>0</v>
      </c>
      <c r="N26" s="220"/>
      <c r="O26" s="392">
        <f>ROUND(L26,0)</f>
        <v>500</v>
      </c>
      <c r="P26" s="392">
        <f t="shared" si="7"/>
        <v>0</v>
      </c>
      <c r="Q26" s="220"/>
      <c r="R26" s="392">
        <f>ROUND(O26,0)</f>
        <v>500</v>
      </c>
      <c r="S26" s="392">
        <f t="shared" si="8"/>
        <v>0</v>
      </c>
      <c r="T26" s="220"/>
      <c r="U26" s="392">
        <f>ROUND(R26,0)</f>
        <v>500</v>
      </c>
      <c r="V26" s="392">
        <f t="shared" si="9"/>
        <v>0</v>
      </c>
      <c r="W26" s="220"/>
      <c r="X26" s="392">
        <v>448.5</v>
      </c>
      <c r="Y26" s="319">
        <f t="shared" si="2"/>
        <v>0.89700000000000002</v>
      </c>
      <c r="Z26" s="397"/>
    </row>
    <row r="27" spans="1:26" x14ac:dyDescent="0.25">
      <c r="A27" s="370" t="s">
        <v>439</v>
      </c>
      <c r="B27" s="370" t="s">
        <v>492</v>
      </c>
      <c r="C27" s="390" t="s">
        <v>493</v>
      </c>
      <c r="D27" s="391" t="s">
        <v>494</v>
      </c>
      <c r="E27" s="212">
        <v>153300</v>
      </c>
      <c r="F27" s="212">
        <f t="shared" ref="F27" si="12">SUM(F28:F33)</f>
        <v>153300</v>
      </c>
      <c r="G27" s="392">
        <f t="shared" si="4"/>
        <v>0</v>
      </c>
      <c r="H27" s="219"/>
      <c r="I27" s="392">
        <f>SUM(I28:I33)</f>
        <v>153300</v>
      </c>
      <c r="J27" s="392">
        <f t="shared" si="5"/>
        <v>0</v>
      </c>
      <c r="K27" s="220"/>
      <c r="L27" s="392">
        <f>SUM(L28:L33)</f>
        <v>153300</v>
      </c>
      <c r="M27" s="392">
        <f t="shared" si="6"/>
        <v>0</v>
      </c>
      <c r="N27" s="220"/>
      <c r="O27" s="392">
        <f>SUM(O28:O33)</f>
        <v>160300</v>
      </c>
      <c r="P27" s="392">
        <f t="shared" si="7"/>
        <v>7000</v>
      </c>
      <c r="Q27" s="220"/>
      <c r="R27" s="392">
        <f>SUM(R28:R33)</f>
        <v>160300</v>
      </c>
      <c r="S27" s="392">
        <f t="shared" si="8"/>
        <v>0</v>
      </c>
      <c r="T27" s="220"/>
      <c r="U27" s="392">
        <f>SUM(U28:U33)</f>
        <v>160300</v>
      </c>
      <c r="V27" s="392">
        <f t="shared" si="9"/>
        <v>0</v>
      </c>
      <c r="W27" s="220"/>
      <c r="X27" s="392">
        <f>SUM(X28:X33)</f>
        <v>134195.41</v>
      </c>
      <c r="Y27" s="322">
        <f t="shared" si="2"/>
        <v>0.83715165315034312</v>
      </c>
      <c r="Z27" s="397"/>
    </row>
    <row r="28" spans="1:26" ht="26.4" x14ac:dyDescent="0.25">
      <c r="B28" s="389" t="s">
        <v>495</v>
      </c>
      <c r="C28" s="400" t="s">
        <v>496</v>
      </c>
      <c r="D28" s="401" t="s">
        <v>497</v>
      </c>
      <c r="E28" s="212">
        <v>350</v>
      </c>
      <c r="F28" s="212">
        <f t="shared" ref="F28:F33" si="13">ROUND(E28,0)</f>
        <v>350</v>
      </c>
      <c r="G28" s="392">
        <f t="shared" si="4"/>
        <v>0</v>
      </c>
      <c r="H28" s="219"/>
      <c r="I28" s="392">
        <f t="shared" ref="I28:I33" si="14">ROUND(F28,0)</f>
        <v>350</v>
      </c>
      <c r="J28" s="392">
        <f t="shared" si="5"/>
        <v>0</v>
      </c>
      <c r="K28" s="220"/>
      <c r="L28" s="392">
        <f t="shared" ref="L28:L33" si="15">ROUND(I28,0)</f>
        <v>350</v>
      </c>
      <c r="M28" s="392">
        <f t="shared" si="6"/>
        <v>0</v>
      </c>
      <c r="N28" s="220"/>
      <c r="O28" s="392">
        <f t="shared" ref="O28:O33" si="16">ROUND(L28,0)</f>
        <v>350</v>
      </c>
      <c r="P28" s="392">
        <f t="shared" si="7"/>
        <v>0</v>
      </c>
      <c r="Q28" s="220"/>
      <c r="R28" s="392">
        <f t="shared" ref="R28:R33" si="17">ROUND(O28,0)</f>
        <v>350</v>
      </c>
      <c r="S28" s="392">
        <f t="shared" si="8"/>
        <v>0</v>
      </c>
      <c r="T28" s="220"/>
      <c r="U28" s="392">
        <f t="shared" ref="U28:U33" si="18">ROUND(R28,0)</f>
        <v>350</v>
      </c>
      <c r="V28" s="392">
        <f t="shared" si="9"/>
        <v>0</v>
      </c>
      <c r="W28" s="220"/>
      <c r="X28" s="392">
        <v>81.5</v>
      </c>
      <c r="Y28" s="319">
        <f t="shared" si="2"/>
        <v>0.23285714285714285</v>
      </c>
      <c r="Z28" s="397"/>
    </row>
    <row r="29" spans="1:26" ht="26.4" x14ac:dyDescent="0.25">
      <c r="B29" s="402" t="s">
        <v>498</v>
      </c>
      <c r="C29" s="400" t="s">
        <v>499</v>
      </c>
      <c r="D29" s="401" t="s">
        <v>500</v>
      </c>
      <c r="E29" s="212">
        <v>1100</v>
      </c>
      <c r="F29" s="212">
        <f t="shared" si="13"/>
        <v>1100</v>
      </c>
      <c r="G29" s="392">
        <f t="shared" si="4"/>
        <v>0</v>
      </c>
      <c r="H29" s="219"/>
      <c r="I29" s="392">
        <f t="shared" si="14"/>
        <v>1100</v>
      </c>
      <c r="J29" s="392">
        <f t="shared" si="5"/>
        <v>0</v>
      </c>
      <c r="K29" s="220"/>
      <c r="L29" s="392">
        <f t="shared" si="15"/>
        <v>1100</v>
      </c>
      <c r="M29" s="392">
        <f t="shared" si="6"/>
        <v>0</v>
      </c>
      <c r="N29" s="220"/>
      <c r="O29" s="392">
        <f t="shared" si="16"/>
        <v>1100</v>
      </c>
      <c r="P29" s="392">
        <f t="shared" si="7"/>
        <v>0</v>
      </c>
      <c r="Q29" s="220"/>
      <c r="R29" s="392">
        <f t="shared" si="17"/>
        <v>1100</v>
      </c>
      <c r="S29" s="392">
        <f t="shared" si="8"/>
        <v>0</v>
      </c>
      <c r="T29" s="220"/>
      <c r="U29" s="392">
        <f t="shared" si="18"/>
        <v>1100</v>
      </c>
      <c r="V29" s="392">
        <f t="shared" si="9"/>
        <v>0</v>
      </c>
      <c r="W29" s="220"/>
      <c r="X29" s="392">
        <v>1925.98</v>
      </c>
      <c r="Y29" s="319">
        <f t="shared" si="2"/>
        <v>1.7508909090909091</v>
      </c>
      <c r="Z29" s="397"/>
    </row>
    <row r="30" spans="1:26" ht="55.2" x14ac:dyDescent="0.25">
      <c r="B30" s="389" t="s">
        <v>501</v>
      </c>
      <c r="C30" s="400" t="s">
        <v>502</v>
      </c>
      <c r="D30" s="401" t="s">
        <v>503</v>
      </c>
      <c r="E30" s="212">
        <v>27000</v>
      </c>
      <c r="F30" s="212">
        <f t="shared" si="13"/>
        <v>27000</v>
      </c>
      <c r="G30" s="392">
        <f t="shared" si="4"/>
        <v>0</v>
      </c>
      <c r="H30" s="219"/>
      <c r="I30" s="392">
        <f t="shared" si="14"/>
        <v>27000</v>
      </c>
      <c r="J30" s="392">
        <f t="shared" si="5"/>
        <v>0</v>
      </c>
      <c r="K30" s="220"/>
      <c r="L30" s="392">
        <f t="shared" si="15"/>
        <v>27000</v>
      </c>
      <c r="M30" s="392">
        <f t="shared" si="6"/>
        <v>0</v>
      </c>
      <c r="N30" s="220"/>
      <c r="O30" s="392">
        <f>ROUND(L30,0)+7000</f>
        <v>34000</v>
      </c>
      <c r="P30" s="392">
        <f t="shared" si="7"/>
        <v>7000</v>
      </c>
      <c r="Q30" s="225" t="s">
        <v>504</v>
      </c>
      <c r="R30" s="392">
        <f t="shared" si="17"/>
        <v>34000</v>
      </c>
      <c r="S30" s="392">
        <f t="shared" si="8"/>
        <v>0</v>
      </c>
      <c r="T30" s="225"/>
      <c r="U30" s="392">
        <f t="shared" si="18"/>
        <v>34000</v>
      </c>
      <c r="V30" s="392">
        <f t="shared" si="9"/>
        <v>0</v>
      </c>
      <c r="W30" s="225"/>
      <c r="X30" s="392">
        <v>33354.120000000003</v>
      </c>
      <c r="Y30" s="319">
        <f t="shared" si="2"/>
        <v>0.98100352941176483</v>
      </c>
      <c r="Z30" s="397"/>
    </row>
    <row r="31" spans="1:26" ht="26.4" x14ac:dyDescent="0.25">
      <c r="B31" s="389" t="s">
        <v>505</v>
      </c>
      <c r="C31" s="400" t="s">
        <v>506</v>
      </c>
      <c r="D31" s="401" t="s">
        <v>507</v>
      </c>
      <c r="E31" s="212">
        <v>11500</v>
      </c>
      <c r="F31" s="212">
        <f t="shared" si="13"/>
        <v>11500</v>
      </c>
      <c r="G31" s="392">
        <f t="shared" si="4"/>
        <v>0</v>
      </c>
      <c r="H31" s="219"/>
      <c r="I31" s="392">
        <f t="shared" si="14"/>
        <v>11500</v>
      </c>
      <c r="J31" s="392">
        <f t="shared" si="5"/>
        <v>0</v>
      </c>
      <c r="K31" s="220"/>
      <c r="L31" s="392">
        <f t="shared" si="15"/>
        <v>11500</v>
      </c>
      <c r="M31" s="392">
        <f t="shared" si="6"/>
        <v>0</v>
      </c>
      <c r="N31" s="220"/>
      <c r="O31" s="392">
        <f t="shared" si="16"/>
        <v>11500</v>
      </c>
      <c r="P31" s="392">
        <f t="shared" si="7"/>
        <v>0</v>
      </c>
      <c r="Q31" s="220"/>
      <c r="R31" s="392">
        <f t="shared" si="17"/>
        <v>11500</v>
      </c>
      <c r="S31" s="392">
        <f t="shared" si="8"/>
        <v>0</v>
      </c>
      <c r="T31" s="220"/>
      <c r="U31" s="392">
        <f t="shared" si="18"/>
        <v>11500</v>
      </c>
      <c r="V31" s="392">
        <f t="shared" si="9"/>
        <v>0</v>
      </c>
      <c r="W31" s="220"/>
      <c r="X31" s="392">
        <v>18321.87</v>
      </c>
      <c r="Y31" s="319">
        <f t="shared" si="2"/>
        <v>1.5932060869565217</v>
      </c>
      <c r="Z31" s="397"/>
    </row>
    <row r="32" spans="1:26" x14ac:dyDescent="0.25">
      <c r="B32" s="389" t="s">
        <v>508</v>
      </c>
      <c r="C32" s="400" t="s">
        <v>509</v>
      </c>
      <c r="D32" s="401" t="s">
        <v>510</v>
      </c>
      <c r="E32" s="212">
        <v>106350</v>
      </c>
      <c r="F32" s="212">
        <f t="shared" si="13"/>
        <v>106350</v>
      </c>
      <c r="G32" s="392">
        <f t="shared" si="4"/>
        <v>0</v>
      </c>
      <c r="H32" s="219"/>
      <c r="I32" s="392">
        <f t="shared" si="14"/>
        <v>106350</v>
      </c>
      <c r="J32" s="392">
        <f t="shared" si="5"/>
        <v>0</v>
      </c>
      <c r="K32" s="220"/>
      <c r="L32" s="392">
        <f t="shared" si="15"/>
        <v>106350</v>
      </c>
      <c r="M32" s="392">
        <f t="shared" si="6"/>
        <v>0</v>
      </c>
      <c r="N32" s="220"/>
      <c r="O32" s="392">
        <f t="shared" si="16"/>
        <v>106350</v>
      </c>
      <c r="P32" s="392">
        <f t="shared" si="7"/>
        <v>0</v>
      </c>
      <c r="Q32" s="220"/>
      <c r="R32" s="392">
        <f t="shared" si="17"/>
        <v>106350</v>
      </c>
      <c r="S32" s="392">
        <f t="shared" si="8"/>
        <v>0</v>
      </c>
      <c r="T32" s="220"/>
      <c r="U32" s="392">
        <f t="shared" si="18"/>
        <v>106350</v>
      </c>
      <c r="V32" s="392">
        <f t="shared" si="9"/>
        <v>0</v>
      </c>
      <c r="W32" s="220"/>
      <c r="X32" s="392">
        <v>76621.850000000006</v>
      </c>
      <c r="Y32" s="319">
        <f t="shared" si="2"/>
        <v>0.72046873530794553</v>
      </c>
      <c r="Z32" s="397"/>
    </row>
    <row r="33" spans="1:27" x14ac:dyDescent="0.25">
      <c r="B33" s="389" t="s">
        <v>511</v>
      </c>
      <c r="C33" s="400" t="s">
        <v>512</v>
      </c>
      <c r="D33" s="401" t="s">
        <v>513</v>
      </c>
      <c r="E33" s="212">
        <v>7000</v>
      </c>
      <c r="F33" s="212">
        <f t="shared" si="13"/>
        <v>7000</v>
      </c>
      <c r="G33" s="392">
        <f t="shared" si="4"/>
        <v>0</v>
      </c>
      <c r="H33" s="219"/>
      <c r="I33" s="392">
        <f t="shared" si="14"/>
        <v>7000</v>
      </c>
      <c r="J33" s="392">
        <f t="shared" si="5"/>
        <v>0</v>
      </c>
      <c r="K33" s="220"/>
      <c r="L33" s="392">
        <f t="shared" si="15"/>
        <v>7000</v>
      </c>
      <c r="M33" s="392">
        <f t="shared" si="6"/>
        <v>0</v>
      </c>
      <c r="N33" s="220"/>
      <c r="O33" s="392">
        <f t="shared" si="16"/>
        <v>7000</v>
      </c>
      <c r="P33" s="392">
        <f t="shared" si="7"/>
        <v>0</v>
      </c>
      <c r="Q33" s="220"/>
      <c r="R33" s="392">
        <f t="shared" si="17"/>
        <v>7000</v>
      </c>
      <c r="S33" s="392">
        <f t="shared" si="8"/>
        <v>0</v>
      </c>
      <c r="T33" s="220"/>
      <c r="U33" s="392">
        <f t="shared" si="18"/>
        <v>7000</v>
      </c>
      <c r="V33" s="392">
        <f t="shared" si="9"/>
        <v>0</v>
      </c>
      <c r="W33" s="220"/>
      <c r="X33" s="392">
        <v>3890.09</v>
      </c>
      <c r="Y33" s="319">
        <f t="shared" si="2"/>
        <v>0.55572714285714286</v>
      </c>
      <c r="Z33" s="397"/>
    </row>
    <row r="34" spans="1:27" ht="18" customHeight="1" x14ac:dyDescent="0.25">
      <c r="B34" s="370" t="s">
        <v>514</v>
      </c>
      <c r="C34" s="393" t="s">
        <v>515</v>
      </c>
      <c r="D34" s="394" t="s">
        <v>516</v>
      </c>
      <c r="E34" s="216">
        <v>65000</v>
      </c>
      <c r="F34" s="216">
        <f>F35+F36</f>
        <v>65000</v>
      </c>
      <c r="G34" s="395">
        <f t="shared" si="4"/>
        <v>0</v>
      </c>
      <c r="H34" s="226"/>
      <c r="I34" s="395">
        <f>I35+I36</f>
        <v>65000</v>
      </c>
      <c r="J34" s="395">
        <f t="shared" si="5"/>
        <v>0</v>
      </c>
      <c r="K34" s="227"/>
      <c r="L34" s="395">
        <f>L35+L36</f>
        <v>65000</v>
      </c>
      <c r="M34" s="395">
        <f t="shared" si="6"/>
        <v>0</v>
      </c>
      <c r="N34" s="227"/>
      <c r="O34" s="395">
        <f>O35+O36</f>
        <v>65000</v>
      </c>
      <c r="P34" s="395">
        <f t="shared" si="7"/>
        <v>0</v>
      </c>
      <c r="Q34" s="227"/>
      <c r="R34" s="395">
        <f>R35+R36</f>
        <v>110000</v>
      </c>
      <c r="S34" s="395">
        <f t="shared" si="8"/>
        <v>45000</v>
      </c>
      <c r="T34" s="227"/>
      <c r="U34" s="395">
        <f>U35+U36</f>
        <v>150000</v>
      </c>
      <c r="V34" s="395">
        <f t="shared" si="9"/>
        <v>40000</v>
      </c>
      <c r="W34" s="227"/>
      <c r="X34" s="395">
        <f>X35+X36</f>
        <v>152738.26</v>
      </c>
      <c r="Y34" s="321">
        <f t="shared" si="2"/>
        <v>1.0182550666666668</v>
      </c>
      <c r="Z34" s="399"/>
      <c r="AA34" s="370">
        <f>X34*0.25</f>
        <v>38184.565000000002</v>
      </c>
    </row>
    <row r="35" spans="1:27" ht="16.5" customHeight="1" x14ac:dyDescent="0.3">
      <c r="B35" s="398" t="s">
        <v>517</v>
      </c>
      <c r="C35" s="390" t="s">
        <v>518</v>
      </c>
      <c r="D35" s="391" t="s">
        <v>516</v>
      </c>
      <c r="E35" s="212">
        <v>31000</v>
      </c>
      <c r="F35" s="212">
        <f>ROUND(E35,0)</f>
        <v>31000</v>
      </c>
      <c r="G35" s="392">
        <f t="shared" si="4"/>
        <v>0</v>
      </c>
      <c r="H35" s="213"/>
      <c r="I35" s="392">
        <f>ROUND(F35,0)</f>
        <v>31000</v>
      </c>
      <c r="J35" s="392">
        <f t="shared" si="5"/>
        <v>0</v>
      </c>
      <c r="K35" s="214"/>
      <c r="L35" s="392">
        <f>ROUND(I35,0)</f>
        <v>31000</v>
      </c>
      <c r="M35" s="392">
        <f t="shared" si="6"/>
        <v>0</v>
      </c>
      <c r="N35" s="214"/>
      <c r="O35" s="392">
        <f>ROUND(L35,0)</f>
        <v>31000</v>
      </c>
      <c r="P35" s="392">
        <f t="shared" si="7"/>
        <v>0</v>
      </c>
      <c r="Q35" s="214"/>
      <c r="R35" s="392">
        <f>ROUND(O35,0)+45000</f>
        <v>76000</v>
      </c>
      <c r="S35" s="392">
        <f t="shared" si="8"/>
        <v>45000</v>
      </c>
      <c r="T35" s="214" t="s">
        <v>519</v>
      </c>
      <c r="U35" s="392">
        <f>ROUND(R35,0)+40000</f>
        <v>116000</v>
      </c>
      <c r="V35" s="392">
        <f t="shared" si="9"/>
        <v>40000</v>
      </c>
      <c r="W35" s="214" t="s">
        <v>520</v>
      </c>
      <c r="X35" s="392">
        <v>114544.92</v>
      </c>
      <c r="Y35" s="319">
        <f t="shared" si="2"/>
        <v>0.98745620689655167</v>
      </c>
      <c r="Z35" s="397"/>
    </row>
    <row r="36" spans="1:27" ht="28.2" x14ac:dyDescent="0.3">
      <c r="B36" s="398" t="s">
        <v>521</v>
      </c>
      <c r="C36" s="390" t="s">
        <v>522</v>
      </c>
      <c r="D36" s="391" t="s">
        <v>523</v>
      </c>
      <c r="E36" s="212">
        <v>34000</v>
      </c>
      <c r="F36" s="212">
        <f>ROUND(E36,0)</f>
        <v>34000</v>
      </c>
      <c r="G36" s="392">
        <f t="shared" si="4"/>
        <v>0</v>
      </c>
      <c r="H36" s="213"/>
      <c r="I36" s="392">
        <f>ROUND(F36,0)</f>
        <v>34000</v>
      </c>
      <c r="J36" s="392">
        <f t="shared" si="5"/>
        <v>0</v>
      </c>
      <c r="K36" s="214"/>
      <c r="L36" s="392">
        <f>ROUND(I36,0)</f>
        <v>34000</v>
      </c>
      <c r="M36" s="392">
        <f t="shared" si="6"/>
        <v>0</v>
      </c>
      <c r="N36" s="214"/>
      <c r="O36" s="392">
        <f>ROUND(L36,0)</f>
        <v>34000</v>
      </c>
      <c r="P36" s="392">
        <f t="shared" si="7"/>
        <v>0</v>
      </c>
      <c r="Q36" s="214"/>
      <c r="R36" s="392">
        <f>ROUND(O36,0)</f>
        <v>34000</v>
      </c>
      <c r="S36" s="392">
        <f t="shared" si="8"/>
        <v>0</v>
      </c>
      <c r="T36" s="214"/>
      <c r="U36" s="392">
        <f>ROUND(R36,0)</f>
        <v>34000</v>
      </c>
      <c r="V36" s="392">
        <f t="shared" si="9"/>
        <v>0</v>
      </c>
      <c r="W36" s="214"/>
      <c r="X36" s="392">
        <v>38193.339999999997</v>
      </c>
      <c r="Y36" s="319">
        <f t="shared" si="2"/>
        <v>1.1233335294117646</v>
      </c>
      <c r="Z36" s="397"/>
    </row>
    <row r="37" spans="1:27" x14ac:dyDescent="0.25">
      <c r="B37" s="370" t="s">
        <v>524</v>
      </c>
      <c r="C37" s="393" t="s">
        <v>525</v>
      </c>
      <c r="D37" s="394" t="s">
        <v>526</v>
      </c>
      <c r="E37" s="216">
        <v>6453</v>
      </c>
      <c r="F37" s="216">
        <f>F38+F39+F40</f>
        <v>6453</v>
      </c>
      <c r="G37" s="395">
        <f t="shared" si="4"/>
        <v>0</v>
      </c>
      <c r="H37" s="217"/>
      <c r="I37" s="395">
        <f>I38+I39+I40</f>
        <v>25797</v>
      </c>
      <c r="J37" s="395">
        <f t="shared" si="5"/>
        <v>19344</v>
      </c>
      <c r="K37" s="218"/>
      <c r="L37" s="395">
        <f>L38+L39+L40</f>
        <v>35106</v>
      </c>
      <c r="M37" s="395">
        <f t="shared" si="6"/>
        <v>9309</v>
      </c>
      <c r="N37" s="218"/>
      <c r="O37" s="395">
        <f>O38+O39+O40</f>
        <v>57106</v>
      </c>
      <c r="P37" s="395">
        <f t="shared" si="7"/>
        <v>22000</v>
      </c>
      <c r="Q37" s="218"/>
      <c r="R37" s="395">
        <f>R38+R39+R40</f>
        <v>124631</v>
      </c>
      <c r="S37" s="395">
        <f t="shared" si="8"/>
        <v>67525</v>
      </c>
      <c r="T37" s="218"/>
      <c r="U37" s="395">
        <f>U38+U39+U40</f>
        <v>161431</v>
      </c>
      <c r="V37" s="395">
        <f t="shared" si="9"/>
        <v>36800</v>
      </c>
      <c r="W37" s="218"/>
      <c r="X37" s="395">
        <f>X38+X39+X40</f>
        <v>176633.03999999998</v>
      </c>
      <c r="Y37" s="321">
        <f t="shared" si="2"/>
        <v>1.0941705124790158</v>
      </c>
      <c r="Z37" s="396"/>
      <c r="AA37" s="377">
        <f>X37-I37</f>
        <v>150836.03999999998</v>
      </c>
    </row>
    <row r="38" spans="1:27" ht="60" customHeight="1" x14ac:dyDescent="0.25">
      <c r="A38" s="370" t="s">
        <v>439</v>
      </c>
      <c r="B38" s="373" t="s">
        <v>527</v>
      </c>
      <c r="C38" s="390" t="s">
        <v>528</v>
      </c>
      <c r="D38" s="403" t="s">
        <v>529</v>
      </c>
      <c r="E38" s="212">
        <v>0</v>
      </c>
      <c r="F38" s="212">
        <f>ROUND(E38,0)</f>
        <v>0</v>
      </c>
      <c r="G38" s="392">
        <f t="shared" si="4"/>
        <v>0</v>
      </c>
      <c r="H38" s="228"/>
      <c r="I38" s="392">
        <f>ROUND(F38,0)+19344</f>
        <v>19344</v>
      </c>
      <c r="J38" s="392">
        <f t="shared" si="5"/>
        <v>19344</v>
      </c>
      <c r="K38" s="215" t="s">
        <v>530</v>
      </c>
      <c r="L38" s="392">
        <f>ROUND(I38,0)+9309</f>
        <v>28653</v>
      </c>
      <c r="M38" s="392">
        <f t="shared" si="6"/>
        <v>9309</v>
      </c>
      <c r="N38" s="215" t="s">
        <v>531</v>
      </c>
      <c r="O38" s="392">
        <f>ROUND(L38,0)+22000</f>
        <v>50653</v>
      </c>
      <c r="P38" s="392">
        <f t="shared" si="7"/>
        <v>22000</v>
      </c>
      <c r="Q38" s="215" t="s">
        <v>532</v>
      </c>
      <c r="R38" s="392">
        <f>ROUND(O38,0)+(10000+20000)+31000</f>
        <v>111653</v>
      </c>
      <c r="S38" s="392">
        <f t="shared" si="8"/>
        <v>61000</v>
      </c>
      <c r="T38" s="215" t="s">
        <v>533</v>
      </c>
      <c r="U38" s="392">
        <f>ROUND(R38,0)+10000+20000</f>
        <v>141653</v>
      </c>
      <c r="V38" s="404">
        <f t="shared" si="9"/>
        <v>30000</v>
      </c>
      <c r="W38" s="215" t="s">
        <v>534</v>
      </c>
      <c r="X38" s="392">
        <f>89565+64858.59+2432+5650+2273-4104</f>
        <v>160674.59</v>
      </c>
      <c r="Y38" s="319">
        <f t="shared" si="2"/>
        <v>1.1342830014189604</v>
      </c>
      <c r="Z38" s="405" t="s">
        <v>1223</v>
      </c>
    </row>
    <row r="39" spans="1:27" ht="27.75" customHeight="1" x14ac:dyDescent="0.25">
      <c r="B39" s="370" t="s">
        <v>535</v>
      </c>
      <c r="C39" s="390" t="s">
        <v>536</v>
      </c>
      <c r="D39" s="391" t="s">
        <v>537</v>
      </c>
      <c r="E39" s="212">
        <v>500</v>
      </c>
      <c r="F39" s="212">
        <f>ROUND(E39,0)</f>
        <v>500</v>
      </c>
      <c r="G39" s="392">
        <f t="shared" si="4"/>
        <v>0</v>
      </c>
      <c r="H39" s="228"/>
      <c r="I39" s="392">
        <f>ROUND(F39,0)</f>
        <v>500</v>
      </c>
      <c r="J39" s="392">
        <f t="shared" si="5"/>
        <v>0</v>
      </c>
      <c r="K39" s="215"/>
      <c r="L39" s="392">
        <f>ROUND(I39,0)</f>
        <v>500</v>
      </c>
      <c r="M39" s="392">
        <f t="shared" si="6"/>
        <v>0</v>
      </c>
      <c r="N39" s="215"/>
      <c r="O39" s="392">
        <f>ROUND(L39,0)</f>
        <v>500</v>
      </c>
      <c r="P39" s="392">
        <f t="shared" si="7"/>
        <v>0</v>
      </c>
      <c r="Q39" s="215"/>
      <c r="R39" s="392">
        <f>ROUND(O39,0)</f>
        <v>500</v>
      </c>
      <c r="S39" s="392">
        <f t="shared" si="8"/>
        <v>0</v>
      </c>
      <c r="T39" s="215"/>
      <c r="U39" s="392">
        <f>ROUND(R39,0)+6800</f>
        <v>7300</v>
      </c>
      <c r="V39" s="404">
        <f t="shared" si="9"/>
        <v>6800</v>
      </c>
      <c r="W39" s="215" t="s">
        <v>520</v>
      </c>
      <c r="X39" s="392">
        <f>3122.68+4101</f>
        <v>7223.68</v>
      </c>
      <c r="Y39" s="319">
        <f t="shared" si="2"/>
        <v>0.98954520547945213</v>
      </c>
      <c r="Z39" s="405" t="s">
        <v>1224</v>
      </c>
    </row>
    <row r="40" spans="1:27" x14ac:dyDescent="0.25">
      <c r="C40" s="390" t="s">
        <v>538</v>
      </c>
      <c r="D40" s="391" t="s">
        <v>539</v>
      </c>
      <c r="E40" s="212">
        <v>5953</v>
      </c>
      <c r="F40" s="212">
        <f>ROUND(E40,0)</f>
        <v>5953</v>
      </c>
      <c r="G40" s="392">
        <f t="shared" si="4"/>
        <v>0</v>
      </c>
      <c r="H40" s="213"/>
      <c r="I40" s="392">
        <f>ROUND(F40,0)</f>
        <v>5953</v>
      </c>
      <c r="J40" s="392">
        <f t="shared" si="5"/>
        <v>0</v>
      </c>
      <c r="K40" s="214"/>
      <c r="L40" s="392">
        <f>ROUND(I40,0)</f>
        <v>5953</v>
      </c>
      <c r="M40" s="392">
        <f t="shared" si="6"/>
        <v>0</v>
      </c>
      <c r="N40" s="214"/>
      <c r="O40" s="392">
        <f>ROUND(L40,0)</f>
        <v>5953</v>
      </c>
      <c r="P40" s="392">
        <f t="shared" si="7"/>
        <v>0</v>
      </c>
      <c r="Q40" s="214"/>
      <c r="R40" s="392">
        <f>ROUND(O40,0)+6525</f>
        <v>12478</v>
      </c>
      <c r="S40" s="392">
        <f t="shared" si="8"/>
        <v>6525</v>
      </c>
      <c r="T40" s="214" t="s">
        <v>519</v>
      </c>
      <c r="U40" s="392">
        <f>ROUND(R40,0)</f>
        <v>12478</v>
      </c>
      <c r="V40" s="392">
        <f t="shared" si="9"/>
        <v>0</v>
      </c>
      <c r="W40" s="214"/>
      <c r="X40" s="392">
        <v>8734.77</v>
      </c>
      <c r="Y40" s="319">
        <f t="shared" si="2"/>
        <v>0.70001362397820166</v>
      </c>
      <c r="Z40" s="397"/>
      <c r="AA40" s="377">
        <f>X41-I41</f>
        <v>83422.78</v>
      </c>
    </row>
    <row r="41" spans="1:27" ht="26.4" customHeight="1" x14ac:dyDescent="0.25">
      <c r="B41" s="370" t="s">
        <v>540</v>
      </c>
      <c r="C41" s="406" t="s">
        <v>541</v>
      </c>
      <c r="D41" s="394" t="s">
        <v>542</v>
      </c>
      <c r="E41" s="216">
        <v>5856</v>
      </c>
      <c r="F41" s="216">
        <f>ROUND(E41,0)</f>
        <v>5856</v>
      </c>
      <c r="G41" s="395">
        <f t="shared" si="4"/>
        <v>0</v>
      </c>
      <c r="H41" s="226"/>
      <c r="I41" s="395">
        <f>ROUND(F41,0)</f>
        <v>5856</v>
      </c>
      <c r="J41" s="395">
        <f t="shared" si="5"/>
        <v>0</v>
      </c>
      <c r="K41" s="227"/>
      <c r="L41" s="395">
        <f>ROUND(I41,0)+23095</f>
        <v>28951</v>
      </c>
      <c r="M41" s="395">
        <f t="shared" si="6"/>
        <v>23095</v>
      </c>
      <c r="N41" s="227" t="s">
        <v>543</v>
      </c>
      <c r="O41" s="395">
        <f>ROUND(L41,0)</f>
        <v>28951</v>
      </c>
      <c r="P41" s="395">
        <f t="shared" si="7"/>
        <v>0</v>
      </c>
      <c r="Q41" s="227"/>
      <c r="R41" s="395">
        <f>ROUND(O41,0)+30205</f>
        <v>59156</v>
      </c>
      <c r="S41" s="395">
        <f t="shared" si="8"/>
        <v>30205</v>
      </c>
      <c r="T41" s="227" t="s">
        <v>519</v>
      </c>
      <c r="U41" s="395">
        <f>ROUND(R41,0)</f>
        <v>59156</v>
      </c>
      <c r="V41" s="395">
        <f t="shared" si="9"/>
        <v>0</v>
      </c>
      <c r="W41" s="227"/>
      <c r="X41" s="395">
        <f>89227.78+50+1</f>
        <v>89278.78</v>
      </c>
      <c r="Y41" s="321">
        <f t="shared" si="2"/>
        <v>1.5092092095476368</v>
      </c>
      <c r="Z41" s="399" t="s">
        <v>1225</v>
      </c>
    </row>
    <row r="42" spans="1:27" ht="31.5" customHeight="1" x14ac:dyDescent="0.25">
      <c r="C42" s="406" t="s">
        <v>544</v>
      </c>
      <c r="D42" s="394" t="s">
        <v>545</v>
      </c>
      <c r="E42" s="216">
        <v>10153512</v>
      </c>
      <c r="F42" s="216">
        <f t="shared" ref="F42" si="19">F43+F66+F87</f>
        <v>10611779</v>
      </c>
      <c r="G42" s="395">
        <f t="shared" si="4"/>
        <v>458267</v>
      </c>
      <c r="H42" s="396"/>
      <c r="I42" s="395">
        <f>I43+I66+I87</f>
        <v>10715183</v>
      </c>
      <c r="J42" s="395">
        <f t="shared" si="5"/>
        <v>103404</v>
      </c>
      <c r="K42" s="395"/>
      <c r="L42" s="395">
        <f>L43+L66+L87</f>
        <v>10765964</v>
      </c>
      <c r="M42" s="395">
        <f t="shared" si="6"/>
        <v>50781</v>
      </c>
      <c r="N42" s="395"/>
      <c r="O42" s="395">
        <f>O43+O66+O87</f>
        <v>10765964</v>
      </c>
      <c r="P42" s="395">
        <f t="shared" si="7"/>
        <v>0</v>
      </c>
      <c r="Q42" s="395"/>
      <c r="R42" s="395">
        <f>R43+R66+R87</f>
        <v>10824662</v>
      </c>
      <c r="S42" s="395">
        <f t="shared" si="8"/>
        <v>58698</v>
      </c>
      <c r="T42" s="395"/>
      <c r="U42" s="395">
        <f>U43+U66+U87</f>
        <v>10941175</v>
      </c>
      <c r="V42" s="395">
        <f t="shared" si="9"/>
        <v>116513</v>
      </c>
      <c r="W42" s="395"/>
      <c r="X42" s="216">
        <f>X43+X66+X87</f>
        <v>7667539.1000000006</v>
      </c>
      <c r="Y42" s="323">
        <f t="shared" si="2"/>
        <v>0.70079667860170414</v>
      </c>
      <c r="Z42" s="396"/>
    </row>
    <row r="43" spans="1:27" ht="17.399999999999999" customHeight="1" x14ac:dyDescent="0.25">
      <c r="B43" s="389"/>
      <c r="C43" s="407" t="s">
        <v>546</v>
      </c>
      <c r="D43" s="408" t="s">
        <v>547</v>
      </c>
      <c r="E43" s="229">
        <v>8993696</v>
      </c>
      <c r="F43" s="229">
        <f t="shared" ref="F43" si="20">SUM(F44:F47)+F50+SUM(F54:F65)</f>
        <v>9340698</v>
      </c>
      <c r="G43" s="410">
        <f t="shared" si="4"/>
        <v>347002</v>
      </c>
      <c r="H43" s="411"/>
      <c r="I43" s="410">
        <f>SUM(I44:I47)+I50+SUM(I54:I65)</f>
        <v>9468249</v>
      </c>
      <c r="J43" s="410">
        <f t="shared" si="5"/>
        <v>127551</v>
      </c>
      <c r="K43" s="410"/>
      <c r="L43" s="410">
        <f>SUM(L44:L47)+L50+SUM(L54:L65)</f>
        <v>9519030</v>
      </c>
      <c r="M43" s="410">
        <f t="shared" si="6"/>
        <v>50781</v>
      </c>
      <c r="N43" s="410"/>
      <c r="O43" s="410">
        <f>SUM(O44:O47)+O50+SUM(O54:O65)</f>
        <v>9519030</v>
      </c>
      <c r="P43" s="410">
        <f t="shared" si="7"/>
        <v>0</v>
      </c>
      <c r="Q43" s="410"/>
      <c r="R43" s="410">
        <f>SUM(R44:R47)+R50+SUM(R54:R65)</f>
        <v>9519030</v>
      </c>
      <c r="S43" s="410">
        <f t="shared" si="8"/>
        <v>0</v>
      </c>
      <c r="T43" s="410"/>
      <c r="U43" s="410">
        <f>SUM(U44:U47)+U50+SUM(U54:U65)</f>
        <v>9635543</v>
      </c>
      <c r="V43" s="410">
        <f t="shared" si="9"/>
        <v>116513</v>
      </c>
      <c r="W43" s="410"/>
      <c r="X43" s="410">
        <f>SUM(X44:X47)+X50+SUM(X54:X65)</f>
        <v>6940114.8400000008</v>
      </c>
      <c r="Y43" s="324">
        <f t="shared" si="2"/>
        <v>0.72026193438190256</v>
      </c>
      <c r="Z43" s="410"/>
    </row>
    <row r="44" spans="1:27" ht="16.95" customHeight="1" x14ac:dyDescent="0.25">
      <c r="A44" s="370" t="s">
        <v>548</v>
      </c>
      <c r="B44" s="370" t="s">
        <v>549</v>
      </c>
      <c r="C44" s="400" t="s">
        <v>550</v>
      </c>
      <c r="D44" s="391" t="s">
        <v>551</v>
      </c>
      <c r="E44" s="212">
        <v>651116</v>
      </c>
      <c r="F44" s="212">
        <f>ROUND(E44,0)+142597</f>
        <v>793713</v>
      </c>
      <c r="G44" s="392">
        <f t="shared" si="4"/>
        <v>142597</v>
      </c>
      <c r="H44" s="215" t="s">
        <v>552</v>
      </c>
      <c r="I44" s="392">
        <f>ROUND(F44,0)</f>
        <v>793713</v>
      </c>
      <c r="J44" s="392">
        <f t="shared" si="5"/>
        <v>0</v>
      </c>
      <c r="K44" s="215"/>
      <c r="L44" s="392">
        <f>ROUND(I44,0)</f>
        <v>793713</v>
      </c>
      <c r="M44" s="392">
        <f t="shared" si="6"/>
        <v>0</v>
      </c>
      <c r="N44" s="215"/>
      <c r="O44" s="392">
        <f>ROUND(L44,0)</f>
        <v>793713</v>
      </c>
      <c r="P44" s="392">
        <f t="shared" si="7"/>
        <v>0</v>
      </c>
      <c r="Q44" s="215"/>
      <c r="R44" s="392">
        <f>ROUND(O44,0)</f>
        <v>793713</v>
      </c>
      <c r="S44" s="392">
        <f t="shared" si="8"/>
        <v>0</v>
      </c>
      <c r="T44" s="215"/>
      <c r="U44" s="392">
        <f>ROUND(R44,0)-4534</f>
        <v>789179</v>
      </c>
      <c r="V44" s="392">
        <f t="shared" si="9"/>
        <v>-4534</v>
      </c>
      <c r="W44" s="215" t="s">
        <v>553</v>
      </c>
      <c r="X44" s="392">
        <v>526119</v>
      </c>
      <c r="Y44" s="319">
        <f t="shared" si="2"/>
        <v>0.66666624428678412</v>
      </c>
      <c r="Z44" s="397"/>
    </row>
    <row r="45" spans="1:27" ht="13.95" customHeight="1" x14ac:dyDescent="0.3">
      <c r="A45" s="370" t="s">
        <v>548</v>
      </c>
      <c r="B45" s="398" t="s">
        <v>554</v>
      </c>
      <c r="C45" s="400" t="s">
        <v>555</v>
      </c>
      <c r="D45" s="391" t="s">
        <v>556</v>
      </c>
      <c r="E45" s="212">
        <v>314606</v>
      </c>
      <c r="F45" s="212">
        <f>ROUND(E45,0)</f>
        <v>314606</v>
      </c>
      <c r="G45" s="392">
        <f t="shared" si="4"/>
        <v>0</v>
      </c>
      <c r="H45" s="213"/>
      <c r="I45" s="392">
        <f>ROUND(F45,0)-22981</f>
        <v>291625</v>
      </c>
      <c r="J45" s="392">
        <f t="shared" si="5"/>
        <v>-22981</v>
      </c>
      <c r="K45" s="214" t="s">
        <v>557</v>
      </c>
      <c r="L45" s="392">
        <f>ROUND(I45,0)</f>
        <v>291625</v>
      </c>
      <c r="M45" s="392">
        <f t="shared" si="6"/>
        <v>0</v>
      </c>
      <c r="N45" s="214"/>
      <c r="O45" s="392">
        <f>ROUND(L45,0)</f>
        <v>291625</v>
      </c>
      <c r="P45" s="392">
        <f t="shared" si="7"/>
        <v>0</v>
      </c>
      <c r="Q45" s="214"/>
      <c r="R45" s="392">
        <f>ROUND(O45,0)</f>
        <v>291625</v>
      </c>
      <c r="S45" s="392">
        <f t="shared" si="8"/>
        <v>0</v>
      </c>
      <c r="T45" s="214"/>
      <c r="U45" s="392">
        <f>ROUND(R45,0)+3904</f>
        <v>295529</v>
      </c>
      <c r="V45" s="392">
        <f t="shared" si="9"/>
        <v>3904</v>
      </c>
      <c r="W45" s="214" t="s">
        <v>558</v>
      </c>
      <c r="X45" s="392">
        <v>218718</v>
      </c>
      <c r="Y45" s="319">
        <f t="shared" si="2"/>
        <v>0.74008980506143218</v>
      </c>
      <c r="Z45" s="397"/>
    </row>
    <row r="46" spans="1:27" ht="14.4" x14ac:dyDescent="0.3">
      <c r="B46" s="398" t="s">
        <v>559</v>
      </c>
      <c r="C46" s="400" t="s">
        <v>560</v>
      </c>
      <c r="D46" s="391" t="s">
        <v>561</v>
      </c>
      <c r="E46" s="212">
        <v>249276</v>
      </c>
      <c r="F46" s="212">
        <f>ROUND(E46,0)</f>
        <v>249276</v>
      </c>
      <c r="G46" s="392">
        <f t="shared" si="4"/>
        <v>0</v>
      </c>
      <c r="H46" s="228"/>
      <c r="I46" s="392">
        <f>ROUND(F46,0)</f>
        <v>249276</v>
      </c>
      <c r="J46" s="392">
        <f t="shared" si="5"/>
        <v>0</v>
      </c>
      <c r="K46" s="215"/>
      <c r="L46" s="392">
        <f>ROUND(I46,0)</f>
        <v>249276</v>
      </c>
      <c r="M46" s="392">
        <f t="shared" si="6"/>
        <v>0</v>
      </c>
      <c r="N46" s="215"/>
      <c r="O46" s="392">
        <f>ROUND(L46,0)</f>
        <v>249276</v>
      </c>
      <c r="P46" s="392">
        <f t="shared" si="7"/>
        <v>0</v>
      </c>
      <c r="Q46" s="215"/>
      <c r="R46" s="392">
        <f>ROUND(O46,0)</f>
        <v>249276</v>
      </c>
      <c r="S46" s="392">
        <f t="shared" si="8"/>
        <v>0</v>
      </c>
      <c r="T46" s="215"/>
      <c r="U46" s="392">
        <f>ROUND(R46,0)</f>
        <v>249276</v>
      </c>
      <c r="V46" s="392">
        <f t="shared" si="9"/>
        <v>0</v>
      </c>
      <c r="W46" s="215"/>
      <c r="X46" s="392">
        <v>228051.24</v>
      </c>
      <c r="Y46" s="319">
        <f t="shared" si="2"/>
        <v>0.91485437827949734</v>
      </c>
      <c r="Z46" s="397"/>
    </row>
    <row r="47" spans="1:27" ht="14.25" customHeight="1" x14ac:dyDescent="0.3">
      <c r="A47" s="370" t="s">
        <v>548</v>
      </c>
      <c r="B47" s="398" t="s">
        <v>562</v>
      </c>
      <c r="C47" s="400" t="s">
        <v>563</v>
      </c>
      <c r="D47" s="391" t="s">
        <v>564</v>
      </c>
      <c r="E47" s="392">
        <v>0</v>
      </c>
      <c r="F47" s="212">
        <f t="shared" ref="F47" si="21">F48+F49</f>
        <v>0</v>
      </c>
      <c r="G47" s="392">
        <f t="shared" si="4"/>
        <v>0</v>
      </c>
      <c r="H47" s="397"/>
      <c r="I47" s="392">
        <f>I48+I49</f>
        <v>112839</v>
      </c>
      <c r="J47" s="392">
        <f t="shared" si="5"/>
        <v>112839</v>
      </c>
      <c r="K47" s="392" t="s">
        <v>565</v>
      </c>
      <c r="L47" s="392">
        <f>L48+L49</f>
        <v>112839</v>
      </c>
      <c r="M47" s="392">
        <f t="shared" si="6"/>
        <v>0</v>
      </c>
      <c r="N47" s="392"/>
      <c r="O47" s="392">
        <f>O48+O49</f>
        <v>112839</v>
      </c>
      <c r="P47" s="392">
        <f t="shared" si="7"/>
        <v>0</v>
      </c>
      <c r="Q47" s="392"/>
      <c r="R47" s="392">
        <f>R48+R49</f>
        <v>112839</v>
      </c>
      <c r="S47" s="392">
        <f t="shared" si="8"/>
        <v>0</v>
      </c>
      <c r="T47" s="392"/>
      <c r="U47" s="392">
        <f>U48+U49</f>
        <v>112839</v>
      </c>
      <c r="V47" s="392">
        <f t="shared" si="9"/>
        <v>0</v>
      </c>
      <c r="W47" s="392"/>
      <c r="X47" s="392">
        <f>X48</f>
        <v>112837.57</v>
      </c>
      <c r="Y47" s="319">
        <f t="shared" si="2"/>
        <v>0.9999873270766314</v>
      </c>
      <c r="Z47" s="392"/>
    </row>
    <row r="48" spans="1:27" ht="14.25" customHeight="1" x14ac:dyDescent="0.3">
      <c r="B48" s="398"/>
      <c r="C48" s="400" t="s">
        <v>566</v>
      </c>
      <c r="D48" s="401" t="s">
        <v>567</v>
      </c>
      <c r="E48" s="352"/>
      <c r="F48" s="212"/>
      <c r="G48" s="392">
        <f t="shared" si="4"/>
        <v>0</v>
      </c>
      <c r="H48" s="228"/>
      <c r="I48" s="392">
        <f>3025+2989+4538+2468+7380+112+71355+538+851+19583</f>
        <v>112839</v>
      </c>
      <c r="J48" s="392">
        <f t="shared" si="5"/>
        <v>112839</v>
      </c>
      <c r="K48" s="215"/>
      <c r="L48" s="392">
        <f>ROUND(I48,0)</f>
        <v>112839</v>
      </c>
      <c r="M48" s="392">
        <f t="shared" si="6"/>
        <v>0</v>
      </c>
      <c r="N48" s="215"/>
      <c r="O48" s="392">
        <f>ROUND(L48,0)</f>
        <v>112839</v>
      </c>
      <c r="P48" s="392">
        <f t="shared" si="7"/>
        <v>0</v>
      </c>
      <c r="Q48" s="215"/>
      <c r="R48" s="392">
        <f>ROUND(O48,0)</f>
        <v>112839</v>
      </c>
      <c r="S48" s="392">
        <f t="shared" si="8"/>
        <v>0</v>
      </c>
      <c r="T48" s="215"/>
      <c r="U48" s="392">
        <f>ROUND(R48,0)</f>
        <v>112839</v>
      </c>
      <c r="V48" s="392">
        <f t="shared" si="9"/>
        <v>0</v>
      </c>
      <c r="W48" s="215"/>
      <c r="X48" s="392">
        <v>112837.57</v>
      </c>
      <c r="Y48" s="319">
        <f t="shared" si="2"/>
        <v>0.9999873270766314</v>
      </c>
      <c r="Z48" s="397"/>
    </row>
    <row r="49" spans="1:26" ht="31.8" customHeight="1" x14ac:dyDescent="0.3">
      <c r="B49" s="398"/>
      <c r="C49" s="400" t="s">
        <v>568</v>
      </c>
      <c r="D49" s="401" t="s">
        <v>569</v>
      </c>
      <c r="E49" s="352"/>
      <c r="F49" s="212"/>
      <c r="G49" s="392">
        <f t="shared" si="4"/>
        <v>0</v>
      </c>
      <c r="H49" s="228"/>
      <c r="I49" s="392"/>
      <c r="J49" s="392">
        <f t="shared" si="5"/>
        <v>0</v>
      </c>
      <c r="K49" s="215"/>
      <c r="L49" s="392">
        <f>ROUND(I49,0)</f>
        <v>0</v>
      </c>
      <c r="M49" s="392">
        <f t="shared" si="6"/>
        <v>0</v>
      </c>
      <c r="N49" s="215"/>
      <c r="O49" s="392"/>
      <c r="P49" s="392">
        <f t="shared" si="7"/>
        <v>0</v>
      </c>
      <c r="Q49" s="215"/>
      <c r="R49" s="392"/>
      <c r="S49" s="392">
        <f t="shared" si="8"/>
        <v>0</v>
      </c>
      <c r="T49" s="215"/>
      <c r="U49" s="392"/>
      <c r="V49" s="392">
        <f t="shared" si="9"/>
        <v>0</v>
      </c>
      <c r="W49" s="215"/>
      <c r="X49" s="392">
        <v>0</v>
      </c>
      <c r="Y49" s="319" t="e">
        <f t="shared" si="2"/>
        <v>#DIV/0!</v>
      </c>
      <c r="Z49" s="397"/>
    </row>
    <row r="50" spans="1:26" ht="13.95" customHeight="1" x14ac:dyDescent="0.25">
      <c r="B50" s="370" t="s">
        <v>570</v>
      </c>
      <c r="C50" s="400" t="s">
        <v>571</v>
      </c>
      <c r="D50" s="391" t="s">
        <v>572</v>
      </c>
      <c r="E50" s="230">
        <v>6510554</v>
      </c>
      <c r="F50" s="230">
        <f>F51+F52+F53</f>
        <v>6646187</v>
      </c>
      <c r="G50" s="412">
        <f t="shared" si="4"/>
        <v>135633</v>
      </c>
      <c r="H50" s="413"/>
      <c r="I50" s="412">
        <f>I51+I52+I53</f>
        <v>6646187</v>
      </c>
      <c r="J50" s="412">
        <f t="shared" si="5"/>
        <v>0</v>
      </c>
      <c r="K50" s="414"/>
      <c r="L50" s="412">
        <f>L51+L52+L53</f>
        <v>6646187</v>
      </c>
      <c r="M50" s="412">
        <f t="shared" si="6"/>
        <v>0</v>
      </c>
      <c r="N50" s="414"/>
      <c r="O50" s="412">
        <f>O51+O52+O53</f>
        <v>6646187</v>
      </c>
      <c r="P50" s="412">
        <f t="shared" si="7"/>
        <v>0</v>
      </c>
      <c r="Q50" s="414"/>
      <c r="R50" s="412">
        <f>R51+R52+R53</f>
        <v>6646187</v>
      </c>
      <c r="S50" s="412">
        <f t="shared" si="8"/>
        <v>0</v>
      </c>
      <c r="T50" s="414"/>
      <c r="U50" s="412">
        <f>U51+U52+U53</f>
        <v>6727374</v>
      </c>
      <c r="V50" s="412">
        <f t="shared" si="9"/>
        <v>81187</v>
      </c>
      <c r="W50" s="414" t="s">
        <v>553</v>
      </c>
      <c r="X50" s="412">
        <f>X51+X52+X53</f>
        <v>4833477</v>
      </c>
      <c r="Y50" s="325">
        <f t="shared" si="2"/>
        <v>0.71847900830249667</v>
      </c>
      <c r="Z50" s="415"/>
    </row>
    <row r="51" spans="1:26" s="418" customFormat="1" ht="14.4" x14ac:dyDescent="0.3">
      <c r="A51" s="370" t="s">
        <v>548</v>
      </c>
      <c r="B51" s="398" t="s">
        <v>573</v>
      </c>
      <c r="C51" s="400" t="s">
        <v>574</v>
      </c>
      <c r="D51" s="401" t="s">
        <v>575</v>
      </c>
      <c r="E51" s="231">
        <v>1100762</v>
      </c>
      <c r="F51" s="231">
        <f t="shared" ref="F51:F64" si="22">ROUND(E51,0)</f>
        <v>1100762</v>
      </c>
      <c r="G51" s="416">
        <f t="shared" si="4"/>
        <v>0</v>
      </c>
      <c r="H51" s="232"/>
      <c r="I51" s="416">
        <f t="shared" ref="I51:I58" si="23">ROUND(F51,0)</f>
        <v>1100762</v>
      </c>
      <c r="J51" s="416">
        <f t="shared" si="5"/>
        <v>0</v>
      </c>
      <c r="K51" s="233"/>
      <c r="L51" s="416">
        <f t="shared" ref="L51:L58" si="24">ROUND(I51,0)</f>
        <v>1100762</v>
      </c>
      <c r="M51" s="416">
        <f t="shared" si="6"/>
        <v>0</v>
      </c>
      <c r="N51" s="233"/>
      <c r="O51" s="416">
        <f t="shared" ref="O51:O58" si="25">ROUND(L51,0)</f>
        <v>1100762</v>
      </c>
      <c r="P51" s="416">
        <f t="shared" si="7"/>
        <v>0</v>
      </c>
      <c r="Q51" s="233"/>
      <c r="R51" s="416">
        <f t="shared" ref="R51:R58" si="26">ROUND(O51,0)</f>
        <v>1100762</v>
      </c>
      <c r="S51" s="416">
        <f t="shared" si="8"/>
        <v>0</v>
      </c>
      <c r="T51" s="233"/>
      <c r="U51" s="416">
        <f>ROUND(R51,0)-15145+33858-18775-2065-5439-13078</f>
        <v>1080118</v>
      </c>
      <c r="V51" s="416">
        <f t="shared" si="9"/>
        <v>-20644</v>
      </c>
      <c r="W51" s="233"/>
      <c r="X51" s="416">
        <v>802639</v>
      </c>
      <c r="Y51" s="326">
        <f t="shared" si="2"/>
        <v>0.74310306836845608</v>
      </c>
      <c r="Z51" s="417"/>
    </row>
    <row r="52" spans="1:26" s="418" customFormat="1" ht="14.4" x14ac:dyDescent="0.3">
      <c r="A52" s="370" t="s">
        <v>548</v>
      </c>
      <c r="B52" s="398" t="s">
        <v>576</v>
      </c>
      <c r="C52" s="400" t="s">
        <v>577</v>
      </c>
      <c r="D52" s="401" t="s">
        <v>578</v>
      </c>
      <c r="E52" s="231">
        <v>5092428</v>
      </c>
      <c r="F52" s="231">
        <f>ROUND(E52,0)+17418</f>
        <v>5109846</v>
      </c>
      <c r="G52" s="416">
        <f t="shared" si="4"/>
        <v>17418</v>
      </c>
      <c r="H52" s="234" t="s">
        <v>552</v>
      </c>
      <c r="I52" s="416">
        <f t="shared" si="23"/>
        <v>5109846</v>
      </c>
      <c r="J52" s="416">
        <f t="shared" si="5"/>
        <v>0</v>
      </c>
      <c r="K52" s="233"/>
      <c r="L52" s="416">
        <f t="shared" si="24"/>
        <v>5109846</v>
      </c>
      <c r="M52" s="416">
        <f t="shared" si="6"/>
        <v>0</v>
      </c>
      <c r="N52" s="233"/>
      <c r="O52" s="416">
        <f t="shared" si="25"/>
        <v>5109846</v>
      </c>
      <c r="P52" s="416">
        <f t="shared" si="7"/>
        <v>0</v>
      </c>
      <c r="Q52" s="233"/>
      <c r="R52" s="416">
        <f t="shared" si="26"/>
        <v>5109846</v>
      </c>
      <c r="S52" s="416">
        <f t="shared" si="8"/>
        <v>0</v>
      </c>
      <c r="T52" s="233"/>
      <c r="U52" s="416">
        <f>ROUND(R52,0)+(14311-2258)+85381</f>
        <v>5207280</v>
      </c>
      <c r="V52" s="416">
        <f t="shared" si="9"/>
        <v>97434</v>
      </c>
      <c r="W52" s="233"/>
      <c r="X52" s="419">
        <v>4030838</v>
      </c>
      <c r="Y52" s="366">
        <f t="shared" si="2"/>
        <v>0.77407744542256229</v>
      </c>
      <c r="Z52" s="417"/>
    </row>
    <row r="53" spans="1:26" s="418" customFormat="1" x14ac:dyDescent="0.25">
      <c r="A53" s="370" t="s">
        <v>548</v>
      </c>
      <c r="B53" s="370"/>
      <c r="C53" s="400" t="s">
        <v>579</v>
      </c>
      <c r="D53" s="401" t="s">
        <v>580</v>
      </c>
      <c r="E53" s="231">
        <v>317364</v>
      </c>
      <c r="F53" s="231">
        <f>ROUND(E53,0)-44403+110614+52004</f>
        <v>435579</v>
      </c>
      <c r="G53" s="420">
        <f t="shared" si="4"/>
        <v>118215</v>
      </c>
      <c r="H53" s="234" t="s">
        <v>552</v>
      </c>
      <c r="I53" s="416">
        <f t="shared" si="23"/>
        <v>435579</v>
      </c>
      <c r="J53" s="420">
        <f t="shared" si="5"/>
        <v>0</v>
      </c>
      <c r="K53" s="235"/>
      <c r="L53" s="416">
        <f t="shared" si="24"/>
        <v>435579</v>
      </c>
      <c r="M53" s="420">
        <f t="shared" si="6"/>
        <v>0</v>
      </c>
      <c r="N53" s="235"/>
      <c r="O53" s="416">
        <f t="shared" si="25"/>
        <v>435579</v>
      </c>
      <c r="P53" s="420">
        <f t="shared" si="7"/>
        <v>0</v>
      </c>
      <c r="Q53" s="235"/>
      <c r="R53" s="416">
        <f t="shared" si="26"/>
        <v>435579</v>
      </c>
      <c r="S53" s="420">
        <f t="shared" si="8"/>
        <v>0</v>
      </c>
      <c r="T53" s="235"/>
      <c r="U53" s="416">
        <f>ROUND(R53,0)-4668-2660+30088-18363</f>
        <v>439976</v>
      </c>
      <c r="V53" s="420">
        <f t="shared" si="9"/>
        <v>4397</v>
      </c>
      <c r="W53" s="235"/>
      <c r="X53" s="421"/>
      <c r="Y53" s="367">
        <f>X53/R53</f>
        <v>0</v>
      </c>
      <c r="Z53" s="417"/>
    </row>
    <row r="54" spans="1:26" ht="31.5" customHeight="1" x14ac:dyDescent="0.25">
      <c r="A54" s="370" t="s">
        <v>548</v>
      </c>
      <c r="B54" s="370" t="s">
        <v>581</v>
      </c>
      <c r="C54" s="400" t="s">
        <v>582</v>
      </c>
      <c r="D54" s="391" t="s">
        <v>583</v>
      </c>
      <c r="E54" s="212">
        <v>13088</v>
      </c>
      <c r="F54" s="212">
        <f t="shared" si="22"/>
        <v>13088</v>
      </c>
      <c r="G54" s="392">
        <f t="shared" si="4"/>
        <v>0</v>
      </c>
      <c r="H54" s="219"/>
      <c r="I54" s="392">
        <f t="shared" si="23"/>
        <v>13088</v>
      </c>
      <c r="J54" s="392">
        <f t="shared" si="5"/>
        <v>0</v>
      </c>
      <c r="K54" s="220"/>
      <c r="L54" s="392">
        <f t="shared" si="24"/>
        <v>13088</v>
      </c>
      <c r="M54" s="392">
        <f t="shared" si="6"/>
        <v>0</v>
      </c>
      <c r="N54" s="220"/>
      <c r="O54" s="392">
        <f t="shared" si="25"/>
        <v>13088</v>
      </c>
      <c r="P54" s="392">
        <f t="shared" si="7"/>
        <v>0</v>
      </c>
      <c r="Q54" s="220"/>
      <c r="R54" s="392">
        <f t="shared" si="26"/>
        <v>13088</v>
      </c>
      <c r="S54" s="392">
        <f t="shared" si="8"/>
        <v>0</v>
      </c>
      <c r="T54" s="220"/>
      <c r="U54" s="422">
        <f>ROUND(R54,0)+7079+7679</f>
        <v>27846</v>
      </c>
      <c r="V54" s="422">
        <f t="shared" si="9"/>
        <v>14758</v>
      </c>
      <c r="W54" s="423" t="s">
        <v>1267</v>
      </c>
      <c r="X54" s="392">
        <v>12493</v>
      </c>
      <c r="Y54" s="319">
        <f>X54/U54</f>
        <v>0.44864612511671337</v>
      </c>
      <c r="Z54" s="397"/>
    </row>
    <row r="55" spans="1:26" ht="19.2" customHeight="1" x14ac:dyDescent="0.3">
      <c r="A55" s="370" t="s">
        <v>548</v>
      </c>
      <c r="B55" s="398" t="s">
        <v>584</v>
      </c>
      <c r="C55" s="400" t="s">
        <v>585</v>
      </c>
      <c r="D55" s="391" t="s">
        <v>586</v>
      </c>
      <c r="E55" s="212">
        <v>14485</v>
      </c>
      <c r="F55" s="212">
        <f>ROUND(E55,0)</f>
        <v>14485</v>
      </c>
      <c r="G55" s="392">
        <f t="shared" si="4"/>
        <v>0</v>
      </c>
      <c r="H55" s="213"/>
      <c r="I55" s="392">
        <f>ROUND(F55,0)+26175</f>
        <v>40660</v>
      </c>
      <c r="J55" s="392">
        <f t="shared" si="5"/>
        <v>26175</v>
      </c>
      <c r="K55" s="214" t="s">
        <v>587</v>
      </c>
      <c r="L55" s="392">
        <f t="shared" si="24"/>
        <v>40660</v>
      </c>
      <c r="M55" s="392">
        <f t="shared" si="6"/>
        <v>0</v>
      </c>
      <c r="N55" s="214"/>
      <c r="O55" s="392">
        <f t="shared" si="25"/>
        <v>40660</v>
      </c>
      <c r="P55" s="392">
        <f t="shared" si="7"/>
        <v>0</v>
      </c>
      <c r="Q55" s="214"/>
      <c r="R55" s="392">
        <f t="shared" si="26"/>
        <v>40660</v>
      </c>
      <c r="S55" s="392">
        <f t="shared" si="8"/>
        <v>0</v>
      </c>
      <c r="T55" s="214"/>
      <c r="U55" s="392">
        <f>ROUND(R55,0)</f>
        <v>40660</v>
      </c>
      <c r="V55" s="392">
        <f t="shared" si="9"/>
        <v>0</v>
      </c>
      <c r="W55" s="214"/>
      <c r="X55" s="424">
        <v>47414.18</v>
      </c>
      <c r="Y55" s="368">
        <f>X55/(U55+U56)</f>
        <v>0.91392020046260602</v>
      </c>
      <c r="Z55" s="425"/>
    </row>
    <row r="56" spans="1:26" ht="19.2" customHeight="1" x14ac:dyDescent="0.3">
      <c r="B56" s="398"/>
      <c r="C56" s="400" t="s">
        <v>588</v>
      </c>
      <c r="D56" s="391" t="s">
        <v>589</v>
      </c>
      <c r="E56" s="212">
        <v>3668</v>
      </c>
      <c r="F56" s="212">
        <f>ROUND(E56,0)</f>
        <v>3668</v>
      </c>
      <c r="G56" s="392">
        <f t="shared" si="4"/>
        <v>0</v>
      </c>
      <c r="H56" s="213"/>
      <c r="I56" s="392">
        <f>ROUND(F56,0)+7552</f>
        <v>11220</v>
      </c>
      <c r="J56" s="392">
        <f t="shared" si="5"/>
        <v>7552</v>
      </c>
      <c r="K56" s="214" t="s">
        <v>587</v>
      </c>
      <c r="L56" s="392">
        <f t="shared" si="24"/>
        <v>11220</v>
      </c>
      <c r="M56" s="392">
        <f t="shared" si="6"/>
        <v>0</v>
      </c>
      <c r="N56" s="214"/>
      <c r="O56" s="392">
        <f t="shared" si="25"/>
        <v>11220</v>
      </c>
      <c r="P56" s="392">
        <f t="shared" si="7"/>
        <v>0</v>
      </c>
      <c r="Q56" s="214"/>
      <c r="R56" s="392">
        <f t="shared" si="26"/>
        <v>11220</v>
      </c>
      <c r="S56" s="392">
        <f t="shared" si="8"/>
        <v>0</v>
      </c>
      <c r="T56" s="214"/>
      <c r="U56" s="392">
        <f>ROUND(R56,0)</f>
        <v>11220</v>
      </c>
      <c r="V56" s="392">
        <f t="shared" si="9"/>
        <v>0</v>
      </c>
      <c r="W56" s="214"/>
      <c r="X56" s="426"/>
      <c r="Y56" s="369">
        <f>X56/R56</f>
        <v>0</v>
      </c>
      <c r="Z56" s="425"/>
    </row>
    <row r="57" spans="1:26" ht="30.6" customHeight="1" x14ac:dyDescent="0.25">
      <c r="B57" s="370" t="s">
        <v>590</v>
      </c>
      <c r="C57" s="400" t="s">
        <v>591</v>
      </c>
      <c r="D57" s="391" t="s">
        <v>592</v>
      </c>
      <c r="E57" s="212">
        <v>501000</v>
      </c>
      <c r="F57" s="212">
        <f t="shared" si="22"/>
        <v>501000</v>
      </c>
      <c r="G57" s="392">
        <f t="shared" si="4"/>
        <v>0</v>
      </c>
      <c r="H57" s="228"/>
      <c r="I57" s="392">
        <f t="shared" si="23"/>
        <v>501000</v>
      </c>
      <c r="J57" s="392">
        <f t="shared" si="5"/>
        <v>0</v>
      </c>
      <c r="K57" s="215"/>
      <c r="L57" s="392">
        <f t="shared" si="24"/>
        <v>501000</v>
      </c>
      <c r="M57" s="392">
        <f t="shared" si="6"/>
        <v>0</v>
      </c>
      <c r="N57" s="215"/>
      <c r="O57" s="392">
        <f t="shared" si="25"/>
        <v>501000</v>
      </c>
      <c r="P57" s="392">
        <f t="shared" si="7"/>
        <v>0</v>
      </c>
      <c r="Q57" s="215"/>
      <c r="R57" s="392">
        <f t="shared" si="26"/>
        <v>501000</v>
      </c>
      <c r="S57" s="392">
        <f t="shared" si="8"/>
        <v>0</v>
      </c>
      <c r="T57" s="215"/>
      <c r="U57" s="392">
        <f>ROUND(R57,0)</f>
        <v>501000</v>
      </c>
      <c r="V57" s="392">
        <f t="shared" si="9"/>
        <v>0</v>
      </c>
      <c r="W57" s="215"/>
      <c r="X57" s="392">
        <v>432213.58</v>
      </c>
      <c r="Y57" s="319">
        <f t="shared" ref="Y57:Y120" si="27">X57/U57</f>
        <v>0.86270175648702596</v>
      </c>
      <c r="Z57" s="397"/>
    </row>
    <row r="58" spans="1:26" ht="31.5" customHeight="1" x14ac:dyDescent="0.25">
      <c r="C58" s="400" t="s">
        <v>593</v>
      </c>
      <c r="D58" s="391" t="s">
        <v>594</v>
      </c>
      <c r="E58" s="212">
        <v>0</v>
      </c>
      <c r="F58" s="212">
        <f t="shared" si="22"/>
        <v>0</v>
      </c>
      <c r="G58" s="392">
        <f t="shared" si="4"/>
        <v>0</v>
      </c>
      <c r="H58" s="213"/>
      <c r="I58" s="392">
        <f t="shared" si="23"/>
        <v>0</v>
      </c>
      <c r="J58" s="392">
        <f t="shared" si="5"/>
        <v>0</v>
      </c>
      <c r="K58" s="214"/>
      <c r="L58" s="392">
        <f t="shared" si="24"/>
        <v>0</v>
      </c>
      <c r="M58" s="392">
        <f t="shared" si="6"/>
        <v>0</v>
      </c>
      <c r="N58" s="214"/>
      <c r="O58" s="392">
        <f t="shared" si="25"/>
        <v>0</v>
      </c>
      <c r="P58" s="392">
        <f t="shared" si="7"/>
        <v>0</v>
      </c>
      <c r="Q58" s="214"/>
      <c r="R58" s="392">
        <f t="shared" si="26"/>
        <v>0</v>
      </c>
      <c r="S58" s="392">
        <f t="shared" si="8"/>
        <v>0</v>
      </c>
      <c r="T58" s="214"/>
      <c r="U58" s="392">
        <f>ROUND(R58,0)</f>
        <v>0</v>
      </c>
      <c r="V58" s="392">
        <f t="shared" si="9"/>
        <v>0</v>
      </c>
      <c r="W58" s="214"/>
      <c r="X58" s="397"/>
      <c r="Y58" s="319" t="e">
        <f t="shared" si="27"/>
        <v>#DIV/0!</v>
      </c>
      <c r="Z58" s="397"/>
    </row>
    <row r="59" spans="1:26" ht="31.5" customHeight="1" x14ac:dyDescent="0.25">
      <c r="C59" s="400"/>
      <c r="D59" s="391" t="s">
        <v>595</v>
      </c>
      <c r="E59" s="212">
        <v>0</v>
      </c>
      <c r="F59" s="212"/>
      <c r="G59" s="392">
        <f t="shared" si="4"/>
        <v>0</v>
      </c>
      <c r="H59" s="213"/>
      <c r="I59" s="392"/>
      <c r="J59" s="392">
        <f t="shared" si="5"/>
        <v>0</v>
      </c>
      <c r="K59" s="214"/>
      <c r="L59" s="392"/>
      <c r="M59" s="392">
        <f t="shared" si="6"/>
        <v>0</v>
      </c>
      <c r="N59" s="214"/>
      <c r="O59" s="392"/>
      <c r="P59" s="392">
        <f t="shared" si="7"/>
        <v>0</v>
      </c>
      <c r="Q59" s="214"/>
      <c r="R59" s="392"/>
      <c r="S59" s="392">
        <f t="shared" si="8"/>
        <v>0</v>
      </c>
      <c r="T59" s="214"/>
      <c r="U59" s="392"/>
      <c r="V59" s="392">
        <f t="shared" si="9"/>
        <v>0</v>
      </c>
      <c r="W59" s="214"/>
      <c r="X59" s="397"/>
      <c r="Y59" s="319" t="e">
        <f t="shared" si="27"/>
        <v>#DIV/0!</v>
      </c>
      <c r="Z59" s="397"/>
    </row>
    <row r="60" spans="1:26" ht="28.2" customHeight="1" x14ac:dyDescent="0.25">
      <c r="B60" s="427" t="s">
        <v>596</v>
      </c>
      <c r="C60" s="400" t="s">
        <v>597</v>
      </c>
      <c r="D60" s="428" t="s">
        <v>598</v>
      </c>
      <c r="E60" s="212">
        <v>342263</v>
      </c>
      <c r="F60" s="212">
        <f>ROUND(E60,0)+59292+1248</f>
        <v>402803</v>
      </c>
      <c r="G60" s="392">
        <f t="shared" si="4"/>
        <v>60540</v>
      </c>
      <c r="H60" s="215" t="s">
        <v>599</v>
      </c>
      <c r="I60" s="392">
        <f>ROUND(F60,0)+3966</f>
        <v>406769</v>
      </c>
      <c r="J60" s="392">
        <f t="shared" si="5"/>
        <v>3966</v>
      </c>
      <c r="K60" s="214" t="s">
        <v>600</v>
      </c>
      <c r="L60" s="392">
        <f>ROUND(I60,0)</f>
        <v>406769</v>
      </c>
      <c r="M60" s="392">
        <f t="shared" si="6"/>
        <v>0</v>
      </c>
      <c r="N60" s="214"/>
      <c r="O60" s="392">
        <f t="shared" ref="O60:O65" si="28">ROUND(L60,0)</f>
        <v>406769</v>
      </c>
      <c r="P60" s="392">
        <f t="shared" si="7"/>
        <v>0</v>
      </c>
      <c r="Q60" s="214"/>
      <c r="R60" s="392">
        <f t="shared" ref="R60:R65" si="29">ROUND(O60,0)</f>
        <v>406769</v>
      </c>
      <c r="S60" s="392">
        <f t="shared" si="8"/>
        <v>0</v>
      </c>
      <c r="T60" s="214"/>
      <c r="U60" s="392">
        <f t="shared" ref="U60:U64" si="30">ROUND(R60,0)</f>
        <v>406769</v>
      </c>
      <c r="V60" s="392">
        <f t="shared" si="9"/>
        <v>0</v>
      </c>
      <c r="W60" s="214"/>
      <c r="X60" s="392">
        <v>306379</v>
      </c>
      <c r="Y60" s="319">
        <f t="shared" si="27"/>
        <v>0.75320144848796244</v>
      </c>
      <c r="Z60" s="392" t="s">
        <v>1226</v>
      </c>
    </row>
    <row r="61" spans="1:26" ht="58.95" customHeight="1" x14ac:dyDescent="0.25">
      <c r="C61" s="400"/>
      <c r="D61" s="391" t="s">
        <v>601</v>
      </c>
      <c r="E61" s="212">
        <v>0</v>
      </c>
      <c r="F61" s="212">
        <f t="shared" si="22"/>
        <v>0</v>
      </c>
      <c r="G61" s="392">
        <f t="shared" si="4"/>
        <v>0</v>
      </c>
      <c r="H61" s="228"/>
      <c r="I61" s="392">
        <f>ROUND(F61,0)</f>
        <v>0</v>
      </c>
      <c r="J61" s="392">
        <f t="shared" si="5"/>
        <v>0</v>
      </c>
      <c r="K61" s="215"/>
      <c r="L61" s="392">
        <f>ROUND(I61,0)</f>
        <v>0</v>
      </c>
      <c r="M61" s="392">
        <f t="shared" si="6"/>
        <v>0</v>
      </c>
      <c r="N61" s="215"/>
      <c r="O61" s="392">
        <f t="shared" si="28"/>
        <v>0</v>
      </c>
      <c r="P61" s="392">
        <f t="shared" si="7"/>
        <v>0</v>
      </c>
      <c r="Q61" s="215"/>
      <c r="R61" s="392">
        <f t="shared" si="29"/>
        <v>0</v>
      </c>
      <c r="S61" s="392">
        <f t="shared" si="8"/>
        <v>0</v>
      </c>
      <c r="T61" s="215"/>
      <c r="U61" s="392">
        <f t="shared" si="30"/>
        <v>0</v>
      </c>
      <c r="V61" s="392">
        <f t="shared" si="9"/>
        <v>0</v>
      </c>
      <c r="W61" s="215"/>
      <c r="X61" s="392"/>
      <c r="Y61" s="327" t="e">
        <f t="shared" si="27"/>
        <v>#DIV/0!</v>
      </c>
      <c r="Z61" s="425"/>
    </row>
    <row r="62" spans="1:26" ht="33.75" customHeight="1" x14ac:dyDescent="0.25">
      <c r="C62" s="400" t="s">
        <v>602</v>
      </c>
      <c r="D62" s="391" t="s">
        <v>603</v>
      </c>
      <c r="E62" s="212">
        <v>50000</v>
      </c>
      <c r="F62" s="212">
        <f t="shared" si="22"/>
        <v>50000</v>
      </c>
      <c r="G62" s="392">
        <f t="shared" si="4"/>
        <v>0</v>
      </c>
      <c r="H62" s="228"/>
      <c r="I62" s="392">
        <f>ROUND(F62,0)</f>
        <v>50000</v>
      </c>
      <c r="J62" s="392">
        <f t="shared" si="5"/>
        <v>0</v>
      </c>
      <c r="K62" s="215"/>
      <c r="L62" s="392">
        <f>ROUND(I62,0)</f>
        <v>50000</v>
      </c>
      <c r="M62" s="392">
        <f t="shared" si="6"/>
        <v>0</v>
      </c>
      <c r="N62" s="215"/>
      <c r="O62" s="392">
        <f t="shared" si="28"/>
        <v>50000</v>
      </c>
      <c r="P62" s="392">
        <f t="shared" si="7"/>
        <v>0</v>
      </c>
      <c r="Q62" s="215"/>
      <c r="R62" s="392">
        <f t="shared" si="29"/>
        <v>50000</v>
      </c>
      <c r="S62" s="392">
        <f t="shared" si="8"/>
        <v>0</v>
      </c>
      <c r="T62" s="215"/>
      <c r="U62" s="392">
        <f>ROUND(R62,0)+20000</f>
        <v>70000</v>
      </c>
      <c r="V62" s="392">
        <f t="shared" si="9"/>
        <v>20000</v>
      </c>
      <c r="W62" s="215" t="s">
        <v>1214</v>
      </c>
      <c r="X62" s="392">
        <v>57529.05</v>
      </c>
      <c r="Y62" s="327">
        <f t="shared" si="27"/>
        <v>0.82184357142857145</v>
      </c>
      <c r="Z62" s="429" t="s">
        <v>1227</v>
      </c>
    </row>
    <row r="63" spans="1:26" ht="17.399999999999999" customHeight="1" x14ac:dyDescent="0.25">
      <c r="B63" s="370" t="s">
        <v>570</v>
      </c>
      <c r="C63" s="400" t="s">
        <v>604</v>
      </c>
      <c r="D63" s="391" t="s">
        <v>605</v>
      </c>
      <c r="E63" s="212">
        <v>200000</v>
      </c>
      <c r="F63" s="212">
        <f t="shared" si="22"/>
        <v>200000</v>
      </c>
      <c r="G63" s="392">
        <f t="shared" si="4"/>
        <v>0</v>
      </c>
      <c r="H63" s="228"/>
      <c r="I63" s="392">
        <f>ROUND(F63,0)</f>
        <v>200000</v>
      </c>
      <c r="J63" s="392">
        <f t="shared" si="5"/>
        <v>0</v>
      </c>
      <c r="K63" s="215"/>
      <c r="L63" s="392">
        <f>ROUND(I63,0)</f>
        <v>200000</v>
      </c>
      <c r="M63" s="392">
        <f t="shared" si="6"/>
        <v>0</v>
      </c>
      <c r="N63" s="215"/>
      <c r="O63" s="392">
        <f t="shared" si="28"/>
        <v>200000</v>
      </c>
      <c r="P63" s="392">
        <f t="shared" si="7"/>
        <v>0</v>
      </c>
      <c r="Q63" s="215"/>
      <c r="R63" s="392">
        <f t="shared" si="29"/>
        <v>200000</v>
      </c>
      <c r="S63" s="392">
        <f t="shared" si="8"/>
        <v>0</v>
      </c>
      <c r="T63" s="215"/>
      <c r="U63" s="392">
        <f t="shared" si="30"/>
        <v>200000</v>
      </c>
      <c r="V63" s="392">
        <f t="shared" si="9"/>
        <v>0</v>
      </c>
      <c r="W63" s="215"/>
      <c r="X63" s="397"/>
      <c r="Y63" s="327">
        <f t="shared" si="27"/>
        <v>0</v>
      </c>
      <c r="Z63" s="429" t="s">
        <v>1228</v>
      </c>
    </row>
    <row r="64" spans="1:26" ht="14.4" x14ac:dyDescent="0.3">
      <c r="A64" s="370" t="s">
        <v>548</v>
      </c>
      <c r="B64" s="398" t="s">
        <v>606</v>
      </c>
      <c r="C64" s="400" t="s">
        <v>607</v>
      </c>
      <c r="D64" s="431" t="s">
        <v>608</v>
      </c>
      <c r="E64" s="212">
        <v>0</v>
      </c>
      <c r="F64" s="212">
        <f t="shared" si="22"/>
        <v>0</v>
      </c>
      <c r="G64" s="392">
        <f>F64-E64</f>
        <v>0</v>
      </c>
      <c r="H64" s="237"/>
      <c r="I64" s="392">
        <f>ROUND(F64,0)</f>
        <v>0</v>
      </c>
      <c r="J64" s="392">
        <f>I64-F64</f>
        <v>0</v>
      </c>
      <c r="K64" s="238"/>
      <c r="L64" s="392">
        <f>ROUND(I64,0)</f>
        <v>0</v>
      </c>
      <c r="M64" s="392">
        <f>L64-I64</f>
        <v>0</v>
      </c>
      <c r="N64" s="238"/>
      <c r="O64" s="392">
        <f t="shared" si="28"/>
        <v>0</v>
      </c>
      <c r="P64" s="392">
        <f>O64-L64</f>
        <v>0</v>
      </c>
      <c r="Q64" s="238"/>
      <c r="R64" s="392">
        <f t="shared" si="29"/>
        <v>0</v>
      </c>
      <c r="S64" s="392">
        <f>R64-O64</f>
        <v>0</v>
      </c>
      <c r="T64" s="238"/>
      <c r="U64" s="392">
        <f t="shared" si="30"/>
        <v>0</v>
      </c>
      <c r="V64" s="392">
        <f>U64-R64</f>
        <v>0</v>
      </c>
      <c r="W64" s="238"/>
      <c r="X64" s="397"/>
      <c r="Y64" s="319" t="e">
        <f t="shared" si="27"/>
        <v>#DIV/0!</v>
      </c>
      <c r="Z64" s="397"/>
    </row>
    <row r="65" spans="1:26" ht="26.4" customHeight="1" x14ac:dyDescent="0.25">
      <c r="A65" s="427" t="s">
        <v>1268</v>
      </c>
      <c r="B65" s="370" t="s">
        <v>610</v>
      </c>
      <c r="C65" s="400" t="s">
        <v>611</v>
      </c>
      <c r="D65" s="391" t="s">
        <v>612</v>
      </c>
      <c r="E65" s="212">
        <v>143640</v>
      </c>
      <c r="F65" s="212">
        <f>ROUND(E65,0)+8232</f>
        <v>151872</v>
      </c>
      <c r="G65" s="392">
        <f t="shared" si="4"/>
        <v>8232</v>
      </c>
      <c r="H65" s="239" t="s">
        <v>613</v>
      </c>
      <c r="I65" s="392">
        <f>ROUND(F65,0)</f>
        <v>151872</v>
      </c>
      <c r="J65" s="392">
        <f t="shared" si="5"/>
        <v>0</v>
      </c>
      <c r="K65" s="215"/>
      <c r="L65" s="392">
        <f>ROUND(I65,0)+50781</f>
        <v>202653</v>
      </c>
      <c r="M65" s="392">
        <f t="shared" si="6"/>
        <v>50781</v>
      </c>
      <c r="N65" s="215" t="s">
        <v>614</v>
      </c>
      <c r="O65" s="392">
        <f t="shared" si="28"/>
        <v>202653</v>
      </c>
      <c r="P65" s="392">
        <f t="shared" si="7"/>
        <v>0</v>
      </c>
      <c r="Q65" s="215"/>
      <c r="R65" s="392">
        <f t="shared" si="29"/>
        <v>202653</v>
      </c>
      <c r="S65" s="392">
        <f t="shared" ref="S65:S124" si="31">R65-O65</f>
        <v>0</v>
      </c>
      <c r="T65" s="215"/>
      <c r="U65" s="422">
        <f>ROUND(R65,0)+1198</f>
        <v>203851</v>
      </c>
      <c r="V65" s="422">
        <f t="shared" ref="V65:V124" si="32">U65-R65</f>
        <v>1198</v>
      </c>
      <c r="W65" s="239" t="s">
        <v>1269</v>
      </c>
      <c r="X65" s="392">
        <f>129435.22+17448+18000</f>
        <v>164883.22</v>
      </c>
      <c r="Y65" s="319">
        <f t="shared" si="27"/>
        <v>0.80884185017488264</v>
      </c>
      <c r="Z65" s="405" t="s">
        <v>1229</v>
      </c>
    </row>
    <row r="66" spans="1:26" ht="25.95" customHeight="1" x14ac:dyDescent="0.25">
      <c r="C66" s="407" t="s">
        <v>615</v>
      </c>
      <c r="D66" s="408" t="s">
        <v>616</v>
      </c>
      <c r="E66" s="240">
        <v>1159816</v>
      </c>
      <c r="F66" s="240">
        <f t="shared" ref="F66" si="33">SUM(F67:F86)</f>
        <v>1271081</v>
      </c>
      <c r="G66" s="409">
        <f t="shared" si="4"/>
        <v>111265</v>
      </c>
      <c r="H66" s="241"/>
      <c r="I66" s="409">
        <f>SUM(I67:I86)</f>
        <v>1246934</v>
      </c>
      <c r="J66" s="409">
        <f t="shared" si="5"/>
        <v>-24147</v>
      </c>
      <c r="K66" s="242"/>
      <c r="L66" s="409">
        <f>SUM(L67:L86)</f>
        <v>1246934</v>
      </c>
      <c r="M66" s="409">
        <f t="shared" si="6"/>
        <v>0</v>
      </c>
      <c r="N66" s="242"/>
      <c r="O66" s="409">
        <f>SUM(O67:O86)</f>
        <v>1246934</v>
      </c>
      <c r="P66" s="409">
        <f t="shared" si="7"/>
        <v>0</v>
      </c>
      <c r="Q66" s="242"/>
      <c r="R66" s="409">
        <f>SUM(R67:R86)</f>
        <v>1305632</v>
      </c>
      <c r="S66" s="409">
        <f t="shared" si="31"/>
        <v>58698</v>
      </c>
      <c r="T66" s="242"/>
      <c r="U66" s="409">
        <f>SUM(U67:U86)</f>
        <v>1305632</v>
      </c>
      <c r="V66" s="409">
        <f t="shared" si="32"/>
        <v>0</v>
      </c>
      <c r="W66" s="242"/>
      <c r="X66" s="409">
        <f>SUM(X67:X86)</f>
        <v>727424.26</v>
      </c>
      <c r="Y66" s="328">
        <f t="shared" si="27"/>
        <v>0.55714340641160753</v>
      </c>
      <c r="Z66" s="409" t="s">
        <v>1230</v>
      </c>
    </row>
    <row r="67" spans="1:26" x14ac:dyDescent="0.25">
      <c r="A67" s="370" t="s">
        <v>617</v>
      </c>
      <c r="B67" s="370" t="s">
        <v>618</v>
      </c>
      <c r="C67" s="400" t="s">
        <v>619</v>
      </c>
      <c r="D67" s="431" t="s">
        <v>620</v>
      </c>
      <c r="E67" s="212">
        <v>0</v>
      </c>
      <c r="F67" s="212">
        <f>ROUND(E67,0)+(109839-16873)</f>
        <v>92966</v>
      </c>
      <c r="G67" s="392">
        <f t="shared" si="4"/>
        <v>92966</v>
      </c>
      <c r="H67" s="222" t="s">
        <v>621</v>
      </c>
      <c r="I67" s="392">
        <f t="shared" ref="I67:I87" si="34">ROUND(F67,0)</f>
        <v>92966</v>
      </c>
      <c r="J67" s="392">
        <f t="shared" si="5"/>
        <v>0</v>
      </c>
      <c r="K67" s="222"/>
      <c r="L67" s="392">
        <f t="shared" ref="L67:L87" si="35">ROUND(I67,0)</f>
        <v>92966</v>
      </c>
      <c r="M67" s="392">
        <f t="shared" si="6"/>
        <v>0</v>
      </c>
      <c r="N67" s="222"/>
      <c r="O67" s="392">
        <f t="shared" ref="O67:O87" si="36">ROUND(L67,0)</f>
        <v>92966</v>
      </c>
      <c r="P67" s="392">
        <f t="shared" si="7"/>
        <v>0</v>
      </c>
      <c r="Q67" s="222"/>
      <c r="R67" s="392">
        <f t="shared" ref="R67:R87" si="37">ROUND(O67,0)</f>
        <v>92966</v>
      </c>
      <c r="S67" s="392">
        <f t="shared" si="31"/>
        <v>0</v>
      </c>
      <c r="T67" s="222"/>
      <c r="U67" s="392">
        <f>ROUND(R67,0)</f>
        <v>92966</v>
      </c>
      <c r="V67" s="392">
        <f t="shared" si="32"/>
        <v>0</v>
      </c>
      <c r="W67" s="222"/>
      <c r="X67" s="392">
        <v>109838.99</v>
      </c>
      <c r="Y67" s="319">
        <f t="shared" si="27"/>
        <v>1.1814963535055827</v>
      </c>
      <c r="Z67" s="392" t="s">
        <v>1230</v>
      </c>
    </row>
    <row r="68" spans="1:26" ht="14.25" customHeight="1" x14ac:dyDescent="0.25">
      <c r="C68" s="400" t="s">
        <v>622</v>
      </c>
      <c r="D68" s="431" t="s">
        <v>623</v>
      </c>
      <c r="E68" s="212">
        <v>63988</v>
      </c>
      <c r="F68" s="212">
        <f t="shared" ref="F68:F87" si="38">ROUND(E68,0)</f>
        <v>63988</v>
      </c>
      <c r="G68" s="392">
        <f t="shared" si="4"/>
        <v>0</v>
      </c>
      <c r="H68" s="228"/>
      <c r="I68" s="392">
        <f t="shared" si="34"/>
        <v>63988</v>
      </c>
      <c r="J68" s="392">
        <f t="shared" si="5"/>
        <v>0</v>
      </c>
      <c r="K68" s="215"/>
      <c r="L68" s="392">
        <f t="shared" si="35"/>
        <v>63988</v>
      </c>
      <c r="M68" s="392">
        <f t="shared" si="6"/>
        <v>0</v>
      </c>
      <c r="N68" s="215"/>
      <c r="O68" s="392">
        <f t="shared" si="36"/>
        <v>63988</v>
      </c>
      <c r="P68" s="392">
        <f t="shared" si="7"/>
        <v>0</v>
      </c>
      <c r="Q68" s="215"/>
      <c r="R68" s="392">
        <f t="shared" si="37"/>
        <v>63988</v>
      </c>
      <c r="S68" s="392">
        <f t="shared" si="31"/>
        <v>0</v>
      </c>
      <c r="T68" s="215"/>
      <c r="U68" s="392">
        <f>ROUND(R68,0)</f>
        <v>63988</v>
      </c>
      <c r="V68" s="392">
        <f t="shared" si="32"/>
        <v>0</v>
      </c>
      <c r="W68" s="215"/>
      <c r="X68" s="430">
        <v>0</v>
      </c>
      <c r="Y68" s="319">
        <f t="shared" si="27"/>
        <v>0</v>
      </c>
      <c r="Z68" s="432" t="s">
        <v>1231</v>
      </c>
    </row>
    <row r="69" spans="1:26" ht="41.4" x14ac:dyDescent="0.25">
      <c r="B69" s="433" t="s">
        <v>624</v>
      </c>
      <c r="C69" s="400" t="s">
        <v>625</v>
      </c>
      <c r="D69" s="431" t="s">
        <v>626</v>
      </c>
      <c r="E69" s="212">
        <v>2532</v>
      </c>
      <c r="F69" s="212">
        <f t="shared" si="38"/>
        <v>2532</v>
      </c>
      <c r="G69" s="392">
        <f t="shared" si="4"/>
        <v>0</v>
      </c>
      <c r="H69" s="221"/>
      <c r="I69" s="392">
        <f t="shared" si="34"/>
        <v>2532</v>
      </c>
      <c r="J69" s="392">
        <f t="shared" si="5"/>
        <v>0</v>
      </c>
      <c r="K69" s="222"/>
      <c r="L69" s="392">
        <f t="shared" si="35"/>
        <v>2532</v>
      </c>
      <c r="M69" s="392">
        <f t="shared" si="6"/>
        <v>0</v>
      </c>
      <c r="N69" s="222"/>
      <c r="O69" s="392">
        <f t="shared" si="36"/>
        <v>2532</v>
      </c>
      <c r="P69" s="392">
        <f t="shared" si="7"/>
        <v>0</v>
      </c>
      <c r="Q69" s="222"/>
      <c r="R69" s="392">
        <f t="shared" si="37"/>
        <v>2532</v>
      </c>
      <c r="S69" s="392">
        <f t="shared" si="31"/>
        <v>0</v>
      </c>
      <c r="T69" s="222"/>
      <c r="U69" s="392">
        <f>ROUND(R69,0)</f>
        <v>2532</v>
      </c>
      <c r="V69" s="392">
        <f t="shared" si="32"/>
        <v>0</v>
      </c>
      <c r="W69" s="222"/>
      <c r="X69" s="392">
        <v>2532.0300000000002</v>
      </c>
      <c r="Y69" s="319">
        <f t="shared" si="27"/>
        <v>1.0000118483412324</v>
      </c>
      <c r="Z69" s="397"/>
    </row>
    <row r="70" spans="1:26" ht="27.6" x14ac:dyDescent="0.25">
      <c r="B70" s="433"/>
      <c r="C70" s="400" t="s">
        <v>627</v>
      </c>
      <c r="D70" s="431" t="s">
        <v>628</v>
      </c>
      <c r="E70" s="212">
        <v>5135</v>
      </c>
      <c r="F70" s="212">
        <f t="shared" si="38"/>
        <v>5135</v>
      </c>
      <c r="G70" s="392">
        <f t="shared" si="4"/>
        <v>0</v>
      </c>
      <c r="H70" s="221"/>
      <c r="I70" s="392">
        <f t="shared" si="34"/>
        <v>5135</v>
      </c>
      <c r="J70" s="392">
        <f t="shared" si="5"/>
        <v>0</v>
      </c>
      <c r="K70" s="222"/>
      <c r="L70" s="392">
        <f t="shared" si="35"/>
        <v>5135</v>
      </c>
      <c r="M70" s="392">
        <f t="shared" si="6"/>
        <v>0</v>
      </c>
      <c r="N70" s="222"/>
      <c r="O70" s="392">
        <f t="shared" si="36"/>
        <v>5135</v>
      </c>
      <c r="P70" s="392">
        <f t="shared" si="7"/>
        <v>0</v>
      </c>
      <c r="Q70" s="222"/>
      <c r="R70" s="392">
        <f>ROUND(O70,0)+12598</f>
        <v>17733</v>
      </c>
      <c r="S70" s="392">
        <f t="shared" si="31"/>
        <v>12598</v>
      </c>
      <c r="T70" s="222" t="s">
        <v>629</v>
      </c>
      <c r="U70" s="392">
        <f>ROUND(R70,0)</f>
        <v>17733</v>
      </c>
      <c r="V70" s="392">
        <f t="shared" si="32"/>
        <v>0</v>
      </c>
      <c r="W70" s="222"/>
      <c r="X70" s="397"/>
      <c r="Y70" s="319">
        <f t="shared" si="27"/>
        <v>0</v>
      </c>
      <c r="Z70" s="397"/>
    </row>
    <row r="71" spans="1:26" x14ac:dyDescent="0.25">
      <c r="B71" s="433"/>
      <c r="C71" s="400" t="s">
        <v>630</v>
      </c>
      <c r="D71" s="431" t="s">
        <v>631</v>
      </c>
      <c r="E71" s="212">
        <v>9000</v>
      </c>
      <c r="F71" s="212">
        <f t="shared" si="38"/>
        <v>9000</v>
      </c>
      <c r="G71" s="392">
        <f t="shared" si="4"/>
        <v>0</v>
      </c>
      <c r="H71" s="221"/>
      <c r="I71" s="392">
        <f t="shared" si="34"/>
        <v>9000</v>
      </c>
      <c r="J71" s="392">
        <f t="shared" si="5"/>
        <v>0</v>
      </c>
      <c r="K71" s="222"/>
      <c r="L71" s="392">
        <f t="shared" si="35"/>
        <v>9000</v>
      </c>
      <c r="M71" s="392">
        <f t="shared" si="6"/>
        <v>0</v>
      </c>
      <c r="N71" s="222"/>
      <c r="O71" s="392">
        <f t="shared" si="36"/>
        <v>9000</v>
      </c>
      <c r="P71" s="392">
        <f t="shared" si="7"/>
        <v>0</v>
      </c>
      <c r="Q71" s="222"/>
      <c r="R71" s="392">
        <f t="shared" si="37"/>
        <v>9000</v>
      </c>
      <c r="S71" s="392">
        <f t="shared" si="31"/>
        <v>0</v>
      </c>
      <c r="T71" s="222"/>
      <c r="U71" s="392">
        <f t="shared" ref="U71:U87" si="39">ROUND(R71,0)</f>
        <v>9000</v>
      </c>
      <c r="V71" s="392">
        <f t="shared" si="32"/>
        <v>0</v>
      </c>
      <c r="W71" s="222"/>
      <c r="X71" s="397"/>
      <c r="Y71" s="319">
        <f t="shared" si="27"/>
        <v>0</v>
      </c>
      <c r="Z71" s="397"/>
    </row>
    <row r="72" spans="1:26" ht="55.2" x14ac:dyDescent="0.25">
      <c r="B72" s="433"/>
      <c r="C72" s="400" t="s">
        <v>632</v>
      </c>
      <c r="D72" s="431" t="s">
        <v>633</v>
      </c>
      <c r="E72" s="212">
        <v>6010</v>
      </c>
      <c r="F72" s="212">
        <f t="shared" si="38"/>
        <v>6010</v>
      </c>
      <c r="G72" s="392">
        <f>F72-E72</f>
        <v>0</v>
      </c>
      <c r="H72" s="221"/>
      <c r="I72" s="392">
        <f t="shared" si="34"/>
        <v>6010</v>
      </c>
      <c r="J72" s="392">
        <f t="shared" si="5"/>
        <v>0</v>
      </c>
      <c r="K72" s="222"/>
      <c r="L72" s="392">
        <f t="shared" si="35"/>
        <v>6010</v>
      </c>
      <c r="M72" s="392">
        <f t="shared" si="6"/>
        <v>0</v>
      </c>
      <c r="N72" s="222"/>
      <c r="O72" s="392">
        <f t="shared" si="36"/>
        <v>6010</v>
      </c>
      <c r="P72" s="392">
        <f t="shared" si="7"/>
        <v>0</v>
      </c>
      <c r="Q72" s="222"/>
      <c r="R72" s="392">
        <f t="shared" si="37"/>
        <v>6010</v>
      </c>
      <c r="S72" s="392">
        <f t="shared" si="31"/>
        <v>0</v>
      </c>
      <c r="T72" s="222"/>
      <c r="U72" s="392">
        <f t="shared" si="39"/>
        <v>6010</v>
      </c>
      <c r="V72" s="392">
        <f t="shared" si="32"/>
        <v>0</v>
      </c>
      <c r="W72" s="222"/>
      <c r="X72" s="397"/>
      <c r="Y72" s="319">
        <f t="shared" si="27"/>
        <v>0</v>
      </c>
      <c r="Z72" s="397"/>
    </row>
    <row r="73" spans="1:26" ht="41.4" x14ac:dyDescent="0.25">
      <c r="B73" s="433"/>
      <c r="C73" s="400" t="s">
        <v>634</v>
      </c>
      <c r="D73" s="431" t="s">
        <v>635</v>
      </c>
      <c r="E73" s="212">
        <v>30655</v>
      </c>
      <c r="F73" s="212">
        <f>ROUND(E73,0)</f>
        <v>30655</v>
      </c>
      <c r="G73" s="392">
        <f>F73-E73</f>
        <v>0</v>
      </c>
      <c r="H73" s="221"/>
      <c r="I73" s="392">
        <f t="shared" si="34"/>
        <v>30655</v>
      </c>
      <c r="J73" s="392">
        <f t="shared" si="5"/>
        <v>0</v>
      </c>
      <c r="K73" s="222"/>
      <c r="L73" s="392">
        <f t="shared" si="35"/>
        <v>30655</v>
      </c>
      <c r="M73" s="392">
        <f t="shared" si="6"/>
        <v>0</v>
      </c>
      <c r="N73" s="222"/>
      <c r="O73" s="392">
        <f t="shared" si="36"/>
        <v>30655</v>
      </c>
      <c r="P73" s="392">
        <f t="shared" si="7"/>
        <v>0</v>
      </c>
      <c r="Q73" s="222"/>
      <c r="R73" s="392">
        <f t="shared" si="37"/>
        <v>30655</v>
      </c>
      <c r="S73" s="392">
        <f t="shared" si="31"/>
        <v>0</v>
      </c>
      <c r="T73" s="222"/>
      <c r="U73" s="392">
        <f t="shared" si="39"/>
        <v>30655</v>
      </c>
      <c r="V73" s="392">
        <f t="shared" si="32"/>
        <v>0</v>
      </c>
      <c r="W73" s="222"/>
      <c r="X73" s="397"/>
      <c r="Y73" s="319">
        <f t="shared" si="27"/>
        <v>0</v>
      </c>
      <c r="Z73" s="397"/>
    </row>
    <row r="74" spans="1:26" x14ac:dyDescent="0.25">
      <c r="A74" s="427" t="s">
        <v>636</v>
      </c>
      <c r="B74" s="433"/>
      <c r="C74" s="400" t="s">
        <v>637</v>
      </c>
      <c r="D74" s="431" t="s">
        <v>638</v>
      </c>
      <c r="E74" s="212">
        <v>0</v>
      </c>
      <c r="F74" s="212">
        <f>ROUND(E74,0)</f>
        <v>0</v>
      </c>
      <c r="G74" s="392">
        <f>F74-E74</f>
        <v>0</v>
      </c>
      <c r="H74" s="221"/>
      <c r="I74" s="392">
        <f t="shared" si="34"/>
        <v>0</v>
      </c>
      <c r="J74" s="392">
        <f t="shared" si="5"/>
        <v>0</v>
      </c>
      <c r="K74" s="222"/>
      <c r="L74" s="392">
        <f t="shared" si="35"/>
        <v>0</v>
      </c>
      <c r="M74" s="392">
        <f t="shared" si="6"/>
        <v>0</v>
      </c>
      <c r="N74" s="222"/>
      <c r="O74" s="392">
        <f t="shared" si="36"/>
        <v>0</v>
      </c>
      <c r="P74" s="392">
        <f t="shared" si="7"/>
        <v>0</v>
      </c>
      <c r="Q74" s="222"/>
      <c r="R74" s="392">
        <f t="shared" si="37"/>
        <v>0</v>
      </c>
      <c r="S74" s="392">
        <f t="shared" si="31"/>
        <v>0</v>
      </c>
      <c r="T74" s="222"/>
      <c r="U74" s="392">
        <f t="shared" si="39"/>
        <v>0</v>
      </c>
      <c r="V74" s="392">
        <f t="shared" si="32"/>
        <v>0</v>
      </c>
      <c r="W74" s="222"/>
      <c r="X74" s="397"/>
      <c r="Y74" s="319" t="e">
        <f t="shared" si="27"/>
        <v>#DIV/0!</v>
      </c>
      <c r="Z74" s="397"/>
    </row>
    <row r="75" spans="1:26" ht="58.2" customHeight="1" x14ac:dyDescent="0.25">
      <c r="A75" s="427" t="s">
        <v>609</v>
      </c>
      <c r="B75" s="433"/>
      <c r="C75" s="400" t="s">
        <v>639</v>
      </c>
      <c r="D75" s="431" t="s">
        <v>640</v>
      </c>
      <c r="E75" s="212">
        <v>0</v>
      </c>
      <c r="F75" s="212">
        <f>ROUND(E75,0)+18299</f>
        <v>18299</v>
      </c>
      <c r="G75" s="392">
        <f>F75-E75</f>
        <v>18299</v>
      </c>
      <c r="H75" s="243" t="s">
        <v>641</v>
      </c>
      <c r="I75" s="392">
        <f t="shared" si="34"/>
        <v>18299</v>
      </c>
      <c r="J75" s="392">
        <f t="shared" si="5"/>
        <v>0</v>
      </c>
      <c r="K75" s="222"/>
      <c r="L75" s="392">
        <f t="shared" si="35"/>
        <v>18299</v>
      </c>
      <c r="M75" s="392">
        <f t="shared" si="6"/>
        <v>0</v>
      </c>
      <c r="N75" s="222"/>
      <c r="O75" s="392">
        <f t="shared" si="36"/>
        <v>18299</v>
      </c>
      <c r="P75" s="392">
        <f t="shared" si="7"/>
        <v>0</v>
      </c>
      <c r="Q75" s="222"/>
      <c r="R75" s="392">
        <f t="shared" si="37"/>
        <v>18299</v>
      </c>
      <c r="S75" s="392">
        <f t="shared" si="31"/>
        <v>0</v>
      </c>
      <c r="T75" s="222"/>
      <c r="U75" s="392">
        <f t="shared" si="39"/>
        <v>18299</v>
      </c>
      <c r="V75" s="392">
        <f t="shared" si="32"/>
        <v>0</v>
      </c>
      <c r="W75" s="222"/>
      <c r="X75" s="392">
        <v>150</v>
      </c>
      <c r="Y75" s="319">
        <f t="shared" si="27"/>
        <v>8.1971692442209965E-3</v>
      </c>
      <c r="Z75" s="397"/>
    </row>
    <row r="76" spans="1:26" ht="41.4" x14ac:dyDescent="0.25">
      <c r="B76" s="370" t="s">
        <v>642</v>
      </c>
      <c r="C76" s="400" t="s">
        <v>643</v>
      </c>
      <c r="D76" s="431" t="s">
        <v>644</v>
      </c>
      <c r="E76" s="212">
        <v>0</v>
      </c>
      <c r="F76" s="212">
        <f t="shared" si="38"/>
        <v>0</v>
      </c>
      <c r="G76" s="392">
        <f t="shared" ref="G76:G124" si="40">F76-E76</f>
        <v>0</v>
      </c>
      <c r="H76" s="223"/>
      <c r="I76" s="392">
        <f t="shared" si="34"/>
        <v>0</v>
      </c>
      <c r="J76" s="392">
        <f t="shared" si="5"/>
        <v>0</v>
      </c>
      <c r="K76" s="224"/>
      <c r="L76" s="392">
        <f t="shared" si="35"/>
        <v>0</v>
      </c>
      <c r="M76" s="392">
        <f t="shared" si="6"/>
        <v>0</v>
      </c>
      <c r="N76" s="224"/>
      <c r="O76" s="392">
        <f t="shared" si="36"/>
        <v>0</v>
      </c>
      <c r="P76" s="392">
        <f t="shared" si="7"/>
        <v>0</v>
      </c>
      <c r="Q76" s="224"/>
      <c r="R76" s="392">
        <f t="shared" si="37"/>
        <v>0</v>
      </c>
      <c r="S76" s="392">
        <f t="shared" si="31"/>
        <v>0</v>
      </c>
      <c r="T76" s="224"/>
      <c r="U76" s="392">
        <f t="shared" si="39"/>
        <v>0</v>
      </c>
      <c r="V76" s="392">
        <f t="shared" si="32"/>
        <v>0</v>
      </c>
      <c r="W76" s="224"/>
      <c r="X76" s="392">
        <v>30517.82</v>
      </c>
      <c r="Y76" s="319" t="e">
        <f t="shared" si="27"/>
        <v>#DIV/0!</v>
      </c>
      <c r="Z76" s="405" t="s">
        <v>1232</v>
      </c>
    </row>
    <row r="77" spans="1:26" ht="28.2" x14ac:dyDescent="0.3">
      <c r="B77" s="398" t="s">
        <v>645</v>
      </c>
      <c r="C77" s="400" t="s">
        <v>646</v>
      </c>
      <c r="D77" s="431" t="s">
        <v>647</v>
      </c>
      <c r="E77" s="212">
        <v>0</v>
      </c>
      <c r="F77" s="212">
        <f t="shared" si="38"/>
        <v>0</v>
      </c>
      <c r="G77" s="392">
        <f t="shared" si="40"/>
        <v>0</v>
      </c>
      <c r="H77" s="244"/>
      <c r="I77" s="392">
        <f t="shared" si="34"/>
        <v>0</v>
      </c>
      <c r="J77" s="392">
        <f t="shared" ref="J77:J124" si="41">I77-F77</f>
        <v>0</v>
      </c>
      <c r="K77" s="245"/>
      <c r="L77" s="392">
        <f t="shared" si="35"/>
        <v>0</v>
      </c>
      <c r="M77" s="392">
        <f t="shared" ref="M77:M124" si="42">L77-I77</f>
        <v>0</v>
      </c>
      <c r="N77" s="245"/>
      <c r="O77" s="392">
        <f t="shared" si="36"/>
        <v>0</v>
      </c>
      <c r="P77" s="392">
        <f t="shared" ref="P77:P124" si="43">O77-L77</f>
        <v>0</v>
      </c>
      <c r="Q77" s="245"/>
      <c r="R77" s="392">
        <f t="shared" si="37"/>
        <v>0</v>
      </c>
      <c r="S77" s="392">
        <f t="shared" si="31"/>
        <v>0</v>
      </c>
      <c r="T77" s="245"/>
      <c r="U77" s="392">
        <f t="shared" si="39"/>
        <v>0</v>
      </c>
      <c r="V77" s="392">
        <f t="shared" si="32"/>
        <v>0</v>
      </c>
      <c r="W77" s="245"/>
      <c r="X77" s="392">
        <v>0</v>
      </c>
      <c r="Y77" s="319" t="e">
        <f t="shared" si="27"/>
        <v>#DIV/0!</v>
      </c>
      <c r="Z77" s="434"/>
    </row>
    <row r="78" spans="1:26" ht="28.2" x14ac:dyDescent="0.3">
      <c r="B78" s="398"/>
      <c r="C78" s="400" t="s">
        <v>648</v>
      </c>
      <c r="D78" s="431" t="s">
        <v>649</v>
      </c>
      <c r="E78" s="212">
        <v>0</v>
      </c>
      <c r="F78" s="212">
        <f t="shared" si="38"/>
        <v>0</v>
      </c>
      <c r="G78" s="392">
        <f t="shared" si="40"/>
        <v>0</v>
      </c>
      <c r="H78" s="244"/>
      <c r="I78" s="392">
        <f t="shared" si="34"/>
        <v>0</v>
      </c>
      <c r="J78" s="392">
        <f t="shared" si="41"/>
        <v>0</v>
      </c>
      <c r="K78" s="245"/>
      <c r="L78" s="392">
        <f t="shared" si="35"/>
        <v>0</v>
      </c>
      <c r="M78" s="392">
        <f t="shared" si="42"/>
        <v>0</v>
      </c>
      <c r="N78" s="245"/>
      <c r="O78" s="392">
        <f t="shared" si="36"/>
        <v>0</v>
      </c>
      <c r="P78" s="392">
        <f t="shared" si="43"/>
        <v>0</v>
      </c>
      <c r="Q78" s="245"/>
      <c r="R78" s="392">
        <f t="shared" si="37"/>
        <v>0</v>
      </c>
      <c r="S78" s="392">
        <f t="shared" si="31"/>
        <v>0</v>
      </c>
      <c r="T78" s="245"/>
      <c r="U78" s="392">
        <f t="shared" si="39"/>
        <v>0</v>
      </c>
      <c r="V78" s="392">
        <f t="shared" si="32"/>
        <v>0</v>
      </c>
      <c r="W78" s="245"/>
      <c r="X78" s="392">
        <v>62014.01</v>
      </c>
      <c r="Y78" s="319" t="e">
        <f t="shared" si="27"/>
        <v>#DIV/0!</v>
      </c>
      <c r="Z78" s="435" t="s">
        <v>1233</v>
      </c>
    </row>
    <row r="79" spans="1:26" ht="14.4" x14ac:dyDescent="0.3">
      <c r="B79" s="398"/>
      <c r="C79" s="400" t="s">
        <v>650</v>
      </c>
      <c r="D79" s="431" t="s">
        <v>651</v>
      </c>
      <c r="E79" s="212">
        <v>0</v>
      </c>
      <c r="F79" s="212">
        <f t="shared" si="38"/>
        <v>0</v>
      </c>
      <c r="G79" s="392">
        <f t="shared" si="40"/>
        <v>0</v>
      </c>
      <c r="H79" s="244"/>
      <c r="I79" s="392">
        <f t="shared" si="34"/>
        <v>0</v>
      </c>
      <c r="J79" s="392">
        <f t="shared" si="41"/>
        <v>0</v>
      </c>
      <c r="K79" s="245"/>
      <c r="L79" s="392">
        <f t="shared" si="35"/>
        <v>0</v>
      </c>
      <c r="M79" s="392">
        <f t="shared" si="42"/>
        <v>0</v>
      </c>
      <c r="N79" s="245"/>
      <c r="O79" s="392">
        <f t="shared" si="36"/>
        <v>0</v>
      </c>
      <c r="P79" s="392">
        <f t="shared" si="43"/>
        <v>0</v>
      </c>
      <c r="Q79" s="245"/>
      <c r="R79" s="392">
        <f t="shared" si="37"/>
        <v>0</v>
      </c>
      <c r="S79" s="392">
        <f t="shared" si="31"/>
        <v>0</v>
      </c>
      <c r="T79" s="245"/>
      <c r="U79" s="392">
        <f t="shared" si="39"/>
        <v>0</v>
      </c>
      <c r="V79" s="392">
        <f t="shared" si="32"/>
        <v>0</v>
      </c>
      <c r="W79" s="245"/>
      <c r="X79" s="392">
        <v>2318</v>
      </c>
      <c r="Y79" s="319" t="e">
        <f t="shared" si="27"/>
        <v>#DIV/0!</v>
      </c>
      <c r="Z79" s="392" t="s">
        <v>1234</v>
      </c>
    </row>
    <row r="80" spans="1:26" ht="28.2" x14ac:dyDescent="0.3">
      <c r="B80" s="398"/>
      <c r="C80" s="400" t="s">
        <v>652</v>
      </c>
      <c r="D80" s="431" t="s">
        <v>653</v>
      </c>
      <c r="E80" s="212">
        <v>0</v>
      </c>
      <c r="F80" s="212">
        <f t="shared" si="38"/>
        <v>0</v>
      </c>
      <c r="G80" s="392">
        <f t="shared" si="40"/>
        <v>0</v>
      </c>
      <c r="H80" s="244"/>
      <c r="I80" s="392">
        <f t="shared" si="34"/>
        <v>0</v>
      </c>
      <c r="J80" s="392">
        <f t="shared" si="41"/>
        <v>0</v>
      </c>
      <c r="K80" s="245"/>
      <c r="L80" s="392">
        <f t="shared" si="35"/>
        <v>0</v>
      </c>
      <c r="M80" s="392">
        <f t="shared" si="42"/>
        <v>0</v>
      </c>
      <c r="N80" s="245"/>
      <c r="O80" s="392">
        <f t="shared" si="36"/>
        <v>0</v>
      </c>
      <c r="P80" s="392">
        <f t="shared" si="43"/>
        <v>0</v>
      </c>
      <c r="Q80" s="245"/>
      <c r="R80" s="392">
        <f t="shared" si="37"/>
        <v>0</v>
      </c>
      <c r="S80" s="392">
        <f t="shared" si="31"/>
        <v>0</v>
      </c>
      <c r="T80" s="245"/>
      <c r="U80" s="392">
        <f t="shared" si="39"/>
        <v>0</v>
      </c>
      <c r="V80" s="392">
        <f t="shared" si="32"/>
        <v>0</v>
      </c>
      <c r="W80" s="245"/>
      <c r="X80" s="392">
        <f>ROUND(N80,0)</f>
        <v>0</v>
      </c>
      <c r="Y80" s="319" t="e">
        <f t="shared" si="27"/>
        <v>#DIV/0!</v>
      </c>
      <c r="Z80" s="397"/>
    </row>
    <row r="81" spans="1:26" ht="28.2" x14ac:dyDescent="0.3">
      <c r="B81" s="436" t="s">
        <v>654</v>
      </c>
      <c r="C81" s="400" t="s">
        <v>655</v>
      </c>
      <c r="D81" s="431" t="s">
        <v>656</v>
      </c>
      <c r="E81" s="212">
        <v>0</v>
      </c>
      <c r="F81" s="212">
        <f t="shared" si="38"/>
        <v>0</v>
      </c>
      <c r="G81" s="392">
        <f t="shared" si="40"/>
        <v>0</v>
      </c>
      <c r="H81" s="244"/>
      <c r="I81" s="392">
        <f t="shared" si="34"/>
        <v>0</v>
      </c>
      <c r="J81" s="392">
        <f t="shared" si="41"/>
        <v>0</v>
      </c>
      <c r="K81" s="245"/>
      <c r="L81" s="392">
        <f t="shared" si="35"/>
        <v>0</v>
      </c>
      <c r="M81" s="392">
        <f t="shared" si="42"/>
        <v>0</v>
      </c>
      <c r="N81" s="245"/>
      <c r="O81" s="392">
        <f t="shared" si="36"/>
        <v>0</v>
      </c>
      <c r="P81" s="392">
        <f t="shared" si="43"/>
        <v>0</v>
      </c>
      <c r="Q81" s="245"/>
      <c r="R81" s="392">
        <f t="shared" si="37"/>
        <v>0</v>
      </c>
      <c r="S81" s="392">
        <f t="shared" si="31"/>
        <v>0</v>
      </c>
      <c r="T81" s="245"/>
      <c r="U81" s="392">
        <f t="shared" si="39"/>
        <v>0</v>
      </c>
      <c r="V81" s="392">
        <f t="shared" si="32"/>
        <v>0</v>
      </c>
      <c r="W81" s="245"/>
      <c r="X81" s="392">
        <f>ROUND(N81,0)</f>
        <v>0</v>
      </c>
      <c r="Y81" s="319" t="e">
        <f t="shared" si="27"/>
        <v>#DIV/0!</v>
      </c>
      <c r="Z81" s="397"/>
    </row>
    <row r="82" spans="1:26" ht="28.2" x14ac:dyDescent="0.3">
      <c r="B82" s="398"/>
      <c r="C82" s="400" t="s">
        <v>657</v>
      </c>
      <c r="D82" s="431" t="s">
        <v>658</v>
      </c>
      <c r="E82" s="212">
        <v>150645</v>
      </c>
      <c r="F82" s="212">
        <f t="shared" si="38"/>
        <v>150645</v>
      </c>
      <c r="G82" s="392">
        <f t="shared" si="40"/>
        <v>0</v>
      </c>
      <c r="H82" s="244"/>
      <c r="I82" s="392">
        <f t="shared" si="34"/>
        <v>150645</v>
      </c>
      <c r="J82" s="392">
        <f t="shared" si="41"/>
        <v>0</v>
      </c>
      <c r="K82" s="245"/>
      <c r="L82" s="392">
        <f t="shared" si="35"/>
        <v>150645</v>
      </c>
      <c r="M82" s="392">
        <f t="shared" si="42"/>
        <v>0</v>
      </c>
      <c r="N82" s="245"/>
      <c r="O82" s="392">
        <f t="shared" si="36"/>
        <v>150645</v>
      </c>
      <c r="P82" s="392">
        <f t="shared" si="43"/>
        <v>0</v>
      </c>
      <c r="Q82" s="245"/>
      <c r="R82" s="392">
        <f>ROUND(O82,0)+16100+30000</f>
        <v>196745</v>
      </c>
      <c r="S82" s="392">
        <f t="shared" si="31"/>
        <v>46100</v>
      </c>
      <c r="T82" s="246" t="s">
        <v>659</v>
      </c>
      <c r="U82" s="392">
        <f t="shared" si="39"/>
        <v>196745</v>
      </c>
      <c r="V82" s="392">
        <f t="shared" si="32"/>
        <v>0</v>
      </c>
      <c r="W82" s="246"/>
      <c r="X82" s="392">
        <v>41673.199999999997</v>
      </c>
      <c r="Y82" s="319">
        <f t="shared" si="27"/>
        <v>0.21181326081984292</v>
      </c>
      <c r="Z82" s="434"/>
    </row>
    <row r="83" spans="1:26" ht="41.4" customHeight="1" x14ac:dyDescent="0.3">
      <c r="B83" s="398"/>
      <c r="C83" s="400" t="s">
        <v>660</v>
      </c>
      <c r="D83" s="431" t="s">
        <v>661</v>
      </c>
      <c r="E83" s="212">
        <v>118650</v>
      </c>
      <c r="F83" s="212">
        <f t="shared" si="38"/>
        <v>118650</v>
      </c>
      <c r="G83" s="392">
        <f t="shared" si="40"/>
        <v>0</v>
      </c>
      <c r="H83" s="244"/>
      <c r="I83" s="392">
        <f t="shared" si="34"/>
        <v>118650</v>
      </c>
      <c r="J83" s="392">
        <f t="shared" si="41"/>
        <v>0</v>
      </c>
      <c r="K83" s="245"/>
      <c r="L83" s="392">
        <f t="shared" si="35"/>
        <v>118650</v>
      </c>
      <c r="M83" s="392">
        <f t="shared" si="42"/>
        <v>0</v>
      </c>
      <c r="N83" s="245"/>
      <c r="O83" s="392">
        <f t="shared" si="36"/>
        <v>118650</v>
      </c>
      <c r="P83" s="392">
        <f t="shared" si="43"/>
        <v>0</v>
      </c>
      <c r="Q83" s="245"/>
      <c r="R83" s="392">
        <f t="shared" si="37"/>
        <v>118650</v>
      </c>
      <c r="S83" s="392">
        <f t="shared" si="31"/>
        <v>0</v>
      </c>
      <c r="T83" s="245"/>
      <c r="U83" s="392">
        <f t="shared" si="39"/>
        <v>118650</v>
      </c>
      <c r="V83" s="392">
        <f t="shared" si="32"/>
        <v>0</v>
      </c>
      <c r="W83" s="245"/>
      <c r="X83" s="392">
        <v>19384.2</v>
      </c>
      <c r="Y83" s="319">
        <f t="shared" si="27"/>
        <v>0.16337294563843238</v>
      </c>
      <c r="Z83" s="434"/>
    </row>
    <row r="84" spans="1:26" ht="28.2" x14ac:dyDescent="0.3">
      <c r="B84" s="398"/>
      <c r="C84" s="400" t="s">
        <v>662</v>
      </c>
      <c r="D84" s="431" t="s">
        <v>391</v>
      </c>
      <c r="E84" s="212">
        <v>390462</v>
      </c>
      <c r="F84" s="212">
        <f t="shared" si="38"/>
        <v>390462</v>
      </c>
      <c r="G84" s="392">
        <f t="shared" si="40"/>
        <v>0</v>
      </c>
      <c r="H84" s="244"/>
      <c r="I84" s="392">
        <f t="shared" si="34"/>
        <v>390462</v>
      </c>
      <c r="J84" s="392">
        <f t="shared" si="41"/>
        <v>0</v>
      </c>
      <c r="K84" s="245"/>
      <c r="L84" s="392">
        <f t="shared" si="35"/>
        <v>390462</v>
      </c>
      <c r="M84" s="392">
        <f t="shared" si="42"/>
        <v>0</v>
      </c>
      <c r="N84" s="245"/>
      <c r="O84" s="392">
        <f t="shared" si="36"/>
        <v>390462</v>
      </c>
      <c r="P84" s="392">
        <f t="shared" si="43"/>
        <v>0</v>
      </c>
      <c r="Q84" s="245"/>
      <c r="R84" s="392">
        <f t="shared" si="37"/>
        <v>390462</v>
      </c>
      <c r="S84" s="392">
        <f t="shared" si="31"/>
        <v>0</v>
      </c>
      <c r="T84" s="245"/>
      <c r="U84" s="392">
        <f t="shared" si="39"/>
        <v>390462</v>
      </c>
      <c r="V84" s="392">
        <f t="shared" si="32"/>
        <v>0</v>
      </c>
      <c r="W84" s="245"/>
      <c r="X84" s="392">
        <v>344174.01</v>
      </c>
      <c r="Y84" s="319">
        <f t="shared" si="27"/>
        <v>0.88145327842402077</v>
      </c>
      <c r="Z84" s="434"/>
    </row>
    <row r="85" spans="1:26" ht="28.2" x14ac:dyDescent="0.3">
      <c r="B85" s="436" t="s">
        <v>654</v>
      </c>
      <c r="C85" s="400" t="s">
        <v>663</v>
      </c>
      <c r="D85" s="431" t="s">
        <v>664</v>
      </c>
      <c r="E85" s="212">
        <v>0</v>
      </c>
      <c r="F85" s="212">
        <f t="shared" si="38"/>
        <v>0</v>
      </c>
      <c r="G85" s="392">
        <f t="shared" si="40"/>
        <v>0</v>
      </c>
      <c r="H85" s="244"/>
      <c r="I85" s="392">
        <f t="shared" si="34"/>
        <v>0</v>
      </c>
      <c r="J85" s="392">
        <f t="shared" si="41"/>
        <v>0</v>
      </c>
      <c r="K85" s="245"/>
      <c r="L85" s="392">
        <f t="shared" si="35"/>
        <v>0</v>
      </c>
      <c r="M85" s="392">
        <f t="shared" si="42"/>
        <v>0</v>
      </c>
      <c r="N85" s="245"/>
      <c r="O85" s="392">
        <f t="shared" si="36"/>
        <v>0</v>
      </c>
      <c r="P85" s="392">
        <f t="shared" si="43"/>
        <v>0</v>
      </c>
      <c r="Q85" s="245"/>
      <c r="R85" s="392">
        <f t="shared" si="37"/>
        <v>0</v>
      </c>
      <c r="S85" s="392">
        <f t="shared" si="31"/>
        <v>0</v>
      </c>
      <c r="T85" s="245"/>
      <c r="U85" s="392">
        <f t="shared" si="39"/>
        <v>0</v>
      </c>
      <c r="V85" s="392">
        <f t="shared" si="32"/>
        <v>0</v>
      </c>
      <c r="W85" s="245"/>
      <c r="X85" s="392">
        <v>0</v>
      </c>
      <c r="Y85" s="319" t="e">
        <f t="shared" si="27"/>
        <v>#DIV/0!</v>
      </c>
      <c r="Z85" s="434"/>
    </row>
    <row r="86" spans="1:26" x14ac:dyDescent="0.25">
      <c r="B86" s="427" t="s">
        <v>665</v>
      </c>
      <c r="C86" s="400" t="s">
        <v>666</v>
      </c>
      <c r="D86" s="437" t="s">
        <v>392</v>
      </c>
      <c r="E86" s="212">
        <v>382739</v>
      </c>
      <c r="F86" s="212">
        <f t="shared" si="38"/>
        <v>382739</v>
      </c>
      <c r="G86" s="392">
        <f t="shared" si="40"/>
        <v>0</v>
      </c>
      <c r="H86" s="244"/>
      <c r="I86" s="392">
        <f>ROUND(F86,0)-24147</f>
        <v>358592</v>
      </c>
      <c r="J86" s="392">
        <f t="shared" si="41"/>
        <v>-24147</v>
      </c>
      <c r="K86" s="245" t="s">
        <v>667</v>
      </c>
      <c r="L86" s="392">
        <f t="shared" si="35"/>
        <v>358592</v>
      </c>
      <c r="M86" s="392">
        <f t="shared" si="42"/>
        <v>0</v>
      </c>
      <c r="N86" s="245"/>
      <c r="O86" s="392">
        <f t="shared" si="36"/>
        <v>358592</v>
      </c>
      <c r="P86" s="392">
        <f t="shared" si="43"/>
        <v>0</v>
      </c>
      <c r="Q86" s="245"/>
      <c r="R86" s="392">
        <f t="shared" si="37"/>
        <v>358592</v>
      </c>
      <c r="S86" s="392">
        <f t="shared" si="31"/>
        <v>0</v>
      </c>
      <c r="T86" s="245"/>
      <c r="U86" s="392">
        <f t="shared" si="39"/>
        <v>358592</v>
      </c>
      <c r="V86" s="392">
        <f t="shared" si="32"/>
        <v>0</v>
      </c>
      <c r="W86" s="245"/>
      <c r="X86" s="392">
        <v>114822</v>
      </c>
      <c r="Y86" s="319">
        <f t="shared" si="27"/>
        <v>0.32020234695698735</v>
      </c>
      <c r="Z86" s="434"/>
    </row>
    <row r="87" spans="1:26" hidden="1" outlineLevel="1" x14ac:dyDescent="0.25">
      <c r="B87" s="389" t="s">
        <v>668</v>
      </c>
      <c r="C87" s="390" t="s">
        <v>669</v>
      </c>
      <c r="D87" s="438" t="s">
        <v>670</v>
      </c>
      <c r="E87" s="352">
        <v>0</v>
      </c>
      <c r="F87" s="212">
        <f t="shared" si="38"/>
        <v>0</v>
      </c>
      <c r="G87" s="392">
        <f t="shared" si="40"/>
        <v>0</v>
      </c>
      <c r="H87" s="213"/>
      <c r="I87" s="392">
        <f t="shared" si="34"/>
        <v>0</v>
      </c>
      <c r="J87" s="392">
        <f t="shared" si="41"/>
        <v>0</v>
      </c>
      <c r="K87" s="214"/>
      <c r="L87" s="392">
        <f t="shared" si="35"/>
        <v>0</v>
      </c>
      <c r="M87" s="392">
        <f t="shared" si="42"/>
        <v>0</v>
      </c>
      <c r="N87" s="214"/>
      <c r="O87" s="392">
        <f t="shared" si="36"/>
        <v>0</v>
      </c>
      <c r="P87" s="392">
        <f t="shared" si="43"/>
        <v>0</v>
      </c>
      <c r="Q87" s="214"/>
      <c r="R87" s="392">
        <f t="shared" si="37"/>
        <v>0</v>
      </c>
      <c r="S87" s="392">
        <f t="shared" si="31"/>
        <v>0</v>
      </c>
      <c r="T87" s="214"/>
      <c r="U87" s="392">
        <f t="shared" si="39"/>
        <v>0</v>
      </c>
      <c r="V87" s="392">
        <f t="shared" si="32"/>
        <v>0</v>
      </c>
      <c r="W87" s="214"/>
      <c r="X87" s="397">
        <f>ROUND(H87,0)</f>
        <v>0</v>
      </c>
      <c r="Y87" s="319" t="e">
        <f t="shared" si="27"/>
        <v>#DIV/0!</v>
      </c>
      <c r="Z87" s="397"/>
    </row>
    <row r="88" spans="1:26" collapsed="1" x14ac:dyDescent="0.25">
      <c r="C88" s="406" t="s">
        <v>671</v>
      </c>
      <c r="D88" s="394" t="s">
        <v>672</v>
      </c>
      <c r="E88" s="216">
        <v>295000</v>
      </c>
      <c r="F88" s="216">
        <f>F89+F90</f>
        <v>295000</v>
      </c>
      <c r="G88" s="395">
        <f t="shared" si="40"/>
        <v>0</v>
      </c>
      <c r="H88" s="217"/>
      <c r="I88" s="395">
        <f>I89+I90</f>
        <v>295000</v>
      </c>
      <c r="J88" s="395">
        <f t="shared" si="41"/>
        <v>0</v>
      </c>
      <c r="K88" s="218"/>
      <c r="L88" s="395">
        <f>L89+L90</f>
        <v>295000</v>
      </c>
      <c r="M88" s="395">
        <f t="shared" si="42"/>
        <v>0</v>
      </c>
      <c r="N88" s="218"/>
      <c r="O88" s="395">
        <f>O89+O90</f>
        <v>295000</v>
      </c>
      <c r="P88" s="395">
        <f t="shared" si="43"/>
        <v>0</v>
      </c>
      <c r="Q88" s="218"/>
      <c r="R88" s="395">
        <f>R89+R90</f>
        <v>375000</v>
      </c>
      <c r="S88" s="395">
        <f t="shared" si="31"/>
        <v>80000</v>
      </c>
      <c r="T88" s="218"/>
      <c r="U88" s="395">
        <f>U89+U90</f>
        <v>375000</v>
      </c>
      <c r="V88" s="395">
        <f t="shared" si="32"/>
        <v>0</v>
      </c>
      <c r="W88" s="218"/>
      <c r="X88" s="395">
        <f>X89+X90</f>
        <v>245196.76</v>
      </c>
      <c r="Y88" s="321">
        <f t="shared" si="27"/>
        <v>0.6538580266666667</v>
      </c>
      <c r="Z88" s="396"/>
    </row>
    <row r="89" spans="1:26" ht="32.25" customHeight="1" x14ac:dyDescent="0.25">
      <c r="B89" s="370" t="s">
        <v>673</v>
      </c>
      <c r="C89" s="390" t="s">
        <v>674</v>
      </c>
      <c r="D89" s="391" t="s">
        <v>675</v>
      </c>
      <c r="E89" s="212">
        <v>295000</v>
      </c>
      <c r="F89" s="212">
        <f>ROUND(E89,0)</f>
        <v>295000</v>
      </c>
      <c r="G89" s="392">
        <f t="shared" si="40"/>
        <v>0</v>
      </c>
      <c r="H89" s="228"/>
      <c r="I89" s="392">
        <f>ROUND(F89,0)</f>
        <v>295000</v>
      </c>
      <c r="J89" s="392">
        <f t="shared" si="41"/>
        <v>0</v>
      </c>
      <c r="K89" s="215"/>
      <c r="L89" s="392">
        <f>ROUND(I89,0)</f>
        <v>295000</v>
      </c>
      <c r="M89" s="392">
        <f t="shared" si="42"/>
        <v>0</v>
      </c>
      <c r="N89" s="215"/>
      <c r="O89" s="392">
        <f>ROUND(L89,0)</f>
        <v>295000</v>
      </c>
      <c r="P89" s="392">
        <f t="shared" si="43"/>
        <v>0</v>
      </c>
      <c r="Q89" s="215"/>
      <c r="R89" s="392">
        <f>ROUND(O89,0)+80000</f>
        <v>375000</v>
      </c>
      <c r="S89" s="392">
        <f t="shared" si="31"/>
        <v>80000</v>
      </c>
      <c r="T89" s="215" t="s">
        <v>676</v>
      </c>
      <c r="U89" s="392">
        <f>ROUND(R89,0)</f>
        <v>375000</v>
      </c>
      <c r="V89" s="392">
        <f t="shared" si="32"/>
        <v>0</v>
      </c>
      <c r="W89" s="215"/>
      <c r="X89" s="392">
        <v>245196.76</v>
      </c>
      <c r="Y89" s="319">
        <f t="shared" si="27"/>
        <v>0.6538580266666667</v>
      </c>
      <c r="Z89" s="392" t="s">
        <v>1235</v>
      </c>
    </row>
    <row r="90" spans="1:26" ht="16.2" customHeight="1" x14ac:dyDescent="0.25">
      <c r="B90" s="370" t="s">
        <v>677</v>
      </c>
      <c r="C90" s="390" t="s">
        <v>678</v>
      </c>
      <c r="D90" s="391" t="s">
        <v>679</v>
      </c>
      <c r="E90" s="212">
        <v>0</v>
      </c>
      <c r="F90" s="212">
        <f>ROUND(E90,0)</f>
        <v>0</v>
      </c>
      <c r="G90" s="392">
        <f t="shared" si="40"/>
        <v>0</v>
      </c>
      <c r="H90" s="213"/>
      <c r="I90" s="392">
        <f>ROUND(F90,0)</f>
        <v>0</v>
      </c>
      <c r="J90" s="392">
        <f t="shared" si="41"/>
        <v>0</v>
      </c>
      <c r="K90" s="214"/>
      <c r="L90" s="392">
        <f>ROUND(I90,0)</f>
        <v>0</v>
      </c>
      <c r="M90" s="392">
        <f t="shared" si="42"/>
        <v>0</v>
      </c>
      <c r="N90" s="214"/>
      <c r="O90" s="392">
        <f>ROUND(L90,0)</f>
        <v>0</v>
      </c>
      <c r="P90" s="392">
        <f t="shared" si="43"/>
        <v>0</v>
      </c>
      <c r="Q90" s="214"/>
      <c r="R90" s="392">
        <f>ROUND(O90,0)</f>
        <v>0</v>
      </c>
      <c r="S90" s="392">
        <f t="shared" si="31"/>
        <v>0</v>
      </c>
      <c r="T90" s="214"/>
      <c r="U90" s="392">
        <f>ROUND(R90,0)</f>
        <v>0</v>
      </c>
      <c r="V90" s="392">
        <f t="shared" si="32"/>
        <v>0</v>
      </c>
      <c r="W90" s="214"/>
      <c r="X90" s="392">
        <v>0</v>
      </c>
      <c r="Y90" s="319" t="e">
        <f t="shared" si="27"/>
        <v>#DIV/0!</v>
      </c>
      <c r="Z90" s="397"/>
    </row>
    <row r="91" spans="1:26" ht="35.4" customHeight="1" x14ac:dyDescent="0.25">
      <c r="C91" s="406" t="s">
        <v>680</v>
      </c>
      <c r="D91" s="394" t="s">
        <v>681</v>
      </c>
      <c r="E91" s="216">
        <v>2153758</v>
      </c>
      <c r="F91" s="216">
        <f t="shared" ref="F91" si="44">F92+F95+F98+F102+F106</f>
        <v>1974755</v>
      </c>
      <c r="G91" s="395">
        <f t="shared" si="40"/>
        <v>-179003</v>
      </c>
      <c r="H91" s="217"/>
      <c r="I91" s="395">
        <f>I92+I95+I98+I102+I106</f>
        <v>1974755</v>
      </c>
      <c r="J91" s="395">
        <f t="shared" si="41"/>
        <v>0</v>
      </c>
      <c r="K91" s="218"/>
      <c r="L91" s="395">
        <f>L92+L95+L98+L102+L106</f>
        <v>1974755</v>
      </c>
      <c r="M91" s="395">
        <f t="shared" si="42"/>
        <v>0</v>
      </c>
      <c r="N91" s="218"/>
      <c r="O91" s="395">
        <f>O92+O95+O98+O102+O106</f>
        <v>2675467</v>
      </c>
      <c r="P91" s="395">
        <f t="shared" si="43"/>
        <v>700712</v>
      </c>
      <c r="Q91" s="218"/>
      <c r="R91" s="395">
        <f>R92+R95+R98+R102+R106</f>
        <v>2888467</v>
      </c>
      <c r="S91" s="395">
        <f t="shared" si="31"/>
        <v>213000</v>
      </c>
      <c r="T91" s="218"/>
      <c r="U91" s="395">
        <f>U92+U95+U98+U102+U106</f>
        <v>2908467</v>
      </c>
      <c r="V91" s="395">
        <f t="shared" si="32"/>
        <v>20000</v>
      </c>
      <c r="W91" s="218"/>
      <c r="X91" s="395">
        <f>X92+X95+X98+X102+X106</f>
        <v>1837776.52</v>
      </c>
      <c r="Y91" s="321">
        <f t="shared" si="27"/>
        <v>0.63187119537543324</v>
      </c>
      <c r="Z91" s="439"/>
    </row>
    <row r="92" spans="1:26" x14ac:dyDescent="0.25">
      <c r="A92" s="370" t="s">
        <v>439</v>
      </c>
      <c r="B92" s="370" t="s">
        <v>682</v>
      </c>
      <c r="C92" s="390" t="s">
        <v>683</v>
      </c>
      <c r="D92" s="391" t="s">
        <v>684</v>
      </c>
      <c r="E92" s="212">
        <v>149000</v>
      </c>
      <c r="F92" s="212">
        <f>SUM(F93:F94)</f>
        <v>149000</v>
      </c>
      <c r="G92" s="392">
        <f t="shared" si="40"/>
        <v>0</v>
      </c>
      <c r="H92" s="213"/>
      <c r="I92" s="392">
        <f>SUM(I93:I94)</f>
        <v>149000</v>
      </c>
      <c r="J92" s="392">
        <f t="shared" si="41"/>
        <v>0</v>
      </c>
      <c r="K92" s="214"/>
      <c r="L92" s="392">
        <f>SUM(L93:L94)</f>
        <v>149000</v>
      </c>
      <c r="M92" s="392">
        <f t="shared" si="42"/>
        <v>0</v>
      </c>
      <c r="N92" s="214"/>
      <c r="O92" s="392">
        <f>SUM(O93:O94)</f>
        <v>149000</v>
      </c>
      <c r="P92" s="392">
        <f t="shared" si="43"/>
        <v>0</v>
      </c>
      <c r="Q92" s="214"/>
      <c r="R92" s="392">
        <f>SUM(R93:R94)</f>
        <v>279000</v>
      </c>
      <c r="S92" s="392">
        <f t="shared" si="31"/>
        <v>130000</v>
      </c>
      <c r="T92" s="214"/>
      <c r="U92" s="392">
        <f>SUM(U93:U94)</f>
        <v>279000</v>
      </c>
      <c r="V92" s="392">
        <f t="shared" si="32"/>
        <v>0</v>
      </c>
      <c r="W92" s="214"/>
      <c r="X92" s="392">
        <f>SUM(X93:X94)</f>
        <v>156873.29999999999</v>
      </c>
      <c r="Y92" s="319">
        <f t="shared" si="27"/>
        <v>0.5622698924731182</v>
      </c>
      <c r="Z92" s="397"/>
    </row>
    <row r="93" spans="1:26" ht="14.25" customHeight="1" x14ac:dyDescent="0.25">
      <c r="B93" s="370" t="s">
        <v>685</v>
      </c>
      <c r="C93" s="440" t="s">
        <v>686</v>
      </c>
      <c r="D93" s="441" t="s">
        <v>687</v>
      </c>
      <c r="E93" s="212">
        <v>24000</v>
      </c>
      <c r="F93" s="212">
        <f>ROUND(E93,0)</f>
        <v>24000</v>
      </c>
      <c r="G93" s="392">
        <f t="shared" si="40"/>
        <v>0</v>
      </c>
      <c r="H93" s="219"/>
      <c r="I93" s="392">
        <f>ROUND(F93,0)</f>
        <v>24000</v>
      </c>
      <c r="J93" s="392">
        <f t="shared" si="41"/>
        <v>0</v>
      </c>
      <c r="K93" s="220"/>
      <c r="L93" s="392">
        <f>ROUND(I93,0)</f>
        <v>24000</v>
      </c>
      <c r="M93" s="392">
        <f t="shared" si="42"/>
        <v>0</v>
      </c>
      <c r="N93" s="220"/>
      <c r="O93" s="392">
        <f>ROUND(L93,0)</f>
        <v>24000</v>
      </c>
      <c r="P93" s="392">
        <f t="shared" si="43"/>
        <v>0</v>
      </c>
      <c r="Q93" s="220"/>
      <c r="R93" s="392">
        <f>ROUND(O93,0)+55000</f>
        <v>79000</v>
      </c>
      <c r="S93" s="392">
        <f t="shared" si="31"/>
        <v>55000</v>
      </c>
      <c r="T93" s="215" t="s">
        <v>676</v>
      </c>
      <c r="U93" s="392">
        <f>ROUND(R93,0)</f>
        <v>79000</v>
      </c>
      <c r="V93" s="392">
        <f t="shared" si="32"/>
        <v>0</v>
      </c>
      <c r="W93" s="215"/>
      <c r="X93" s="392">
        <v>44743.39</v>
      </c>
      <c r="Y93" s="319">
        <f t="shared" si="27"/>
        <v>0.5663720253164557</v>
      </c>
      <c r="Z93" s="397"/>
    </row>
    <row r="94" spans="1:26" ht="30" customHeight="1" x14ac:dyDescent="0.25">
      <c r="B94" s="370" t="s">
        <v>688</v>
      </c>
      <c r="C94" s="440" t="s">
        <v>689</v>
      </c>
      <c r="D94" s="441" t="s">
        <v>690</v>
      </c>
      <c r="E94" s="212">
        <v>125000</v>
      </c>
      <c r="F94" s="212">
        <f>ROUND(E94,0)</f>
        <v>125000</v>
      </c>
      <c r="G94" s="392">
        <f t="shared" si="40"/>
        <v>0</v>
      </c>
      <c r="H94" s="219"/>
      <c r="I94" s="392">
        <f>ROUND(F94,0)</f>
        <v>125000</v>
      </c>
      <c r="J94" s="392">
        <f t="shared" si="41"/>
        <v>0</v>
      </c>
      <c r="K94" s="220"/>
      <c r="L94" s="392">
        <f>ROUND(I94,0)</f>
        <v>125000</v>
      </c>
      <c r="M94" s="392">
        <f t="shared" si="42"/>
        <v>0</v>
      </c>
      <c r="N94" s="220"/>
      <c r="O94" s="392">
        <f>ROUND(L94,0)</f>
        <v>125000</v>
      </c>
      <c r="P94" s="392">
        <f t="shared" si="43"/>
        <v>0</v>
      </c>
      <c r="Q94" s="220"/>
      <c r="R94" s="392">
        <f>ROUND(O94,0)+75000</f>
        <v>200000</v>
      </c>
      <c r="S94" s="392">
        <f t="shared" si="31"/>
        <v>75000</v>
      </c>
      <c r="T94" s="215" t="s">
        <v>676</v>
      </c>
      <c r="U94" s="392">
        <f>ROUND(R94,0)</f>
        <v>200000</v>
      </c>
      <c r="V94" s="392">
        <f t="shared" si="32"/>
        <v>0</v>
      </c>
      <c r="W94" s="215"/>
      <c r="X94" s="392">
        <v>112129.91</v>
      </c>
      <c r="Y94" s="319">
        <f t="shared" si="27"/>
        <v>0.56064955000000005</v>
      </c>
      <c r="Z94" s="397"/>
    </row>
    <row r="95" spans="1:26" ht="13.95" customHeight="1" x14ac:dyDescent="0.25">
      <c r="C95" s="390" t="s">
        <v>691</v>
      </c>
      <c r="D95" s="391" t="s">
        <v>692</v>
      </c>
      <c r="E95" s="212">
        <v>0</v>
      </c>
      <c r="F95" s="212">
        <f>F96+F97</f>
        <v>0</v>
      </c>
      <c r="G95" s="392">
        <f t="shared" si="40"/>
        <v>0</v>
      </c>
      <c r="H95" s="247"/>
      <c r="I95" s="392">
        <f>I96+I97</f>
        <v>0</v>
      </c>
      <c r="J95" s="392">
        <f t="shared" si="41"/>
        <v>0</v>
      </c>
      <c r="K95" s="248"/>
      <c r="L95" s="392">
        <f>L96+L97</f>
        <v>0</v>
      </c>
      <c r="M95" s="392">
        <f t="shared" si="42"/>
        <v>0</v>
      </c>
      <c r="N95" s="248"/>
      <c r="O95" s="392">
        <f>O96+O97</f>
        <v>0</v>
      </c>
      <c r="P95" s="392">
        <f t="shared" si="43"/>
        <v>0</v>
      </c>
      <c r="Q95" s="248"/>
      <c r="R95" s="392">
        <f>R96+R97</f>
        <v>0</v>
      </c>
      <c r="S95" s="392">
        <f t="shared" si="31"/>
        <v>0</v>
      </c>
      <c r="T95" s="248"/>
      <c r="U95" s="392">
        <f>U96+U97</f>
        <v>0</v>
      </c>
      <c r="V95" s="392">
        <f t="shared" si="32"/>
        <v>0</v>
      </c>
      <c r="W95" s="248"/>
      <c r="X95" s="397"/>
      <c r="Y95" s="319" t="e">
        <f t="shared" si="27"/>
        <v>#DIV/0!</v>
      </c>
      <c r="Z95" s="397"/>
    </row>
    <row r="96" spans="1:26" ht="27.6" x14ac:dyDescent="0.25">
      <c r="C96" s="440" t="s">
        <v>693</v>
      </c>
      <c r="D96" s="441" t="s">
        <v>694</v>
      </c>
      <c r="E96" s="212">
        <v>0</v>
      </c>
      <c r="F96" s="212"/>
      <c r="G96" s="392">
        <f t="shared" si="40"/>
        <v>0</v>
      </c>
      <c r="H96" s="219"/>
      <c r="I96" s="392"/>
      <c r="J96" s="392">
        <f t="shared" si="41"/>
        <v>0</v>
      </c>
      <c r="K96" s="220"/>
      <c r="L96" s="392"/>
      <c r="M96" s="392">
        <f t="shared" si="42"/>
        <v>0</v>
      </c>
      <c r="N96" s="220"/>
      <c r="O96" s="392"/>
      <c r="P96" s="392">
        <f t="shared" si="43"/>
        <v>0</v>
      </c>
      <c r="Q96" s="220"/>
      <c r="R96" s="392"/>
      <c r="S96" s="392">
        <f t="shared" si="31"/>
        <v>0</v>
      </c>
      <c r="T96" s="220"/>
      <c r="U96" s="392"/>
      <c r="V96" s="392">
        <f t="shared" si="32"/>
        <v>0</v>
      </c>
      <c r="W96" s="220"/>
      <c r="X96" s="397"/>
      <c r="Y96" s="319" t="e">
        <f t="shared" si="27"/>
        <v>#DIV/0!</v>
      </c>
      <c r="Z96" s="397"/>
    </row>
    <row r="97" spans="1:26" ht="30" customHeight="1" x14ac:dyDescent="0.25">
      <c r="B97" s="427" t="s">
        <v>695</v>
      </c>
      <c r="C97" s="440" t="s">
        <v>696</v>
      </c>
      <c r="D97" s="431" t="s">
        <v>697</v>
      </c>
      <c r="E97" s="212">
        <v>0</v>
      </c>
      <c r="F97" s="212">
        <f>ROUND(E97,0)</f>
        <v>0</v>
      </c>
      <c r="G97" s="392">
        <f t="shared" si="40"/>
        <v>0</v>
      </c>
      <c r="H97" s="219"/>
      <c r="I97" s="392">
        <f>ROUND(F97,0)</f>
        <v>0</v>
      </c>
      <c r="J97" s="392">
        <f t="shared" si="41"/>
        <v>0</v>
      </c>
      <c r="K97" s="220"/>
      <c r="L97" s="392">
        <f>ROUND(I97,0)</f>
        <v>0</v>
      </c>
      <c r="M97" s="392">
        <f t="shared" si="42"/>
        <v>0</v>
      </c>
      <c r="N97" s="220"/>
      <c r="O97" s="392">
        <f>ROUND(L97,0)</f>
        <v>0</v>
      </c>
      <c r="P97" s="392">
        <f t="shared" si="43"/>
        <v>0</v>
      </c>
      <c r="Q97" s="220"/>
      <c r="R97" s="392">
        <f>ROUND(O97,0)</f>
        <v>0</v>
      </c>
      <c r="S97" s="392">
        <f t="shared" si="31"/>
        <v>0</v>
      </c>
      <c r="T97" s="220"/>
      <c r="U97" s="392">
        <f>ROUND(R97,0)</f>
        <v>0</v>
      </c>
      <c r="V97" s="392">
        <f t="shared" si="32"/>
        <v>0</v>
      </c>
      <c r="W97" s="220"/>
      <c r="X97" s="397"/>
      <c r="Y97" s="319" t="e">
        <f t="shared" si="27"/>
        <v>#DIV/0!</v>
      </c>
      <c r="Z97" s="397"/>
    </row>
    <row r="98" spans="1:26" x14ac:dyDescent="0.25">
      <c r="A98" s="370" t="s">
        <v>439</v>
      </c>
      <c r="B98" s="370" t="s">
        <v>698</v>
      </c>
      <c r="C98" s="390" t="s">
        <v>699</v>
      </c>
      <c r="D98" s="391" t="s">
        <v>700</v>
      </c>
      <c r="E98" s="212">
        <v>180000</v>
      </c>
      <c r="F98" s="212">
        <f>SUM(F99:F101)</f>
        <v>180000</v>
      </c>
      <c r="G98" s="392">
        <f t="shared" si="40"/>
        <v>0</v>
      </c>
      <c r="H98" s="213"/>
      <c r="I98" s="392">
        <f>SUM(I99:I101)</f>
        <v>180000</v>
      </c>
      <c r="J98" s="392">
        <f t="shared" si="41"/>
        <v>0</v>
      </c>
      <c r="K98" s="214"/>
      <c r="L98" s="392">
        <f>SUM(L99:L101)</f>
        <v>180000</v>
      </c>
      <c r="M98" s="392">
        <f t="shared" si="42"/>
        <v>0</v>
      </c>
      <c r="N98" s="214"/>
      <c r="O98" s="392">
        <f>SUM(O99:O101)</f>
        <v>195370</v>
      </c>
      <c r="P98" s="392">
        <f t="shared" si="43"/>
        <v>15370</v>
      </c>
      <c r="Q98" s="214"/>
      <c r="R98" s="392">
        <f>SUM(R99:R101)</f>
        <v>278370</v>
      </c>
      <c r="S98" s="392">
        <f t="shared" si="31"/>
        <v>83000</v>
      </c>
      <c r="T98" s="214"/>
      <c r="U98" s="392">
        <f>SUM(U99:U101)</f>
        <v>278370</v>
      </c>
      <c r="V98" s="392">
        <f t="shared" si="32"/>
        <v>0</v>
      </c>
      <c r="W98" s="214"/>
      <c r="X98" s="392">
        <f>SUM(X99:X101)</f>
        <v>219865.81000000003</v>
      </c>
      <c r="Y98" s="319">
        <f t="shared" si="27"/>
        <v>0.78983299206092616</v>
      </c>
      <c r="Z98" s="397"/>
    </row>
    <row r="99" spans="1:26" ht="16.5" customHeight="1" x14ac:dyDescent="0.25">
      <c r="B99" s="370" t="s">
        <v>701</v>
      </c>
      <c r="C99" s="440" t="s">
        <v>702</v>
      </c>
      <c r="D99" s="441" t="s">
        <v>703</v>
      </c>
      <c r="E99" s="212">
        <v>143000</v>
      </c>
      <c r="F99" s="212">
        <f>ROUND(E99,0)</f>
        <v>143000</v>
      </c>
      <c r="G99" s="392">
        <f t="shared" si="40"/>
        <v>0</v>
      </c>
      <c r="H99" s="228"/>
      <c r="I99" s="392">
        <f>ROUND(F99,0)</f>
        <v>143000</v>
      </c>
      <c r="J99" s="392">
        <f t="shared" si="41"/>
        <v>0</v>
      </c>
      <c r="K99" s="215"/>
      <c r="L99" s="392">
        <f>ROUND(I99,0)</f>
        <v>143000</v>
      </c>
      <c r="M99" s="392">
        <f t="shared" si="42"/>
        <v>0</v>
      </c>
      <c r="N99" s="215"/>
      <c r="O99" s="392">
        <f>ROUND(L99,0)+6370+9000</f>
        <v>158370</v>
      </c>
      <c r="P99" s="392">
        <f t="shared" si="43"/>
        <v>15370</v>
      </c>
      <c r="Q99" s="215" t="s">
        <v>704</v>
      </c>
      <c r="R99" s="392">
        <f>ROUND(O99,0)+62000</f>
        <v>220370</v>
      </c>
      <c r="S99" s="392">
        <f t="shared" si="31"/>
        <v>62000</v>
      </c>
      <c r="T99" s="215" t="s">
        <v>705</v>
      </c>
      <c r="U99" s="392">
        <f>ROUND(R99,0)</f>
        <v>220370</v>
      </c>
      <c r="V99" s="392">
        <f t="shared" si="32"/>
        <v>0</v>
      </c>
      <c r="W99" s="215"/>
      <c r="X99" s="392">
        <f>161275.23+207</f>
        <v>161482.23000000001</v>
      </c>
      <c r="Y99" s="319">
        <f t="shared" si="27"/>
        <v>0.73277773744157559</v>
      </c>
      <c r="Z99" s="397"/>
    </row>
    <row r="100" spans="1:26" x14ac:dyDescent="0.25">
      <c r="B100" s="370" t="s">
        <v>706</v>
      </c>
      <c r="C100" s="440" t="s">
        <v>707</v>
      </c>
      <c r="D100" s="441" t="s">
        <v>708</v>
      </c>
      <c r="E100" s="212">
        <v>36000</v>
      </c>
      <c r="F100" s="212">
        <f>ROUND(E100,0)</f>
        <v>36000</v>
      </c>
      <c r="G100" s="392">
        <f t="shared" si="40"/>
        <v>0</v>
      </c>
      <c r="H100" s="213"/>
      <c r="I100" s="392">
        <f>ROUND(F100,0)</f>
        <v>36000</v>
      </c>
      <c r="J100" s="392">
        <f t="shared" si="41"/>
        <v>0</v>
      </c>
      <c r="K100" s="214"/>
      <c r="L100" s="392">
        <f>ROUND(I100,0)</f>
        <v>36000</v>
      </c>
      <c r="M100" s="392">
        <f t="shared" si="42"/>
        <v>0</v>
      </c>
      <c r="N100" s="214"/>
      <c r="O100" s="392">
        <f>ROUND(L100,0)</f>
        <v>36000</v>
      </c>
      <c r="P100" s="392">
        <f t="shared" si="43"/>
        <v>0</v>
      </c>
      <c r="Q100" s="214"/>
      <c r="R100" s="392">
        <f>ROUND(O100,0)+21000</f>
        <v>57000</v>
      </c>
      <c r="S100" s="392">
        <f t="shared" si="31"/>
        <v>21000</v>
      </c>
      <c r="T100" s="215" t="s">
        <v>705</v>
      </c>
      <c r="U100" s="392">
        <f>ROUND(R100,0)</f>
        <v>57000</v>
      </c>
      <c r="V100" s="392">
        <f t="shared" si="32"/>
        <v>0</v>
      </c>
      <c r="W100" s="215"/>
      <c r="X100" s="392">
        <v>58220.23</v>
      </c>
      <c r="Y100" s="319">
        <f t="shared" si="27"/>
        <v>1.0214075438596493</v>
      </c>
      <c r="Z100" s="397"/>
    </row>
    <row r="101" spans="1:26" x14ac:dyDescent="0.25">
      <c r="B101" s="370" t="s">
        <v>709</v>
      </c>
      <c r="C101" s="440" t="s">
        <v>710</v>
      </c>
      <c r="D101" s="431" t="s">
        <v>711</v>
      </c>
      <c r="E101" s="212">
        <v>1000</v>
      </c>
      <c r="F101" s="212">
        <f>ROUND(E101,0)</f>
        <v>1000</v>
      </c>
      <c r="G101" s="392">
        <f t="shared" si="40"/>
        <v>0</v>
      </c>
      <c r="H101" s="213"/>
      <c r="I101" s="392">
        <f>ROUND(F101,0)</f>
        <v>1000</v>
      </c>
      <c r="J101" s="392">
        <f t="shared" si="41"/>
        <v>0</v>
      </c>
      <c r="K101" s="214"/>
      <c r="L101" s="392">
        <f>ROUND(I101,0)</f>
        <v>1000</v>
      </c>
      <c r="M101" s="392">
        <f t="shared" si="42"/>
        <v>0</v>
      </c>
      <c r="N101" s="214"/>
      <c r="O101" s="392">
        <f>ROUND(L101,0)</f>
        <v>1000</v>
      </c>
      <c r="P101" s="392">
        <f t="shared" si="43"/>
        <v>0</v>
      </c>
      <c r="Q101" s="214"/>
      <c r="R101" s="392">
        <f>ROUND(O101,0)</f>
        <v>1000</v>
      </c>
      <c r="S101" s="392">
        <f t="shared" si="31"/>
        <v>0</v>
      </c>
      <c r="T101" s="214"/>
      <c r="U101" s="392">
        <f>ROUND(R101,0)</f>
        <v>1000</v>
      </c>
      <c r="V101" s="392">
        <f t="shared" si="32"/>
        <v>0</v>
      </c>
      <c r="W101" s="214"/>
      <c r="X101" s="392">
        <v>163.35</v>
      </c>
      <c r="Y101" s="319">
        <f t="shared" si="27"/>
        <v>0.16335</v>
      </c>
      <c r="Z101" s="397"/>
    </row>
    <row r="102" spans="1:26" ht="25.2" customHeight="1" x14ac:dyDescent="0.25">
      <c r="A102" s="370" t="s">
        <v>439</v>
      </c>
      <c r="B102" s="370" t="s">
        <v>712</v>
      </c>
      <c r="C102" s="390" t="s">
        <v>713</v>
      </c>
      <c r="D102" s="391" t="s">
        <v>714</v>
      </c>
      <c r="E102" s="212">
        <v>1712137</v>
      </c>
      <c r="F102" s="212">
        <f t="shared" ref="F102" si="45">SUM(F103:F105)</f>
        <v>1543755</v>
      </c>
      <c r="G102" s="392">
        <f t="shared" si="40"/>
        <v>-168382</v>
      </c>
      <c r="H102" s="228"/>
      <c r="I102" s="392">
        <f>SUM(I103:I105)</f>
        <v>1543755</v>
      </c>
      <c r="J102" s="392">
        <f t="shared" si="41"/>
        <v>0</v>
      </c>
      <c r="K102" s="215"/>
      <c r="L102" s="392">
        <f>SUM(L103:L105)</f>
        <v>1543755</v>
      </c>
      <c r="M102" s="392">
        <f t="shared" si="42"/>
        <v>0</v>
      </c>
      <c r="N102" s="215"/>
      <c r="O102" s="392">
        <f>SUM(O103:O105)</f>
        <v>2224097</v>
      </c>
      <c r="P102" s="392">
        <f t="shared" si="43"/>
        <v>680342</v>
      </c>
      <c r="Q102" s="215"/>
      <c r="R102" s="392">
        <f>SUM(R103:R105)</f>
        <v>2224097</v>
      </c>
      <c r="S102" s="392">
        <f t="shared" si="31"/>
        <v>0</v>
      </c>
      <c r="T102" s="215"/>
      <c r="U102" s="392">
        <f>SUM(U103:U105)</f>
        <v>2224097</v>
      </c>
      <c r="V102" s="392">
        <f t="shared" si="32"/>
        <v>0</v>
      </c>
      <c r="W102" s="215"/>
      <c r="X102" s="392">
        <f>SUM(X103:X105)</f>
        <v>1324711.28</v>
      </c>
      <c r="Y102" s="319">
        <f t="shared" si="27"/>
        <v>0.59561758322591152</v>
      </c>
      <c r="Z102" s="397"/>
    </row>
    <row r="103" spans="1:26" ht="28.2" customHeight="1" x14ac:dyDescent="0.25">
      <c r="A103" s="427" t="s">
        <v>715</v>
      </c>
      <c r="C103" s="440" t="s">
        <v>716</v>
      </c>
      <c r="D103" s="441" t="s">
        <v>714</v>
      </c>
      <c r="E103" s="212">
        <v>135600</v>
      </c>
      <c r="F103" s="212">
        <f>ROUND(E103,0)</f>
        <v>135600</v>
      </c>
      <c r="G103" s="392">
        <f t="shared" si="40"/>
        <v>0</v>
      </c>
      <c r="H103" s="213"/>
      <c r="I103" s="392">
        <f>ROUND(F103,0)</f>
        <v>135600</v>
      </c>
      <c r="J103" s="392">
        <f t="shared" si="41"/>
        <v>0</v>
      </c>
      <c r="K103" s="214"/>
      <c r="L103" s="392">
        <f>ROUND(I103,0)</f>
        <v>135600</v>
      </c>
      <c r="M103" s="392">
        <f t="shared" si="42"/>
        <v>0</v>
      </c>
      <c r="N103" s="214"/>
      <c r="O103" s="392">
        <f>ROUND(L103,0)</f>
        <v>135600</v>
      </c>
      <c r="P103" s="392">
        <f t="shared" si="43"/>
        <v>0</v>
      </c>
      <c r="Q103" s="215"/>
      <c r="R103" s="392">
        <f>ROUND(O103,0)</f>
        <v>135600</v>
      </c>
      <c r="S103" s="392">
        <f t="shared" si="31"/>
        <v>0</v>
      </c>
      <c r="T103" s="215"/>
      <c r="U103" s="392">
        <f>ROUND(R103,0)</f>
        <v>135600</v>
      </c>
      <c r="V103" s="392">
        <f t="shared" si="32"/>
        <v>0</v>
      </c>
      <c r="W103" s="215"/>
      <c r="X103" s="392">
        <f>33411.28+2886</f>
        <v>36297.279999999999</v>
      </c>
      <c r="Y103" s="319">
        <f t="shared" si="27"/>
        <v>0.26767905604719761</v>
      </c>
      <c r="Z103" s="397"/>
    </row>
    <row r="104" spans="1:26" ht="16.5" customHeight="1" x14ac:dyDescent="0.25">
      <c r="B104" s="370" t="s">
        <v>717</v>
      </c>
      <c r="C104" s="440" t="s">
        <v>718</v>
      </c>
      <c r="D104" s="441" t="s">
        <v>719</v>
      </c>
      <c r="E104" s="212">
        <v>2500</v>
      </c>
      <c r="F104" s="212">
        <f>ROUND(E104,0)</f>
        <v>2500</v>
      </c>
      <c r="G104" s="392">
        <f t="shared" si="40"/>
        <v>0</v>
      </c>
      <c r="H104" s="213"/>
      <c r="I104" s="392">
        <f>ROUND(F104,0)</f>
        <v>2500</v>
      </c>
      <c r="J104" s="392">
        <f t="shared" si="41"/>
        <v>0</v>
      </c>
      <c r="K104" s="214"/>
      <c r="L104" s="392">
        <f>ROUND(I104,0)</f>
        <v>2500</v>
      </c>
      <c r="M104" s="392">
        <f t="shared" si="42"/>
        <v>0</v>
      </c>
      <c r="N104" s="214"/>
      <c r="O104" s="392">
        <f>ROUND(L104,0)</f>
        <v>2500</v>
      </c>
      <c r="P104" s="392">
        <f t="shared" si="43"/>
        <v>0</v>
      </c>
      <c r="Q104" s="214"/>
      <c r="R104" s="392">
        <f>ROUND(O104,0)</f>
        <v>2500</v>
      </c>
      <c r="S104" s="392">
        <f t="shared" si="31"/>
        <v>0</v>
      </c>
      <c r="T104" s="214"/>
      <c r="U104" s="392">
        <f>ROUND(R104,0)</f>
        <v>2500</v>
      </c>
      <c r="V104" s="392">
        <f t="shared" si="32"/>
        <v>0</v>
      </c>
      <c r="W104" s="214"/>
      <c r="X104" s="392">
        <v>0</v>
      </c>
      <c r="Y104" s="319">
        <f t="shared" si="27"/>
        <v>0</v>
      </c>
      <c r="Z104" s="397"/>
    </row>
    <row r="105" spans="1:26" ht="28.95" customHeight="1" x14ac:dyDescent="0.25">
      <c r="B105" s="370" t="s">
        <v>720</v>
      </c>
      <c r="C105" s="440" t="s">
        <v>721</v>
      </c>
      <c r="D105" s="441" t="s">
        <v>722</v>
      </c>
      <c r="E105" s="212">
        <v>1574037</v>
      </c>
      <c r="F105" s="212">
        <f>ROUND(E105,0)-168382</f>
        <v>1405655</v>
      </c>
      <c r="G105" s="392">
        <f t="shared" si="40"/>
        <v>-168382</v>
      </c>
      <c r="H105" s="239" t="s">
        <v>723</v>
      </c>
      <c r="I105" s="392">
        <f>ROUND(F105,0)</f>
        <v>1405655</v>
      </c>
      <c r="J105" s="392">
        <f t="shared" si="41"/>
        <v>0</v>
      </c>
      <c r="K105" s="214"/>
      <c r="L105" s="392">
        <f>ROUND(I105,0)</f>
        <v>1405655</v>
      </c>
      <c r="M105" s="392">
        <f t="shared" si="42"/>
        <v>0</v>
      </c>
      <c r="N105" s="215"/>
      <c r="O105" s="392">
        <f>ROUND(L105,0)+680342</f>
        <v>2085997</v>
      </c>
      <c r="P105" s="392">
        <f t="shared" si="43"/>
        <v>680342</v>
      </c>
      <c r="Q105" s="215" t="s">
        <v>724</v>
      </c>
      <c r="R105" s="392">
        <f>ROUND(O105,0)</f>
        <v>2085997</v>
      </c>
      <c r="S105" s="392">
        <f t="shared" si="31"/>
        <v>0</v>
      </c>
      <c r="T105" s="215"/>
      <c r="U105" s="392">
        <f>ROUND(R105,0)</f>
        <v>2085997</v>
      </c>
      <c r="V105" s="392">
        <f t="shared" si="32"/>
        <v>0</v>
      </c>
      <c r="W105" s="215"/>
      <c r="X105" s="392">
        <v>1288414</v>
      </c>
      <c r="Y105" s="319">
        <f t="shared" si="27"/>
        <v>0.61764901867068844</v>
      </c>
      <c r="Z105" s="392" t="s">
        <v>1236</v>
      </c>
    </row>
    <row r="106" spans="1:26" ht="15" customHeight="1" thickBot="1" x14ac:dyDescent="0.35">
      <c r="A106" s="370" t="s">
        <v>439</v>
      </c>
      <c r="B106" s="398" t="s">
        <v>725</v>
      </c>
      <c r="C106" s="390" t="s">
        <v>726</v>
      </c>
      <c r="D106" s="391" t="s">
        <v>727</v>
      </c>
      <c r="E106" s="212">
        <v>112621</v>
      </c>
      <c r="F106" s="212">
        <f>ROUND(E106,0)-10621</f>
        <v>102000</v>
      </c>
      <c r="G106" s="392">
        <f t="shared" si="40"/>
        <v>-10621</v>
      </c>
      <c r="H106" s="215" t="s">
        <v>728</v>
      </c>
      <c r="I106" s="392">
        <f>ROUND(F106,0)</f>
        <v>102000</v>
      </c>
      <c r="J106" s="392">
        <f t="shared" si="41"/>
        <v>0</v>
      </c>
      <c r="K106" s="214"/>
      <c r="L106" s="392">
        <f>ROUND(I106,0)</f>
        <v>102000</v>
      </c>
      <c r="M106" s="392">
        <f t="shared" si="42"/>
        <v>0</v>
      </c>
      <c r="N106" s="214"/>
      <c r="O106" s="392">
        <f>ROUND(L106,0)+5000</f>
        <v>107000</v>
      </c>
      <c r="P106" s="392">
        <f t="shared" si="43"/>
        <v>5000</v>
      </c>
      <c r="Q106" s="215" t="s">
        <v>504</v>
      </c>
      <c r="R106" s="392">
        <f>ROUND(O106,0)</f>
        <v>107000</v>
      </c>
      <c r="S106" s="392">
        <f t="shared" si="31"/>
        <v>0</v>
      </c>
      <c r="T106" s="215"/>
      <c r="U106" s="392">
        <f>ROUND(R106,0)+20000</f>
        <v>127000</v>
      </c>
      <c r="V106" s="392">
        <f t="shared" si="32"/>
        <v>20000</v>
      </c>
      <c r="W106" s="215" t="s">
        <v>729</v>
      </c>
      <c r="X106" s="392">
        <f>37471.13+151+144+26+770+576+95948+1240</f>
        <v>136326.13</v>
      </c>
      <c r="Y106" s="319">
        <f t="shared" si="27"/>
        <v>1.0734340944881891</v>
      </c>
      <c r="Z106" s="397"/>
    </row>
    <row r="107" spans="1:26" ht="15" customHeight="1" thickBot="1" x14ac:dyDescent="0.3">
      <c r="C107" s="443"/>
      <c r="D107" s="444" t="s">
        <v>730</v>
      </c>
      <c r="E107" s="249">
        <v>50914202.609999999</v>
      </c>
      <c r="F107" s="249">
        <f t="shared" ref="F107" si="46">F7+F10+F13+F16+F19+F22+F34+F37+F41+F42+F88+F91</f>
        <v>51193467</v>
      </c>
      <c r="G107" s="445">
        <f t="shared" si="40"/>
        <v>279264.3900000006</v>
      </c>
      <c r="H107" s="250"/>
      <c r="I107" s="445">
        <f>I7+I10+I13+I16+I19+I22+I34+I37+I41+I42+I88+I91</f>
        <v>51761438</v>
      </c>
      <c r="J107" s="445">
        <f t="shared" si="41"/>
        <v>567971</v>
      </c>
      <c r="K107" s="251"/>
      <c r="L107" s="445">
        <f>L7+L10+L13+L16+L19+L22+L34+L37+L41+L42+L88+L91</f>
        <v>51844623</v>
      </c>
      <c r="M107" s="445">
        <f t="shared" si="42"/>
        <v>83185</v>
      </c>
      <c r="N107" s="251"/>
      <c r="O107" s="445">
        <f>O7+O10+O13+O16+O19+O22+O34+O37+O41+O42+O88+O91</f>
        <v>52574335</v>
      </c>
      <c r="P107" s="445">
        <f t="shared" si="43"/>
        <v>729712</v>
      </c>
      <c r="Q107" s="251"/>
      <c r="R107" s="445">
        <f>R7+R10+R13+R16+R19+R22+R34+R37+R41+R42+R88+R91</f>
        <v>53088603</v>
      </c>
      <c r="S107" s="445">
        <f t="shared" si="31"/>
        <v>514268</v>
      </c>
      <c r="T107" s="251"/>
      <c r="U107" s="445">
        <f>U7+U10+U13+U16+U19+U22+U34+U37+U41+U42+U88+U91</f>
        <v>53301916</v>
      </c>
      <c r="V107" s="445">
        <f t="shared" si="32"/>
        <v>213313</v>
      </c>
      <c r="W107" s="251"/>
      <c r="X107" s="445">
        <f>X7+X10+X13+X16+X19+X22+X34+X37+X41+X42+X88+X91</f>
        <v>40193617.270000003</v>
      </c>
      <c r="Y107" s="329">
        <f t="shared" si="27"/>
        <v>0.7540745302664168</v>
      </c>
      <c r="Z107" s="446"/>
    </row>
    <row r="108" spans="1:26" ht="14.4" thickBot="1" x14ac:dyDescent="0.3">
      <c r="C108" s="447" t="s">
        <v>731</v>
      </c>
      <c r="D108" s="448" t="s">
        <v>732</v>
      </c>
      <c r="E108" s="252">
        <v>9016614.0299999993</v>
      </c>
      <c r="F108" s="252">
        <f>SUM(F109:F110)</f>
        <v>9755067</v>
      </c>
      <c r="G108" s="449">
        <f t="shared" si="40"/>
        <v>738452.97000000067</v>
      </c>
      <c r="H108" s="253"/>
      <c r="I108" s="449">
        <f>SUM(I109:I110)</f>
        <v>9755067</v>
      </c>
      <c r="J108" s="449">
        <f t="shared" si="41"/>
        <v>0</v>
      </c>
      <c r="K108" s="254"/>
      <c r="L108" s="449">
        <f>SUM(L109:L110)</f>
        <v>9755067</v>
      </c>
      <c r="M108" s="449">
        <f t="shared" si="42"/>
        <v>0</v>
      </c>
      <c r="N108" s="254"/>
      <c r="O108" s="449">
        <f>SUM(O109:O110)</f>
        <v>9755067</v>
      </c>
      <c r="P108" s="449">
        <f t="shared" si="43"/>
        <v>0</v>
      </c>
      <c r="Q108" s="254"/>
      <c r="R108" s="449">
        <f>SUM(R109:R110)</f>
        <v>9755067</v>
      </c>
      <c r="S108" s="449">
        <f t="shared" si="31"/>
        <v>0</v>
      </c>
      <c r="T108" s="254"/>
      <c r="U108" s="449">
        <f>SUM(U109:U110)</f>
        <v>9755067</v>
      </c>
      <c r="V108" s="449">
        <f t="shared" si="32"/>
        <v>0</v>
      </c>
      <c r="W108" s="254"/>
      <c r="X108" s="449">
        <f>SUM(X109:X110)</f>
        <v>9755067</v>
      </c>
      <c r="Y108" s="330">
        <f t="shared" si="27"/>
        <v>1</v>
      </c>
      <c r="Z108" s="450"/>
    </row>
    <row r="109" spans="1:26" ht="14.4" customHeight="1" x14ac:dyDescent="0.25">
      <c r="C109" s="390" t="s">
        <v>733</v>
      </c>
      <c r="D109" s="391" t="s">
        <v>734</v>
      </c>
      <c r="E109" s="212">
        <v>2707710.83</v>
      </c>
      <c r="F109" s="212">
        <f>ROUND(E109,0)+104970+230-1+750-1034+19357+1832+41+1093+13000+168382+10621+3808+904+17685+76439+38150+31285</f>
        <v>3195223</v>
      </c>
      <c r="G109" s="392">
        <f t="shared" si="40"/>
        <v>487512.16999999993</v>
      </c>
      <c r="H109" s="228" t="s">
        <v>735</v>
      </c>
      <c r="I109" s="392">
        <f>ROUND(F109,0)</f>
        <v>3195223</v>
      </c>
      <c r="J109" s="392">
        <f t="shared" si="41"/>
        <v>0</v>
      </c>
      <c r="K109" s="215"/>
      <c r="L109" s="392">
        <f>ROUND(I109,0)</f>
        <v>3195223</v>
      </c>
      <c r="M109" s="392">
        <f t="shared" si="42"/>
        <v>0</v>
      </c>
      <c r="N109" s="215"/>
      <c r="O109" s="392">
        <f>ROUND(L109,0)</f>
        <v>3195223</v>
      </c>
      <c r="P109" s="392">
        <f t="shared" si="43"/>
        <v>0</v>
      </c>
      <c r="Q109" s="215"/>
      <c r="R109" s="392">
        <f>ROUND(O109,0)</f>
        <v>3195223</v>
      </c>
      <c r="S109" s="392">
        <f t="shared" si="31"/>
        <v>0</v>
      </c>
      <c r="T109" s="215"/>
      <c r="U109" s="392">
        <f>ROUND(R109,0)</f>
        <v>3195223</v>
      </c>
      <c r="V109" s="392">
        <f t="shared" si="32"/>
        <v>0</v>
      </c>
      <c r="W109" s="215"/>
      <c r="X109" s="392">
        <v>3195223</v>
      </c>
      <c r="Y109" s="319">
        <f t="shared" si="27"/>
        <v>1</v>
      </c>
      <c r="Z109" s="397"/>
    </row>
    <row r="110" spans="1:26" x14ac:dyDescent="0.25">
      <c r="C110" s="390" t="s">
        <v>736</v>
      </c>
      <c r="D110" s="391" t="s">
        <v>737</v>
      </c>
      <c r="E110" s="212">
        <v>6308903</v>
      </c>
      <c r="F110" s="212">
        <f>ROUND(E110,0)+3445956+208-F109</f>
        <v>6559844</v>
      </c>
      <c r="G110" s="392">
        <f t="shared" si="40"/>
        <v>250941</v>
      </c>
      <c r="H110" s="213"/>
      <c r="I110" s="392">
        <f>ROUND(F110,0)</f>
        <v>6559844</v>
      </c>
      <c r="J110" s="392">
        <f t="shared" si="41"/>
        <v>0</v>
      </c>
      <c r="K110" s="214"/>
      <c r="L110" s="392">
        <f>ROUND(I110,0)</f>
        <v>6559844</v>
      </c>
      <c r="M110" s="392">
        <f t="shared" si="42"/>
        <v>0</v>
      </c>
      <c r="N110" s="214"/>
      <c r="O110" s="392">
        <f>ROUND(L110,0)</f>
        <v>6559844</v>
      </c>
      <c r="P110" s="392">
        <f t="shared" si="43"/>
        <v>0</v>
      </c>
      <c r="Q110" s="214"/>
      <c r="R110" s="392">
        <f>ROUND(O110,0)</f>
        <v>6559844</v>
      </c>
      <c r="S110" s="392">
        <f t="shared" si="31"/>
        <v>0</v>
      </c>
      <c r="T110" s="214"/>
      <c r="U110" s="392">
        <f>ROUND(R110,0)</f>
        <v>6559844</v>
      </c>
      <c r="V110" s="392">
        <f t="shared" si="32"/>
        <v>0</v>
      </c>
      <c r="W110" s="214"/>
      <c r="X110" s="392">
        <v>6559844</v>
      </c>
      <c r="Y110" s="319">
        <f t="shared" si="27"/>
        <v>1</v>
      </c>
      <c r="Z110" s="397"/>
    </row>
    <row r="111" spans="1:26" x14ac:dyDescent="0.25">
      <c r="C111" s="406" t="s">
        <v>738</v>
      </c>
      <c r="D111" s="451" t="s">
        <v>739</v>
      </c>
      <c r="E111" s="255">
        <v>1873161</v>
      </c>
      <c r="F111" s="255">
        <f>SUM(F112:F123)</f>
        <v>1917782</v>
      </c>
      <c r="G111" s="395">
        <f t="shared" si="40"/>
        <v>44621</v>
      </c>
      <c r="H111" s="217"/>
      <c r="I111" s="452">
        <f>SUM(I112:I123)</f>
        <v>1941929</v>
      </c>
      <c r="J111" s="395">
        <f t="shared" si="41"/>
        <v>24147</v>
      </c>
      <c r="K111" s="218"/>
      <c r="L111" s="452">
        <f>SUM(L112:L123)</f>
        <v>1941929</v>
      </c>
      <c r="M111" s="395">
        <f t="shared" si="42"/>
        <v>0</v>
      </c>
      <c r="N111" s="218"/>
      <c r="O111" s="452">
        <f>SUM(O112:O123)</f>
        <v>1941929</v>
      </c>
      <c r="P111" s="395">
        <f t="shared" si="43"/>
        <v>0</v>
      </c>
      <c r="Q111" s="218"/>
      <c r="R111" s="452">
        <f>SUM(R112:R123)</f>
        <v>1913234</v>
      </c>
      <c r="S111" s="395">
        <f t="shared" si="31"/>
        <v>-28695</v>
      </c>
      <c r="T111" s="218"/>
      <c r="U111" s="452">
        <f>SUM(U112:U123)</f>
        <v>1913234</v>
      </c>
      <c r="V111" s="395">
        <f t="shared" si="32"/>
        <v>0</v>
      </c>
      <c r="W111" s="218"/>
      <c r="X111" s="452">
        <f>SUM(X112:X123)</f>
        <v>70310.559999999998</v>
      </c>
      <c r="Y111" s="331">
        <f t="shared" si="27"/>
        <v>3.6749587347914579E-2</v>
      </c>
      <c r="Z111" s="452" t="s">
        <v>1237</v>
      </c>
    </row>
    <row r="112" spans="1:26" ht="41.4" hidden="1" outlineLevel="1" x14ac:dyDescent="0.25">
      <c r="A112" s="427"/>
      <c r="B112" s="427"/>
      <c r="C112" s="440" t="s">
        <v>740</v>
      </c>
      <c r="D112" s="453" t="s">
        <v>661</v>
      </c>
      <c r="E112" s="212">
        <v>0</v>
      </c>
      <c r="F112" s="212">
        <f t="shared" ref="F112:F123" si="47">ROUND(E112,0)</f>
        <v>0</v>
      </c>
      <c r="G112" s="456">
        <f t="shared" si="40"/>
        <v>0</v>
      </c>
      <c r="H112" s="223"/>
      <c r="I112" s="392">
        <f t="shared" ref="I112:I123" si="48">ROUND(F112,0)</f>
        <v>0</v>
      </c>
      <c r="J112" s="456">
        <f t="shared" si="41"/>
        <v>0</v>
      </c>
      <c r="K112" s="224"/>
      <c r="L112" s="392">
        <f t="shared" ref="L112:L123" si="49">ROUND(I112,0)</f>
        <v>0</v>
      </c>
      <c r="M112" s="456">
        <f t="shared" si="42"/>
        <v>0</v>
      </c>
      <c r="N112" s="224"/>
      <c r="O112" s="392">
        <f t="shared" ref="O112:O121" si="50">ROUND(L112,0)</f>
        <v>0</v>
      </c>
      <c r="P112" s="456">
        <f t="shared" si="43"/>
        <v>0</v>
      </c>
      <c r="Q112" s="224"/>
      <c r="R112" s="392">
        <f t="shared" ref="R112:R121" si="51">ROUND(O112,0)</f>
        <v>0</v>
      </c>
      <c r="S112" s="456">
        <f t="shared" si="31"/>
        <v>0</v>
      </c>
      <c r="T112" s="224"/>
      <c r="U112" s="392">
        <f>ROUND(R112,0)</f>
        <v>0</v>
      </c>
      <c r="V112" s="456">
        <f t="shared" si="32"/>
        <v>0</v>
      </c>
      <c r="W112" s="224"/>
      <c r="X112" s="392">
        <f>ROUND(H112,0)</f>
        <v>0</v>
      </c>
      <c r="Y112" s="332" t="e">
        <f t="shared" si="27"/>
        <v>#DIV/0!</v>
      </c>
      <c r="Z112" s="457"/>
    </row>
    <row r="113" spans="1:26" ht="27.6" hidden="1" outlineLevel="1" x14ac:dyDescent="0.25">
      <c r="A113" s="427"/>
      <c r="B113" s="427"/>
      <c r="C113" s="440" t="s">
        <v>741</v>
      </c>
      <c r="D113" s="453" t="s">
        <v>391</v>
      </c>
      <c r="E113" s="212">
        <v>0</v>
      </c>
      <c r="F113" s="212">
        <f t="shared" si="47"/>
        <v>0</v>
      </c>
      <c r="G113" s="456">
        <f t="shared" si="40"/>
        <v>0</v>
      </c>
      <c r="H113" s="223"/>
      <c r="I113" s="392">
        <f t="shared" si="48"/>
        <v>0</v>
      </c>
      <c r="J113" s="456">
        <f t="shared" si="41"/>
        <v>0</v>
      </c>
      <c r="K113" s="224"/>
      <c r="L113" s="392">
        <f t="shared" si="49"/>
        <v>0</v>
      </c>
      <c r="M113" s="456">
        <f t="shared" si="42"/>
        <v>0</v>
      </c>
      <c r="N113" s="224"/>
      <c r="O113" s="392">
        <f t="shared" si="50"/>
        <v>0</v>
      </c>
      <c r="P113" s="456">
        <f t="shared" si="43"/>
        <v>0</v>
      </c>
      <c r="Q113" s="224"/>
      <c r="R113" s="392">
        <f t="shared" si="51"/>
        <v>0</v>
      </c>
      <c r="S113" s="456">
        <f t="shared" si="31"/>
        <v>0</v>
      </c>
      <c r="T113" s="224"/>
      <c r="U113" s="392">
        <f>ROUND(R113,0)</f>
        <v>0</v>
      </c>
      <c r="V113" s="456">
        <f t="shared" si="32"/>
        <v>0</v>
      </c>
      <c r="W113" s="224"/>
      <c r="X113" s="392">
        <f>ROUND(H113,0)</f>
        <v>0</v>
      </c>
      <c r="Y113" s="332" t="e">
        <f t="shared" si="27"/>
        <v>#DIV/0!</v>
      </c>
      <c r="Z113" s="457"/>
    </row>
    <row r="114" spans="1:26" ht="30.6" customHeight="1" collapsed="1" x14ac:dyDescent="0.25">
      <c r="A114" s="427" t="s">
        <v>742</v>
      </c>
      <c r="B114" s="427"/>
      <c r="C114" s="440" t="s">
        <v>740</v>
      </c>
      <c r="D114" s="453" t="s">
        <v>743</v>
      </c>
      <c r="E114" s="212">
        <v>541742</v>
      </c>
      <c r="F114" s="212">
        <f t="shared" si="47"/>
        <v>541742</v>
      </c>
      <c r="G114" s="456">
        <f t="shared" si="40"/>
        <v>0</v>
      </c>
      <c r="H114" s="223"/>
      <c r="I114" s="392">
        <f t="shared" si="48"/>
        <v>541742</v>
      </c>
      <c r="J114" s="456">
        <f t="shared" si="41"/>
        <v>0</v>
      </c>
      <c r="K114" s="224"/>
      <c r="L114" s="392">
        <f t="shared" si="49"/>
        <v>541742</v>
      </c>
      <c r="M114" s="456">
        <f t="shared" si="42"/>
        <v>0</v>
      </c>
      <c r="N114" s="224"/>
      <c r="O114" s="392">
        <f t="shared" si="50"/>
        <v>541742</v>
      </c>
      <c r="P114" s="456">
        <f t="shared" si="43"/>
        <v>0</v>
      </c>
      <c r="Q114" s="224"/>
      <c r="R114" s="392">
        <f>ROUND(O114,0)-28695</f>
        <v>513047</v>
      </c>
      <c r="S114" s="456">
        <f t="shared" si="31"/>
        <v>-28695</v>
      </c>
      <c r="T114" s="224" t="s">
        <v>744</v>
      </c>
      <c r="U114" s="392">
        <f>ROUND(R114,0)</f>
        <v>513047</v>
      </c>
      <c r="V114" s="456">
        <f t="shared" si="32"/>
        <v>0</v>
      </c>
      <c r="W114" s="224"/>
      <c r="X114" s="392">
        <v>0</v>
      </c>
      <c r="Y114" s="332">
        <f t="shared" si="27"/>
        <v>0</v>
      </c>
      <c r="Z114" s="457"/>
    </row>
    <row r="115" spans="1:26" ht="27.6" x14ac:dyDescent="0.25">
      <c r="A115" s="427" t="s">
        <v>617</v>
      </c>
      <c r="B115" s="427" t="s">
        <v>745</v>
      </c>
      <c r="C115" s="440" t="s">
        <v>741</v>
      </c>
      <c r="D115" s="458" t="s">
        <v>746</v>
      </c>
      <c r="E115" s="212">
        <v>353405</v>
      </c>
      <c r="F115" s="212">
        <f>ROUND(E115,0)-3420</f>
        <v>349985</v>
      </c>
      <c r="G115" s="456">
        <f t="shared" si="40"/>
        <v>-3420</v>
      </c>
      <c r="H115" s="224" t="s">
        <v>747</v>
      </c>
      <c r="I115" s="392">
        <f t="shared" si="48"/>
        <v>349985</v>
      </c>
      <c r="J115" s="456">
        <f t="shared" si="41"/>
        <v>0</v>
      </c>
      <c r="K115" s="222"/>
      <c r="L115" s="392">
        <f t="shared" si="49"/>
        <v>349985</v>
      </c>
      <c r="M115" s="456">
        <f t="shared" si="42"/>
        <v>0</v>
      </c>
      <c r="N115" s="222"/>
      <c r="O115" s="392">
        <f t="shared" si="50"/>
        <v>349985</v>
      </c>
      <c r="P115" s="456">
        <f t="shared" si="43"/>
        <v>0</v>
      </c>
      <c r="Q115" s="222"/>
      <c r="R115" s="392">
        <f t="shared" si="51"/>
        <v>349985</v>
      </c>
      <c r="S115" s="456">
        <f t="shared" si="31"/>
        <v>0</v>
      </c>
      <c r="T115" s="222"/>
      <c r="U115" s="392">
        <f t="shared" ref="U115:U121" si="52">ROUND(R115,0)</f>
        <v>349985</v>
      </c>
      <c r="V115" s="456">
        <f t="shared" si="32"/>
        <v>0</v>
      </c>
      <c r="W115" s="222"/>
      <c r="X115" s="392">
        <v>0</v>
      </c>
      <c r="Y115" s="332">
        <f>X115/U115</f>
        <v>0</v>
      </c>
      <c r="Z115" s="455"/>
    </row>
    <row r="116" spans="1:26" ht="16.95" hidden="1" customHeight="1" outlineLevel="1" x14ac:dyDescent="0.25">
      <c r="A116" s="427"/>
      <c r="B116" s="427"/>
      <c r="C116" s="440" t="s">
        <v>748</v>
      </c>
      <c r="D116" s="458"/>
      <c r="E116" s="212">
        <v>0</v>
      </c>
      <c r="F116" s="212">
        <f t="shared" si="47"/>
        <v>0</v>
      </c>
      <c r="G116" s="456">
        <f t="shared" si="40"/>
        <v>0</v>
      </c>
      <c r="H116" s="221"/>
      <c r="I116" s="392">
        <f t="shared" si="48"/>
        <v>0</v>
      </c>
      <c r="J116" s="456">
        <f t="shared" si="41"/>
        <v>0</v>
      </c>
      <c r="K116" s="222"/>
      <c r="L116" s="392">
        <f t="shared" si="49"/>
        <v>0</v>
      </c>
      <c r="M116" s="456">
        <f t="shared" si="42"/>
        <v>0</v>
      </c>
      <c r="N116" s="222"/>
      <c r="O116" s="392">
        <f t="shared" si="50"/>
        <v>0</v>
      </c>
      <c r="P116" s="456">
        <f t="shared" si="43"/>
        <v>0</v>
      </c>
      <c r="Q116" s="222"/>
      <c r="R116" s="392">
        <f t="shared" si="51"/>
        <v>0</v>
      </c>
      <c r="S116" s="456">
        <f t="shared" si="31"/>
        <v>0</v>
      </c>
      <c r="T116" s="222"/>
      <c r="U116" s="392">
        <f t="shared" si="52"/>
        <v>0</v>
      </c>
      <c r="V116" s="456">
        <f t="shared" si="32"/>
        <v>0</v>
      </c>
      <c r="W116" s="222"/>
      <c r="X116" s="392"/>
      <c r="Y116" s="332" t="e">
        <f t="shared" si="27"/>
        <v>#DIV/0!</v>
      </c>
      <c r="Z116" s="455"/>
    </row>
    <row r="117" spans="1:26" hidden="1" outlineLevel="1" x14ac:dyDescent="0.25">
      <c r="B117" s="427"/>
      <c r="C117" s="440" t="s">
        <v>749</v>
      </c>
      <c r="D117" s="458" t="s">
        <v>363</v>
      </c>
      <c r="E117" s="256">
        <v>0</v>
      </c>
      <c r="F117" s="256">
        <f t="shared" si="47"/>
        <v>0</v>
      </c>
      <c r="G117" s="459">
        <f t="shared" si="40"/>
        <v>0</v>
      </c>
      <c r="H117" s="257"/>
      <c r="I117" s="454">
        <f>ROUND(F117,0)</f>
        <v>0</v>
      </c>
      <c r="J117" s="459">
        <f t="shared" si="41"/>
        <v>0</v>
      </c>
      <c r="K117" s="224"/>
      <c r="L117" s="454">
        <f t="shared" si="49"/>
        <v>0</v>
      </c>
      <c r="M117" s="459">
        <f t="shared" si="42"/>
        <v>0</v>
      </c>
      <c r="N117" s="224"/>
      <c r="O117" s="454">
        <f t="shared" si="50"/>
        <v>0</v>
      </c>
      <c r="P117" s="459">
        <f t="shared" si="43"/>
        <v>0</v>
      </c>
      <c r="Q117" s="224"/>
      <c r="R117" s="454">
        <f t="shared" si="51"/>
        <v>0</v>
      </c>
      <c r="S117" s="459">
        <f t="shared" si="31"/>
        <v>0</v>
      </c>
      <c r="T117" s="224"/>
      <c r="U117" s="454">
        <f t="shared" si="52"/>
        <v>0</v>
      </c>
      <c r="V117" s="459">
        <f t="shared" si="32"/>
        <v>0</v>
      </c>
      <c r="W117" s="224"/>
      <c r="X117" s="392"/>
      <c r="Y117" s="332" t="e">
        <f t="shared" si="27"/>
        <v>#DIV/0!</v>
      </c>
      <c r="Z117" s="455"/>
    </row>
    <row r="118" spans="1:26" ht="42" customHeight="1" collapsed="1" x14ac:dyDescent="0.25">
      <c r="A118" s="427" t="s">
        <v>750</v>
      </c>
      <c r="B118" s="427"/>
      <c r="C118" s="440" t="s">
        <v>751</v>
      </c>
      <c r="D118" s="460" t="s">
        <v>752</v>
      </c>
      <c r="E118" s="353">
        <v>30982</v>
      </c>
      <c r="F118" s="256">
        <f>ROUND(E118,0)+48041</f>
        <v>79023</v>
      </c>
      <c r="G118" s="459">
        <f t="shared" si="40"/>
        <v>48041</v>
      </c>
      <c r="H118" s="258" t="s">
        <v>753</v>
      </c>
      <c r="I118" s="454">
        <f t="shared" si="48"/>
        <v>79023</v>
      </c>
      <c r="J118" s="459">
        <f t="shared" si="41"/>
        <v>0</v>
      </c>
      <c r="K118" s="224"/>
      <c r="L118" s="454">
        <f t="shared" si="49"/>
        <v>79023</v>
      </c>
      <c r="M118" s="459">
        <f t="shared" si="42"/>
        <v>0</v>
      </c>
      <c r="N118" s="222"/>
      <c r="O118" s="454">
        <f t="shared" si="50"/>
        <v>79023</v>
      </c>
      <c r="P118" s="459">
        <f t="shared" si="43"/>
        <v>0</v>
      </c>
      <c r="Q118" s="222"/>
      <c r="R118" s="454">
        <f t="shared" si="51"/>
        <v>79023</v>
      </c>
      <c r="S118" s="459">
        <f t="shared" si="31"/>
        <v>0</v>
      </c>
      <c r="T118" s="222"/>
      <c r="U118" s="454">
        <f t="shared" si="52"/>
        <v>79023</v>
      </c>
      <c r="V118" s="459">
        <f t="shared" si="32"/>
        <v>0</v>
      </c>
      <c r="W118" s="222"/>
      <c r="X118" s="392">
        <f>69236.56+1074</f>
        <v>70310.559999999998</v>
      </c>
      <c r="Y118" s="332">
        <f t="shared" si="27"/>
        <v>0.88974804803664753</v>
      </c>
      <c r="Z118" s="455"/>
    </row>
    <row r="119" spans="1:26" ht="57.6" customHeight="1" x14ac:dyDescent="0.25">
      <c r="A119" s="427" t="s">
        <v>750</v>
      </c>
      <c r="B119" s="427"/>
      <c r="C119" s="440" t="s">
        <v>754</v>
      </c>
      <c r="D119" s="461" t="s">
        <v>755</v>
      </c>
      <c r="E119" s="354">
        <v>783000</v>
      </c>
      <c r="F119" s="259">
        <f t="shared" si="47"/>
        <v>783000</v>
      </c>
      <c r="G119" s="459">
        <f t="shared" si="40"/>
        <v>0</v>
      </c>
      <c r="H119" s="221"/>
      <c r="I119" s="454">
        <f t="shared" si="48"/>
        <v>783000</v>
      </c>
      <c r="J119" s="459">
        <f t="shared" si="41"/>
        <v>0</v>
      </c>
      <c r="K119" s="224"/>
      <c r="L119" s="454">
        <f t="shared" si="49"/>
        <v>783000</v>
      </c>
      <c r="M119" s="459">
        <f t="shared" si="42"/>
        <v>0</v>
      </c>
      <c r="N119" s="222"/>
      <c r="O119" s="454">
        <f t="shared" si="50"/>
        <v>783000</v>
      </c>
      <c r="P119" s="459">
        <f t="shared" si="43"/>
        <v>0</v>
      </c>
      <c r="Q119" s="222"/>
      <c r="R119" s="454">
        <f t="shared" si="51"/>
        <v>783000</v>
      </c>
      <c r="S119" s="459">
        <f t="shared" si="31"/>
        <v>0</v>
      </c>
      <c r="T119" s="222"/>
      <c r="U119" s="454">
        <f t="shared" si="52"/>
        <v>783000</v>
      </c>
      <c r="V119" s="459">
        <f t="shared" si="32"/>
        <v>0</v>
      </c>
      <c r="W119" s="222"/>
      <c r="X119" s="392">
        <v>0</v>
      </c>
      <c r="Y119" s="332">
        <f t="shared" si="27"/>
        <v>0</v>
      </c>
      <c r="Z119" s="454" t="s">
        <v>1238</v>
      </c>
    </row>
    <row r="120" spans="1:26" ht="16.2" customHeight="1" x14ac:dyDescent="0.25">
      <c r="B120" s="427" t="s">
        <v>665</v>
      </c>
      <c r="C120" s="440" t="s">
        <v>748</v>
      </c>
      <c r="D120" s="461" t="s">
        <v>392</v>
      </c>
      <c r="E120" s="354">
        <v>164032</v>
      </c>
      <c r="F120" s="259">
        <f t="shared" si="47"/>
        <v>164032</v>
      </c>
      <c r="G120" s="392">
        <f t="shared" si="40"/>
        <v>0</v>
      </c>
      <c r="H120" s="260"/>
      <c r="I120" s="454">
        <f>ROUND(F120,0)+24147</f>
        <v>188179</v>
      </c>
      <c r="J120" s="462">
        <f t="shared" si="41"/>
        <v>24147</v>
      </c>
      <c r="K120" s="224" t="s">
        <v>667</v>
      </c>
      <c r="L120" s="463">
        <f t="shared" si="49"/>
        <v>188179</v>
      </c>
      <c r="M120" s="462">
        <f t="shared" si="42"/>
        <v>0</v>
      </c>
      <c r="N120" s="245"/>
      <c r="O120" s="462">
        <f t="shared" si="50"/>
        <v>188179</v>
      </c>
      <c r="P120" s="462">
        <f t="shared" si="43"/>
        <v>0</v>
      </c>
      <c r="Q120" s="222"/>
      <c r="R120" s="454">
        <f t="shared" si="51"/>
        <v>188179</v>
      </c>
      <c r="S120" s="462">
        <f t="shared" si="31"/>
        <v>0</v>
      </c>
      <c r="T120" s="222"/>
      <c r="U120" s="454">
        <f t="shared" si="52"/>
        <v>188179</v>
      </c>
      <c r="V120" s="462">
        <f t="shared" si="32"/>
        <v>0</v>
      </c>
      <c r="W120" s="222"/>
      <c r="X120" s="392">
        <v>0</v>
      </c>
      <c r="Y120" s="332">
        <f t="shared" si="27"/>
        <v>0</v>
      </c>
      <c r="Z120" s="454" t="s">
        <v>1239</v>
      </c>
    </row>
    <row r="121" spans="1:26" ht="18.600000000000001" hidden="1" customHeight="1" outlineLevel="1" x14ac:dyDescent="0.25">
      <c r="B121" s="427"/>
      <c r="C121" s="440" t="s">
        <v>756</v>
      </c>
      <c r="D121" s="461" t="s">
        <v>757</v>
      </c>
      <c r="E121" s="355">
        <v>0</v>
      </c>
      <c r="F121" s="261">
        <f t="shared" si="47"/>
        <v>0</v>
      </c>
      <c r="G121" s="464">
        <f t="shared" si="40"/>
        <v>0</v>
      </c>
      <c r="H121" s="257"/>
      <c r="I121" s="454">
        <f t="shared" si="48"/>
        <v>0</v>
      </c>
      <c r="J121" s="459">
        <f t="shared" si="41"/>
        <v>0</v>
      </c>
      <c r="K121" s="224"/>
      <c r="L121" s="454">
        <f t="shared" si="49"/>
        <v>0</v>
      </c>
      <c r="M121" s="459">
        <f t="shared" si="42"/>
        <v>0</v>
      </c>
      <c r="N121" s="262"/>
      <c r="O121" s="454">
        <f t="shared" si="50"/>
        <v>0</v>
      </c>
      <c r="P121" s="459">
        <f t="shared" si="43"/>
        <v>0</v>
      </c>
      <c r="Q121" s="222"/>
      <c r="R121" s="454">
        <f t="shared" si="51"/>
        <v>0</v>
      </c>
      <c r="S121" s="459">
        <f t="shared" si="31"/>
        <v>0</v>
      </c>
      <c r="T121" s="222"/>
      <c r="U121" s="454">
        <f t="shared" si="52"/>
        <v>0</v>
      </c>
      <c r="V121" s="459">
        <f t="shared" si="32"/>
        <v>0</v>
      </c>
      <c r="W121" s="222"/>
      <c r="X121" s="397">
        <f>ROUND(H121,0)</f>
        <v>0</v>
      </c>
      <c r="Y121" s="332" t="e">
        <f>X121/U121</f>
        <v>#DIV/0!</v>
      </c>
      <c r="Z121" s="455"/>
    </row>
    <row r="122" spans="1:26" ht="27.6" hidden="1" customHeight="1" outlineLevel="1" x14ac:dyDescent="0.25">
      <c r="B122" s="427"/>
      <c r="C122" s="465" t="s">
        <v>758</v>
      </c>
      <c r="D122" s="466" t="s">
        <v>759</v>
      </c>
      <c r="E122" s="355">
        <v>0</v>
      </c>
      <c r="F122" s="256">
        <f t="shared" si="47"/>
        <v>0</v>
      </c>
      <c r="G122" s="459">
        <f t="shared" si="40"/>
        <v>0</v>
      </c>
      <c r="H122" s="257"/>
      <c r="I122" s="454">
        <f t="shared" si="48"/>
        <v>0</v>
      </c>
      <c r="J122" s="459">
        <f t="shared" si="41"/>
        <v>0</v>
      </c>
      <c r="K122" s="224"/>
      <c r="L122" s="454"/>
      <c r="M122" s="459"/>
      <c r="N122" s="263"/>
      <c r="O122" s="454">
        <f>ROUND(L122,0)</f>
        <v>0</v>
      </c>
      <c r="P122" s="459">
        <f t="shared" si="43"/>
        <v>0</v>
      </c>
      <c r="Q122" s="222"/>
      <c r="R122" s="454">
        <f>ROUND(O122,0)</f>
        <v>0</v>
      </c>
      <c r="S122" s="459">
        <f t="shared" si="31"/>
        <v>0</v>
      </c>
      <c r="T122" s="222"/>
      <c r="U122" s="454">
        <f>ROUND(R122,0)</f>
        <v>0</v>
      </c>
      <c r="V122" s="459">
        <f t="shared" si="32"/>
        <v>0</v>
      </c>
      <c r="W122" s="222"/>
      <c r="X122" s="397">
        <f>ROUND(H122,0)</f>
        <v>0</v>
      </c>
      <c r="Y122" s="332" t="e">
        <f>X122/U122</f>
        <v>#DIV/0!</v>
      </c>
      <c r="Z122" s="455"/>
    </row>
    <row r="123" spans="1:26" ht="28.95" hidden="1" customHeight="1" outlineLevel="1" x14ac:dyDescent="0.25">
      <c r="B123" s="427"/>
      <c r="C123" s="440" t="s">
        <v>760</v>
      </c>
      <c r="D123" s="467" t="s">
        <v>761</v>
      </c>
      <c r="E123" s="256">
        <v>0</v>
      </c>
      <c r="F123" s="256">
        <f t="shared" si="47"/>
        <v>0</v>
      </c>
      <c r="G123" s="459">
        <f t="shared" si="40"/>
        <v>0</v>
      </c>
      <c r="H123" s="257"/>
      <c r="I123" s="454">
        <f t="shared" si="48"/>
        <v>0</v>
      </c>
      <c r="J123" s="459">
        <f t="shared" si="41"/>
        <v>0</v>
      </c>
      <c r="K123" s="224"/>
      <c r="L123" s="454">
        <f t="shared" si="49"/>
        <v>0</v>
      </c>
      <c r="M123" s="459">
        <f t="shared" si="42"/>
        <v>0</v>
      </c>
      <c r="N123" s="214"/>
      <c r="O123" s="454">
        <f>ROUND(L123,0)</f>
        <v>0</v>
      </c>
      <c r="P123" s="459">
        <f t="shared" si="43"/>
        <v>0</v>
      </c>
      <c r="Q123" s="222"/>
      <c r="R123" s="454">
        <f>ROUND(O123,0)</f>
        <v>0</v>
      </c>
      <c r="S123" s="459">
        <f t="shared" si="31"/>
        <v>0</v>
      </c>
      <c r="T123" s="222"/>
      <c r="U123" s="454">
        <f>ROUND(R123,0)</f>
        <v>0</v>
      </c>
      <c r="V123" s="459">
        <f t="shared" si="32"/>
        <v>0</v>
      </c>
      <c r="W123" s="222"/>
      <c r="X123" s="397">
        <f>ROUND(H123,0)</f>
        <v>0</v>
      </c>
      <c r="Y123" s="332" t="e">
        <f>X123/U123</f>
        <v>#DIV/0!</v>
      </c>
      <c r="Z123" s="455"/>
    </row>
    <row r="124" spans="1:26" ht="14.4" collapsed="1" thickBot="1" x14ac:dyDescent="0.3">
      <c r="C124" s="468"/>
      <c r="D124" s="469" t="s">
        <v>762</v>
      </c>
      <c r="E124" s="252">
        <v>61803977.640000001</v>
      </c>
      <c r="F124" s="252">
        <f t="shared" ref="F124" si="53">F107+F108+F111</f>
        <v>62866316</v>
      </c>
      <c r="G124" s="449">
        <f t="shared" si="40"/>
        <v>1062338.3599999994</v>
      </c>
      <c r="H124" s="264"/>
      <c r="I124" s="449">
        <f>I107+I108+I111</f>
        <v>63458434</v>
      </c>
      <c r="J124" s="449">
        <f t="shared" si="41"/>
        <v>592118</v>
      </c>
      <c r="K124" s="265"/>
      <c r="L124" s="449">
        <f>L107+L108+L111</f>
        <v>63541619</v>
      </c>
      <c r="M124" s="449">
        <f t="shared" si="42"/>
        <v>83185</v>
      </c>
      <c r="N124" s="265"/>
      <c r="O124" s="449">
        <f>O107+O108+O111</f>
        <v>64271331</v>
      </c>
      <c r="P124" s="449">
        <f t="shared" si="43"/>
        <v>729712</v>
      </c>
      <c r="Q124" s="265"/>
      <c r="R124" s="449">
        <f>R107+R108+R111</f>
        <v>64756904</v>
      </c>
      <c r="S124" s="449">
        <f t="shared" si="31"/>
        <v>485573</v>
      </c>
      <c r="T124" s="265"/>
      <c r="U124" s="449">
        <f>U107+U108+U111</f>
        <v>64970217</v>
      </c>
      <c r="V124" s="449">
        <f t="shared" si="32"/>
        <v>213313</v>
      </c>
      <c r="W124" s="265"/>
      <c r="X124" s="449">
        <f>X107+X108+X111</f>
        <v>50018994.830000006</v>
      </c>
      <c r="Y124" s="333">
        <f>X124/U124</f>
        <v>0.76987575445530687</v>
      </c>
      <c r="Z124" s="450"/>
    </row>
    <row r="126" spans="1:26" x14ac:dyDescent="0.25">
      <c r="G126" s="377"/>
      <c r="I126" s="377"/>
      <c r="J126" s="377"/>
      <c r="L126" s="377"/>
      <c r="M126" s="377"/>
      <c r="O126" s="377"/>
      <c r="P126" s="377"/>
      <c r="R126" s="377"/>
      <c r="S126" s="377"/>
      <c r="U126" s="377"/>
      <c r="V126" s="377"/>
      <c r="X126" s="374"/>
      <c r="Z126" s="378"/>
    </row>
    <row r="127" spans="1:26" ht="20.399999999999999" x14ac:dyDescent="0.35">
      <c r="C127" s="379" t="s">
        <v>763</v>
      </c>
      <c r="D127" s="379"/>
      <c r="G127" s="377"/>
      <c r="I127" s="377"/>
      <c r="J127" s="377"/>
      <c r="L127" s="377"/>
      <c r="M127" s="377"/>
      <c r="O127" s="377"/>
      <c r="P127" s="377"/>
      <c r="R127" s="377"/>
      <c r="S127" s="377"/>
      <c r="U127" s="377"/>
      <c r="V127" s="377"/>
      <c r="X127" s="374"/>
      <c r="Z127" s="378"/>
    </row>
    <row r="128" spans="1:26" ht="15" thickBot="1" x14ac:dyDescent="0.35">
      <c r="C128" s="472"/>
      <c r="D128" s="472"/>
      <c r="G128" s="266"/>
      <c r="I128" s="266"/>
      <c r="J128" s="266"/>
      <c r="L128" s="266"/>
      <c r="M128" s="266"/>
      <c r="O128" s="266"/>
      <c r="P128" s="266"/>
      <c r="R128" s="266"/>
      <c r="S128" s="266"/>
      <c r="U128" s="266"/>
      <c r="V128" s="266"/>
      <c r="X128" s="335"/>
      <c r="Z128" s="336"/>
    </row>
    <row r="129" spans="2:26" ht="57" customHeight="1" thickBot="1" x14ac:dyDescent="0.3">
      <c r="C129" s="380" t="s">
        <v>419</v>
      </c>
      <c r="D129" s="381" t="s">
        <v>420</v>
      </c>
      <c r="E129" s="203" t="s">
        <v>1264</v>
      </c>
      <c r="F129" s="203" t="s">
        <v>421</v>
      </c>
      <c r="G129" s="202" t="s">
        <v>764</v>
      </c>
      <c r="H129" s="204" t="s">
        <v>765</v>
      </c>
      <c r="I129" s="202" t="s">
        <v>424</v>
      </c>
      <c r="J129" s="202" t="s">
        <v>766</v>
      </c>
      <c r="K129" s="205" t="s">
        <v>765</v>
      </c>
      <c r="L129" s="202" t="s">
        <v>426</v>
      </c>
      <c r="M129" s="202" t="s">
        <v>427</v>
      </c>
      <c r="N129" s="205" t="s">
        <v>765</v>
      </c>
      <c r="O129" s="202" t="s">
        <v>428</v>
      </c>
      <c r="P129" s="202" t="s">
        <v>429</v>
      </c>
      <c r="Q129" s="205" t="s">
        <v>765</v>
      </c>
      <c r="R129" s="202" t="str">
        <f>R5</f>
        <v>29.08.2024. grozījumi</v>
      </c>
      <c r="S129" s="202" t="str">
        <f>S5</f>
        <v>Izmaiņa 29.08.2024. -27.06.2024.</v>
      </c>
      <c r="T129" s="205" t="s">
        <v>765</v>
      </c>
      <c r="U129" s="202" t="str">
        <f>U5</f>
        <v>24.10.2024. grozījumi</v>
      </c>
      <c r="V129" s="202" t="str">
        <f>V5</f>
        <v>Izmaiņa 24.10.2024. -29.08.2024.</v>
      </c>
      <c r="W129" s="205" t="s">
        <v>765</v>
      </c>
      <c r="X129" s="202" t="str">
        <f>X5</f>
        <v>30.09.2024. fakts</v>
      </c>
      <c r="Y129" s="315" t="str">
        <f>Y5</f>
        <v>30.09.2024. fakts (%) pret 2024. plānu</v>
      </c>
      <c r="Z129" s="337" t="s">
        <v>1220</v>
      </c>
    </row>
    <row r="130" spans="2:26" x14ac:dyDescent="0.25">
      <c r="C130" s="473" t="s">
        <v>437</v>
      </c>
      <c r="D130" s="474" t="s">
        <v>767</v>
      </c>
      <c r="E130" s="267">
        <v>11584924</v>
      </c>
      <c r="F130" s="267">
        <f t="shared" ref="F130" si="54">SUM(F131:F139)</f>
        <v>11593156</v>
      </c>
      <c r="G130" s="475">
        <f t="shared" ref="G130:G187" si="55">F130-E130</f>
        <v>8232</v>
      </c>
      <c r="H130" s="268"/>
      <c r="I130" s="475">
        <f>SUM(I131:I139)</f>
        <v>11675168</v>
      </c>
      <c r="J130" s="475">
        <f t="shared" ref="J130:J201" si="56">I130-F130</f>
        <v>82012</v>
      </c>
      <c r="K130" s="269"/>
      <c r="L130" s="475">
        <f>SUM(L131:L139)</f>
        <v>11718990</v>
      </c>
      <c r="M130" s="475">
        <f t="shared" ref="M130:M201" si="57">L130-I130</f>
        <v>43822</v>
      </c>
      <c r="N130" s="269"/>
      <c r="O130" s="475">
        <f>SUM(O131:O139)</f>
        <v>11668303</v>
      </c>
      <c r="P130" s="475">
        <f t="shared" ref="P130:P201" si="58">O130-L130</f>
        <v>-50687</v>
      </c>
      <c r="Q130" s="269"/>
      <c r="R130" s="475">
        <f>SUM(R131:R139)</f>
        <v>11628303</v>
      </c>
      <c r="S130" s="475">
        <f t="shared" ref="S130:S187" si="59">R130-O130</f>
        <v>-40000</v>
      </c>
      <c r="T130" s="269"/>
      <c r="U130" s="475">
        <f>SUM(U131:U139)</f>
        <v>11628303</v>
      </c>
      <c r="V130" s="475">
        <f t="shared" ref="V130:V187" si="60">U130-R130</f>
        <v>0</v>
      </c>
      <c r="W130" s="269"/>
      <c r="X130" s="475">
        <f>SUM(X131:X139)</f>
        <v>8350513.8899999997</v>
      </c>
      <c r="Y130" s="338">
        <f t="shared" ref="Y130:Y139" si="61">X130/U130</f>
        <v>0.71811973681800345</v>
      </c>
      <c r="Z130" s="476"/>
    </row>
    <row r="131" spans="2:26" ht="31.5" customHeight="1" x14ac:dyDescent="0.25">
      <c r="B131" s="427" t="s">
        <v>768</v>
      </c>
      <c r="C131" s="477" t="s">
        <v>441</v>
      </c>
      <c r="D131" s="478" t="s">
        <v>769</v>
      </c>
      <c r="E131" s="240">
        <v>1983487</v>
      </c>
      <c r="F131" s="240">
        <f>ROUND(E131,0)</f>
        <v>1983487</v>
      </c>
      <c r="G131" s="409">
        <f t="shared" si="55"/>
        <v>0</v>
      </c>
      <c r="H131" s="241"/>
      <c r="I131" s="409">
        <f>ROUND(F131,0)</f>
        <v>1983487</v>
      </c>
      <c r="J131" s="409">
        <f t="shared" si="56"/>
        <v>0</v>
      </c>
      <c r="K131" s="242"/>
      <c r="L131" s="409">
        <f t="shared" ref="L131:L142" si="62">ROUND(I131,0)</f>
        <v>1983487</v>
      </c>
      <c r="M131" s="409">
        <f t="shared" si="57"/>
        <v>0</v>
      </c>
      <c r="N131" s="242"/>
      <c r="O131" s="409">
        <f t="shared" ref="O131:O141" si="63">ROUND(L131,0)</f>
        <v>1983487</v>
      </c>
      <c r="P131" s="409">
        <f t="shared" si="58"/>
        <v>0</v>
      </c>
      <c r="Q131" s="242"/>
      <c r="R131" s="409">
        <f t="shared" ref="R131:R136" si="64">ROUND(O131,0)</f>
        <v>1983487</v>
      </c>
      <c r="S131" s="409">
        <f t="shared" si="59"/>
        <v>0</v>
      </c>
      <c r="T131" s="242" t="s">
        <v>770</v>
      </c>
      <c r="U131" s="422">
        <f>ROUND(R131,0)+28260</f>
        <v>2011747</v>
      </c>
      <c r="V131" s="422">
        <f t="shared" si="60"/>
        <v>28260</v>
      </c>
      <c r="W131" s="479" t="s">
        <v>1270</v>
      </c>
      <c r="X131" s="480">
        <f>7830051.8-X137-X138</f>
        <v>1268466.3299999991</v>
      </c>
      <c r="Y131" s="328">
        <f t="shared" si="61"/>
        <v>0.63052974852205523</v>
      </c>
      <c r="Z131" s="481"/>
    </row>
    <row r="132" spans="2:26" x14ac:dyDescent="0.25">
      <c r="B132" s="427" t="s">
        <v>771</v>
      </c>
      <c r="C132" s="477" t="s">
        <v>772</v>
      </c>
      <c r="D132" s="478" t="s">
        <v>773</v>
      </c>
      <c r="E132" s="240">
        <v>376850</v>
      </c>
      <c r="F132" s="240">
        <f t="shared" ref="F132:F141" si="65">ROUND(E132,0)</f>
        <v>376850</v>
      </c>
      <c r="G132" s="409">
        <f t="shared" si="55"/>
        <v>0</v>
      </c>
      <c r="H132" s="270"/>
      <c r="I132" s="409">
        <f t="shared" ref="I132:I137" si="66">ROUND(F132,0)</f>
        <v>376850</v>
      </c>
      <c r="J132" s="409">
        <f t="shared" si="56"/>
        <v>0</v>
      </c>
      <c r="K132" s="271"/>
      <c r="L132" s="409">
        <f t="shared" si="62"/>
        <v>376850</v>
      </c>
      <c r="M132" s="409">
        <f t="shared" si="57"/>
        <v>0</v>
      </c>
      <c r="N132" s="271"/>
      <c r="O132" s="409">
        <f t="shared" si="63"/>
        <v>376850</v>
      </c>
      <c r="P132" s="409">
        <f t="shared" si="58"/>
        <v>0</v>
      </c>
      <c r="Q132" s="271"/>
      <c r="R132" s="409">
        <f t="shared" si="64"/>
        <v>376850</v>
      </c>
      <c r="S132" s="409">
        <f t="shared" si="59"/>
        <v>0</v>
      </c>
      <c r="T132" s="271"/>
      <c r="U132" s="422">
        <f>ROUND(R132,0)-28260</f>
        <v>348590</v>
      </c>
      <c r="V132" s="422">
        <f t="shared" si="60"/>
        <v>-28260</v>
      </c>
      <c r="W132" s="482"/>
      <c r="X132" s="480">
        <v>171776.38</v>
      </c>
      <c r="Y132" s="328">
        <f t="shared" si="61"/>
        <v>0.49277483576694686</v>
      </c>
      <c r="Z132" s="481"/>
    </row>
    <row r="133" spans="2:26" ht="13.2" customHeight="1" x14ac:dyDescent="0.25">
      <c r="B133" s="427" t="s">
        <v>774</v>
      </c>
      <c r="C133" s="477" t="s">
        <v>775</v>
      </c>
      <c r="D133" s="478" t="s">
        <v>776</v>
      </c>
      <c r="E133" s="240">
        <v>62512</v>
      </c>
      <c r="F133" s="240">
        <f>ROUND(E133,0)</f>
        <v>62512</v>
      </c>
      <c r="G133" s="409">
        <f t="shared" si="55"/>
        <v>0</v>
      </c>
      <c r="H133" s="241"/>
      <c r="I133" s="409">
        <f t="shared" si="66"/>
        <v>62512</v>
      </c>
      <c r="J133" s="409">
        <f t="shared" si="56"/>
        <v>0</v>
      </c>
      <c r="K133" s="242"/>
      <c r="L133" s="409">
        <f t="shared" si="62"/>
        <v>62512</v>
      </c>
      <c r="M133" s="409">
        <f t="shared" si="57"/>
        <v>0</v>
      </c>
      <c r="N133" s="242"/>
      <c r="O133" s="409">
        <f t="shared" si="63"/>
        <v>62512</v>
      </c>
      <c r="P133" s="409">
        <f t="shared" si="58"/>
        <v>0</v>
      </c>
      <c r="Q133" s="242"/>
      <c r="R133" s="409">
        <f t="shared" si="64"/>
        <v>62512</v>
      </c>
      <c r="S133" s="409">
        <f t="shared" si="59"/>
        <v>0</v>
      </c>
      <c r="T133" s="242"/>
      <c r="U133" s="409">
        <f t="shared" ref="U133:U142" si="67">ROUND(R133,0)</f>
        <v>62512</v>
      </c>
      <c r="V133" s="409">
        <f t="shared" si="60"/>
        <v>0</v>
      </c>
      <c r="W133" s="242"/>
      <c r="X133" s="480">
        <v>29390.6</v>
      </c>
      <c r="Y133" s="328">
        <f t="shared" si="61"/>
        <v>0.47015932940875349</v>
      </c>
      <c r="Z133" s="483"/>
    </row>
    <row r="134" spans="2:26" ht="14.4" customHeight="1" x14ac:dyDescent="0.25">
      <c r="B134" s="427" t="s">
        <v>777</v>
      </c>
      <c r="C134" s="477" t="s">
        <v>778</v>
      </c>
      <c r="D134" s="478" t="s">
        <v>779</v>
      </c>
      <c r="E134" s="240">
        <v>45277</v>
      </c>
      <c r="F134" s="240">
        <f t="shared" si="65"/>
        <v>45277</v>
      </c>
      <c r="G134" s="409">
        <f t="shared" si="55"/>
        <v>0</v>
      </c>
      <c r="H134" s="241"/>
      <c r="I134" s="409">
        <f t="shared" si="66"/>
        <v>45277</v>
      </c>
      <c r="J134" s="409">
        <f t="shared" si="56"/>
        <v>0</v>
      </c>
      <c r="K134" s="242"/>
      <c r="L134" s="409">
        <f t="shared" si="62"/>
        <v>45277</v>
      </c>
      <c r="M134" s="409">
        <f t="shared" si="57"/>
        <v>0</v>
      </c>
      <c r="N134" s="242"/>
      <c r="O134" s="409">
        <f t="shared" si="63"/>
        <v>45277</v>
      </c>
      <c r="P134" s="409">
        <f t="shared" si="58"/>
        <v>0</v>
      </c>
      <c r="Q134" s="242"/>
      <c r="R134" s="409">
        <f t="shared" si="64"/>
        <v>45277</v>
      </c>
      <c r="S134" s="409">
        <f t="shared" si="59"/>
        <v>0</v>
      </c>
      <c r="T134" s="242"/>
      <c r="U134" s="409">
        <f t="shared" si="67"/>
        <v>45277</v>
      </c>
      <c r="V134" s="409">
        <f t="shared" si="60"/>
        <v>0</v>
      </c>
      <c r="W134" s="242"/>
      <c r="X134" s="480">
        <v>16646.25</v>
      </c>
      <c r="Y134" s="328">
        <f t="shared" si="61"/>
        <v>0.36765355478499018</v>
      </c>
      <c r="Z134" s="483"/>
    </row>
    <row r="135" spans="2:26" ht="15.6" customHeight="1" x14ac:dyDescent="0.25">
      <c r="B135" s="427" t="s">
        <v>780</v>
      </c>
      <c r="C135" s="477" t="s">
        <v>781</v>
      </c>
      <c r="D135" s="478" t="s">
        <v>782</v>
      </c>
      <c r="E135" s="240">
        <v>8040</v>
      </c>
      <c r="F135" s="240">
        <f>ROUND(E135,0)+8232</f>
        <v>16272</v>
      </c>
      <c r="G135" s="409">
        <f t="shared" si="55"/>
        <v>8232</v>
      </c>
      <c r="H135" s="239" t="s">
        <v>613</v>
      </c>
      <c r="I135" s="409">
        <f t="shared" si="66"/>
        <v>16272</v>
      </c>
      <c r="J135" s="409">
        <f t="shared" si="56"/>
        <v>0</v>
      </c>
      <c r="K135" s="271"/>
      <c r="L135" s="409">
        <f>ROUND(I135,0)+50781</f>
        <v>67053</v>
      </c>
      <c r="M135" s="409">
        <f t="shared" si="57"/>
        <v>50781</v>
      </c>
      <c r="N135" s="271" t="s">
        <v>614</v>
      </c>
      <c r="O135" s="409">
        <f t="shared" si="63"/>
        <v>67053</v>
      </c>
      <c r="P135" s="409">
        <f t="shared" si="58"/>
        <v>0</v>
      </c>
      <c r="Q135" s="271"/>
      <c r="R135" s="409">
        <f t="shared" si="64"/>
        <v>67053</v>
      </c>
      <c r="S135" s="409">
        <f t="shared" si="59"/>
        <v>0</v>
      </c>
      <c r="T135" s="271"/>
      <c r="U135" s="409">
        <f t="shared" si="67"/>
        <v>67053</v>
      </c>
      <c r="V135" s="409">
        <f t="shared" si="60"/>
        <v>0</v>
      </c>
      <c r="W135" s="271"/>
      <c r="X135" s="480">
        <v>49673.32</v>
      </c>
      <c r="Y135" s="328">
        <f t="shared" si="61"/>
        <v>0.74080682445229895</v>
      </c>
      <c r="Z135" s="483"/>
    </row>
    <row r="136" spans="2:26" ht="14.4" customHeight="1" x14ac:dyDescent="0.25">
      <c r="B136" s="427" t="s">
        <v>783</v>
      </c>
      <c r="C136" s="477" t="s">
        <v>784</v>
      </c>
      <c r="D136" s="478" t="s">
        <v>785</v>
      </c>
      <c r="E136" s="240">
        <v>53045</v>
      </c>
      <c r="F136" s="240">
        <f t="shared" si="65"/>
        <v>53045</v>
      </c>
      <c r="G136" s="409">
        <f t="shared" si="55"/>
        <v>0</v>
      </c>
      <c r="H136" s="270"/>
      <c r="I136" s="409">
        <f>ROUND(F136,0)</f>
        <v>53045</v>
      </c>
      <c r="J136" s="409">
        <f t="shared" si="56"/>
        <v>0</v>
      </c>
      <c r="K136" s="271"/>
      <c r="L136" s="409">
        <f t="shared" si="62"/>
        <v>53045</v>
      </c>
      <c r="M136" s="409">
        <f t="shared" si="57"/>
        <v>0</v>
      </c>
      <c r="N136" s="271"/>
      <c r="O136" s="409">
        <f t="shared" si="63"/>
        <v>53045</v>
      </c>
      <c r="P136" s="409">
        <f t="shared" si="58"/>
        <v>0</v>
      </c>
      <c r="Q136" s="271"/>
      <c r="R136" s="409">
        <f t="shared" si="64"/>
        <v>53045</v>
      </c>
      <c r="S136" s="409">
        <f t="shared" si="59"/>
        <v>0</v>
      </c>
      <c r="T136" s="271"/>
      <c r="U136" s="409">
        <f t="shared" si="67"/>
        <v>53045</v>
      </c>
      <c r="V136" s="409">
        <f t="shared" si="60"/>
        <v>0</v>
      </c>
      <c r="W136" s="271"/>
      <c r="X136" s="480">
        <v>22423.21</v>
      </c>
      <c r="Y136" s="328">
        <f t="shared" si="61"/>
        <v>0.42272052031294183</v>
      </c>
      <c r="Z136" s="483"/>
    </row>
    <row r="137" spans="2:26" ht="30" customHeight="1" x14ac:dyDescent="0.25">
      <c r="B137" s="427" t="s">
        <v>768</v>
      </c>
      <c r="C137" s="477" t="s">
        <v>786</v>
      </c>
      <c r="D137" s="478" t="s">
        <v>787</v>
      </c>
      <c r="E137" s="240">
        <v>2229302</v>
      </c>
      <c r="F137" s="240">
        <f t="shared" si="65"/>
        <v>2229302</v>
      </c>
      <c r="G137" s="409">
        <f t="shared" si="55"/>
        <v>0</v>
      </c>
      <c r="H137" s="241"/>
      <c r="I137" s="409">
        <f t="shared" si="66"/>
        <v>2229302</v>
      </c>
      <c r="J137" s="409">
        <f t="shared" si="56"/>
        <v>0</v>
      </c>
      <c r="K137" s="242"/>
      <c r="L137" s="409">
        <f t="shared" si="62"/>
        <v>2229302</v>
      </c>
      <c r="M137" s="409">
        <f t="shared" si="57"/>
        <v>0</v>
      </c>
      <c r="N137" s="242"/>
      <c r="O137" s="409">
        <f>ROUND(L137,0)-50687</f>
        <v>2178615</v>
      </c>
      <c r="P137" s="409">
        <f t="shared" si="58"/>
        <v>-50687</v>
      </c>
      <c r="Q137" s="242" t="s">
        <v>788</v>
      </c>
      <c r="R137" s="409">
        <f>ROUND(O137,0)-40000</f>
        <v>2138615</v>
      </c>
      <c r="S137" s="409">
        <f t="shared" si="59"/>
        <v>-40000</v>
      </c>
      <c r="T137" s="242" t="s">
        <v>789</v>
      </c>
      <c r="U137" s="409">
        <f t="shared" si="67"/>
        <v>2138615</v>
      </c>
      <c r="V137" s="409">
        <f t="shared" si="60"/>
        <v>0</v>
      </c>
      <c r="W137" s="242"/>
      <c r="X137" s="480">
        <v>1609003.03</v>
      </c>
      <c r="Y137" s="328">
        <f t="shared" si="61"/>
        <v>0.7523574977263322</v>
      </c>
      <c r="Z137" s="483"/>
    </row>
    <row r="138" spans="2:26" ht="13.95" customHeight="1" x14ac:dyDescent="0.25">
      <c r="B138" s="427" t="s">
        <v>768</v>
      </c>
      <c r="C138" s="477" t="s">
        <v>790</v>
      </c>
      <c r="D138" s="478" t="s">
        <v>791</v>
      </c>
      <c r="E138" s="240">
        <v>6416104</v>
      </c>
      <c r="F138" s="240">
        <f t="shared" si="65"/>
        <v>6416104</v>
      </c>
      <c r="G138" s="409">
        <f t="shared" si="55"/>
        <v>0</v>
      </c>
      <c r="H138" s="270"/>
      <c r="I138" s="409">
        <f>ROUND(F138,0)+61071+20941</f>
        <v>6498116</v>
      </c>
      <c r="J138" s="409">
        <f t="shared" si="56"/>
        <v>82012</v>
      </c>
      <c r="K138" s="242" t="s">
        <v>792</v>
      </c>
      <c r="L138" s="409">
        <f t="shared" si="62"/>
        <v>6498116</v>
      </c>
      <c r="M138" s="409">
        <f t="shared" si="57"/>
        <v>0</v>
      </c>
      <c r="N138" s="271"/>
      <c r="O138" s="409">
        <f t="shared" si="63"/>
        <v>6498116</v>
      </c>
      <c r="P138" s="409">
        <f t="shared" si="58"/>
        <v>0</v>
      </c>
      <c r="Q138" s="271"/>
      <c r="R138" s="409">
        <f>ROUND(O138,0)</f>
        <v>6498116</v>
      </c>
      <c r="S138" s="409">
        <f t="shared" si="59"/>
        <v>0</v>
      </c>
      <c r="T138" s="271"/>
      <c r="U138" s="409">
        <f t="shared" si="67"/>
        <v>6498116</v>
      </c>
      <c r="V138" s="409">
        <f t="shared" si="60"/>
        <v>0</v>
      </c>
      <c r="W138" s="271"/>
      <c r="X138" s="480">
        <v>4952582.4400000004</v>
      </c>
      <c r="Y138" s="328">
        <f t="shared" si="61"/>
        <v>0.76215666817889993</v>
      </c>
      <c r="Z138" s="483"/>
    </row>
    <row r="139" spans="2:26" ht="42.6" customHeight="1" x14ac:dyDescent="0.25">
      <c r="B139" s="427" t="s">
        <v>793</v>
      </c>
      <c r="C139" s="477" t="s">
        <v>794</v>
      </c>
      <c r="D139" s="478" t="s">
        <v>795</v>
      </c>
      <c r="E139" s="240">
        <v>410307</v>
      </c>
      <c r="F139" s="240">
        <f>ROUND(E139,0)</f>
        <v>410307</v>
      </c>
      <c r="G139" s="409">
        <f t="shared" si="55"/>
        <v>0</v>
      </c>
      <c r="H139" s="241"/>
      <c r="I139" s="409">
        <f>ROUND(F139,0)</f>
        <v>410307</v>
      </c>
      <c r="J139" s="409">
        <f t="shared" si="56"/>
        <v>0</v>
      </c>
      <c r="K139" s="242"/>
      <c r="L139" s="409">
        <f>ROUND(I139,0)-6959</f>
        <v>403348</v>
      </c>
      <c r="M139" s="409">
        <f t="shared" si="57"/>
        <v>-6959</v>
      </c>
      <c r="N139" s="242" t="s">
        <v>796</v>
      </c>
      <c r="O139" s="409">
        <f t="shared" si="63"/>
        <v>403348</v>
      </c>
      <c r="P139" s="409">
        <f t="shared" si="58"/>
        <v>0</v>
      </c>
      <c r="Q139" s="242"/>
      <c r="R139" s="409">
        <f>ROUND(O139,0)</f>
        <v>403348</v>
      </c>
      <c r="S139" s="409">
        <f t="shared" si="59"/>
        <v>0</v>
      </c>
      <c r="T139" s="242"/>
      <c r="U139" s="409">
        <f t="shared" si="67"/>
        <v>403348</v>
      </c>
      <c r="V139" s="409">
        <f t="shared" si="60"/>
        <v>0</v>
      </c>
      <c r="W139" s="242"/>
      <c r="X139" s="480">
        <v>230552.33</v>
      </c>
      <c r="Y139" s="328">
        <f t="shared" si="61"/>
        <v>0.57159656177791873</v>
      </c>
      <c r="Z139" s="483"/>
    </row>
    <row r="140" spans="2:26" x14ac:dyDescent="0.25">
      <c r="C140" s="484" t="s">
        <v>448</v>
      </c>
      <c r="D140" s="485" t="s">
        <v>797</v>
      </c>
      <c r="E140" s="216">
        <v>0</v>
      </c>
      <c r="F140" s="216">
        <f t="shared" si="65"/>
        <v>0</v>
      </c>
      <c r="G140" s="395">
        <f t="shared" si="55"/>
        <v>0</v>
      </c>
      <c r="H140" s="217"/>
      <c r="I140" s="395">
        <f>ROUND(F140,0)</f>
        <v>0</v>
      </c>
      <c r="J140" s="395">
        <f t="shared" si="56"/>
        <v>0</v>
      </c>
      <c r="K140" s="218"/>
      <c r="L140" s="395">
        <f t="shared" si="62"/>
        <v>0</v>
      </c>
      <c r="M140" s="395">
        <f t="shared" si="57"/>
        <v>0</v>
      </c>
      <c r="N140" s="218"/>
      <c r="O140" s="395">
        <f t="shared" si="63"/>
        <v>0</v>
      </c>
      <c r="P140" s="395">
        <f t="shared" si="58"/>
        <v>0</v>
      </c>
      <c r="Q140" s="218"/>
      <c r="R140" s="395">
        <f>ROUND(O140,0)</f>
        <v>0</v>
      </c>
      <c r="S140" s="395">
        <f t="shared" si="59"/>
        <v>0</v>
      </c>
      <c r="T140" s="218"/>
      <c r="U140" s="395">
        <f t="shared" si="67"/>
        <v>0</v>
      </c>
      <c r="V140" s="395">
        <f t="shared" si="60"/>
        <v>0</v>
      </c>
      <c r="W140" s="218"/>
      <c r="X140" s="395">
        <f>ROUND(H140,0)</f>
        <v>0</v>
      </c>
      <c r="Y140" s="321"/>
      <c r="Z140" s="396"/>
    </row>
    <row r="141" spans="2:26" ht="13.95" customHeight="1" x14ac:dyDescent="0.25">
      <c r="B141" s="427" t="s">
        <v>798</v>
      </c>
      <c r="C141" s="477" t="s">
        <v>451</v>
      </c>
      <c r="D141" s="478" t="s">
        <v>799</v>
      </c>
      <c r="E141" s="240">
        <v>0</v>
      </c>
      <c r="F141" s="240">
        <f t="shared" si="65"/>
        <v>0</v>
      </c>
      <c r="G141" s="409">
        <f t="shared" si="55"/>
        <v>0</v>
      </c>
      <c r="H141" s="270"/>
      <c r="I141" s="409">
        <f>ROUND(F141,0)</f>
        <v>0</v>
      </c>
      <c r="J141" s="409">
        <f t="shared" si="56"/>
        <v>0</v>
      </c>
      <c r="K141" s="271"/>
      <c r="L141" s="409">
        <f t="shared" si="62"/>
        <v>0</v>
      </c>
      <c r="M141" s="409">
        <f t="shared" si="57"/>
        <v>0</v>
      </c>
      <c r="N141" s="271"/>
      <c r="O141" s="409">
        <f t="shared" si="63"/>
        <v>0</v>
      </c>
      <c r="P141" s="409">
        <f t="shared" si="58"/>
        <v>0</v>
      </c>
      <c r="Q141" s="271"/>
      <c r="R141" s="409">
        <f>ROUND(O141,0)</f>
        <v>0</v>
      </c>
      <c r="S141" s="409">
        <f t="shared" si="59"/>
        <v>0</v>
      </c>
      <c r="T141" s="271"/>
      <c r="U141" s="409">
        <f t="shared" si="67"/>
        <v>0</v>
      </c>
      <c r="V141" s="409">
        <f t="shared" si="60"/>
        <v>0</v>
      </c>
      <c r="W141" s="271"/>
      <c r="X141" s="409">
        <v>0</v>
      </c>
      <c r="Y141" s="328"/>
      <c r="Z141" s="486"/>
    </row>
    <row r="142" spans="2:26" ht="15" customHeight="1" collapsed="1" x14ac:dyDescent="0.25">
      <c r="B142" s="427" t="s">
        <v>800</v>
      </c>
      <c r="C142" s="484" t="s">
        <v>456</v>
      </c>
      <c r="D142" s="485" t="s">
        <v>801</v>
      </c>
      <c r="E142" s="216">
        <v>1032367.7769225</v>
      </c>
      <c r="F142" s="216">
        <f>ROUND(E142,0)+645</f>
        <v>1033013</v>
      </c>
      <c r="G142" s="395">
        <f t="shared" si="55"/>
        <v>645.22307750000618</v>
      </c>
      <c r="H142" s="226" t="s">
        <v>802</v>
      </c>
      <c r="I142" s="395">
        <f>ROUND(F142,0)+13315</f>
        <v>1046328</v>
      </c>
      <c r="J142" s="395">
        <f t="shared" si="56"/>
        <v>13315</v>
      </c>
      <c r="K142" s="227" t="s">
        <v>803</v>
      </c>
      <c r="L142" s="395">
        <f t="shared" si="62"/>
        <v>1046328</v>
      </c>
      <c r="M142" s="395">
        <f t="shared" si="57"/>
        <v>0</v>
      </c>
      <c r="N142" s="227"/>
      <c r="O142" s="395">
        <f>ROUND(L142,0)-102</f>
        <v>1046226</v>
      </c>
      <c r="P142" s="395">
        <f t="shared" si="58"/>
        <v>-102</v>
      </c>
      <c r="Q142" s="227" t="s">
        <v>804</v>
      </c>
      <c r="R142" s="395">
        <f>ROUND(O142,0)+12131</f>
        <v>1058357</v>
      </c>
      <c r="S142" s="395">
        <f t="shared" si="59"/>
        <v>12131</v>
      </c>
      <c r="T142" s="227" t="s">
        <v>805</v>
      </c>
      <c r="U142" s="395">
        <f t="shared" si="67"/>
        <v>1058357</v>
      </c>
      <c r="V142" s="395">
        <f t="shared" si="60"/>
        <v>0</v>
      </c>
      <c r="W142" s="227"/>
      <c r="X142" s="487">
        <v>677864.22</v>
      </c>
      <c r="Y142" s="321">
        <f t="shared" ref="Y142:Y155" si="68">X142/U142</f>
        <v>0.6404873024886687</v>
      </c>
      <c r="Z142" s="399"/>
    </row>
    <row r="143" spans="2:26" s="488" customFormat="1" ht="16.95" customHeight="1" x14ac:dyDescent="0.25">
      <c r="C143" s="484" t="s">
        <v>464</v>
      </c>
      <c r="D143" s="485" t="s">
        <v>806</v>
      </c>
      <c r="E143" s="216">
        <v>521949.07229136</v>
      </c>
      <c r="F143" s="216">
        <f t="shared" ref="F143" si="69">F144+F147</f>
        <v>583582</v>
      </c>
      <c r="G143" s="395">
        <f t="shared" si="55"/>
        <v>61632.927708639996</v>
      </c>
      <c r="H143" s="226"/>
      <c r="I143" s="395">
        <f>I144+I147</f>
        <v>587548</v>
      </c>
      <c r="J143" s="395">
        <f t="shared" si="56"/>
        <v>3966</v>
      </c>
      <c r="K143" s="227"/>
      <c r="L143" s="395">
        <f>L144+L147</f>
        <v>587548</v>
      </c>
      <c r="M143" s="395">
        <f t="shared" si="57"/>
        <v>0</v>
      </c>
      <c r="N143" s="227"/>
      <c r="O143" s="395">
        <f>O144+O147</f>
        <v>587548</v>
      </c>
      <c r="P143" s="395">
        <f t="shared" si="58"/>
        <v>0</v>
      </c>
      <c r="Q143" s="227"/>
      <c r="R143" s="395">
        <f>R144+R147</f>
        <v>587548</v>
      </c>
      <c r="S143" s="395">
        <f t="shared" si="59"/>
        <v>0</v>
      </c>
      <c r="T143" s="227"/>
      <c r="U143" s="395">
        <f>U144+U147</f>
        <v>587548</v>
      </c>
      <c r="V143" s="395">
        <f t="shared" si="60"/>
        <v>0</v>
      </c>
      <c r="W143" s="227"/>
      <c r="X143" s="395">
        <f>X144+X147</f>
        <v>425380.7</v>
      </c>
      <c r="Y143" s="321">
        <f t="shared" si="68"/>
        <v>0.72399310354217872</v>
      </c>
      <c r="Z143" s="396"/>
    </row>
    <row r="144" spans="2:26" x14ac:dyDescent="0.25">
      <c r="B144" s="427" t="s">
        <v>807</v>
      </c>
      <c r="C144" s="477" t="s">
        <v>467</v>
      </c>
      <c r="D144" s="478" t="s">
        <v>808</v>
      </c>
      <c r="E144" s="240">
        <v>179686.07229136</v>
      </c>
      <c r="F144" s="240">
        <f>SUM(F145:F146)</f>
        <v>179686</v>
      </c>
      <c r="G144" s="409">
        <f t="shared" ref="G144" si="70">SUM(G145:G146)</f>
        <v>-7.2291360003873706E-2</v>
      </c>
      <c r="H144" s="483"/>
      <c r="I144" s="409">
        <f>SUM(I145:I146)</f>
        <v>179686</v>
      </c>
      <c r="J144" s="409">
        <f t="shared" si="56"/>
        <v>0</v>
      </c>
      <c r="K144" s="409"/>
      <c r="L144" s="409">
        <f>SUM(L145:L146)</f>
        <v>179686</v>
      </c>
      <c r="M144" s="409">
        <f t="shared" si="57"/>
        <v>0</v>
      </c>
      <c r="N144" s="409"/>
      <c r="O144" s="409">
        <f>SUM(O145:O146)</f>
        <v>179686</v>
      </c>
      <c r="P144" s="409">
        <f t="shared" si="58"/>
        <v>0</v>
      </c>
      <c r="Q144" s="409"/>
      <c r="R144" s="409">
        <f>SUM(R145:R146)</f>
        <v>179686</v>
      </c>
      <c r="S144" s="409">
        <f t="shared" si="59"/>
        <v>0</v>
      </c>
      <c r="T144" s="409"/>
      <c r="U144" s="409">
        <f>SUM(U145:U146)</f>
        <v>179686</v>
      </c>
      <c r="V144" s="409">
        <f t="shared" si="60"/>
        <v>0</v>
      </c>
      <c r="W144" s="409"/>
      <c r="X144" s="480">
        <f>SUM(X145:X146)</f>
        <v>117909.70000000001</v>
      </c>
      <c r="Y144" s="328">
        <f t="shared" si="68"/>
        <v>0.6561985908751935</v>
      </c>
      <c r="Z144" s="483"/>
    </row>
    <row r="145" spans="2:26" ht="15.75" customHeight="1" x14ac:dyDescent="0.25">
      <c r="B145" s="427" t="s">
        <v>807</v>
      </c>
      <c r="C145" s="489" t="s">
        <v>809</v>
      </c>
      <c r="D145" s="490" t="s">
        <v>810</v>
      </c>
      <c r="E145" s="212">
        <v>150459.07229136</v>
      </c>
      <c r="F145" s="212">
        <f>ROUND(E145,0)</f>
        <v>150459</v>
      </c>
      <c r="G145" s="392">
        <f t="shared" si="55"/>
        <v>-7.2291360003873706E-2</v>
      </c>
      <c r="H145" s="213"/>
      <c r="I145" s="392">
        <f>ROUND(F145,0)-3283-544</f>
        <v>146632</v>
      </c>
      <c r="J145" s="392">
        <f t="shared" si="56"/>
        <v>-3827</v>
      </c>
      <c r="K145" s="356" t="s">
        <v>811</v>
      </c>
      <c r="L145" s="392">
        <f>ROUND(I145,0)-660</f>
        <v>145972</v>
      </c>
      <c r="M145" s="392">
        <f t="shared" si="57"/>
        <v>-660</v>
      </c>
      <c r="N145" s="215" t="s">
        <v>812</v>
      </c>
      <c r="O145" s="392">
        <f>ROUND(L145,0)</f>
        <v>145972</v>
      </c>
      <c r="P145" s="392">
        <f t="shared" si="58"/>
        <v>0</v>
      </c>
      <c r="Q145" s="214"/>
      <c r="R145" s="392">
        <f>ROUND(O145,0)</f>
        <v>145972</v>
      </c>
      <c r="S145" s="392">
        <f t="shared" si="59"/>
        <v>0</v>
      </c>
      <c r="T145" s="214"/>
      <c r="U145" s="392">
        <f>ROUND(R145,0)</f>
        <v>145972</v>
      </c>
      <c r="V145" s="392">
        <f t="shared" si="60"/>
        <v>0</v>
      </c>
      <c r="W145" s="214"/>
      <c r="X145" s="491">
        <v>92329.1</v>
      </c>
      <c r="Y145" s="319">
        <f t="shared" si="68"/>
        <v>0.63251239963828687</v>
      </c>
      <c r="Z145" s="397"/>
    </row>
    <row r="146" spans="2:26" ht="15.6" customHeight="1" x14ac:dyDescent="0.25">
      <c r="B146" s="427"/>
      <c r="C146" s="489" t="s">
        <v>813</v>
      </c>
      <c r="D146" s="490" t="s">
        <v>814</v>
      </c>
      <c r="E146" s="212">
        <v>29227</v>
      </c>
      <c r="F146" s="212">
        <f>ROUND(E146,0)</f>
        <v>29227</v>
      </c>
      <c r="G146" s="392">
        <f t="shared" si="55"/>
        <v>0</v>
      </c>
      <c r="H146" s="213"/>
      <c r="I146" s="392">
        <f>ROUND(F146,0)+3283+544</f>
        <v>33054</v>
      </c>
      <c r="J146" s="392">
        <f t="shared" si="56"/>
        <v>3827</v>
      </c>
      <c r="K146" s="357"/>
      <c r="L146" s="392">
        <f>ROUND(I146,0)+660</f>
        <v>33714</v>
      </c>
      <c r="M146" s="392">
        <f t="shared" si="57"/>
        <v>660</v>
      </c>
      <c r="N146" s="214"/>
      <c r="O146" s="392">
        <f>ROUND(L146,0)</f>
        <v>33714</v>
      </c>
      <c r="P146" s="392">
        <f t="shared" si="58"/>
        <v>0</v>
      </c>
      <c r="Q146" s="214"/>
      <c r="R146" s="392">
        <f>ROUND(O146,0)</f>
        <v>33714</v>
      </c>
      <c r="S146" s="392">
        <f t="shared" si="59"/>
        <v>0</v>
      </c>
      <c r="T146" s="214"/>
      <c r="U146" s="392">
        <f>ROUND(R146,0)</f>
        <v>33714</v>
      </c>
      <c r="V146" s="392">
        <f t="shared" si="60"/>
        <v>0</v>
      </c>
      <c r="W146" s="214"/>
      <c r="X146" s="491">
        <v>25580.6</v>
      </c>
      <c r="Y146" s="319">
        <f t="shared" si="68"/>
        <v>0.75875304028000234</v>
      </c>
      <c r="Z146" s="397"/>
    </row>
    <row r="147" spans="2:26" ht="27.6" x14ac:dyDescent="0.25">
      <c r="B147" s="427" t="s">
        <v>815</v>
      </c>
      <c r="C147" s="477" t="s">
        <v>469</v>
      </c>
      <c r="D147" s="478" t="s">
        <v>816</v>
      </c>
      <c r="E147" s="240">
        <v>342263</v>
      </c>
      <c r="F147" s="240">
        <f>ROUND(E147,0)+1093+59292+1248</f>
        <v>403896</v>
      </c>
      <c r="G147" s="409">
        <f t="shared" si="55"/>
        <v>61633</v>
      </c>
      <c r="H147" s="242" t="s">
        <v>817</v>
      </c>
      <c r="I147" s="409">
        <f>ROUND(F147,0)+3966</f>
        <v>407862</v>
      </c>
      <c r="J147" s="409">
        <f t="shared" si="56"/>
        <v>3966</v>
      </c>
      <c r="K147" s="409" t="s">
        <v>600</v>
      </c>
      <c r="L147" s="409">
        <f>ROUND(I147,0)</f>
        <v>407862</v>
      </c>
      <c r="M147" s="409">
        <f t="shared" si="57"/>
        <v>0</v>
      </c>
      <c r="N147" s="409"/>
      <c r="O147" s="409">
        <f>ROUND(L147,0)</f>
        <v>407862</v>
      </c>
      <c r="P147" s="409">
        <f t="shared" si="58"/>
        <v>0</v>
      </c>
      <c r="Q147" s="409"/>
      <c r="R147" s="409">
        <f>ROUND(O147,0)</f>
        <v>407862</v>
      </c>
      <c r="S147" s="409">
        <f t="shared" si="59"/>
        <v>0</v>
      </c>
      <c r="T147" s="409"/>
      <c r="U147" s="409">
        <f>ROUND(R147,0)</f>
        <v>407862</v>
      </c>
      <c r="V147" s="409">
        <f t="shared" si="60"/>
        <v>0</v>
      </c>
      <c r="W147" s="409"/>
      <c r="X147" s="483">
        <v>307471</v>
      </c>
      <c r="Y147" s="328">
        <f t="shared" si="68"/>
        <v>0.75386037434230202</v>
      </c>
      <c r="Z147" s="409" t="s">
        <v>1240</v>
      </c>
    </row>
    <row r="148" spans="2:26" x14ac:dyDescent="0.25">
      <c r="C148" s="484" t="s">
        <v>470</v>
      </c>
      <c r="D148" s="485" t="s">
        <v>818</v>
      </c>
      <c r="E148" s="216">
        <v>70000</v>
      </c>
      <c r="F148" s="216">
        <f t="shared" ref="F148" si="71">F149</f>
        <v>174970</v>
      </c>
      <c r="G148" s="395">
        <f t="shared" si="55"/>
        <v>104970</v>
      </c>
      <c r="H148" s="217"/>
      <c r="I148" s="395">
        <f>I149</f>
        <v>174970</v>
      </c>
      <c r="J148" s="395">
        <f t="shared" si="56"/>
        <v>0</v>
      </c>
      <c r="K148" s="218"/>
      <c r="L148" s="395">
        <f>L149</f>
        <v>174970</v>
      </c>
      <c r="M148" s="395">
        <f t="shared" si="57"/>
        <v>0</v>
      </c>
      <c r="N148" s="218"/>
      <c r="O148" s="395">
        <f>O149</f>
        <v>174970</v>
      </c>
      <c r="P148" s="395">
        <f t="shared" si="58"/>
        <v>0</v>
      </c>
      <c r="Q148" s="218"/>
      <c r="R148" s="395">
        <f>R149</f>
        <v>174970</v>
      </c>
      <c r="S148" s="395">
        <f t="shared" si="59"/>
        <v>0</v>
      </c>
      <c r="T148" s="218"/>
      <c r="U148" s="395">
        <f>U149</f>
        <v>174970</v>
      </c>
      <c r="V148" s="395">
        <f t="shared" si="60"/>
        <v>0</v>
      </c>
      <c r="W148" s="218"/>
      <c r="X148" s="487">
        <f>X149</f>
        <v>5437.96</v>
      </c>
      <c r="Y148" s="321">
        <f t="shared" si="68"/>
        <v>3.107938503743499E-2</v>
      </c>
      <c r="Z148" s="396"/>
    </row>
    <row r="149" spans="2:26" ht="16.2" customHeight="1" x14ac:dyDescent="0.25">
      <c r="B149" s="427" t="s">
        <v>819</v>
      </c>
      <c r="C149" s="477" t="s">
        <v>473</v>
      </c>
      <c r="D149" s="478" t="s">
        <v>820</v>
      </c>
      <c r="E149" s="240">
        <v>70000</v>
      </c>
      <c r="F149" s="240">
        <f>ROUND(E149,0)+104970</f>
        <v>174970</v>
      </c>
      <c r="G149" s="409">
        <f t="shared" si="55"/>
        <v>104970</v>
      </c>
      <c r="H149" s="242" t="s">
        <v>415</v>
      </c>
      <c r="I149" s="409">
        <f>ROUND(F149,0)</f>
        <v>174970</v>
      </c>
      <c r="J149" s="409">
        <f t="shared" si="56"/>
        <v>0</v>
      </c>
      <c r="K149" s="242"/>
      <c r="L149" s="409">
        <f>ROUND(I149,0)</f>
        <v>174970</v>
      </c>
      <c r="M149" s="409">
        <f t="shared" si="57"/>
        <v>0</v>
      </c>
      <c r="N149" s="242"/>
      <c r="O149" s="409">
        <f>ROUND(L149,0)</f>
        <v>174970</v>
      </c>
      <c r="P149" s="409">
        <f t="shared" si="58"/>
        <v>0</v>
      </c>
      <c r="Q149" s="242"/>
      <c r="R149" s="409">
        <f>ROUND(O149,0)</f>
        <v>174970</v>
      </c>
      <c r="S149" s="409">
        <f t="shared" si="59"/>
        <v>0</v>
      </c>
      <c r="T149" s="242"/>
      <c r="U149" s="409">
        <f>ROUND(R149,0)</f>
        <v>174970</v>
      </c>
      <c r="V149" s="409">
        <f t="shared" si="60"/>
        <v>0</v>
      </c>
      <c r="W149" s="242"/>
      <c r="X149" s="480">
        <v>5437.96</v>
      </c>
      <c r="Y149" s="328">
        <f t="shared" si="68"/>
        <v>3.107938503743499E-2</v>
      </c>
      <c r="Z149" s="409" t="s">
        <v>1241</v>
      </c>
    </row>
    <row r="150" spans="2:26" ht="27.6" x14ac:dyDescent="0.25">
      <c r="C150" s="484" t="s">
        <v>478</v>
      </c>
      <c r="D150" s="485" t="s">
        <v>821</v>
      </c>
      <c r="E150" s="216">
        <v>14182678.841957785</v>
      </c>
      <c r="F150" s="216">
        <f t="shared" ref="F150" si="72">F151+F152+F153+F154+F172</f>
        <v>14286414</v>
      </c>
      <c r="G150" s="395">
        <f>G152+G153+G154+G172</f>
        <v>103735.15804221481</v>
      </c>
      <c r="H150" s="396"/>
      <c r="I150" s="395">
        <f>I151+I152+I153+I154+I172</f>
        <v>14591725</v>
      </c>
      <c r="J150" s="395">
        <f t="shared" si="56"/>
        <v>305311</v>
      </c>
      <c r="K150" s="395"/>
      <c r="L150" s="395">
        <f>L151+L152+L153+L154+L172</f>
        <v>14665800</v>
      </c>
      <c r="M150" s="395">
        <f t="shared" si="57"/>
        <v>74075</v>
      </c>
      <c r="N150" s="395"/>
      <c r="O150" s="395">
        <f>O151+O152+O153+O154+O172</f>
        <v>15381807</v>
      </c>
      <c r="P150" s="395">
        <f t="shared" si="58"/>
        <v>716007</v>
      </c>
      <c r="Q150" s="395"/>
      <c r="R150" s="395">
        <f>R151+R152+R153+R154+R172</f>
        <v>15496067</v>
      </c>
      <c r="S150" s="395">
        <f t="shared" si="59"/>
        <v>114260</v>
      </c>
      <c r="T150" s="395"/>
      <c r="U150" s="395">
        <f>U151+U152+U153+U154+U172</f>
        <v>15508113</v>
      </c>
      <c r="V150" s="395">
        <f t="shared" si="60"/>
        <v>12046</v>
      </c>
      <c r="W150" s="395"/>
      <c r="X150" s="395">
        <f>X151+X152+X153+X154+X172</f>
        <v>9123853.9699999988</v>
      </c>
      <c r="Y150" s="321">
        <f t="shared" si="68"/>
        <v>0.58832779784361888</v>
      </c>
      <c r="Z150" s="396"/>
    </row>
    <row r="151" spans="2:26" ht="15.6" customHeight="1" x14ac:dyDescent="0.25">
      <c r="B151" s="427" t="s">
        <v>798</v>
      </c>
      <c r="C151" s="477" t="s">
        <v>481</v>
      </c>
      <c r="D151" s="492" t="s">
        <v>799</v>
      </c>
      <c r="E151" s="272">
        <v>70000</v>
      </c>
      <c r="F151" s="240">
        <f>ROUND(E151,0)</f>
        <v>70000</v>
      </c>
      <c r="G151" s="409">
        <f>F151-E151</f>
        <v>0</v>
      </c>
      <c r="H151" s="270"/>
      <c r="I151" s="409">
        <f>ROUND(F151,0)</f>
        <v>70000</v>
      </c>
      <c r="J151" s="409">
        <f t="shared" si="56"/>
        <v>0</v>
      </c>
      <c r="K151" s="271"/>
      <c r="L151" s="409">
        <f>ROUND(I151,0)</f>
        <v>70000</v>
      </c>
      <c r="M151" s="409">
        <f t="shared" si="57"/>
        <v>0</v>
      </c>
      <c r="N151" s="271"/>
      <c r="O151" s="409">
        <f>ROUND(L151,0)</f>
        <v>70000</v>
      </c>
      <c r="P151" s="409">
        <f t="shared" si="58"/>
        <v>0</v>
      </c>
      <c r="Q151" s="271"/>
      <c r="R151" s="409">
        <f>ROUND(O151,0)</f>
        <v>70000</v>
      </c>
      <c r="S151" s="409">
        <f t="shared" si="59"/>
        <v>0</v>
      </c>
      <c r="T151" s="271"/>
      <c r="U151" s="409">
        <f>ROUND(R151,0)</f>
        <v>70000</v>
      </c>
      <c r="V151" s="409">
        <f t="shared" si="60"/>
        <v>0</v>
      </c>
      <c r="W151" s="271"/>
      <c r="X151" s="409">
        <f>ROUND(K151,0)</f>
        <v>0</v>
      </c>
      <c r="Y151" s="328">
        <f t="shared" si="68"/>
        <v>0</v>
      </c>
      <c r="Z151" s="486"/>
    </row>
    <row r="152" spans="2:26" ht="28.2" customHeight="1" x14ac:dyDescent="0.25">
      <c r="B152" s="427" t="s">
        <v>822</v>
      </c>
      <c r="C152" s="477" t="s">
        <v>493</v>
      </c>
      <c r="D152" s="492" t="s">
        <v>823</v>
      </c>
      <c r="E152" s="272">
        <v>330452</v>
      </c>
      <c r="F152" s="272">
        <f>ROUND(E152,0)</f>
        <v>330452</v>
      </c>
      <c r="G152" s="493">
        <f t="shared" si="55"/>
        <v>0</v>
      </c>
      <c r="H152" s="241"/>
      <c r="I152" s="493">
        <f>ROUND(F152,0)</f>
        <v>330452</v>
      </c>
      <c r="J152" s="493">
        <f t="shared" si="56"/>
        <v>0</v>
      </c>
      <c r="K152" s="273"/>
      <c r="L152" s="493">
        <f>ROUND(I152,0)</f>
        <v>330452</v>
      </c>
      <c r="M152" s="493">
        <f t="shared" si="57"/>
        <v>0</v>
      </c>
      <c r="N152" s="273"/>
      <c r="O152" s="493">
        <f>ROUND(L152,0)</f>
        <v>330452</v>
      </c>
      <c r="P152" s="493">
        <f t="shared" si="58"/>
        <v>0</v>
      </c>
      <c r="Q152" s="273"/>
      <c r="R152" s="493">
        <f>ROUND(O152,0)</f>
        <v>330452</v>
      </c>
      <c r="S152" s="493">
        <f t="shared" si="59"/>
        <v>0</v>
      </c>
      <c r="T152" s="273"/>
      <c r="U152" s="493">
        <f>ROUND(R152,0)</f>
        <v>330452</v>
      </c>
      <c r="V152" s="493">
        <f t="shared" si="60"/>
        <v>0</v>
      </c>
      <c r="W152" s="273"/>
      <c r="X152" s="494">
        <v>203794.38</v>
      </c>
      <c r="Y152" s="339">
        <f t="shared" si="68"/>
        <v>0.61671401595390563</v>
      </c>
      <c r="Z152" s="486"/>
    </row>
    <row r="153" spans="2:26" ht="94.95" customHeight="1" x14ac:dyDescent="0.25">
      <c r="B153" s="427" t="s">
        <v>824</v>
      </c>
      <c r="C153" s="477" t="s">
        <v>825</v>
      </c>
      <c r="D153" s="492" t="s">
        <v>826</v>
      </c>
      <c r="E153" s="272">
        <v>393055</v>
      </c>
      <c r="F153" s="272">
        <f>ROUND(E153,0)</f>
        <v>393055</v>
      </c>
      <c r="G153" s="493">
        <f t="shared" si="55"/>
        <v>0</v>
      </c>
      <c r="H153" s="241"/>
      <c r="I153" s="493">
        <f>ROUND(F153,0)</f>
        <v>393055</v>
      </c>
      <c r="J153" s="493">
        <f t="shared" si="56"/>
        <v>0</v>
      </c>
      <c r="K153" s="242"/>
      <c r="L153" s="493">
        <f>ROUND(I153,0)</f>
        <v>393055</v>
      </c>
      <c r="M153" s="493">
        <f t="shared" si="57"/>
        <v>0</v>
      </c>
      <c r="N153" s="242"/>
      <c r="O153" s="493">
        <f>ROUND(L153,0)</f>
        <v>393055</v>
      </c>
      <c r="P153" s="493">
        <f t="shared" si="58"/>
        <v>0</v>
      </c>
      <c r="Q153" s="242"/>
      <c r="R153" s="493">
        <f>ROUND(O153,0)</f>
        <v>393055</v>
      </c>
      <c r="S153" s="493">
        <f t="shared" si="59"/>
        <v>0</v>
      </c>
      <c r="T153" s="242"/>
      <c r="U153" s="493">
        <f>ROUND(R153,0)</f>
        <v>393055</v>
      </c>
      <c r="V153" s="493">
        <f t="shared" si="60"/>
        <v>0</v>
      </c>
      <c r="W153" s="242" t="s">
        <v>827</v>
      </c>
      <c r="X153" s="494">
        <v>217725.56</v>
      </c>
      <c r="Y153" s="339">
        <f t="shared" si="68"/>
        <v>0.55393153629899128</v>
      </c>
      <c r="Z153" s="486"/>
    </row>
    <row r="154" spans="2:26" x14ac:dyDescent="0.25">
      <c r="C154" s="477" t="s">
        <v>828</v>
      </c>
      <c r="D154" s="492" t="s">
        <v>829</v>
      </c>
      <c r="E154" s="272">
        <v>1839370</v>
      </c>
      <c r="F154" s="272">
        <f t="shared" ref="F154:G154" si="73">SUM(F155:F171)</f>
        <v>1839370</v>
      </c>
      <c r="G154" s="493">
        <f t="shared" si="73"/>
        <v>0</v>
      </c>
      <c r="H154" s="495"/>
      <c r="I154" s="493">
        <f>SUM(I155:I171)</f>
        <v>1841370</v>
      </c>
      <c r="J154" s="493">
        <f t="shared" si="56"/>
        <v>2000</v>
      </c>
      <c r="K154" s="493"/>
      <c r="L154" s="493">
        <f>SUM(L155:L171)</f>
        <v>1834021</v>
      </c>
      <c r="M154" s="493">
        <f t="shared" si="57"/>
        <v>-7349</v>
      </c>
      <c r="N154" s="493"/>
      <c r="O154" s="493">
        <f>SUM(O155:O171)</f>
        <v>1862424</v>
      </c>
      <c r="P154" s="493">
        <f t="shared" si="58"/>
        <v>28403</v>
      </c>
      <c r="Q154" s="493"/>
      <c r="R154" s="493">
        <f>SUM(R155:R171)</f>
        <v>1777862</v>
      </c>
      <c r="S154" s="493">
        <f t="shared" si="59"/>
        <v>-84562</v>
      </c>
      <c r="T154" s="493"/>
      <c r="U154" s="493">
        <f>SUM(U155:U171)</f>
        <v>1777862</v>
      </c>
      <c r="V154" s="493">
        <f t="shared" si="60"/>
        <v>0</v>
      </c>
      <c r="W154" s="493"/>
      <c r="X154" s="493">
        <f>SUM(X155:X171)</f>
        <v>621811.63</v>
      </c>
      <c r="Y154" s="339">
        <f t="shared" si="68"/>
        <v>0.34975247235162232</v>
      </c>
      <c r="Z154" s="495"/>
    </row>
    <row r="155" spans="2:26" ht="15" customHeight="1" x14ac:dyDescent="0.25">
      <c r="B155" s="427" t="s">
        <v>609</v>
      </c>
      <c r="C155" s="489" t="s">
        <v>830</v>
      </c>
      <c r="D155" s="461" t="s">
        <v>831</v>
      </c>
      <c r="E155" s="212">
        <v>696938</v>
      </c>
      <c r="F155" s="212">
        <f>ROUND(E155,0)</f>
        <v>696938</v>
      </c>
      <c r="G155" s="392">
        <f t="shared" si="55"/>
        <v>0</v>
      </c>
      <c r="H155" s="274"/>
      <c r="I155" s="392">
        <f>ROUND(F155,0)+2000</f>
        <v>698938</v>
      </c>
      <c r="J155" s="392">
        <f t="shared" si="56"/>
        <v>2000</v>
      </c>
      <c r="K155" s="225" t="s">
        <v>832</v>
      </c>
      <c r="L155" s="392">
        <f>ROUND(I155,0)-7349+5000+26640</f>
        <v>723229</v>
      </c>
      <c r="M155" s="392">
        <f t="shared" si="57"/>
        <v>24291</v>
      </c>
      <c r="N155" s="225" t="s">
        <v>833</v>
      </c>
      <c r="O155" s="392">
        <f>ROUND(L155,0)-5801-44284-3347</f>
        <v>669797</v>
      </c>
      <c r="P155" s="392">
        <f t="shared" si="58"/>
        <v>-53432</v>
      </c>
      <c r="Q155" s="225" t="s">
        <v>834</v>
      </c>
      <c r="R155" s="392">
        <f>ROUND(O155,0)+44284-85085-120000+19840+1500+1500</f>
        <v>531836</v>
      </c>
      <c r="S155" s="496">
        <f t="shared" si="59"/>
        <v>-137961</v>
      </c>
      <c r="T155" s="275" t="s">
        <v>835</v>
      </c>
      <c r="U155" s="392">
        <f>ROUND(R155,0)</f>
        <v>531836</v>
      </c>
      <c r="V155" s="392">
        <f t="shared" si="60"/>
        <v>0</v>
      </c>
      <c r="W155" s="215"/>
      <c r="X155" s="491">
        <f>276545.34-X163-X164-X165-X166</f>
        <v>272068.74000000005</v>
      </c>
      <c r="Y155" s="322">
        <f t="shared" si="68"/>
        <v>0.51156510653660159</v>
      </c>
      <c r="Z155" s="434"/>
    </row>
    <row r="156" spans="2:26" ht="18.600000000000001" customHeight="1" x14ac:dyDescent="0.25">
      <c r="B156" s="427" t="s">
        <v>836</v>
      </c>
      <c r="C156" s="489" t="s">
        <v>837</v>
      </c>
      <c r="D156" s="461" t="s">
        <v>838</v>
      </c>
      <c r="E156" s="212">
        <v>40000</v>
      </c>
      <c r="F156" s="212">
        <f t="shared" ref="F156:F171" si="74">ROUND(E156,0)</f>
        <v>40000</v>
      </c>
      <c r="G156" s="392">
        <f t="shared" si="55"/>
        <v>0</v>
      </c>
      <c r="H156" s="274"/>
      <c r="I156" s="392">
        <f t="shared" ref="I156:I168" si="75">ROUND(F156,0)</f>
        <v>40000</v>
      </c>
      <c r="J156" s="392">
        <f t="shared" si="56"/>
        <v>0</v>
      </c>
      <c r="K156" s="225"/>
      <c r="L156" s="392">
        <f>ROUND(I156,0)</f>
        <v>40000</v>
      </c>
      <c r="M156" s="392">
        <f t="shared" si="57"/>
        <v>0</v>
      </c>
      <c r="N156" s="225"/>
      <c r="O156" s="392">
        <f>ROUND(L156,0)</f>
        <v>40000</v>
      </c>
      <c r="P156" s="392">
        <f t="shared" si="58"/>
        <v>0</v>
      </c>
      <c r="Q156" s="225"/>
      <c r="R156" s="392">
        <f t="shared" ref="R156:R162" si="76">ROUND(O156,0)</f>
        <v>40000</v>
      </c>
      <c r="S156" s="392">
        <f t="shared" si="59"/>
        <v>0</v>
      </c>
      <c r="T156" s="225"/>
      <c r="U156" s="392">
        <f t="shared" ref="U156:U171" si="77">ROUND(R156,0)</f>
        <v>40000</v>
      </c>
      <c r="V156" s="392">
        <f t="shared" si="60"/>
        <v>0</v>
      </c>
      <c r="W156" s="225"/>
      <c r="X156" s="497">
        <v>50783</v>
      </c>
      <c r="Y156" s="362">
        <f>X156/(U156+U157)</f>
        <v>0.9217519149090645</v>
      </c>
      <c r="Z156" s="397"/>
    </row>
    <row r="157" spans="2:26" ht="16.5" customHeight="1" x14ac:dyDescent="0.25">
      <c r="B157" s="427" t="s">
        <v>836</v>
      </c>
      <c r="C157" s="489" t="s">
        <v>839</v>
      </c>
      <c r="D157" s="461" t="s">
        <v>840</v>
      </c>
      <c r="E157" s="212">
        <v>15094</v>
      </c>
      <c r="F157" s="212">
        <f t="shared" si="74"/>
        <v>15094</v>
      </c>
      <c r="G157" s="392">
        <f t="shared" si="55"/>
        <v>0</v>
      </c>
      <c r="H157" s="274"/>
      <c r="I157" s="392">
        <f t="shared" si="75"/>
        <v>15094</v>
      </c>
      <c r="J157" s="392">
        <f t="shared" si="56"/>
        <v>0</v>
      </c>
      <c r="K157" s="225"/>
      <c r="L157" s="392">
        <f>ROUND(I157,0)</f>
        <v>15094</v>
      </c>
      <c r="M157" s="392">
        <f t="shared" si="57"/>
        <v>0</v>
      </c>
      <c r="N157" s="225"/>
      <c r="O157" s="392">
        <f>ROUND(L157,0)</f>
        <v>15094</v>
      </c>
      <c r="P157" s="392">
        <f t="shared" si="58"/>
        <v>0</v>
      </c>
      <c r="Q157" s="225"/>
      <c r="R157" s="392">
        <f t="shared" si="76"/>
        <v>15094</v>
      </c>
      <c r="S157" s="392">
        <f t="shared" si="59"/>
        <v>0</v>
      </c>
      <c r="T157" s="225"/>
      <c r="U157" s="392">
        <f t="shared" si="77"/>
        <v>15094</v>
      </c>
      <c r="V157" s="392">
        <f t="shared" si="60"/>
        <v>0</v>
      </c>
      <c r="W157" s="225"/>
      <c r="X157" s="498"/>
      <c r="Y157" s="363">
        <f>X157/R157</f>
        <v>0</v>
      </c>
      <c r="Z157" s="397"/>
    </row>
    <row r="158" spans="2:26" ht="28.2" customHeight="1" x14ac:dyDescent="0.25">
      <c r="B158" s="427" t="s">
        <v>841</v>
      </c>
      <c r="C158" s="499" t="s">
        <v>842</v>
      </c>
      <c r="D158" s="431" t="s">
        <v>843</v>
      </c>
      <c r="E158" s="212">
        <v>50458</v>
      </c>
      <c r="F158" s="212">
        <f>ROUND(E158,0)</f>
        <v>50458</v>
      </c>
      <c r="G158" s="392">
        <f t="shared" si="55"/>
        <v>0</v>
      </c>
      <c r="H158" s="274"/>
      <c r="I158" s="392">
        <f t="shared" si="75"/>
        <v>50458</v>
      </c>
      <c r="J158" s="392">
        <f t="shared" si="56"/>
        <v>0</v>
      </c>
      <c r="K158" s="225"/>
      <c r="L158" s="392">
        <f>ROUND(I158,0)</f>
        <v>50458</v>
      </c>
      <c r="M158" s="392">
        <f t="shared" si="57"/>
        <v>0</v>
      </c>
      <c r="N158" s="225"/>
      <c r="O158" s="392">
        <f>ROUND(L158,0)</f>
        <v>50458</v>
      </c>
      <c r="P158" s="392">
        <f t="shared" si="58"/>
        <v>0</v>
      </c>
      <c r="Q158" s="225"/>
      <c r="R158" s="392">
        <f t="shared" si="76"/>
        <v>50458</v>
      </c>
      <c r="S158" s="392">
        <f t="shared" si="59"/>
        <v>0</v>
      </c>
      <c r="T158" s="225"/>
      <c r="U158" s="392">
        <f t="shared" si="77"/>
        <v>50458</v>
      </c>
      <c r="V158" s="392">
        <f t="shared" si="60"/>
        <v>0</v>
      </c>
      <c r="W158" s="225"/>
      <c r="X158" s="491">
        <v>1112.1099999999999</v>
      </c>
      <c r="Y158" s="319">
        <f t="shared" ref="Y158:Y210" si="78">X158/U158</f>
        <v>2.2040310753497955E-2</v>
      </c>
      <c r="Z158" s="392" t="s">
        <v>1242</v>
      </c>
    </row>
    <row r="159" spans="2:26" ht="40.950000000000003" customHeight="1" x14ac:dyDescent="0.25">
      <c r="B159" s="427" t="s">
        <v>844</v>
      </c>
      <c r="C159" s="499" t="s">
        <v>845</v>
      </c>
      <c r="D159" s="500" t="s">
        <v>846</v>
      </c>
      <c r="E159" s="212">
        <v>145650</v>
      </c>
      <c r="F159" s="212">
        <f t="shared" si="74"/>
        <v>145650</v>
      </c>
      <c r="G159" s="392">
        <f t="shared" si="55"/>
        <v>0</v>
      </c>
      <c r="H159" s="274"/>
      <c r="I159" s="392">
        <f>ROUND(F159,0)</f>
        <v>145650</v>
      </c>
      <c r="J159" s="392">
        <f t="shared" si="56"/>
        <v>0</v>
      </c>
      <c r="K159" s="225"/>
      <c r="L159" s="392">
        <f>ROUND(I159,0)-5000-26640</f>
        <v>114010</v>
      </c>
      <c r="M159" s="392">
        <f t="shared" si="57"/>
        <v>-31640</v>
      </c>
      <c r="N159" s="225" t="s">
        <v>847</v>
      </c>
      <c r="O159" s="392">
        <f>ROUND(L159,0)+3347</f>
        <v>117357</v>
      </c>
      <c r="P159" s="392">
        <f t="shared" si="58"/>
        <v>3347</v>
      </c>
      <c r="Q159" s="225" t="s">
        <v>848</v>
      </c>
      <c r="R159" s="392">
        <f t="shared" si="76"/>
        <v>117357</v>
      </c>
      <c r="S159" s="392">
        <f t="shared" si="59"/>
        <v>0</v>
      </c>
      <c r="T159" s="225"/>
      <c r="U159" s="392">
        <f t="shared" si="77"/>
        <v>117357</v>
      </c>
      <c r="V159" s="392">
        <f t="shared" si="60"/>
        <v>0</v>
      </c>
      <c r="W159" s="225"/>
      <c r="X159" s="491">
        <v>19384.2</v>
      </c>
      <c r="Y159" s="319">
        <f t="shared" si="78"/>
        <v>0.16517293386845266</v>
      </c>
      <c r="Z159" s="392" t="s">
        <v>1242</v>
      </c>
    </row>
    <row r="160" spans="2:26" ht="22.95" customHeight="1" x14ac:dyDescent="0.25">
      <c r="B160" s="427" t="s">
        <v>849</v>
      </c>
      <c r="C160" s="499" t="s">
        <v>850</v>
      </c>
      <c r="D160" s="500" t="s">
        <v>391</v>
      </c>
      <c r="E160" s="212">
        <v>397337</v>
      </c>
      <c r="F160" s="212">
        <f t="shared" si="74"/>
        <v>397337</v>
      </c>
      <c r="G160" s="392">
        <f t="shared" si="55"/>
        <v>0</v>
      </c>
      <c r="H160" s="274"/>
      <c r="I160" s="392">
        <f t="shared" si="75"/>
        <v>397337</v>
      </c>
      <c r="J160" s="392">
        <f t="shared" si="56"/>
        <v>0</v>
      </c>
      <c r="K160" s="225"/>
      <c r="L160" s="392">
        <f t="shared" ref="L160:L168" si="79">ROUND(I160,0)</f>
        <v>397337</v>
      </c>
      <c r="M160" s="392">
        <f t="shared" si="57"/>
        <v>0</v>
      </c>
      <c r="N160" s="225"/>
      <c r="O160" s="392">
        <f>ROUND(L160,0)</f>
        <v>397337</v>
      </c>
      <c r="P160" s="392">
        <f t="shared" si="58"/>
        <v>0</v>
      </c>
      <c r="Q160" s="225"/>
      <c r="R160" s="392">
        <f t="shared" si="76"/>
        <v>397337</v>
      </c>
      <c r="S160" s="392">
        <f t="shared" si="59"/>
        <v>0</v>
      </c>
      <c r="T160" s="225"/>
      <c r="U160" s="392">
        <f t="shared" si="77"/>
        <v>397337</v>
      </c>
      <c r="V160" s="392">
        <f t="shared" si="60"/>
        <v>0</v>
      </c>
      <c r="W160" s="225"/>
      <c r="X160" s="491">
        <v>90266</v>
      </c>
      <c r="Y160" s="319">
        <f t="shared" si="78"/>
        <v>0.22717743376529242</v>
      </c>
      <c r="Z160" s="397"/>
    </row>
    <row r="161" spans="2:26" ht="15" customHeight="1" x14ac:dyDescent="0.25">
      <c r="B161" s="501" t="s">
        <v>851</v>
      </c>
      <c r="C161" s="499" t="s">
        <v>852</v>
      </c>
      <c r="D161" s="500" t="s">
        <v>623</v>
      </c>
      <c r="E161" s="212">
        <v>207440</v>
      </c>
      <c r="F161" s="212">
        <f t="shared" si="74"/>
        <v>207440</v>
      </c>
      <c r="G161" s="392">
        <f t="shared" si="55"/>
        <v>0</v>
      </c>
      <c r="H161" s="228"/>
      <c r="I161" s="392">
        <f t="shared" si="75"/>
        <v>207440</v>
      </c>
      <c r="J161" s="392">
        <f t="shared" si="56"/>
        <v>0</v>
      </c>
      <c r="K161" s="215"/>
      <c r="L161" s="392">
        <f t="shared" si="79"/>
        <v>207440</v>
      </c>
      <c r="M161" s="392">
        <f t="shared" si="57"/>
        <v>0</v>
      </c>
      <c r="N161" s="215"/>
      <c r="O161" s="392">
        <f>ROUND(L161,0)+22000+50687</f>
        <v>280127</v>
      </c>
      <c r="P161" s="392">
        <f t="shared" si="58"/>
        <v>72687</v>
      </c>
      <c r="Q161" s="215" t="s">
        <v>853</v>
      </c>
      <c r="R161" s="392">
        <f t="shared" si="76"/>
        <v>280127</v>
      </c>
      <c r="S161" s="392">
        <f t="shared" si="59"/>
        <v>0</v>
      </c>
      <c r="T161" s="215"/>
      <c r="U161" s="392">
        <f t="shared" si="77"/>
        <v>280127</v>
      </c>
      <c r="V161" s="392">
        <f t="shared" si="60"/>
        <v>0</v>
      </c>
      <c r="W161" s="215"/>
      <c r="X161" s="491">
        <v>154140.98000000001</v>
      </c>
      <c r="Y161" s="319">
        <f t="shared" si="78"/>
        <v>0.55025392054318223</v>
      </c>
      <c r="Z161" s="392" t="s">
        <v>1242</v>
      </c>
    </row>
    <row r="162" spans="2:26" ht="29.25" customHeight="1" x14ac:dyDescent="0.25">
      <c r="B162" s="427" t="s">
        <v>854</v>
      </c>
      <c r="C162" s="499" t="s">
        <v>855</v>
      </c>
      <c r="D162" s="500" t="s">
        <v>626</v>
      </c>
      <c r="E162" s="212">
        <v>14067</v>
      </c>
      <c r="F162" s="212">
        <f t="shared" si="74"/>
        <v>14067</v>
      </c>
      <c r="G162" s="392">
        <f t="shared" si="55"/>
        <v>0</v>
      </c>
      <c r="H162" s="228"/>
      <c r="I162" s="392">
        <f t="shared" si="75"/>
        <v>14067</v>
      </c>
      <c r="J162" s="392">
        <f t="shared" si="56"/>
        <v>0</v>
      </c>
      <c r="K162" s="215"/>
      <c r="L162" s="392">
        <f t="shared" si="79"/>
        <v>14067</v>
      </c>
      <c r="M162" s="392">
        <f t="shared" si="57"/>
        <v>0</v>
      </c>
      <c r="N162" s="215"/>
      <c r="O162" s="392">
        <f>ROUND(L162,0)+5801</f>
        <v>19868</v>
      </c>
      <c r="P162" s="392">
        <f t="shared" si="58"/>
        <v>5801</v>
      </c>
      <c r="Q162" s="215" t="s">
        <v>856</v>
      </c>
      <c r="R162" s="392">
        <f t="shared" si="76"/>
        <v>19868</v>
      </c>
      <c r="S162" s="392">
        <f t="shared" si="59"/>
        <v>0</v>
      </c>
      <c r="T162" s="215"/>
      <c r="U162" s="392">
        <f t="shared" si="77"/>
        <v>19868</v>
      </c>
      <c r="V162" s="392">
        <f t="shared" si="60"/>
        <v>0</v>
      </c>
      <c r="W162" s="215"/>
      <c r="X162" s="491">
        <v>19867.599999999999</v>
      </c>
      <c r="Y162" s="319">
        <f t="shared" si="78"/>
        <v>0.99997986712301179</v>
      </c>
      <c r="Z162" s="397"/>
    </row>
    <row r="163" spans="2:26" ht="33" customHeight="1" x14ac:dyDescent="0.25">
      <c r="B163" s="427" t="s">
        <v>609</v>
      </c>
      <c r="C163" s="499" t="s">
        <v>857</v>
      </c>
      <c r="D163" s="500" t="s">
        <v>628</v>
      </c>
      <c r="E163" s="212">
        <v>7900</v>
      </c>
      <c r="F163" s="212">
        <f t="shared" si="74"/>
        <v>7900</v>
      </c>
      <c r="G163" s="392">
        <f t="shared" si="55"/>
        <v>0</v>
      </c>
      <c r="H163" s="228"/>
      <c r="I163" s="392">
        <f t="shared" si="75"/>
        <v>7900</v>
      </c>
      <c r="J163" s="392">
        <f t="shared" si="56"/>
        <v>0</v>
      </c>
      <c r="K163" s="215"/>
      <c r="L163" s="392">
        <f t="shared" si="79"/>
        <v>7900</v>
      </c>
      <c r="M163" s="392">
        <f t="shared" si="57"/>
        <v>0</v>
      </c>
      <c r="N163" s="215"/>
      <c r="O163" s="392">
        <f t="shared" ref="O163:O171" si="80">ROUND(L163,0)</f>
        <v>7900</v>
      </c>
      <c r="P163" s="392">
        <f t="shared" si="58"/>
        <v>0</v>
      </c>
      <c r="Q163" s="215"/>
      <c r="R163" s="392">
        <f>ROUND(O163,0)+12598</f>
        <v>20498</v>
      </c>
      <c r="S163" s="496">
        <f t="shared" si="59"/>
        <v>12598</v>
      </c>
      <c r="T163" s="275" t="s">
        <v>858</v>
      </c>
      <c r="U163" s="392">
        <f t="shared" si="77"/>
        <v>20498</v>
      </c>
      <c r="V163" s="392">
        <f t="shared" si="60"/>
        <v>0</v>
      </c>
      <c r="W163" s="215"/>
      <c r="X163" s="392">
        <v>0</v>
      </c>
      <c r="Y163" s="319">
        <f t="shared" si="78"/>
        <v>0</v>
      </c>
      <c r="Z163" s="397"/>
    </row>
    <row r="164" spans="2:26" ht="17.399999999999999" customHeight="1" x14ac:dyDescent="0.25">
      <c r="B164" s="427" t="s">
        <v>609</v>
      </c>
      <c r="C164" s="499" t="s">
        <v>859</v>
      </c>
      <c r="D164" s="500" t="s">
        <v>631</v>
      </c>
      <c r="E164" s="212">
        <v>9000</v>
      </c>
      <c r="F164" s="212">
        <f t="shared" si="74"/>
        <v>9000</v>
      </c>
      <c r="G164" s="392">
        <f t="shared" si="55"/>
        <v>0</v>
      </c>
      <c r="H164" s="228"/>
      <c r="I164" s="392">
        <f t="shared" si="75"/>
        <v>9000</v>
      </c>
      <c r="J164" s="392">
        <f t="shared" si="56"/>
        <v>0</v>
      </c>
      <c r="K164" s="215"/>
      <c r="L164" s="392">
        <f t="shared" si="79"/>
        <v>9000</v>
      </c>
      <c r="M164" s="392">
        <f t="shared" si="57"/>
        <v>0</v>
      </c>
      <c r="N164" s="215"/>
      <c r="O164" s="392">
        <f t="shared" si="80"/>
        <v>9000</v>
      </c>
      <c r="P164" s="392">
        <f t="shared" si="58"/>
        <v>0</v>
      </c>
      <c r="Q164" s="215"/>
      <c r="R164" s="392">
        <f t="shared" ref="R164:R171" si="81">ROUND(O164,0)</f>
        <v>9000</v>
      </c>
      <c r="S164" s="392">
        <f t="shared" si="59"/>
        <v>0</v>
      </c>
      <c r="T164" s="215"/>
      <c r="U164" s="392">
        <f t="shared" si="77"/>
        <v>9000</v>
      </c>
      <c r="V164" s="392">
        <f t="shared" si="60"/>
        <v>0</v>
      </c>
      <c r="W164" s="215"/>
      <c r="X164" s="397"/>
      <c r="Y164" s="319">
        <f t="shared" si="78"/>
        <v>0</v>
      </c>
      <c r="Z164" s="397"/>
    </row>
    <row r="165" spans="2:26" ht="55.95" customHeight="1" x14ac:dyDescent="0.25">
      <c r="B165" s="427" t="s">
        <v>609</v>
      </c>
      <c r="C165" s="499" t="s">
        <v>860</v>
      </c>
      <c r="D165" s="500" t="s">
        <v>633</v>
      </c>
      <c r="E165" s="212">
        <v>12020</v>
      </c>
      <c r="F165" s="212">
        <f t="shared" si="74"/>
        <v>12020</v>
      </c>
      <c r="G165" s="392">
        <f t="shared" si="55"/>
        <v>0</v>
      </c>
      <c r="H165" s="228"/>
      <c r="I165" s="392">
        <f t="shared" si="75"/>
        <v>12020</v>
      </c>
      <c r="J165" s="392">
        <f t="shared" si="56"/>
        <v>0</v>
      </c>
      <c r="K165" s="215"/>
      <c r="L165" s="392">
        <f t="shared" si="79"/>
        <v>12020</v>
      </c>
      <c r="M165" s="392">
        <f t="shared" si="57"/>
        <v>0</v>
      </c>
      <c r="N165" s="215"/>
      <c r="O165" s="392">
        <f t="shared" si="80"/>
        <v>12020</v>
      </c>
      <c r="P165" s="392">
        <f t="shared" si="58"/>
        <v>0</v>
      </c>
      <c r="Q165" s="215"/>
      <c r="R165" s="392">
        <f t="shared" si="81"/>
        <v>12020</v>
      </c>
      <c r="S165" s="392">
        <f t="shared" si="59"/>
        <v>0</v>
      </c>
      <c r="T165" s="215"/>
      <c r="U165" s="392">
        <f t="shared" si="77"/>
        <v>12020</v>
      </c>
      <c r="V165" s="392">
        <f t="shared" si="60"/>
        <v>0</v>
      </c>
      <c r="W165" s="215"/>
      <c r="X165" s="397"/>
      <c r="Y165" s="319">
        <f t="shared" si="78"/>
        <v>0</v>
      </c>
      <c r="Z165" s="397"/>
    </row>
    <row r="166" spans="2:26" ht="40.950000000000003" customHeight="1" x14ac:dyDescent="0.25">
      <c r="B166" s="427" t="s">
        <v>609</v>
      </c>
      <c r="C166" s="499" t="s">
        <v>861</v>
      </c>
      <c r="D166" s="500" t="s">
        <v>635</v>
      </c>
      <c r="E166" s="212">
        <v>30655</v>
      </c>
      <c r="F166" s="212">
        <f t="shared" si="74"/>
        <v>30655</v>
      </c>
      <c r="G166" s="392">
        <f t="shared" si="55"/>
        <v>0</v>
      </c>
      <c r="H166" s="228"/>
      <c r="I166" s="392">
        <f t="shared" si="75"/>
        <v>30655</v>
      </c>
      <c r="J166" s="392">
        <f t="shared" si="56"/>
        <v>0</v>
      </c>
      <c r="K166" s="215"/>
      <c r="L166" s="392">
        <f t="shared" si="79"/>
        <v>30655</v>
      </c>
      <c r="M166" s="392">
        <f t="shared" si="57"/>
        <v>0</v>
      </c>
      <c r="N166" s="215"/>
      <c r="O166" s="392">
        <f t="shared" si="80"/>
        <v>30655</v>
      </c>
      <c r="P166" s="392">
        <f t="shared" si="58"/>
        <v>0</v>
      </c>
      <c r="Q166" s="215"/>
      <c r="R166" s="392">
        <f t="shared" si="81"/>
        <v>30655</v>
      </c>
      <c r="S166" s="392">
        <f t="shared" si="59"/>
        <v>0</v>
      </c>
      <c r="T166" s="215"/>
      <c r="U166" s="392">
        <f t="shared" si="77"/>
        <v>30655</v>
      </c>
      <c r="V166" s="392">
        <f t="shared" si="60"/>
        <v>0</v>
      </c>
      <c r="W166" s="215"/>
      <c r="X166" s="491">
        <f>555.8+1588+2332.8</f>
        <v>4476.6000000000004</v>
      </c>
      <c r="Y166" s="319">
        <f t="shared" si="78"/>
        <v>0.14603164247267983</v>
      </c>
      <c r="Z166" s="397"/>
    </row>
    <row r="167" spans="2:26" ht="16.95" customHeight="1" x14ac:dyDescent="0.25">
      <c r="B167" s="427" t="s">
        <v>636</v>
      </c>
      <c r="C167" s="499" t="s">
        <v>862</v>
      </c>
      <c r="D167" s="500" t="s">
        <v>638</v>
      </c>
      <c r="E167" s="212">
        <v>168527</v>
      </c>
      <c r="F167" s="212">
        <f t="shared" si="74"/>
        <v>168527</v>
      </c>
      <c r="G167" s="392">
        <f t="shared" si="55"/>
        <v>0</v>
      </c>
      <c r="H167" s="228"/>
      <c r="I167" s="392">
        <f t="shared" si="75"/>
        <v>168527</v>
      </c>
      <c r="J167" s="392">
        <f t="shared" si="56"/>
        <v>0</v>
      </c>
      <c r="K167" s="215"/>
      <c r="L167" s="392">
        <f t="shared" si="79"/>
        <v>168527</v>
      </c>
      <c r="M167" s="392">
        <f t="shared" si="57"/>
        <v>0</v>
      </c>
      <c r="N167" s="215"/>
      <c r="O167" s="392">
        <f t="shared" si="80"/>
        <v>168527</v>
      </c>
      <c r="P167" s="392">
        <f t="shared" si="58"/>
        <v>0</v>
      </c>
      <c r="Q167" s="215"/>
      <c r="R167" s="392">
        <f t="shared" si="81"/>
        <v>168527</v>
      </c>
      <c r="S167" s="392">
        <f t="shared" si="59"/>
        <v>0</v>
      </c>
      <c r="T167" s="215"/>
      <c r="U167" s="392">
        <f t="shared" si="77"/>
        <v>168527</v>
      </c>
      <c r="V167" s="392">
        <f t="shared" si="60"/>
        <v>0</v>
      </c>
      <c r="W167" s="215"/>
      <c r="X167" s="491">
        <v>9059.2999999999993</v>
      </c>
      <c r="Y167" s="319">
        <f t="shared" si="78"/>
        <v>5.3755778005898161E-2</v>
      </c>
      <c r="Z167" s="397"/>
    </row>
    <row r="168" spans="2:26" ht="42.6" customHeight="1" x14ac:dyDescent="0.25">
      <c r="B168" s="427" t="s">
        <v>609</v>
      </c>
      <c r="C168" s="499" t="s">
        <v>863</v>
      </c>
      <c r="D168" s="500" t="s">
        <v>864</v>
      </c>
      <c r="E168" s="212">
        <v>44284</v>
      </c>
      <c r="F168" s="212">
        <f t="shared" si="74"/>
        <v>44284</v>
      </c>
      <c r="G168" s="392">
        <f t="shared" si="55"/>
        <v>0</v>
      </c>
      <c r="H168" s="228"/>
      <c r="I168" s="392">
        <f t="shared" si="75"/>
        <v>44284</v>
      </c>
      <c r="J168" s="392">
        <f t="shared" si="56"/>
        <v>0</v>
      </c>
      <c r="K168" s="215"/>
      <c r="L168" s="392">
        <f t="shared" si="79"/>
        <v>44284</v>
      </c>
      <c r="M168" s="392">
        <f t="shared" si="57"/>
        <v>0</v>
      </c>
      <c r="N168" s="215"/>
      <c r="O168" s="392">
        <f t="shared" si="80"/>
        <v>44284</v>
      </c>
      <c r="P168" s="392">
        <f t="shared" si="58"/>
        <v>0</v>
      </c>
      <c r="Q168" s="215"/>
      <c r="R168" s="392">
        <f>ROUND(O168,0)-44284</f>
        <v>0</v>
      </c>
      <c r="S168" s="392">
        <f t="shared" si="59"/>
        <v>-44284</v>
      </c>
      <c r="T168" s="225" t="s">
        <v>865</v>
      </c>
      <c r="U168" s="392">
        <f t="shared" si="77"/>
        <v>0</v>
      </c>
      <c r="V168" s="392">
        <f t="shared" si="60"/>
        <v>0</v>
      </c>
      <c r="W168" s="225"/>
      <c r="X168" s="397"/>
      <c r="Y168" s="319" t="e">
        <f t="shared" si="78"/>
        <v>#DIV/0!</v>
      </c>
      <c r="Z168" s="397"/>
    </row>
    <row r="169" spans="2:26" ht="27" customHeight="1" x14ac:dyDescent="0.25">
      <c r="B169" s="427" t="s">
        <v>866</v>
      </c>
      <c r="C169" s="499" t="s">
        <v>867</v>
      </c>
      <c r="D169" s="431" t="s">
        <v>868</v>
      </c>
      <c r="E169" s="212">
        <v>0</v>
      </c>
      <c r="F169" s="212">
        <f t="shared" si="74"/>
        <v>0</v>
      </c>
      <c r="G169" s="392">
        <f t="shared" si="55"/>
        <v>0</v>
      </c>
      <c r="H169" s="274"/>
      <c r="I169" s="392"/>
      <c r="J169" s="392">
        <f t="shared" si="56"/>
        <v>0</v>
      </c>
      <c r="K169" s="225"/>
      <c r="L169" s="392"/>
      <c r="M169" s="392">
        <f t="shared" si="57"/>
        <v>0</v>
      </c>
      <c r="N169" s="225"/>
      <c r="O169" s="392">
        <f t="shared" si="80"/>
        <v>0</v>
      </c>
      <c r="P169" s="392">
        <f t="shared" si="58"/>
        <v>0</v>
      </c>
      <c r="Q169" s="225"/>
      <c r="R169" s="392">
        <f>ROUND(O169,0)+85085</f>
        <v>85085</v>
      </c>
      <c r="S169" s="392">
        <f t="shared" si="59"/>
        <v>85085</v>
      </c>
      <c r="T169" s="225" t="s">
        <v>869</v>
      </c>
      <c r="U169" s="392">
        <f t="shared" si="77"/>
        <v>85085</v>
      </c>
      <c r="V169" s="392">
        <f t="shared" si="60"/>
        <v>0</v>
      </c>
      <c r="W169" s="225"/>
      <c r="X169" s="491">
        <v>653.1</v>
      </c>
      <c r="Y169" s="319">
        <f t="shared" si="78"/>
        <v>7.6758535582065E-3</v>
      </c>
      <c r="Z169" s="397"/>
    </row>
    <row r="170" spans="2:26" ht="30.6" customHeight="1" x14ac:dyDescent="0.25">
      <c r="B170" s="427" t="s">
        <v>695</v>
      </c>
      <c r="C170" s="499" t="s">
        <v>870</v>
      </c>
      <c r="D170" s="500" t="s">
        <v>871</v>
      </c>
      <c r="E170" s="212">
        <v>0</v>
      </c>
      <c r="F170" s="212">
        <f t="shared" si="74"/>
        <v>0</v>
      </c>
      <c r="G170" s="392">
        <f t="shared" si="55"/>
        <v>0</v>
      </c>
      <c r="H170" s="274"/>
      <c r="I170" s="392"/>
      <c r="J170" s="392">
        <f t="shared" si="56"/>
        <v>0</v>
      </c>
      <c r="K170" s="276"/>
      <c r="L170" s="392"/>
      <c r="M170" s="392">
        <f t="shared" si="57"/>
        <v>0</v>
      </c>
      <c r="N170" s="225"/>
      <c r="O170" s="392">
        <f t="shared" si="80"/>
        <v>0</v>
      </c>
      <c r="P170" s="392">
        <f t="shared" si="58"/>
        <v>0</v>
      </c>
      <c r="Q170" s="225"/>
      <c r="R170" s="392">
        <f t="shared" si="81"/>
        <v>0</v>
      </c>
      <c r="S170" s="392">
        <f t="shared" si="59"/>
        <v>0</v>
      </c>
      <c r="T170" s="225"/>
      <c r="U170" s="392">
        <f t="shared" si="77"/>
        <v>0</v>
      </c>
      <c r="V170" s="392">
        <f t="shared" si="60"/>
        <v>0</v>
      </c>
      <c r="W170" s="225"/>
      <c r="X170" s="392">
        <v>0</v>
      </c>
      <c r="Y170" s="319" t="e">
        <f t="shared" si="78"/>
        <v>#DIV/0!</v>
      </c>
      <c r="Z170" s="397"/>
    </row>
    <row r="171" spans="2:26" ht="32.4" customHeight="1" x14ac:dyDescent="0.25">
      <c r="B171" s="427" t="s">
        <v>872</v>
      </c>
      <c r="C171" s="499" t="s">
        <v>859</v>
      </c>
      <c r="D171" s="500" t="s">
        <v>664</v>
      </c>
      <c r="E171" s="212">
        <v>0</v>
      </c>
      <c r="F171" s="212">
        <f t="shared" si="74"/>
        <v>0</v>
      </c>
      <c r="G171" s="392">
        <f t="shared" si="55"/>
        <v>0</v>
      </c>
      <c r="H171" s="274"/>
      <c r="I171" s="392"/>
      <c r="J171" s="392">
        <f t="shared" si="56"/>
        <v>0</v>
      </c>
      <c r="K171" s="277"/>
      <c r="L171" s="392"/>
      <c r="M171" s="392">
        <f t="shared" si="57"/>
        <v>0</v>
      </c>
      <c r="N171" s="277"/>
      <c r="O171" s="392">
        <f t="shared" si="80"/>
        <v>0</v>
      </c>
      <c r="P171" s="392">
        <f t="shared" si="58"/>
        <v>0</v>
      </c>
      <c r="Q171" s="277"/>
      <c r="R171" s="392">
        <f t="shared" si="81"/>
        <v>0</v>
      </c>
      <c r="S171" s="392">
        <f t="shared" si="59"/>
        <v>0</v>
      </c>
      <c r="T171" s="277"/>
      <c r="U171" s="392">
        <f t="shared" si="77"/>
        <v>0</v>
      </c>
      <c r="V171" s="392">
        <f t="shared" si="60"/>
        <v>0</v>
      </c>
      <c r="W171" s="277"/>
      <c r="X171" s="392">
        <v>0</v>
      </c>
      <c r="Y171" s="319" t="e">
        <f t="shared" si="78"/>
        <v>#DIV/0!</v>
      </c>
      <c r="Z171" s="397"/>
    </row>
    <row r="172" spans="2:26" ht="29.25" customHeight="1" x14ac:dyDescent="0.25">
      <c r="C172" s="477" t="s">
        <v>873</v>
      </c>
      <c r="D172" s="492" t="s">
        <v>874</v>
      </c>
      <c r="E172" s="272">
        <v>11549801.841957785</v>
      </c>
      <c r="F172" s="272">
        <f t="shared" ref="F172" si="82">SUM(F173:F178,F182:F191)</f>
        <v>11653537</v>
      </c>
      <c r="G172" s="493">
        <f t="shared" si="55"/>
        <v>103735.15804221481</v>
      </c>
      <c r="H172" s="278"/>
      <c r="I172" s="493">
        <f>SUM(I173:I178,I182:I191)</f>
        <v>11956848</v>
      </c>
      <c r="J172" s="493">
        <f t="shared" si="56"/>
        <v>303311</v>
      </c>
      <c r="K172" s="279"/>
      <c r="L172" s="493">
        <f>SUM(L173:L178,L182:L191)</f>
        <v>12038272</v>
      </c>
      <c r="M172" s="493">
        <f t="shared" si="57"/>
        <v>81424</v>
      </c>
      <c r="N172" s="279"/>
      <c r="O172" s="493">
        <f>SUM(O173:O178,O182:O191)</f>
        <v>12725876</v>
      </c>
      <c r="P172" s="493">
        <f t="shared" si="58"/>
        <v>687604</v>
      </c>
      <c r="Q172" s="279"/>
      <c r="R172" s="493">
        <f>SUM(R173:R178,R182:R191)</f>
        <v>12924698</v>
      </c>
      <c r="S172" s="493">
        <f t="shared" si="59"/>
        <v>198822</v>
      </c>
      <c r="T172" s="279"/>
      <c r="U172" s="493">
        <f>SUM(U173:U178,U182:U191)</f>
        <v>12936744</v>
      </c>
      <c r="V172" s="493">
        <f t="shared" si="60"/>
        <v>12046</v>
      </c>
      <c r="W172" s="279"/>
      <c r="X172" s="493">
        <f>SUM(X173:X178,X182:X191)</f>
        <v>8080522.3999999994</v>
      </c>
      <c r="Y172" s="339">
        <f t="shared" si="78"/>
        <v>0.62461794095948708</v>
      </c>
      <c r="Z172" s="495"/>
    </row>
    <row r="173" spans="2:26" ht="27.6" customHeight="1" x14ac:dyDescent="0.25">
      <c r="B173" s="427" t="s">
        <v>875</v>
      </c>
      <c r="C173" s="489" t="s">
        <v>876</v>
      </c>
      <c r="D173" s="500" t="s">
        <v>877</v>
      </c>
      <c r="E173" s="212">
        <v>1199200.0293275001</v>
      </c>
      <c r="F173" s="212">
        <f>ROUND(E173,0)</f>
        <v>1199200</v>
      </c>
      <c r="G173" s="392">
        <f t="shared" si="55"/>
        <v>-2.9327500145882368E-2</v>
      </c>
      <c r="H173" s="280"/>
      <c r="I173" s="392">
        <f>ROUND(F173,0)</f>
        <v>1199200</v>
      </c>
      <c r="J173" s="392">
        <f t="shared" si="56"/>
        <v>0</v>
      </c>
      <c r="K173" s="277"/>
      <c r="L173" s="392">
        <f>ROUND(I173,0)</f>
        <v>1199200</v>
      </c>
      <c r="M173" s="392">
        <f t="shared" si="57"/>
        <v>0</v>
      </c>
      <c r="N173" s="277"/>
      <c r="O173" s="392">
        <f>ROUND(L173,0)</f>
        <v>1199200</v>
      </c>
      <c r="P173" s="392">
        <f t="shared" si="58"/>
        <v>0</v>
      </c>
      <c r="Q173" s="277"/>
      <c r="R173" s="392">
        <f>ROUND(O173,0)+2400</f>
        <v>1201600</v>
      </c>
      <c r="S173" s="392">
        <f t="shared" si="59"/>
        <v>2400</v>
      </c>
      <c r="T173" s="277" t="s">
        <v>878</v>
      </c>
      <c r="U173" s="392">
        <f>ROUND(R173,0)</f>
        <v>1201600</v>
      </c>
      <c r="V173" s="392">
        <f t="shared" si="60"/>
        <v>0</v>
      </c>
      <c r="W173" s="277"/>
      <c r="X173" s="491">
        <v>1150088.93</v>
      </c>
      <c r="Y173" s="319">
        <f t="shared" si="78"/>
        <v>0.95713126664447401</v>
      </c>
      <c r="Z173" s="405" t="s">
        <v>1243</v>
      </c>
    </row>
    <row r="174" spans="2:26" ht="13.95" customHeight="1" x14ac:dyDescent="0.25">
      <c r="B174" s="427" t="s">
        <v>879</v>
      </c>
      <c r="C174" s="489" t="s">
        <v>880</v>
      </c>
      <c r="D174" s="500" t="s">
        <v>881</v>
      </c>
      <c r="E174" s="212">
        <v>1875164.83</v>
      </c>
      <c r="F174" s="212">
        <f t="shared" ref="F174:F187" si="83">ROUND(E174,0)</f>
        <v>1875165</v>
      </c>
      <c r="G174" s="392">
        <f t="shared" si="55"/>
        <v>0.16999999992549419</v>
      </c>
      <c r="H174" s="274"/>
      <c r="I174" s="392">
        <f>ROUND(F174,0)</f>
        <v>1875165</v>
      </c>
      <c r="J174" s="392">
        <f t="shared" si="56"/>
        <v>0</v>
      </c>
      <c r="K174" s="225"/>
      <c r="L174" s="392">
        <f>ROUND(I174,0)</f>
        <v>1875165</v>
      </c>
      <c r="M174" s="392">
        <f t="shared" si="57"/>
        <v>0</v>
      </c>
      <c r="N174" s="225"/>
      <c r="O174" s="392">
        <f>ROUND(L174,0)</f>
        <v>1875165</v>
      </c>
      <c r="P174" s="392">
        <f t="shared" si="58"/>
        <v>0</v>
      </c>
      <c r="Q174" s="225"/>
      <c r="R174" s="392">
        <f>ROUND(O174,0)</f>
        <v>1875165</v>
      </c>
      <c r="S174" s="392">
        <f t="shared" si="59"/>
        <v>0</v>
      </c>
      <c r="T174" s="225"/>
      <c r="U174" s="392">
        <f>ROUND(R174,0)</f>
        <v>1875165</v>
      </c>
      <c r="V174" s="392">
        <f t="shared" si="60"/>
        <v>0</v>
      </c>
      <c r="W174" s="225"/>
      <c r="X174" s="491">
        <v>1649215.5</v>
      </c>
      <c r="Y174" s="319">
        <f t="shared" si="78"/>
        <v>0.87950420363008053</v>
      </c>
      <c r="Z174" s="397"/>
    </row>
    <row r="175" spans="2:26" ht="27" customHeight="1" x14ac:dyDescent="0.25">
      <c r="B175" s="427" t="s">
        <v>617</v>
      </c>
      <c r="C175" s="499" t="s">
        <v>882</v>
      </c>
      <c r="D175" s="500" t="s">
        <v>746</v>
      </c>
      <c r="E175" s="212">
        <v>363351</v>
      </c>
      <c r="F175" s="212">
        <f>ROUND(E175,0)-1-3420+92966</f>
        <v>452896</v>
      </c>
      <c r="G175" s="392">
        <f t="shared" si="55"/>
        <v>89545</v>
      </c>
      <c r="H175" s="225" t="s">
        <v>883</v>
      </c>
      <c r="I175" s="392">
        <f>ROUND(F175,0)</f>
        <v>452896</v>
      </c>
      <c r="J175" s="392">
        <f t="shared" si="56"/>
        <v>0</v>
      </c>
      <c r="K175" s="225"/>
      <c r="L175" s="392">
        <f>ROUND(I175,0)</f>
        <v>452896</v>
      </c>
      <c r="M175" s="392">
        <f t="shared" si="57"/>
        <v>0</v>
      </c>
      <c r="N175" s="225"/>
      <c r="O175" s="392">
        <f>ROUND(L175,0)</f>
        <v>452896</v>
      </c>
      <c r="P175" s="392">
        <f t="shared" si="58"/>
        <v>0</v>
      </c>
      <c r="Q175" s="225"/>
      <c r="R175" s="392">
        <f>ROUND(O175,0)</f>
        <v>452896</v>
      </c>
      <c r="S175" s="392">
        <f t="shared" si="59"/>
        <v>0</v>
      </c>
      <c r="T175" s="225"/>
      <c r="U175" s="392">
        <f>ROUND(R175,0)</f>
        <v>452896</v>
      </c>
      <c r="V175" s="392">
        <f t="shared" si="60"/>
        <v>0</v>
      </c>
      <c r="W175" s="225"/>
      <c r="X175" s="491">
        <v>55245.07</v>
      </c>
      <c r="Y175" s="319">
        <f t="shared" si="78"/>
        <v>0.1219818015615064</v>
      </c>
      <c r="Z175" s="392" t="s">
        <v>1242</v>
      </c>
    </row>
    <row r="176" spans="2:26" ht="27" customHeight="1" x14ac:dyDescent="0.25">
      <c r="B176" s="427" t="s">
        <v>884</v>
      </c>
      <c r="C176" s="499" t="s">
        <v>885</v>
      </c>
      <c r="D176" s="500" t="s">
        <v>886</v>
      </c>
      <c r="E176" s="212"/>
      <c r="F176" s="212"/>
      <c r="G176" s="392"/>
      <c r="H176" s="225"/>
      <c r="I176" s="392"/>
      <c r="J176" s="392"/>
      <c r="K176" s="225"/>
      <c r="L176" s="392"/>
      <c r="M176" s="392"/>
      <c r="N176" s="225"/>
      <c r="O176" s="392"/>
      <c r="P176" s="392"/>
      <c r="Q176" s="225"/>
      <c r="R176" s="392">
        <v>120000</v>
      </c>
      <c r="S176" s="392">
        <f t="shared" si="59"/>
        <v>120000</v>
      </c>
      <c r="T176" s="225" t="s">
        <v>887</v>
      </c>
      <c r="U176" s="392">
        <v>120000</v>
      </c>
      <c r="V176" s="392">
        <f t="shared" si="60"/>
        <v>0</v>
      </c>
      <c r="W176" s="225"/>
      <c r="X176" s="491">
        <v>34775.4</v>
      </c>
      <c r="Y176" s="319">
        <f t="shared" si="78"/>
        <v>0.28979500000000002</v>
      </c>
      <c r="Z176" s="392"/>
    </row>
    <row r="177" spans="2:26" ht="14.25" customHeight="1" x14ac:dyDescent="0.25">
      <c r="B177" s="427" t="s">
        <v>888</v>
      </c>
      <c r="C177" s="489" t="s">
        <v>889</v>
      </c>
      <c r="D177" s="500" t="s">
        <v>890</v>
      </c>
      <c r="E177" s="212">
        <v>1574037</v>
      </c>
      <c r="F177" s="212">
        <f>ROUND(E177,0)+168382-168382</f>
        <v>1574037</v>
      </c>
      <c r="G177" s="392">
        <f t="shared" si="55"/>
        <v>0</v>
      </c>
      <c r="H177" s="239" t="s">
        <v>891</v>
      </c>
      <c r="I177" s="392">
        <f>ROUND(F177,0)</f>
        <v>1574037</v>
      </c>
      <c r="J177" s="392">
        <f t="shared" si="56"/>
        <v>0</v>
      </c>
      <c r="K177" s="225"/>
      <c r="L177" s="392">
        <f>ROUND(I177,0)</f>
        <v>1574037</v>
      </c>
      <c r="M177" s="392">
        <f t="shared" si="57"/>
        <v>0</v>
      </c>
      <c r="N177" s="225"/>
      <c r="O177" s="392">
        <f>ROUND(L177,0)+680342</f>
        <v>2254379</v>
      </c>
      <c r="P177" s="392">
        <f t="shared" si="58"/>
        <v>680342</v>
      </c>
      <c r="Q177" s="225" t="s">
        <v>724</v>
      </c>
      <c r="R177" s="392">
        <f>ROUND(O177,0)</f>
        <v>2254379</v>
      </c>
      <c r="S177" s="392">
        <f t="shared" si="59"/>
        <v>0</v>
      </c>
      <c r="T177" s="225"/>
      <c r="U177" s="392">
        <f>ROUND(R177,0)</f>
        <v>2254379</v>
      </c>
      <c r="V177" s="392">
        <f t="shared" si="60"/>
        <v>0</v>
      </c>
      <c r="W177" s="225"/>
      <c r="X177" s="397">
        <v>1082361</v>
      </c>
      <c r="Y177" s="319">
        <f t="shared" si="78"/>
        <v>0.48011492300096836</v>
      </c>
      <c r="Z177" s="392" t="s">
        <v>1236</v>
      </c>
    </row>
    <row r="178" spans="2:26" ht="32.25" customHeight="1" x14ac:dyDescent="0.25">
      <c r="B178" s="427" t="s">
        <v>417</v>
      </c>
      <c r="C178" s="489" t="s">
        <v>892</v>
      </c>
      <c r="D178" s="500" t="s">
        <v>893</v>
      </c>
      <c r="E178" s="281">
        <v>5403977.9826302836</v>
      </c>
      <c r="F178" s="281">
        <f>SUM(F179:F181)</f>
        <v>5418168</v>
      </c>
      <c r="G178" s="392">
        <f t="shared" si="55"/>
        <v>14190.017369716428</v>
      </c>
      <c r="H178" s="274"/>
      <c r="I178" s="442">
        <f>SUM(I179:I181)</f>
        <v>5367776</v>
      </c>
      <c r="J178" s="392">
        <f t="shared" si="56"/>
        <v>-50392</v>
      </c>
      <c r="K178" s="225"/>
      <c r="L178" s="442">
        <f>SUM(L179:L181)</f>
        <v>5373200</v>
      </c>
      <c r="M178" s="392">
        <f t="shared" si="57"/>
        <v>5424</v>
      </c>
      <c r="N178" s="225"/>
      <c r="O178" s="442">
        <f>SUM(O179:O181)</f>
        <v>5380462</v>
      </c>
      <c r="P178" s="392">
        <f t="shared" si="58"/>
        <v>7262</v>
      </c>
      <c r="Q178" s="225"/>
      <c r="R178" s="442">
        <f>SUM(R179:R181)</f>
        <v>5420641</v>
      </c>
      <c r="S178" s="392">
        <f t="shared" si="59"/>
        <v>40179</v>
      </c>
      <c r="T178" s="225"/>
      <c r="U178" s="442">
        <f>SUM(U179:U181)</f>
        <v>5452687</v>
      </c>
      <c r="V178" s="392">
        <f t="shared" si="60"/>
        <v>32046</v>
      </c>
      <c r="W178" s="225"/>
      <c r="X178" s="442">
        <f>SUM(X179:X181)</f>
        <v>3424060.5</v>
      </c>
      <c r="Y178" s="340">
        <f t="shared" si="78"/>
        <v>0.62795838088634104</v>
      </c>
      <c r="Z178" s="502"/>
    </row>
    <row r="179" spans="2:26" s="509" customFormat="1" ht="136.5" customHeight="1" x14ac:dyDescent="0.25">
      <c r="B179" s="503"/>
      <c r="C179" s="504" t="s">
        <v>894</v>
      </c>
      <c r="D179" s="505" t="s">
        <v>895</v>
      </c>
      <c r="E179" s="282">
        <v>4799085.2470302833</v>
      </c>
      <c r="F179" s="282">
        <f>ROUND(E179,0)+13000-645+1835</f>
        <v>4813275</v>
      </c>
      <c r="G179" s="506">
        <f t="shared" si="55"/>
        <v>14189.752969716676</v>
      </c>
      <c r="H179" s="283" t="s">
        <v>896</v>
      </c>
      <c r="I179" s="507">
        <f>ROUND(F179,0)-10919-6705-19453</f>
        <v>4776198</v>
      </c>
      <c r="J179" s="506">
        <f t="shared" si="56"/>
        <v>-37077</v>
      </c>
      <c r="K179" s="284" t="s">
        <v>897</v>
      </c>
      <c r="L179" s="507">
        <f>ROUND(I179,0)-9076+3500+11000</f>
        <v>4781622</v>
      </c>
      <c r="M179" s="506">
        <f t="shared" si="57"/>
        <v>5424</v>
      </c>
      <c r="N179" s="284" t="s">
        <v>898</v>
      </c>
      <c r="O179" s="507">
        <f>ROUND(L179,0)+276+62+102+28+165+6629</f>
        <v>4788884</v>
      </c>
      <c r="P179" s="506">
        <f t="shared" si="58"/>
        <v>7262</v>
      </c>
      <c r="Q179" s="225" t="s">
        <v>899</v>
      </c>
      <c r="R179" s="507">
        <f>ROUND(O179,0)-6508-328-4600+10757-2978+19000-6000+40000</f>
        <v>4838227</v>
      </c>
      <c r="S179" s="506">
        <f t="shared" si="59"/>
        <v>49343</v>
      </c>
      <c r="T179" s="225" t="s">
        <v>900</v>
      </c>
      <c r="U179" s="507">
        <f>ROUND(R179,0)+4000+4000-7614-12386+20000-7954-3872-18064</f>
        <v>4816337</v>
      </c>
      <c r="V179" s="506">
        <f t="shared" si="60"/>
        <v>-21890</v>
      </c>
      <c r="W179" s="225" t="s">
        <v>1265</v>
      </c>
      <c r="X179" s="508">
        <f>2685548+1398+14835+13492+5805+23347+2845+5699+3921+16338+87830+106371+47801+11150+5445</f>
        <v>3031825</v>
      </c>
      <c r="Y179" s="341">
        <f t="shared" si="78"/>
        <v>0.62948772064745473</v>
      </c>
      <c r="Z179" s="508"/>
    </row>
    <row r="180" spans="2:26" s="509" customFormat="1" ht="55.5" customHeight="1" x14ac:dyDescent="0.25">
      <c r="B180" s="503"/>
      <c r="C180" s="504" t="s">
        <v>901</v>
      </c>
      <c r="D180" s="505" t="s">
        <v>902</v>
      </c>
      <c r="E180" s="282">
        <v>350000</v>
      </c>
      <c r="F180" s="282">
        <f t="shared" si="83"/>
        <v>350000</v>
      </c>
      <c r="G180" s="506">
        <f t="shared" si="55"/>
        <v>0</v>
      </c>
      <c r="H180" s="283"/>
      <c r="I180" s="507">
        <f>ROUND(F180,0)-13315</f>
        <v>336685</v>
      </c>
      <c r="J180" s="506">
        <f t="shared" si="56"/>
        <v>-13315</v>
      </c>
      <c r="K180" s="284" t="s">
        <v>803</v>
      </c>
      <c r="L180" s="507">
        <f>ROUND(I180,0)</f>
        <v>336685</v>
      </c>
      <c r="M180" s="506">
        <f t="shared" si="57"/>
        <v>0</v>
      </c>
      <c r="N180" s="284"/>
      <c r="O180" s="507">
        <f t="shared" ref="O180:O191" si="84">ROUND(L180,0)</f>
        <v>336685</v>
      </c>
      <c r="P180" s="506">
        <f t="shared" si="58"/>
        <v>0</v>
      </c>
      <c r="Q180" s="284"/>
      <c r="R180" s="507">
        <f>ROUND(O180,0)-7000-3130-18034</f>
        <v>308521</v>
      </c>
      <c r="S180" s="506">
        <f t="shared" si="59"/>
        <v>-28164</v>
      </c>
      <c r="T180" s="284" t="s">
        <v>903</v>
      </c>
      <c r="U180" s="507">
        <f>ROUND(R180,0)+20000+7614+12386</f>
        <v>348521</v>
      </c>
      <c r="V180" s="506">
        <f t="shared" si="60"/>
        <v>40000</v>
      </c>
      <c r="W180" s="284" t="s">
        <v>904</v>
      </c>
      <c r="X180" s="508">
        <v>239198</v>
      </c>
      <c r="Y180" s="341">
        <f t="shared" si="78"/>
        <v>0.68632306231188367</v>
      </c>
      <c r="Z180" s="508"/>
    </row>
    <row r="181" spans="2:26" s="509" customFormat="1" ht="133.5" customHeight="1" x14ac:dyDescent="0.25">
      <c r="B181" s="503"/>
      <c r="C181" s="504" t="s">
        <v>905</v>
      </c>
      <c r="D181" s="505" t="s">
        <v>906</v>
      </c>
      <c r="E181" s="282">
        <v>254892.73560000001</v>
      </c>
      <c r="F181" s="282">
        <f t="shared" si="83"/>
        <v>254893</v>
      </c>
      <c r="G181" s="506">
        <f t="shared" si="55"/>
        <v>0.26439999998547137</v>
      </c>
      <c r="H181" s="283"/>
      <c r="I181" s="507">
        <f>ROUND(F181,0)</f>
        <v>254893</v>
      </c>
      <c r="J181" s="506">
        <f t="shared" si="56"/>
        <v>0</v>
      </c>
      <c r="K181" s="284"/>
      <c r="L181" s="507">
        <f>ROUND(I181,0)</f>
        <v>254893</v>
      </c>
      <c r="M181" s="506">
        <f t="shared" si="57"/>
        <v>0</v>
      </c>
      <c r="N181" s="284"/>
      <c r="O181" s="507">
        <f t="shared" si="84"/>
        <v>254893</v>
      </c>
      <c r="P181" s="506">
        <f t="shared" si="58"/>
        <v>0</v>
      </c>
      <c r="Q181" s="284"/>
      <c r="R181" s="507">
        <f>ROUND(O181,0)+13000+6000</f>
        <v>273893</v>
      </c>
      <c r="S181" s="506">
        <f t="shared" si="59"/>
        <v>19000</v>
      </c>
      <c r="T181" s="284" t="s">
        <v>907</v>
      </c>
      <c r="U181" s="507">
        <f>ROUND(R181,0)-4000-4000+3872+18064</f>
        <v>287829</v>
      </c>
      <c r="V181" s="506">
        <f t="shared" si="60"/>
        <v>13936</v>
      </c>
      <c r="W181" s="225" t="s">
        <v>1266</v>
      </c>
      <c r="X181" s="510">
        <f>1758133+13279+30841-X174</f>
        <v>153037.5</v>
      </c>
      <c r="Y181" s="341">
        <f t="shared" si="78"/>
        <v>0.5316959027756063</v>
      </c>
      <c r="Z181" s="508"/>
    </row>
    <row r="182" spans="2:26" ht="26.4" customHeight="1" x14ac:dyDescent="0.25">
      <c r="B182" s="427" t="s">
        <v>417</v>
      </c>
      <c r="C182" s="499" t="s">
        <v>908</v>
      </c>
      <c r="D182" s="500" t="s">
        <v>909</v>
      </c>
      <c r="E182" s="212">
        <v>35000</v>
      </c>
      <c r="F182" s="212">
        <f t="shared" si="83"/>
        <v>35000</v>
      </c>
      <c r="G182" s="392">
        <f t="shared" si="55"/>
        <v>0</v>
      </c>
      <c r="H182" s="274"/>
      <c r="I182" s="392">
        <f t="shared" ref="I182:I191" si="85">ROUND(F182,0)</f>
        <v>35000</v>
      </c>
      <c r="J182" s="392">
        <f t="shared" si="56"/>
        <v>0</v>
      </c>
      <c r="K182" s="225"/>
      <c r="L182" s="392">
        <f t="shared" ref="L182:L189" si="86">ROUND(I182,0)</f>
        <v>35000</v>
      </c>
      <c r="M182" s="392">
        <f t="shared" si="57"/>
        <v>0</v>
      </c>
      <c r="N182" s="225"/>
      <c r="O182" s="392">
        <f t="shared" si="84"/>
        <v>35000</v>
      </c>
      <c r="P182" s="392">
        <f t="shared" si="58"/>
        <v>0</v>
      </c>
      <c r="Q182" s="225"/>
      <c r="R182" s="392">
        <f>ROUND(O182,0)</f>
        <v>35000</v>
      </c>
      <c r="S182" s="392">
        <f t="shared" si="59"/>
        <v>0</v>
      </c>
      <c r="T182" s="225"/>
      <c r="U182" s="392">
        <f t="shared" ref="U182:U191" si="87">ROUND(R182,0)</f>
        <v>35000</v>
      </c>
      <c r="V182" s="392">
        <f t="shared" si="60"/>
        <v>0</v>
      </c>
      <c r="W182" s="225"/>
      <c r="X182" s="392"/>
      <c r="Y182" s="319">
        <f t="shared" si="78"/>
        <v>0</v>
      </c>
      <c r="Z182" s="392" t="s">
        <v>1244</v>
      </c>
    </row>
    <row r="183" spans="2:26" ht="41.4" customHeight="1" x14ac:dyDescent="0.25">
      <c r="B183" s="427" t="s">
        <v>417</v>
      </c>
      <c r="C183" s="499" t="s">
        <v>910</v>
      </c>
      <c r="D183" s="500" t="s">
        <v>911</v>
      </c>
      <c r="E183" s="212">
        <v>210000</v>
      </c>
      <c r="F183" s="212">
        <f t="shared" si="83"/>
        <v>210000</v>
      </c>
      <c r="G183" s="392">
        <f t="shared" si="55"/>
        <v>0</v>
      </c>
      <c r="H183" s="274"/>
      <c r="I183" s="392">
        <f>ROUND(F183,0)+90000</f>
        <v>300000</v>
      </c>
      <c r="J183" s="392">
        <f t="shared" si="56"/>
        <v>90000</v>
      </c>
      <c r="K183" s="225" t="s">
        <v>912</v>
      </c>
      <c r="L183" s="392">
        <f t="shared" si="86"/>
        <v>300000</v>
      </c>
      <c r="M183" s="392">
        <f t="shared" si="57"/>
        <v>0</v>
      </c>
      <c r="N183" s="225"/>
      <c r="O183" s="392">
        <f t="shared" si="84"/>
        <v>300000</v>
      </c>
      <c r="P183" s="392">
        <f t="shared" si="58"/>
        <v>0</v>
      </c>
      <c r="Q183" s="225"/>
      <c r="R183" s="392">
        <f t="shared" ref="R183:R189" si="88">ROUND(O183,0)</f>
        <v>300000</v>
      </c>
      <c r="S183" s="392">
        <f t="shared" si="59"/>
        <v>0</v>
      </c>
      <c r="T183" s="225"/>
      <c r="U183" s="392">
        <f t="shared" si="87"/>
        <v>300000</v>
      </c>
      <c r="V183" s="392">
        <f t="shared" si="60"/>
        <v>0</v>
      </c>
      <c r="W183" s="225"/>
      <c r="X183" s="512">
        <v>285671</v>
      </c>
      <c r="Y183" s="319">
        <f t="shared" si="78"/>
        <v>0.95223666666666662</v>
      </c>
      <c r="Z183" s="392" t="s">
        <v>1244</v>
      </c>
    </row>
    <row r="184" spans="2:26" ht="18" customHeight="1" x14ac:dyDescent="0.25">
      <c r="B184" s="427" t="s">
        <v>417</v>
      </c>
      <c r="C184" s="499" t="s">
        <v>913</v>
      </c>
      <c r="D184" s="500" t="s">
        <v>914</v>
      </c>
      <c r="E184" s="212"/>
      <c r="F184" s="212"/>
      <c r="G184" s="392"/>
      <c r="H184" s="274"/>
      <c r="I184" s="392">
        <v>263703</v>
      </c>
      <c r="J184" s="392">
        <f t="shared" si="56"/>
        <v>263703</v>
      </c>
      <c r="K184" s="225"/>
      <c r="L184" s="392">
        <f>ROUND(I184,0)</f>
        <v>263703</v>
      </c>
      <c r="M184" s="392">
        <f>L184-I184</f>
        <v>0</v>
      </c>
      <c r="N184" s="225"/>
      <c r="O184" s="392">
        <f t="shared" si="84"/>
        <v>263703</v>
      </c>
      <c r="P184" s="392">
        <f>O184-L184</f>
        <v>0</v>
      </c>
      <c r="Q184" s="225"/>
      <c r="R184" s="392">
        <f t="shared" si="88"/>
        <v>263703</v>
      </c>
      <c r="S184" s="392">
        <f t="shared" si="59"/>
        <v>0</v>
      </c>
      <c r="T184" s="225"/>
      <c r="U184" s="392">
        <f t="shared" si="87"/>
        <v>263703</v>
      </c>
      <c r="V184" s="392">
        <f t="shared" si="60"/>
        <v>0</v>
      </c>
      <c r="W184" s="225"/>
      <c r="X184" s="512">
        <v>263703</v>
      </c>
      <c r="Y184" s="319">
        <f t="shared" si="78"/>
        <v>1</v>
      </c>
      <c r="Z184" s="392" t="s">
        <v>1244</v>
      </c>
    </row>
    <row r="185" spans="2:26" ht="18.600000000000001" customHeight="1" x14ac:dyDescent="0.25">
      <c r="B185" s="427" t="s">
        <v>417</v>
      </c>
      <c r="C185" s="499" t="s">
        <v>915</v>
      </c>
      <c r="D185" s="500" t="s">
        <v>916</v>
      </c>
      <c r="E185" s="212">
        <v>17500</v>
      </c>
      <c r="F185" s="212">
        <f t="shared" si="83"/>
        <v>17500</v>
      </c>
      <c r="G185" s="392">
        <f t="shared" si="55"/>
        <v>0</v>
      </c>
      <c r="H185" s="274"/>
      <c r="I185" s="392">
        <f t="shared" si="85"/>
        <v>17500</v>
      </c>
      <c r="J185" s="392">
        <f t="shared" si="56"/>
        <v>0</v>
      </c>
      <c r="K185" s="225"/>
      <c r="L185" s="392">
        <f>ROUND(I185,0)</f>
        <v>17500</v>
      </c>
      <c r="M185" s="392">
        <f t="shared" si="57"/>
        <v>0</v>
      </c>
      <c r="N185" s="225"/>
      <c r="O185" s="392">
        <f t="shared" si="84"/>
        <v>17500</v>
      </c>
      <c r="P185" s="392">
        <f t="shared" si="58"/>
        <v>0</v>
      </c>
      <c r="Q185" s="225"/>
      <c r="R185" s="392">
        <f t="shared" si="88"/>
        <v>17500</v>
      </c>
      <c r="S185" s="392">
        <f t="shared" si="59"/>
        <v>0</v>
      </c>
      <c r="T185" s="225"/>
      <c r="U185" s="392">
        <f t="shared" si="87"/>
        <v>17500</v>
      </c>
      <c r="V185" s="392">
        <f t="shared" si="60"/>
        <v>0</v>
      </c>
      <c r="W185" s="225"/>
      <c r="X185" s="404"/>
      <c r="Y185" s="319">
        <f t="shared" si="78"/>
        <v>0</v>
      </c>
      <c r="Z185" s="392" t="s">
        <v>1244</v>
      </c>
    </row>
    <row r="186" spans="2:26" ht="43.5" customHeight="1" x14ac:dyDescent="0.25">
      <c r="B186" s="427" t="s">
        <v>417</v>
      </c>
      <c r="C186" s="499" t="s">
        <v>917</v>
      </c>
      <c r="D186" s="500" t="s">
        <v>761</v>
      </c>
      <c r="E186" s="212">
        <v>255000</v>
      </c>
      <c r="F186" s="212">
        <f t="shared" si="83"/>
        <v>255000</v>
      </c>
      <c r="G186" s="392">
        <f t="shared" si="55"/>
        <v>0</v>
      </c>
      <c r="H186" s="274"/>
      <c r="I186" s="392">
        <f t="shared" si="85"/>
        <v>255000</v>
      </c>
      <c r="J186" s="392">
        <f t="shared" si="56"/>
        <v>0</v>
      </c>
      <c r="K186" s="225"/>
      <c r="L186" s="392">
        <f t="shared" si="86"/>
        <v>255000</v>
      </c>
      <c r="M186" s="392">
        <f t="shared" si="57"/>
        <v>0</v>
      </c>
      <c r="N186" s="225"/>
      <c r="O186" s="392">
        <f t="shared" si="84"/>
        <v>255000</v>
      </c>
      <c r="P186" s="392">
        <f t="shared" si="58"/>
        <v>0</v>
      </c>
      <c r="Q186" s="225"/>
      <c r="R186" s="392">
        <f>ROUND(O186,0)-15000</f>
        <v>240000</v>
      </c>
      <c r="S186" s="392">
        <f t="shared" si="59"/>
        <v>-15000</v>
      </c>
      <c r="T186" s="225" t="s">
        <v>918</v>
      </c>
      <c r="U186" s="392">
        <f t="shared" si="87"/>
        <v>240000</v>
      </c>
      <c r="V186" s="392">
        <f t="shared" si="60"/>
        <v>0</v>
      </c>
      <c r="W186" s="225"/>
      <c r="X186" s="512">
        <v>135402</v>
      </c>
      <c r="Y186" s="319">
        <f t="shared" si="78"/>
        <v>0.56417499999999998</v>
      </c>
      <c r="Z186" s="392" t="s">
        <v>1244</v>
      </c>
    </row>
    <row r="187" spans="2:26" ht="25.95" customHeight="1" x14ac:dyDescent="0.25">
      <c r="B187" s="427" t="s">
        <v>417</v>
      </c>
      <c r="C187" s="499" t="s">
        <v>919</v>
      </c>
      <c r="D187" s="500" t="s">
        <v>920</v>
      </c>
      <c r="E187" s="212">
        <v>39800</v>
      </c>
      <c r="F187" s="212">
        <f t="shared" si="83"/>
        <v>39800</v>
      </c>
      <c r="G187" s="392">
        <f t="shared" si="55"/>
        <v>0</v>
      </c>
      <c r="H187" s="274"/>
      <c r="I187" s="392">
        <f t="shared" si="85"/>
        <v>39800</v>
      </c>
      <c r="J187" s="392">
        <f t="shared" si="56"/>
        <v>0</v>
      </c>
      <c r="K187" s="225"/>
      <c r="L187" s="392">
        <f t="shared" si="86"/>
        <v>39800</v>
      </c>
      <c r="M187" s="392">
        <f t="shared" si="57"/>
        <v>0</v>
      </c>
      <c r="N187" s="225"/>
      <c r="O187" s="392">
        <f t="shared" si="84"/>
        <v>39800</v>
      </c>
      <c r="P187" s="392">
        <f t="shared" si="58"/>
        <v>0</v>
      </c>
      <c r="Q187" s="225"/>
      <c r="R187" s="392">
        <f>ROUND(O187,0)-10022-10757-19000</f>
        <v>21</v>
      </c>
      <c r="S187" s="392">
        <f t="shared" si="59"/>
        <v>-39779</v>
      </c>
      <c r="T187" s="225" t="s">
        <v>921</v>
      </c>
      <c r="U187" s="392">
        <f t="shared" si="87"/>
        <v>21</v>
      </c>
      <c r="V187" s="392">
        <f t="shared" si="60"/>
        <v>0</v>
      </c>
      <c r="W187" s="225"/>
      <c r="X187" s="404"/>
      <c r="Y187" s="319">
        <f t="shared" si="78"/>
        <v>0</v>
      </c>
      <c r="Z187" s="392" t="s">
        <v>1244</v>
      </c>
    </row>
    <row r="188" spans="2:26" ht="45.6" customHeight="1" x14ac:dyDescent="0.25">
      <c r="B188" s="427" t="s">
        <v>417</v>
      </c>
      <c r="C188" s="499" t="s">
        <v>919</v>
      </c>
      <c r="D188" s="500" t="s">
        <v>922</v>
      </c>
      <c r="E188" s="212">
        <v>30000</v>
      </c>
      <c r="F188" s="212">
        <f>ROUND(E188,0)</f>
        <v>30000</v>
      </c>
      <c r="G188" s="392">
        <f>F188-E188</f>
        <v>0</v>
      </c>
      <c r="H188" s="274"/>
      <c r="I188" s="392">
        <f>ROUND(F188,0)</f>
        <v>30000</v>
      </c>
      <c r="J188" s="392">
        <f>I188-F188</f>
        <v>0</v>
      </c>
      <c r="K188" s="225"/>
      <c r="L188" s="392">
        <f>ROUND(I188,0)</f>
        <v>30000</v>
      </c>
      <c r="M188" s="392">
        <f>L188-I188</f>
        <v>0</v>
      </c>
      <c r="N188" s="225"/>
      <c r="O188" s="392">
        <f t="shared" si="84"/>
        <v>30000</v>
      </c>
      <c r="P188" s="392">
        <f>O188-L188</f>
        <v>0</v>
      </c>
      <c r="Q188" s="225"/>
      <c r="R188" s="392">
        <f t="shared" si="88"/>
        <v>30000</v>
      </c>
      <c r="S188" s="392">
        <f>R188-O188</f>
        <v>0</v>
      </c>
      <c r="T188" s="225"/>
      <c r="U188" s="392">
        <f>ROUND(R188,0)-20000</f>
        <v>10000</v>
      </c>
      <c r="V188" s="392">
        <f>U188-R188</f>
        <v>-20000</v>
      </c>
      <c r="W188" s="225" t="s">
        <v>1215</v>
      </c>
      <c r="X188" s="404"/>
      <c r="Y188" s="319">
        <f t="shared" si="78"/>
        <v>0</v>
      </c>
      <c r="Z188" s="392" t="s">
        <v>1244</v>
      </c>
    </row>
    <row r="189" spans="2:26" ht="32.25" customHeight="1" x14ac:dyDescent="0.25">
      <c r="B189" s="427" t="s">
        <v>665</v>
      </c>
      <c r="C189" s="499" t="s">
        <v>923</v>
      </c>
      <c r="D189" s="500" t="s">
        <v>392</v>
      </c>
      <c r="E189" s="212">
        <v>546771</v>
      </c>
      <c r="F189" s="212">
        <f>ROUND(E189,0)</f>
        <v>546771</v>
      </c>
      <c r="G189" s="392">
        <f>F189-E189</f>
        <v>0</v>
      </c>
      <c r="H189" s="274"/>
      <c r="I189" s="392">
        <f t="shared" si="85"/>
        <v>546771</v>
      </c>
      <c r="J189" s="392">
        <f t="shared" si="56"/>
        <v>0</v>
      </c>
      <c r="K189" s="225"/>
      <c r="L189" s="392">
        <f t="shared" si="86"/>
        <v>546771</v>
      </c>
      <c r="M189" s="392">
        <f t="shared" si="57"/>
        <v>0</v>
      </c>
      <c r="N189" s="225"/>
      <c r="O189" s="392">
        <f t="shared" si="84"/>
        <v>546771</v>
      </c>
      <c r="P189" s="392">
        <f t="shared" si="58"/>
        <v>0</v>
      </c>
      <c r="Q189" s="225"/>
      <c r="R189" s="392">
        <f t="shared" si="88"/>
        <v>546771</v>
      </c>
      <c r="S189" s="392">
        <f t="shared" ref="S189:S259" si="89">R189-O189</f>
        <v>0</v>
      </c>
      <c r="T189" s="225"/>
      <c r="U189" s="392">
        <f t="shared" si="87"/>
        <v>546771</v>
      </c>
      <c r="V189" s="392">
        <f t="shared" ref="V189:V259" si="90">U189-R189</f>
        <v>0</v>
      </c>
      <c r="W189" s="225" t="s">
        <v>1245</v>
      </c>
      <c r="X189" s="404">
        <v>0</v>
      </c>
      <c r="Y189" s="319">
        <f t="shared" si="78"/>
        <v>0</v>
      </c>
      <c r="Z189" s="392" t="s">
        <v>1244</v>
      </c>
    </row>
    <row r="190" spans="2:26" ht="29.4" customHeight="1" x14ac:dyDescent="0.25">
      <c r="B190" s="427"/>
      <c r="C190" s="499" t="s">
        <v>924</v>
      </c>
      <c r="D190" s="500" t="s">
        <v>925</v>
      </c>
      <c r="E190" s="212">
        <v>0</v>
      </c>
      <c r="F190" s="212">
        <f>ROUND(E190,0)</f>
        <v>0</v>
      </c>
      <c r="G190" s="392">
        <f>F190-E190</f>
        <v>0</v>
      </c>
      <c r="H190" s="225"/>
      <c r="I190" s="392">
        <f t="shared" si="85"/>
        <v>0</v>
      </c>
      <c r="J190" s="392">
        <f t="shared" si="56"/>
        <v>0</v>
      </c>
      <c r="K190" s="225"/>
      <c r="L190" s="392">
        <f>ROUND(I190,0)+55000</f>
        <v>55000</v>
      </c>
      <c r="M190" s="392">
        <f t="shared" si="57"/>
        <v>55000</v>
      </c>
      <c r="N190" s="225" t="s">
        <v>926</v>
      </c>
      <c r="O190" s="392">
        <f t="shared" si="84"/>
        <v>55000</v>
      </c>
      <c r="P190" s="392">
        <f t="shared" si="58"/>
        <v>0</v>
      </c>
      <c r="Q190" s="225"/>
      <c r="R190" s="392">
        <f>ROUND(O190,0)+6508+15000+328+7000+3130+18034</f>
        <v>105000</v>
      </c>
      <c r="S190" s="392">
        <f t="shared" si="89"/>
        <v>50000</v>
      </c>
      <c r="T190" s="225" t="s">
        <v>927</v>
      </c>
      <c r="U190" s="392">
        <f t="shared" si="87"/>
        <v>105000</v>
      </c>
      <c r="V190" s="392">
        <f t="shared" si="90"/>
        <v>0</v>
      </c>
      <c r="W190" s="225"/>
      <c r="X190" s="404">
        <f>ROUND(K190,0)</f>
        <v>0</v>
      </c>
      <c r="Y190" s="319">
        <f t="shared" si="78"/>
        <v>0</v>
      </c>
      <c r="Z190" s="392" t="s">
        <v>1242</v>
      </c>
    </row>
    <row r="191" spans="2:26" ht="29.4" customHeight="1" x14ac:dyDescent="0.25">
      <c r="B191" s="427" t="s">
        <v>928</v>
      </c>
      <c r="C191" s="499" t="s">
        <v>929</v>
      </c>
      <c r="D191" s="500" t="s">
        <v>930</v>
      </c>
      <c r="E191" s="212">
        <v>0</v>
      </c>
      <c r="F191" s="212">
        <f>ROUND(E191,0)</f>
        <v>0</v>
      </c>
      <c r="G191" s="392">
        <f>F191-E191</f>
        <v>0</v>
      </c>
      <c r="H191" s="228"/>
      <c r="I191" s="392">
        <f t="shared" si="85"/>
        <v>0</v>
      </c>
      <c r="J191" s="392">
        <f t="shared" si="56"/>
        <v>0</v>
      </c>
      <c r="K191" s="215"/>
      <c r="L191" s="392">
        <f>ROUND(I191,0)+21000</f>
        <v>21000</v>
      </c>
      <c r="M191" s="392">
        <f t="shared" si="57"/>
        <v>21000</v>
      </c>
      <c r="N191" s="225" t="s">
        <v>926</v>
      </c>
      <c r="O191" s="392">
        <f t="shared" si="84"/>
        <v>21000</v>
      </c>
      <c r="P191" s="392">
        <f t="shared" si="58"/>
        <v>0</v>
      </c>
      <c r="Q191" s="215"/>
      <c r="R191" s="392">
        <f>ROUND(O191,0)+31000+10022</f>
        <v>62022</v>
      </c>
      <c r="S191" s="392">
        <f t="shared" si="89"/>
        <v>41022</v>
      </c>
      <c r="T191" s="215" t="s">
        <v>931</v>
      </c>
      <c r="U191" s="392">
        <f t="shared" si="87"/>
        <v>62022</v>
      </c>
      <c r="V191" s="392">
        <f t="shared" si="90"/>
        <v>0</v>
      </c>
      <c r="W191" s="215"/>
      <c r="X191" s="404">
        <v>0</v>
      </c>
      <c r="Y191" s="319">
        <f t="shared" si="78"/>
        <v>0</v>
      </c>
      <c r="Z191" s="434" t="s">
        <v>1244</v>
      </c>
    </row>
    <row r="192" spans="2:26" x14ac:dyDescent="0.25">
      <c r="C192" s="484" t="s">
        <v>515</v>
      </c>
      <c r="D192" s="485" t="s">
        <v>932</v>
      </c>
      <c r="E192" s="395">
        <v>2519181.6714729005</v>
      </c>
      <c r="F192" s="216">
        <f t="shared" ref="F192" si="91">SUM(F193,F198:F202)+F205+F206</f>
        <v>2529195</v>
      </c>
      <c r="G192" s="395">
        <f>SUM(G193,G198:G206)</f>
        <v>10013.342056599839</v>
      </c>
      <c r="H192" s="396"/>
      <c r="I192" s="395">
        <f>SUM(I193,I198:I202)+I205+I206</f>
        <v>2529195</v>
      </c>
      <c r="J192" s="395">
        <f t="shared" si="56"/>
        <v>0</v>
      </c>
      <c r="K192" s="395"/>
      <c r="L192" s="395">
        <f>SUM(L193,L198:L202)+L205+L206</f>
        <v>2527695</v>
      </c>
      <c r="M192" s="395">
        <f t="shared" si="57"/>
        <v>-1500</v>
      </c>
      <c r="N192" s="395"/>
      <c r="O192" s="395">
        <f>SUM(O193,O198:O202)+O205+O206</f>
        <v>2554562</v>
      </c>
      <c r="P192" s="395">
        <f t="shared" si="58"/>
        <v>26867</v>
      </c>
      <c r="Q192" s="395"/>
      <c r="R192" s="395">
        <f>SUM(R193,R198:R202)+R205+R206</f>
        <v>2551562</v>
      </c>
      <c r="S192" s="395">
        <f t="shared" si="89"/>
        <v>-3000</v>
      </c>
      <c r="T192" s="395"/>
      <c r="U192" s="395">
        <f>SUM(U193,U198:U202)+U205+U206</f>
        <v>2566319</v>
      </c>
      <c r="V192" s="395">
        <f t="shared" si="90"/>
        <v>14757</v>
      </c>
      <c r="W192" s="395"/>
      <c r="X192" s="395">
        <f>SUM(X193,X198:X202)+X205+X206</f>
        <v>1760517.38</v>
      </c>
      <c r="Y192" s="321">
        <f t="shared" si="78"/>
        <v>0.68600878534585918</v>
      </c>
      <c r="Z192" s="396"/>
    </row>
    <row r="193" spans="2:26" ht="23.25" customHeight="1" x14ac:dyDescent="0.25">
      <c r="C193" s="477" t="s">
        <v>518</v>
      </c>
      <c r="D193" s="478" t="s">
        <v>933</v>
      </c>
      <c r="E193" s="240">
        <v>1326357.7900424001</v>
      </c>
      <c r="F193" s="240">
        <f>SUM(F194:F197)</f>
        <v>1326358</v>
      </c>
      <c r="G193" s="240">
        <f>SUM(G194:G197)</f>
        <v>0.20995759987272322</v>
      </c>
      <c r="H193" s="240">
        <f>SUM(H194:H197)</f>
        <v>0</v>
      </c>
      <c r="I193" s="240">
        <f>SUM(I194:I197)</f>
        <v>1326358</v>
      </c>
      <c r="J193" s="409">
        <f t="shared" si="56"/>
        <v>0</v>
      </c>
      <c r="K193" s="409"/>
      <c r="L193" s="240">
        <f>SUM(L194:L197)</f>
        <v>1334858</v>
      </c>
      <c r="M193" s="409">
        <f t="shared" si="57"/>
        <v>8500</v>
      </c>
      <c r="N193" s="409"/>
      <c r="O193" s="409">
        <f>SUM(O194:O197)</f>
        <v>1355693</v>
      </c>
      <c r="P193" s="409">
        <f t="shared" si="58"/>
        <v>20835</v>
      </c>
      <c r="Q193" s="409"/>
      <c r="R193" s="409">
        <f>SUM(R194:R197)</f>
        <v>1352693</v>
      </c>
      <c r="S193" s="409">
        <f t="shared" si="89"/>
        <v>-3000</v>
      </c>
      <c r="T193" s="409"/>
      <c r="U193" s="409">
        <f>SUM(U194:U197)</f>
        <v>1367450</v>
      </c>
      <c r="V193" s="409">
        <f t="shared" si="90"/>
        <v>14757</v>
      </c>
      <c r="W193" s="409"/>
      <c r="X193" s="480">
        <f>SUM(X194:X197)</f>
        <v>951375.30999999994</v>
      </c>
      <c r="Y193" s="342">
        <f t="shared" si="78"/>
        <v>0.69572950382098064</v>
      </c>
      <c r="Z193" s="486"/>
    </row>
    <row r="194" spans="2:26" ht="30.6" customHeight="1" x14ac:dyDescent="0.25">
      <c r="B194" s="427" t="s">
        <v>934</v>
      </c>
      <c r="C194" s="489" t="s">
        <v>935</v>
      </c>
      <c r="D194" s="490" t="s">
        <v>936</v>
      </c>
      <c r="E194" s="212">
        <v>638049.85509206681</v>
      </c>
      <c r="F194" s="212">
        <f>ROUND(E194,0)</f>
        <v>638050</v>
      </c>
      <c r="G194" s="392">
        <f t="shared" ref="G194:G257" si="92">F194-E194</f>
        <v>0.14490793319419026</v>
      </c>
      <c r="H194" s="274"/>
      <c r="I194" s="392">
        <f t="shared" ref="I194:I201" si="93">ROUND(F194,0)</f>
        <v>638050</v>
      </c>
      <c r="J194" s="392">
        <f t="shared" si="56"/>
        <v>0</v>
      </c>
      <c r="K194" s="285"/>
      <c r="L194" s="392">
        <f>ROUND(I194,0)</f>
        <v>638050</v>
      </c>
      <c r="M194" s="392">
        <f t="shared" si="57"/>
        <v>0</v>
      </c>
      <c r="N194" s="285"/>
      <c r="O194" s="392">
        <f>ROUND(L194,0)+21000</f>
        <v>659050</v>
      </c>
      <c r="P194" s="392">
        <f t="shared" si="58"/>
        <v>21000</v>
      </c>
      <c r="Q194" s="285" t="s">
        <v>504</v>
      </c>
      <c r="R194" s="392">
        <f t="shared" ref="R194:R201" si="94">ROUND(O194,0)</f>
        <v>659050</v>
      </c>
      <c r="S194" s="392">
        <f t="shared" si="89"/>
        <v>0</v>
      </c>
      <c r="T194" s="285"/>
      <c r="U194" s="422">
        <f>ROUND(R194,0)+7079</f>
        <v>666129</v>
      </c>
      <c r="V194" s="422">
        <f t="shared" si="90"/>
        <v>7079</v>
      </c>
      <c r="W194" s="513" t="s">
        <v>1267</v>
      </c>
      <c r="X194" s="491">
        <v>469486.39</v>
      </c>
      <c r="Y194" s="319">
        <f t="shared" si="78"/>
        <v>0.70479800459070241</v>
      </c>
      <c r="Z194" s="392" t="s">
        <v>1246</v>
      </c>
    </row>
    <row r="195" spans="2:26" ht="12" customHeight="1" x14ac:dyDescent="0.25">
      <c r="B195" s="427" t="s">
        <v>937</v>
      </c>
      <c r="C195" s="489" t="s">
        <v>938</v>
      </c>
      <c r="D195" s="490" t="s">
        <v>939</v>
      </c>
      <c r="E195" s="212">
        <v>485179.86028633331</v>
      </c>
      <c r="F195" s="212">
        <f>ROUND(E195,0)</f>
        <v>485180</v>
      </c>
      <c r="G195" s="392">
        <f t="shared" si="92"/>
        <v>0.1397136666928418</v>
      </c>
      <c r="H195" s="274"/>
      <c r="I195" s="392">
        <f t="shared" si="93"/>
        <v>485180</v>
      </c>
      <c r="J195" s="392">
        <f t="shared" si="56"/>
        <v>0</v>
      </c>
      <c r="K195" s="225"/>
      <c r="L195" s="392">
        <f>ROUND(I195,0)+8500</f>
        <v>493680</v>
      </c>
      <c r="M195" s="392">
        <f t="shared" si="57"/>
        <v>8500</v>
      </c>
      <c r="N195" s="285" t="s">
        <v>940</v>
      </c>
      <c r="O195" s="392">
        <f>ROUND(L195,0)-165</f>
        <v>493515</v>
      </c>
      <c r="P195" s="392">
        <f t="shared" si="58"/>
        <v>-165</v>
      </c>
      <c r="Q195" s="225" t="s">
        <v>941</v>
      </c>
      <c r="R195" s="392">
        <f t="shared" si="94"/>
        <v>493515</v>
      </c>
      <c r="S195" s="392">
        <f t="shared" si="89"/>
        <v>0</v>
      </c>
      <c r="T195" s="225"/>
      <c r="U195" s="422">
        <f>ROUND(R195,0)+7678</f>
        <v>501193</v>
      </c>
      <c r="V195" s="422">
        <f t="shared" si="90"/>
        <v>7678</v>
      </c>
      <c r="W195" s="514"/>
      <c r="X195" s="491">
        <v>367197.61</v>
      </c>
      <c r="Y195" s="319">
        <f t="shared" si="78"/>
        <v>0.73264712396222609</v>
      </c>
      <c r="Z195" s="392" t="s">
        <v>1247</v>
      </c>
    </row>
    <row r="196" spans="2:26" ht="28.8" customHeight="1" x14ac:dyDescent="0.25">
      <c r="B196" s="427" t="s">
        <v>942</v>
      </c>
      <c r="C196" s="489" t="s">
        <v>943</v>
      </c>
      <c r="D196" s="490" t="s">
        <v>944</v>
      </c>
      <c r="E196" s="212">
        <v>172588.07466400001</v>
      </c>
      <c r="F196" s="212">
        <f>ROUND(E196,0)</f>
        <v>172588</v>
      </c>
      <c r="G196" s="392">
        <f t="shared" si="92"/>
        <v>-7.466400001430884E-2</v>
      </c>
      <c r="H196" s="228"/>
      <c r="I196" s="392">
        <f t="shared" si="93"/>
        <v>172588</v>
      </c>
      <c r="J196" s="392">
        <f t="shared" si="56"/>
        <v>0</v>
      </c>
      <c r="K196" s="215"/>
      <c r="L196" s="392">
        <f t="shared" ref="L196:L206" si="95">ROUND(I196,0)</f>
        <v>172588</v>
      </c>
      <c r="M196" s="392">
        <f t="shared" si="57"/>
        <v>0</v>
      </c>
      <c r="N196" s="215"/>
      <c r="O196" s="392">
        <f t="shared" ref="O196:O206" si="96">ROUND(L196,0)</f>
        <v>172588</v>
      </c>
      <c r="P196" s="392">
        <f t="shared" si="58"/>
        <v>0</v>
      </c>
      <c r="Q196" s="215"/>
      <c r="R196" s="392">
        <f>ROUND(O196,0)-1500</f>
        <v>171088</v>
      </c>
      <c r="S196" s="496">
        <f t="shared" si="89"/>
        <v>-1500</v>
      </c>
      <c r="T196" s="364" t="s">
        <v>945</v>
      </c>
      <c r="U196" s="392">
        <f t="shared" ref="U196:U201" si="97">ROUND(R196,0)</f>
        <v>171088</v>
      </c>
      <c r="V196" s="392">
        <f t="shared" si="90"/>
        <v>0</v>
      </c>
      <c r="W196" s="225"/>
      <c r="X196" s="491">
        <v>106560.74</v>
      </c>
      <c r="Y196" s="319">
        <f t="shared" si="78"/>
        <v>0.62284169550173019</v>
      </c>
      <c r="Z196" s="397"/>
    </row>
    <row r="197" spans="2:26" ht="23.25" customHeight="1" x14ac:dyDescent="0.25">
      <c r="B197" s="427" t="s">
        <v>946</v>
      </c>
      <c r="C197" s="489" t="s">
        <v>947</v>
      </c>
      <c r="D197" s="490" t="s">
        <v>948</v>
      </c>
      <c r="E197" s="236">
        <v>30540</v>
      </c>
      <c r="F197" s="236">
        <f>ROUND(E197,0)</f>
        <v>30540</v>
      </c>
      <c r="G197" s="392">
        <f>F197-E197</f>
        <v>0</v>
      </c>
      <c r="H197" s="286"/>
      <c r="I197" s="392">
        <f t="shared" si="93"/>
        <v>30540</v>
      </c>
      <c r="J197" s="392">
        <f t="shared" si="56"/>
        <v>0</v>
      </c>
      <c r="K197" s="215"/>
      <c r="L197" s="392">
        <f t="shared" si="95"/>
        <v>30540</v>
      </c>
      <c r="M197" s="392">
        <f t="shared" si="57"/>
        <v>0</v>
      </c>
      <c r="N197" s="287"/>
      <c r="O197" s="392">
        <f t="shared" si="96"/>
        <v>30540</v>
      </c>
      <c r="P197" s="392">
        <f t="shared" si="58"/>
        <v>0</v>
      </c>
      <c r="Q197" s="287"/>
      <c r="R197" s="392">
        <f>ROUND(O197,0)-1500</f>
        <v>29040</v>
      </c>
      <c r="S197" s="496">
        <f t="shared" si="89"/>
        <v>-1500</v>
      </c>
      <c r="T197" s="365"/>
      <c r="U197" s="392">
        <f t="shared" si="97"/>
        <v>29040</v>
      </c>
      <c r="V197" s="392">
        <f t="shared" si="90"/>
        <v>0</v>
      </c>
      <c r="W197" s="288"/>
      <c r="X197" s="491">
        <v>8130.57</v>
      </c>
      <c r="Y197" s="392">
        <f t="shared" si="78"/>
        <v>0.27997830578512395</v>
      </c>
      <c r="Z197" s="392"/>
    </row>
    <row r="198" spans="2:26" ht="29.4" customHeight="1" x14ac:dyDescent="0.25">
      <c r="B198" s="427" t="s">
        <v>949</v>
      </c>
      <c r="C198" s="515" t="s">
        <v>950</v>
      </c>
      <c r="D198" s="478" t="s">
        <v>951</v>
      </c>
      <c r="E198" s="240">
        <v>185742</v>
      </c>
      <c r="F198" s="240">
        <f>ROUND(E198,0)+10013</f>
        <v>195755</v>
      </c>
      <c r="G198" s="409">
        <f t="shared" si="92"/>
        <v>10013</v>
      </c>
      <c r="H198" s="289" t="s">
        <v>952</v>
      </c>
      <c r="I198" s="409">
        <f t="shared" si="93"/>
        <v>195755</v>
      </c>
      <c r="J198" s="409">
        <f t="shared" si="56"/>
        <v>0</v>
      </c>
      <c r="K198" s="290"/>
      <c r="L198" s="409">
        <f t="shared" si="95"/>
        <v>195755</v>
      </c>
      <c r="M198" s="409">
        <f t="shared" si="57"/>
        <v>0</v>
      </c>
      <c r="N198" s="290"/>
      <c r="O198" s="409">
        <f t="shared" si="96"/>
        <v>195755</v>
      </c>
      <c r="P198" s="409">
        <f t="shared" si="58"/>
        <v>0</v>
      </c>
      <c r="Q198" s="290"/>
      <c r="R198" s="409">
        <f t="shared" si="94"/>
        <v>195755</v>
      </c>
      <c r="S198" s="409">
        <f t="shared" si="89"/>
        <v>0</v>
      </c>
      <c r="T198" s="290"/>
      <c r="U198" s="409">
        <f t="shared" si="97"/>
        <v>195755</v>
      </c>
      <c r="V198" s="409">
        <f t="shared" si="90"/>
        <v>0</v>
      </c>
      <c r="W198" s="290"/>
      <c r="X198" s="480">
        <v>195754.44</v>
      </c>
      <c r="Y198" s="328">
        <f t="shared" si="78"/>
        <v>0.99999713928124445</v>
      </c>
      <c r="Z198" s="409" t="s">
        <v>1242</v>
      </c>
    </row>
    <row r="199" spans="2:26" ht="27" customHeight="1" x14ac:dyDescent="0.25">
      <c r="B199" s="427" t="s">
        <v>953</v>
      </c>
      <c r="C199" s="515" t="s">
        <v>954</v>
      </c>
      <c r="D199" s="478" t="s">
        <v>955</v>
      </c>
      <c r="E199" s="240">
        <v>0</v>
      </c>
      <c r="F199" s="240">
        <f t="shared" ref="F199:F206" si="98">ROUND(E199,0)</f>
        <v>0</v>
      </c>
      <c r="G199" s="409">
        <f t="shared" si="92"/>
        <v>0</v>
      </c>
      <c r="H199" s="241"/>
      <c r="I199" s="409">
        <f t="shared" si="93"/>
        <v>0</v>
      </c>
      <c r="J199" s="409">
        <f t="shared" si="56"/>
        <v>0</v>
      </c>
      <c r="K199" s="242"/>
      <c r="L199" s="409">
        <f t="shared" si="95"/>
        <v>0</v>
      </c>
      <c r="M199" s="409">
        <f t="shared" si="57"/>
        <v>0</v>
      </c>
      <c r="N199" s="242"/>
      <c r="O199" s="409">
        <f t="shared" si="96"/>
        <v>0</v>
      </c>
      <c r="P199" s="409">
        <f t="shared" si="58"/>
        <v>0</v>
      </c>
      <c r="Q199" s="242"/>
      <c r="R199" s="409">
        <f t="shared" si="94"/>
        <v>0</v>
      </c>
      <c r="S199" s="409">
        <f t="shared" si="89"/>
        <v>0</v>
      </c>
      <c r="T199" s="242"/>
      <c r="U199" s="409">
        <f t="shared" si="97"/>
        <v>0</v>
      </c>
      <c r="V199" s="409">
        <f t="shared" si="90"/>
        <v>0</v>
      </c>
      <c r="W199" s="242"/>
      <c r="X199" s="409">
        <v>0</v>
      </c>
      <c r="Y199" s="328" t="e">
        <f t="shared" si="78"/>
        <v>#DIV/0!</v>
      </c>
      <c r="Z199" s="483"/>
    </row>
    <row r="200" spans="2:26" ht="15" customHeight="1" x14ac:dyDescent="0.25">
      <c r="B200" s="427" t="s">
        <v>956</v>
      </c>
      <c r="C200" s="477" t="s">
        <v>957</v>
      </c>
      <c r="D200" s="478" t="s">
        <v>958</v>
      </c>
      <c r="E200" s="240">
        <v>153395.37309000001</v>
      </c>
      <c r="F200" s="240">
        <f t="shared" si="98"/>
        <v>153395</v>
      </c>
      <c r="G200" s="409">
        <f t="shared" si="92"/>
        <v>-0.37309000000823289</v>
      </c>
      <c r="H200" s="291"/>
      <c r="I200" s="409">
        <f t="shared" si="93"/>
        <v>153395</v>
      </c>
      <c r="J200" s="409">
        <f t="shared" si="56"/>
        <v>0</v>
      </c>
      <c r="K200" s="290"/>
      <c r="L200" s="409">
        <f t="shared" si="95"/>
        <v>153395</v>
      </c>
      <c r="M200" s="409">
        <f t="shared" si="57"/>
        <v>0</v>
      </c>
      <c r="N200" s="290"/>
      <c r="O200" s="409">
        <f>ROUND(L200,0)-276</f>
        <v>153119</v>
      </c>
      <c r="P200" s="409">
        <f t="shared" si="58"/>
        <v>-276</v>
      </c>
      <c r="Q200" s="290" t="s">
        <v>959</v>
      </c>
      <c r="R200" s="409">
        <f t="shared" si="94"/>
        <v>153119</v>
      </c>
      <c r="S200" s="409">
        <f t="shared" si="89"/>
        <v>0</v>
      </c>
      <c r="T200" s="290"/>
      <c r="U200" s="409">
        <f t="shared" si="97"/>
        <v>153119</v>
      </c>
      <c r="V200" s="409">
        <f t="shared" si="90"/>
        <v>0</v>
      </c>
      <c r="W200" s="290"/>
      <c r="X200" s="480">
        <v>95874</v>
      </c>
      <c r="Y200" s="328">
        <f t="shared" si="78"/>
        <v>0.62614045285039743</v>
      </c>
      <c r="Z200" s="483"/>
    </row>
    <row r="201" spans="2:26" ht="15.6" customHeight="1" x14ac:dyDescent="0.25">
      <c r="B201" s="427" t="s">
        <v>960</v>
      </c>
      <c r="C201" s="477" t="s">
        <v>961</v>
      </c>
      <c r="D201" s="478" t="s">
        <v>962</v>
      </c>
      <c r="E201" s="240">
        <v>64813.521870000011</v>
      </c>
      <c r="F201" s="240">
        <f t="shared" si="98"/>
        <v>64814</v>
      </c>
      <c r="G201" s="409">
        <f t="shared" si="92"/>
        <v>0.47812999998859596</v>
      </c>
      <c r="H201" s="291"/>
      <c r="I201" s="409">
        <f t="shared" si="93"/>
        <v>64814</v>
      </c>
      <c r="J201" s="409">
        <f t="shared" si="56"/>
        <v>0</v>
      </c>
      <c r="K201" s="290"/>
      <c r="L201" s="409">
        <f t="shared" si="95"/>
        <v>64814</v>
      </c>
      <c r="M201" s="409">
        <f t="shared" si="57"/>
        <v>0</v>
      </c>
      <c r="N201" s="290"/>
      <c r="O201" s="409">
        <f>ROUND(L201,0)-62</f>
        <v>64752</v>
      </c>
      <c r="P201" s="409">
        <f t="shared" si="58"/>
        <v>-62</v>
      </c>
      <c r="Q201" s="290" t="s">
        <v>963</v>
      </c>
      <c r="R201" s="409">
        <f t="shared" si="94"/>
        <v>64752</v>
      </c>
      <c r="S201" s="409">
        <f t="shared" si="89"/>
        <v>0</v>
      </c>
      <c r="T201" s="290"/>
      <c r="U201" s="409">
        <f t="shared" si="97"/>
        <v>64752</v>
      </c>
      <c r="V201" s="409">
        <f t="shared" si="90"/>
        <v>0</v>
      </c>
      <c r="W201" s="290"/>
      <c r="X201" s="480">
        <v>41539.5</v>
      </c>
      <c r="Y201" s="328">
        <f t="shared" si="78"/>
        <v>0.64151686434395849</v>
      </c>
      <c r="Z201" s="483"/>
    </row>
    <row r="202" spans="2:26" ht="15" customHeight="1" x14ac:dyDescent="0.25">
      <c r="B202" s="427" t="s">
        <v>715</v>
      </c>
      <c r="C202" s="477" t="s">
        <v>964</v>
      </c>
      <c r="D202" s="478" t="s">
        <v>965</v>
      </c>
      <c r="E202" s="240">
        <v>765644.98647050001</v>
      </c>
      <c r="F202" s="240">
        <f t="shared" ref="F202" si="99">F203+F204</f>
        <v>765645</v>
      </c>
      <c r="G202" s="409">
        <f t="shared" si="92"/>
        <v>1.3529499992728233E-2</v>
      </c>
      <c r="H202" s="241"/>
      <c r="I202" s="409">
        <f>I203+I204</f>
        <v>765645</v>
      </c>
      <c r="J202" s="409">
        <f t="shared" ref="J202:J282" si="100">I202-F202</f>
        <v>0</v>
      </c>
      <c r="K202" s="242"/>
      <c r="L202" s="409">
        <f>L203+L204</f>
        <v>755645</v>
      </c>
      <c r="M202" s="409">
        <f t="shared" ref="M202:M282" si="101">L202-I202</f>
        <v>-10000</v>
      </c>
      <c r="N202" s="242"/>
      <c r="O202" s="409">
        <f>O203+O204</f>
        <v>762015</v>
      </c>
      <c r="P202" s="409">
        <f t="shared" ref="P202:P282" si="102">O202-L202</f>
        <v>6370</v>
      </c>
      <c r="Q202" s="242"/>
      <c r="R202" s="409">
        <f>R203+R204</f>
        <v>762015</v>
      </c>
      <c r="S202" s="409">
        <f t="shared" si="89"/>
        <v>0</v>
      </c>
      <c r="T202" s="242"/>
      <c r="U202" s="409">
        <f>U203+U204</f>
        <v>762015</v>
      </c>
      <c r="V202" s="409">
        <f t="shared" si="90"/>
        <v>0</v>
      </c>
      <c r="W202" s="242"/>
      <c r="X202" s="480">
        <f>X203+X204</f>
        <v>471974.13</v>
      </c>
      <c r="Y202" s="328">
        <f t="shared" si="78"/>
        <v>0.61937642959784256</v>
      </c>
      <c r="Z202" s="483"/>
    </row>
    <row r="203" spans="2:26" ht="15" customHeight="1" x14ac:dyDescent="0.25">
      <c r="B203" s="427"/>
      <c r="C203" s="516" t="s">
        <v>966</v>
      </c>
      <c r="D203" s="490" t="s">
        <v>967</v>
      </c>
      <c r="E203" s="236">
        <v>765644.98647050001</v>
      </c>
      <c r="F203" s="236">
        <f>ROUND(E203,0)-126968</f>
        <v>638677</v>
      </c>
      <c r="G203" s="511">
        <f t="shared" si="92"/>
        <v>-126967.98647050001</v>
      </c>
      <c r="H203" s="215" t="s">
        <v>968</v>
      </c>
      <c r="I203" s="392">
        <f>ROUND(F203,0)-43878</f>
        <v>594799</v>
      </c>
      <c r="J203" s="392">
        <f t="shared" si="100"/>
        <v>-43878</v>
      </c>
      <c r="K203" s="215" t="s">
        <v>969</v>
      </c>
      <c r="L203" s="392">
        <f>ROUND(I203,0)-10000</f>
        <v>584799</v>
      </c>
      <c r="M203" s="392">
        <f t="shared" si="101"/>
        <v>-10000</v>
      </c>
      <c r="N203" s="215" t="s">
        <v>970</v>
      </c>
      <c r="O203" s="392">
        <f>ROUND(L203,0)+6370-926</f>
        <v>590243</v>
      </c>
      <c r="P203" s="392">
        <f t="shared" si="102"/>
        <v>5444</v>
      </c>
      <c r="Q203" s="215" t="s">
        <v>971</v>
      </c>
      <c r="R203" s="392">
        <f>ROUND(O203,0)</f>
        <v>590243</v>
      </c>
      <c r="S203" s="392">
        <f t="shared" si="89"/>
        <v>0</v>
      </c>
      <c r="T203" s="215"/>
      <c r="U203" s="392">
        <f>ROUND(R203,0)</f>
        <v>590243</v>
      </c>
      <c r="V203" s="392">
        <f t="shared" si="90"/>
        <v>0</v>
      </c>
      <c r="W203" s="215"/>
      <c r="X203" s="491">
        <f>458571.13-95230</f>
        <v>363341.13</v>
      </c>
      <c r="Y203" s="319">
        <f t="shared" si="78"/>
        <v>0.61557888869499511</v>
      </c>
      <c r="Z203" s="392" t="s">
        <v>1248</v>
      </c>
    </row>
    <row r="204" spans="2:26" ht="15" customHeight="1" x14ac:dyDescent="0.25">
      <c r="B204" s="427"/>
      <c r="C204" s="517" t="s">
        <v>972</v>
      </c>
      <c r="D204" s="490" t="s">
        <v>973</v>
      </c>
      <c r="E204" s="236">
        <v>0</v>
      </c>
      <c r="F204" s="236">
        <v>126968</v>
      </c>
      <c r="G204" s="511">
        <f t="shared" si="92"/>
        <v>126968</v>
      </c>
      <c r="H204" s="228"/>
      <c r="I204" s="392">
        <f>ROUND(F204,0)+43878</f>
        <v>170846</v>
      </c>
      <c r="J204" s="392">
        <f t="shared" si="100"/>
        <v>43878</v>
      </c>
      <c r="K204" s="215" t="s">
        <v>969</v>
      </c>
      <c r="L204" s="392">
        <f t="shared" si="95"/>
        <v>170846</v>
      </c>
      <c r="M204" s="392">
        <f t="shared" si="101"/>
        <v>0</v>
      </c>
      <c r="N204" s="215"/>
      <c r="O204" s="392">
        <f>ROUND(L204,0)+926</f>
        <v>171772</v>
      </c>
      <c r="P204" s="392">
        <f t="shared" si="102"/>
        <v>926</v>
      </c>
      <c r="Q204" s="215" t="s">
        <v>974</v>
      </c>
      <c r="R204" s="392">
        <f>ROUND(O204,0)</f>
        <v>171772</v>
      </c>
      <c r="S204" s="392">
        <f t="shared" si="89"/>
        <v>0</v>
      </c>
      <c r="T204" s="215"/>
      <c r="U204" s="392">
        <f>ROUND(R204,0)</f>
        <v>171772</v>
      </c>
      <c r="V204" s="392">
        <f t="shared" si="90"/>
        <v>0</v>
      </c>
      <c r="W204" s="215"/>
      <c r="X204" s="518">
        <v>108633</v>
      </c>
      <c r="Y204" s="319">
        <f t="shared" si="78"/>
        <v>0.63242554083319746</v>
      </c>
      <c r="Z204" s="397"/>
    </row>
    <row r="205" spans="2:26" ht="15.6" customHeight="1" x14ac:dyDescent="0.25">
      <c r="B205" s="427" t="s">
        <v>975</v>
      </c>
      <c r="C205" s="477" t="s">
        <v>976</v>
      </c>
      <c r="D205" s="478" t="s">
        <v>977</v>
      </c>
      <c r="E205" s="240">
        <v>4000</v>
      </c>
      <c r="F205" s="240">
        <f t="shared" si="98"/>
        <v>4000</v>
      </c>
      <c r="G205" s="409">
        <f t="shared" si="92"/>
        <v>0</v>
      </c>
      <c r="H205" s="270"/>
      <c r="I205" s="409">
        <f>ROUND(F205,0)</f>
        <v>4000</v>
      </c>
      <c r="J205" s="409">
        <f t="shared" si="100"/>
        <v>0</v>
      </c>
      <c r="K205" s="271"/>
      <c r="L205" s="409">
        <f t="shared" si="95"/>
        <v>4000</v>
      </c>
      <c r="M205" s="409">
        <f t="shared" si="101"/>
        <v>0</v>
      </c>
      <c r="N205" s="271"/>
      <c r="O205" s="409">
        <f t="shared" si="96"/>
        <v>4000</v>
      </c>
      <c r="P205" s="409">
        <f t="shared" si="102"/>
        <v>0</v>
      </c>
      <c r="Q205" s="271"/>
      <c r="R205" s="409">
        <f>ROUND(O205,0)</f>
        <v>4000</v>
      </c>
      <c r="S205" s="409">
        <f t="shared" si="89"/>
        <v>0</v>
      </c>
      <c r="T205" s="271"/>
      <c r="U205" s="409">
        <f>ROUND(R205,0)</f>
        <v>4000</v>
      </c>
      <c r="V205" s="409">
        <f t="shared" si="90"/>
        <v>0</v>
      </c>
      <c r="W205" s="271"/>
      <c r="X205" s="480">
        <v>4000</v>
      </c>
      <c r="Y205" s="328">
        <f t="shared" si="78"/>
        <v>1</v>
      </c>
      <c r="Z205" s="483"/>
    </row>
    <row r="206" spans="2:26" ht="15.6" customHeight="1" x14ac:dyDescent="0.25">
      <c r="B206" s="427" t="s">
        <v>978</v>
      </c>
      <c r="C206" s="477" t="s">
        <v>979</v>
      </c>
      <c r="D206" s="478" t="s">
        <v>980</v>
      </c>
      <c r="E206" s="240">
        <v>19228</v>
      </c>
      <c r="F206" s="240">
        <f t="shared" si="98"/>
        <v>19228</v>
      </c>
      <c r="G206" s="409">
        <f t="shared" si="92"/>
        <v>0</v>
      </c>
      <c r="H206" s="270"/>
      <c r="I206" s="409">
        <f>ROUND(F206,0)</f>
        <v>19228</v>
      </c>
      <c r="J206" s="409">
        <f t="shared" si="100"/>
        <v>0</v>
      </c>
      <c r="K206" s="271"/>
      <c r="L206" s="409">
        <f t="shared" si="95"/>
        <v>19228</v>
      </c>
      <c r="M206" s="409">
        <f t="shared" si="101"/>
        <v>0</v>
      </c>
      <c r="N206" s="271"/>
      <c r="O206" s="409">
        <f t="shared" si="96"/>
        <v>19228</v>
      </c>
      <c r="P206" s="409">
        <f t="shared" si="102"/>
        <v>0</v>
      </c>
      <c r="Q206" s="271"/>
      <c r="R206" s="409">
        <f>ROUND(O206,0)</f>
        <v>19228</v>
      </c>
      <c r="S206" s="409">
        <f t="shared" si="89"/>
        <v>0</v>
      </c>
      <c r="T206" s="271"/>
      <c r="U206" s="409">
        <f>ROUND(R206,0)</f>
        <v>19228</v>
      </c>
      <c r="V206" s="409">
        <f t="shared" si="90"/>
        <v>0</v>
      </c>
      <c r="W206" s="271"/>
      <c r="X206" s="480">
        <v>0</v>
      </c>
      <c r="Y206" s="328">
        <f t="shared" si="78"/>
        <v>0</v>
      </c>
      <c r="Z206" s="483"/>
    </row>
    <row r="207" spans="2:26" s="470" customFormat="1" ht="15.6" customHeight="1" x14ac:dyDescent="0.25">
      <c r="C207" s="484" t="s">
        <v>525</v>
      </c>
      <c r="D207" s="485" t="s">
        <v>981</v>
      </c>
      <c r="E207" s="395">
        <v>3797025.7610668591</v>
      </c>
      <c r="F207" s="395">
        <f t="shared" ref="F207:L207" si="103">F208+F215+F218+F223+F224+F225+F226+F227+F228</f>
        <v>3834372</v>
      </c>
      <c r="G207" s="395">
        <f t="shared" si="103"/>
        <v>37346.238933140878</v>
      </c>
      <c r="H207" s="395">
        <f t="shared" si="103"/>
        <v>0</v>
      </c>
      <c r="I207" s="395">
        <f t="shared" si="103"/>
        <v>3834372</v>
      </c>
      <c r="J207" s="395">
        <f t="shared" si="103"/>
        <v>0</v>
      </c>
      <c r="K207" s="395">
        <f t="shared" si="103"/>
        <v>0</v>
      </c>
      <c r="L207" s="395">
        <f t="shared" si="103"/>
        <v>3806675</v>
      </c>
      <c r="M207" s="395">
        <f t="shared" si="101"/>
        <v>-27697</v>
      </c>
      <c r="N207" s="395"/>
      <c r="O207" s="395">
        <f>O208+O215+O218+O223+O224+O225+O226+O227+O228</f>
        <v>3850931</v>
      </c>
      <c r="P207" s="395">
        <f t="shared" si="102"/>
        <v>44256</v>
      </c>
      <c r="Q207" s="395"/>
      <c r="R207" s="395">
        <f>R208+R215+R218+R223+R224+R225+R226+R227+R228</f>
        <v>3850931</v>
      </c>
      <c r="S207" s="395">
        <f t="shared" si="89"/>
        <v>0</v>
      </c>
      <c r="T207" s="395"/>
      <c r="U207" s="395">
        <f>U208+U215+U218+U223+U224+U225+U226+U227+U228</f>
        <v>3870931</v>
      </c>
      <c r="V207" s="395">
        <f t="shared" si="90"/>
        <v>20000</v>
      </c>
      <c r="W207" s="395"/>
      <c r="X207" s="395">
        <f>X208+X215+X218+X223+X224+X225+X227+X228+X226</f>
        <v>2035762.4810000001</v>
      </c>
      <c r="Y207" s="321">
        <f t="shared" si="78"/>
        <v>0.52591029935692479</v>
      </c>
      <c r="Z207" s="396"/>
    </row>
    <row r="208" spans="2:26" s="470" customFormat="1" ht="15" customHeight="1" x14ac:dyDescent="0.25">
      <c r="C208" s="477" t="s">
        <v>528</v>
      </c>
      <c r="D208" s="478" t="s">
        <v>982</v>
      </c>
      <c r="E208" s="240">
        <v>2756987.0633929078</v>
      </c>
      <c r="F208" s="240">
        <f t="shared" ref="F208:G208" si="104">F209+F210+F211+F212+F214</f>
        <v>2756987</v>
      </c>
      <c r="G208" s="409">
        <f t="shared" si="104"/>
        <v>-6.3392907846719027E-2</v>
      </c>
      <c r="H208" s="483"/>
      <c r="I208" s="409">
        <f>SUM(I209:I214)</f>
        <v>2756987</v>
      </c>
      <c r="J208" s="409">
        <f>SUM(J209:J214)</f>
        <v>0</v>
      </c>
      <c r="K208" s="409">
        <f>SUM(K209:K214)</f>
        <v>0</v>
      </c>
      <c r="L208" s="409">
        <f>SUM(L209:L214)</f>
        <v>2756987</v>
      </c>
      <c r="M208" s="409">
        <f t="shared" si="101"/>
        <v>0</v>
      </c>
      <c r="N208" s="409"/>
      <c r="O208" s="409">
        <f>SUM(O209:O214)</f>
        <v>2756959</v>
      </c>
      <c r="P208" s="409">
        <f t="shared" si="102"/>
        <v>-28</v>
      </c>
      <c r="Q208" s="409"/>
      <c r="R208" s="409">
        <f>SUM(R209:R214)</f>
        <v>2756959</v>
      </c>
      <c r="S208" s="409">
        <f t="shared" si="89"/>
        <v>0</v>
      </c>
      <c r="T208" s="409"/>
      <c r="U208" s="409">
        <f>SUM(U209:U214)</f>
        <v>2756959</v>
      </c>
      <c r="V208" s="409">
        <f t="shared" si="90"/>
        <v>0</v>
      </c>
      <c r="W208" s="409"/>
      <c r="X208" s="480">
        <f>X209+X210+X211+X212+X214</f>
        <v>1719534.6600000001</v>
      </c>
      <c r="Y208" s="328">
        <f t="shared" si="78"/>
        <v>0.62370701196499478</v>
      </c>
      <c r="Z208" s="483"/>
    </row>
    <row r="209" spans="2:26" s="519" customFormat="1" ht="18.600000000000001" customHeight="1" outlineLevel="1" x14ac:dyDescent="0.25">
      <c r="B209" s="519">
        <v>1010</v>
      </c>
      <c r="C209" s="516" t="s">
        <v>983</v>
      </c>
      <c r="D209" s="520" t="s">
        <v>984</v>
      </c>
      <c r="E209" s="292">
        <v>650934.06339290785</v>
      </c>
      <c r="F209" s="292">
        <f>ROUND(E209,0)</f>
        <v>650934</v>
      </c>
      <c r="G209" s="511">
        <f t="shared" si="92"/>
        <v>-6.3392907846719027E-2</v>
      </c>
      <c r="H209" s="293"/>
      <c r="I209" s="511">
        <f>ROUND(F209,0)</f>
        <v>650934</v>
      </c>
      <c r="J209" s="511">
        <f t="shared" si="100"/>
        <v>0</v>
      </c>
      <c r="K209" s="225"/>
      <c r="L209" s="511">
        <f>ROUND(I209,0)</f>
        <v>650934</v>
      </c>
      <c r="M209" s="511">
        <f t="shared" si="101"/>
        <v>0</v>
      </c>
      <c r="N209" s="225"/>
      <c r="O209" s="511">
        <f>ROUND(L209,0)-1186</f>
        <v>649748</v>
      </c>
      <c r="P209" s="511">
        <f t="shared" si="102"/>
        <v>-1186</v>
      </c>
      <c r="Q209" s="215" t="s">
        <v>985</v>
      </c>
      <c r="R209" s="511">
        <f>ROUND(O209,0)</f>
        <v>649748</v>
      </c>
      <c r="S209" s="511">
        <f t="shared" si="89"/>
        <v>0</v>
      </c>
      <c r="T209" s="215"/>
      <c r="U209" s="511">
        <f>ROUND(R209,0)</f>
        <v>649748</v>
      </c>
      <c r="V209" s="511">
        <f t="shared" si="90"/>
        <v>0</v>
      </c>
      <c r="W209" s="215"/>
      <c r="X209" s="521">
        <f>1335680.01-1186-X210</f>
        <v>433054.12</v>
      </c>
      <c r="Y209" s="343">
        <f t="shared" si="78"/>
        <v>0.66649550287188264</v>
      </c>
      <c r="Z209" s="522" t="s">
        <v>1249</v>
      </c>
    </row>
    <row r="210" spans="2:26" s="519" customFormat="1" ht="45" customHeight="1" outlineLevel="1" x14ac:dyDescent="0.25">
      <c r="B210" s="519">
        <v>1010</v>
      </c>
      <c r="C210" s="517" t="s">
        <v>986</v>
      </c>
      <c r="D210" s="520" t="s">
        <v>987</v>
      </c>
      <c r="E210" s="292">
        <v>1598833</v>
      </c>
      <c r="F210" s="292">
        <f>ROUND(E210,0)</f>
        <v>1598833</v>
      </c>
      <c r="G210" s="511">
        <f t="shared" si="92"/>
        <v>0</v>
      </c>
      <c r="H210" s="228"/>
      <c r="I210" s="511">
        <f>ROUND(F210,0)</f>
        <v>1598833</v>
      </c>
      <c r="J210" s="511">
        <f t="shared" si="100"/>
        <v>0</v>
      </c>
      <c r="K210" s="238"/>
      <c r="L210" s="511">
        <f>ROUND(I210,0)</f>
        <v>1598833</v>
      </c>
      <c r="M210" s="511">
        <f t="shared" si="101"/>
        <v>0</v>
      </c>
      <c r="N210" s="238"/>
      <c r="O210" s="511">
        <f>ROUND(L210,0)</f>
        <v>1598833</v>
      </c>
      <c r="P210" s="511">
        <f t="shared" si="102"/>
        <v>0</v>
      </c>
      <c r="Q210" s="238"/>
      <c r="R210" s="511">
        <f>ROUND(O210,0)</f>
        <v>1598833</v>
      </c>
      <c r="S210" s="511">
        <f t="shared" si="89"/>
        <v>0</v>
      </c>
      <c r="T210" s="238"/>
      <c r="U210" s="511">
        <f>ROUND(R210,0)</f>
        <v>1598833</v>
      </c>
      <c r="V210" s="511">
        <f t="shared" si="90"/>
        <v>0</v>
      </c>
      <c r="W210" s="238" t="s">
        <v>988</v>
      </c>
      <c r="X210" s="521">
        <v>901439.89</v>
      </c>
      <c r="Y210" s="343">
        <f t="shared" si="78"/>
        <v>0.56381116101556572</v>
      </c>
      <c r="Z210" s="522"/>
    </row>
    <row r="211" spans="2:26" s="519" customFormat="1" ht="17.399999999999999" customHeight="1" outlineLevel="1" x14ac:dyDescent="0.25">
      <c r="B211" s="519">
        <v>1010</v>
      </c>
      <c r="C211" s="517" t="s">
        <v>989</v>
      </c>
      <c r="D211" s="520" t="s">
        <v>990</v>
      </c>
      <c r="E211" s="292">
        <v>0</v>
      </c>
      <c r="F211" s="292">
        <f>ROUND(E211,0)</f>
        <v>0</v>
      </c>
      <c r="G211" s="511">
        <f t="shared" si="92"/>
        <v>0</v>
      </c>
      <c r="H211" s="237"/>
      <c r="I211" s="511">
        <f>ROUND(F211,0)</f>
        <v>0</v>
      </c>
      <c r="J211" s="511">
        <f t="shared" si="100"/>
        <v>0</v>
      </c>
      <c r="K211" s="238"/>
      <c r="L211" s="511">
        <f>ROUND(I211,0)</f>
        <v>0</v>
      </c>
      <c r="M211" s="511">
        <f t="shared" si="101"/>
        <v>0</v>
      </c>
      <c r="N211" s="238"/>
      <c r="O211" s="511">
        <f>ROUND(L211,0)</f>
        <v>0</v>
      </c>
      <c r="P211" s="511">
        <f t="shared" si="102"/>
        <v>0</v>
      </c>
      <c r="Q211" s="238"/>
      <c r="R211" s="511">
        <f>ROUND(O211,0)</f>
        <v>0</v>
      </c>
      <c r="S211" s="511">
        <f t="shared" si="89"/>
        <v>0</v>
      </c>
      <c r="T211" s="238"/>
      <c r="U211" s="511">
        <f>ROUND(R211,0)</f>
        <v>0</v>
      </c>
      <c r="V211" s="511">
        <f t="shared" si="90"/>
        <v>0</v>
      </c>
      <c r="W211" s="238"/>
      <c r="X211" s="491">
        <v>0</v>
      </c>
      <c r="Y211" s="343"/>
      <c r="Z211" s="522"/>
    </row>
    <row r="212" spans="2:26" s="519" customFormat="1" outlineLevel="1" x14ac:dyDescent="0.25">
      <c r="B212" s="519">
        <v>1012</v>
      </c>
      <c r="C212" s="517" t="s">
        <v>991</v>
      </c>
      <c r="D212" s="520" t="s">
        <v>992</v>
      </c>
      <c r="E212" s="292">
        <v>501000</v>
      </c>
      <c r="F212" s="292">
        <f>ROUND(E212,0)</f>
        <v>501000</v>
      </c>
      <c r="G212" s="511">
        <f t="shared" si="92"/>
        <v>0</v>
      </c>
      <c r="H212" s="293"/>
      <c r="I212" s="511">
        <f>ROUND(F212,0)</f>
        <v>501000</v>
      </c>
      <c r="J212" s="511">
        <f t="shared" si="100"/>
        <v>0</v>
      </c>
      <c r="K212" s="294"/>
      <c r="L212" s="511">
        <f>ROUND(I212,0)</f>
        <v>501000</v>
      </c>
      <c r="M212" s="511">
        <f t="shared" si="101"/>
        <v>0</v>
      </c>
      <c r="N212" s="294"/>
      <c r="O212" s="511">
        <f>ROUND(L212,0)</f>
        <v>501000</v>
      </c>
      <c r="P212" s="511">
        <f t="shared" si="102"/>
        <v>0</v>
      </c>
      <c r="Q212" s="294"/>
      <c r="R212" s="511">
        <f>ROUND(O212,0)</f>
        <v>501000</v>
      </c>
      <c r="S212" s="511">
        <f t="shared" si="89"/>
        <v>0</v>
      </c>
      <c r="T212" s="294"/>
      <c r="U212" s="511">
        <f>ROUND(R212,0)</f>
        <v>501000</v>
      </c>
      <c r="V212" s="511">
        <f t="shared" si="90"/>
        <v>0</v>
      </c>
      <c r="W212" s="294"/>
      <c r="X212" s="521">
        <v>382421.3</v>
      </c>
      <c r="Y212" s="343">
        <f t="shared" ref="Y212:Y260" si="105">X212/U212</f>
        <v>0.76331596806387225</v>
      </c>
      <c r="Z212" s="522"/>
    </row>
    <row r="213" spans="2:26" s="519" customFormat="1" outlineLevel="1" x14ac:dyDescent="0.25">
      <c r="C213" s="517" t="s">
        <v>993</v>
      </c>
      <c r="D213" s="520" t="s">
        <v>994</v>
      </c>
      <c r="E213" s="292"/>
      <c r="F213" s="292"/>
      <c r="G213" s="511"/>
      <c r="H213" s="293"/>
      <c r="I213" s="511"/>
      <c r="J213" s="511"/>
      <c r="K213" s="294"/>
      <c r="L213" s="511"/>
      <c r="M213" s="511"/>
      <c r="N213" s="294"/>
      <c r="O213" s="511">
        <f>1186</f>
        <v>1186</v>
      </c>
      <c r="P213" s="511">
        <f t="shared" si="102"/>
        <v>1186</v>
      </c>
      <c r="Q213" s="215" t="s">
        <v>985</v>
      </c>
      <c r="R213" s="511">
        <f>1186</f>
        <v>1186</v>
      </c>
      <c r="S213" s="511">
        <f t="shared" si="89"/>
        <v>0</v>
      </c>
      <c r="T213" s="215"/>
      <c r="U213" s="511">
        <f>1186</f>
        <v>1186</v>
      </c>
      <c r="V213" s="511">
        <f t="shared" si="90"/>
        <v>0</v>
      </c>
      <c r="W213" s="215"/>
      <c r="X213" s="518">
        <v>305</v>
      </c>
      <c r="Y213" s="343">
        <f t="shared" si="105"/>
        <v>0.25716694772344012</v>
      </c>
      <c r="Z213" s="522"/>
    </row>
    <row r="214" spans="2:26" s="519" customFormat="1" outlineLevel="1" x14ac:dyDescent="0.25">
      <c r="B214" s="519">
        <v>1015</v>
      </c>
      <c r="C214" s="517" t="s">
        <v>995</v>
      </c>
      <c r="D214" s="520" t="s">
        <v>996</v>
      </c>
      <c r="E214" s="292">
        <v>6220</v>
      </c>
      <c r="F214" s="292">
        <f>ROUND(E214,0)</f>
        <v>6220</v>
      </c>
      <c r="G214" s="511">
        <f t="shared" si="92"/>
        <v>0</v>
      </c>
      <c r="H214" s="293"/>
      <c r="I214" s="511">
        <f>ROUND(F214,0)</f>
        <v>6220</v>
      </c>
      <c r="J214" s="511">
        <f t="shared" si="100"/>
        <v>0</v>
      </c>
      <c r="K214" s="294"/>
      <c r="L214" s="511">
        <f>ROUND(I214,0)</f>
        <v>6220</v>
      </c>
      <c r="M214" s="511">
        <f t="shared" si="101"/>
        <v>0</v>
      </c>
      <c r="N214" s="294"/>
      <c r="O214" s="511">
        <f>ROUND(L214,0)-28</f>
        <v>6192</v>
      </c>
      <c r="P214" s="511">
        <f t="shared" si="102"/>
        <v>-28</v>
      </c>
      <c r="Q214" s="294" t="s">
        <v>997</v>
      </c>
      <c r="R214" s="511">
        <f>ROUND(O214,0)</f>
        <v>6192</v>
      </c>
      <c r="S214" s="511">
        <f t="shared" si="89"/>
        <v>0</v>
      </c>
      <c r="T214" s="294"/>
      <c r="U214" s="511">
        <f>ROUND(R214,0)</f>
        <v>6192</v>
      </c>
      <c r="V214" s="511">
        <f t="shared" si="90"/>
        <v>0</v>
      </c>
      <c r="W214" s="294"/>
      <c r="X214" s="521">
        <v>2619.35</v>
      </c>
      <c r="Y214" s="343">
        <f t="shared" si="105"/>
        <v>0.42302164082687338</v>
      </c>
      <c r="Z214" s="522"/>
    </row>
    <row r="215" spans="2:26" s="470" customFormat="1" ht="19.5" customHeight="1" x14ac:dyDescent="0.25">
      <c r="C215" s="477" t="s">
        <v>536</v>
      </c>
      <c r="D215" s="478" t="s">
        <v>998</v>
      </c>
      <c r="E215" s="240">
        <v>14014</v>
      </c>
      <c r="F215" s="240">
        <f>F216+F217</f>
        <v>14244</v>
      </c>
      <c r="G215" s="409">
        <f t="shared" si="92"/>
        <v>230</v>
      </c>
      <c r="H215" s="241"/>
      <c r="I215" s="409">
        <f>I216+I217</f>
        <v>14244</v>
      </c>
      <c r="J215" s="409">
        <f t="shared" si="100"/>
        <v>0</v>
      </c>
      <c r="K215" s="242"/>
      <c r="L215" s="409">
        <f>L216+L217</f>
        <v>14244</v>
      </c>
      <c r="M215" s="409">
        <f t="shared" si="101"/>
        <v>0</v>
      </c>
      <c r="N215" s="242"/>
      <c r="O215" s="409">
        <f>O216+O217</f>
        <v>14244</v>
      </c>
      <c r="P215" s="409">
        <f t="shared" si="102"/>
        <v>0</v>
      </c>
      <c r="Q215" s="242"/>
      <c r="R215" s="409">
        <f>R216+R217</f>
        <v>14244</v>
      </c>
      <c r="S215" s="409">
        <f t="shared" si="89"/>
        <v>0</v>
      </c>
      <c r="T215" s="242"/>
      <c r="U215" s="409">
        <f>U216+U217</f>
        <v>14244</v>
      </c>
      <c r="V215" s="409">
        <f t="shared" si="90"/>
        <v>0</v>
      </c>
      <c r="W215" s="242"/>
      <c r="X215" s="480">
        <f>X216+X217</f>
        <v>390</v>
      </c>
      <c r="Y215" s="328">
        <f t="shared" si="105"/>
        <v>2.737994945240101E-2</v>
      </c>
      <c r="Z215" s="483"/>
    </row>
    <row r="216" spans="2:26" s="519" customFormat="1" outlineLevel="1" x14ac:dyDescent="0.25">
      <c r="B216" s="519">
        <v>1011</v>
      </c>
      <c r="C216" s="517" t="s">
        <v>999</v>
      </c>
      <c r="D216" s="520" t="s">
        <v>1000</v>
      </c>
      <c r="E216" s="292">
        <v>1407</v>
      </c>
      <c r="F216" s="292">
        <f>ROUND(E216,0)</f>
        <v>1407</v>
      </c>
      <c r="G216" s="511">
        <f t="shared" si="92"/>
        <v>0</v>
      </c>
      <c r="H216" s="293"/>
      <c r="I216" s="511">
        <f>ROUND(F216,0)</f>
        <v>1407</v>
      </c>
      <c r="J216" s="511">
        <f t="shared" si="100"/>
        <v>0</v>
      </c>
      <c r="K216" s="294"/>
      <c r="L216" s="511">
        <f>ROUND(I216,0)</f>
        <v>1407</v>
      </c>
      <c r="M216" s="511">
        <f t="shared" si="101"/>
        <v>0</v>
      </c>
      <c r="N216" s="294"/>
      <c r="O216" s="511">
        <f>ROUND(L216,0)</f>
        <v>1407</v>
      </c>
      <c r="P216" s="511">
        <f t="shared" si="102"/>
        <v>0</v>
      </c>
      <c r="Q216" s="294"/>
      <c r="R216" s="511">
        <f>ROUND(O216,0)</f>
        <v>1407</v>
      </c>
      <c r="S216" s="511">
        <f t="shared" si="89"/>
        <v>0</v>
      </c>
      <c r="T216" s="294"/>
      <c r="U216" s="511">
        <f>ROUND(R216,0)</f>
        <v>1407</v>
      </c>
      <c r="V216" s="511">
        <f t="shared" si="90"/>
        <v>0</v>
      </c>
      <c r="W216" s="294"/>
      <c r="X216" s="521">
        <f>390-X217</f>
        <v>140</v>
      </c>
      <c r="Y216" s="343">
        <f t="shared" si="105"/>
        <v>9.950248756218906E-2</v>
      </c>
      <c r="Z216" s="522"/>
    </row>
    <row r="217" spans="2:26" s="519" customFormat="1" outlineLevel="1" x14ac:dyDescent="0.25">
      <c r="B217" s="519">
        <v>1011</v>
      </c>
      <c r="C217" s="517" t="s">
        <v>1001</v>
      </c>
      <c r="D217" s="520" t="s">
        <v>1002</v>
      </c>
      <c r="E217" s="292">
        <v>12607</v>
      </c>
      <c r="F217" s="292">
        <f>ROUND(E217,0)+230</f>
        <v>12837</v>
      </c>
      <c r="G217" s="511">
        <f t="shared" si="92"/>
        <v>230</v>
      </c>
      <c r="H217" s="294" t="s">
        <v>415</v>
      </c>
      <c r="I217" s="511">
        <f>ROUND(F217,0)</f>
        <v>12837</v>
      </c>
      <c r="J217" s="511">
        <f t="shared" si="100"/>
        <v>0</v>
      </c>
      <c r="K217" s="294"/>
      <c r="L217" s="511">
        <f>ROUND(I217,0)</f>
        <v>12837</v>
      </c>
      <c r="M217" s="511">
        <f t="shared" si="101"/>
        <v>0</v>
      </c>
      <c r="N217" s="294"/>
      <c r="O217" s="511">
        <f>ROUND(L217,0)</f>
        <v>12837</v>
      </c>
      <c r="P217" s="511">
        <f t="shared" si="102"/>
        <v>0</v>
      </c>
      <c r="Q217" s="294"/>
      <c r="R217" s="511">
        <f>ROUND(O217,0)</f>
        <v>12837</v>
      </c>
      <c r="S217" s="511">
        <f t="shared" si="89"/>
        <v>0</v>
      </c>
      <c r="T217" s="294"/>
      <c r="U217" s="511">
        <f>ROUND(R217,0)</f>
        <v>12837</v>
      </c>
      <c r="V217" s="511">
        <f t="shared" si="90"/>
        <v>0</v>
      </c>
      <c r="W217" s="294"/>
      <c r="X217" s="521">
        <v>250</v>
      </c>
      <c r="Y217" s="343">
        <f t="shared" si="105"/>
        <v>1.9474955207603024E-2</v>
      </c>
      <c r="Z217" s="522"/>
    </row>
    <row r="218" spans="2:26" s="470" customFormat="1" ht="27" customHeight="1" x14ac:dyDescent="0.25">
      <c r="C218" s="477" t="s">
        <v>538</v>
      </c>
      <c r="D218" s="478" t="s">
        <v>1003</v>
      </c>
      <c r="E218" s="229">
        <v>622113.62317695003</v>
      </c>
      <c r="F218" s="229">
        <f t="shared" ref="F218:G218" si="106">SUM(F219:F222)</f>
        <v>659230</v>
      </c>
      <c r="G218" s="410">
        <f t="shared" si="106"/>
        <v>37116.376823049912</v>
      </c>
      <c r="H218" s="270"/>
      <c r="I218" s="410">
        <f>SUM(I219:I222)</f>
        <v>659230</v>
      </c>
      <c r="J218" s="410">
        <f t="shared" si="100"/>
        <v>0</v>
      </c>
      <c r="K218" s="271"/>
      <c r="L218" s="410">
        <f>SUM(L219:L222)</f>
        <v>631533</v>
      </c>
      <c r="M218" s="410">
        <f t="shared" si="101"/>
        <v>-27697</v>
      </c>
      <c r="N218" s="271"/>
      <c r="O218" s="410">
        <f>SUM(O219:O222)</f>
        <v>631533</v>
      </c>
      <c r="P218" s="410">
        <f t="shared" si="102"/>
        <v>0</v>
      </c>
      <c r="Q218" s="271"/>
      <c r="R218" s="410">
        <f>SUM(R219:R222)</f>
        <v>631533</v>
      </c>
      <c r="S218" s="410">
        <f t="shared" si="89"/>
        <v>0</v>
      </c>
      <c r="T218" s="271"/>
      <c r="U218" s="410">
        <f>SUM(U219:U222)</f>
        <v>631533</v>
      </c>
      <c r="V218" s="410">
        <f t="shared" si="90"/>
        <v>0</v>
      </c>
      <c r="W218" s="271"/>
      <c r="X218" s="523">
        <f>SUM(X219:X222)</f>
        <v>181706.011</v>
      </c>
      <c r="Y218" s="324">
        <f t="shared" si="105"/>
        <v>0.28772211586726265</v>
      </c>
      <c r="Z218" s="411"/>
    </row>
    <row r="219" spans="2:26" s="470" customFormat="1" ht="15" customHeight="1" x14ac:dyDescent="0.25">
      <c r="B219" s="370" t="s">
        <v>1004</v>
      </c>
      <c r="C219" s="524" t="s">
        <v>1005</v>
      </c>
      <c r="D219" s="525" t="s">
        <v>1006</v>
      </c>
      <c r="E219" s="212">
        <v>402246.62317695009</v>
      </c>
      <c r="F219" s="212">
        <f>ROUND(E219,0)</f>
        <v>402247</v>
      </c>
      <c r="G219" s="392">
        <f t="shared" si="92"/>
        <v>0.37682304991176352</v>
      </c>
      <c r="H219" s="213"/>
      <c r="I219" s="392">
        <f>ROUND(F219,0)</f>
        <v>402247</v>
      </c>
      <c r="J219" s="392">
        <f t="shared" si="100"/>
        <v>0</v>
      </c>
      <c r="K219" s="225"/>
      <c r="L219" s="392">
        <f>ROUND(I219,0)-27697</f>
        <v>374550</v>
      </c>
      <c r="M219" s="392">
        <f t="shared" si="101"/>
        <v>-27697</v>
      </c>
      <c r="N219" s="225" t="s">
        <v>796</v>
      </c>
      <c r="O219" s="392">
        <f>ROUND(L219,0)-3745</f>
        <v>370805</v>
      </c>
      <c r="P219" s="392">
        <f t="shared" si="102"/>
        <v>-3745</v>
      </c>
      <c r="Q219" s="215" t="s">
        <v>1007</v>
      </c>
      <c r="R219" s="392">
        <f>ROUND(O219,0)</f>
        <v>370805</v>
      </c>
      <c r="S219" s="392">
        <f t="shared" si="89"/>
        <v>0</v>
      </c>
      <c r="T219" s="215"/>
      <c r="U219" s="392">
        <f>ROUND(R219,0)</f>
        <v>370805</v>
      </c>
      <c r="V219" s="392">
        <f t="shared" si="90"/>
        <v>0</v>
      </c>
      <c r="W219" s="215"/>
      <c r="X219" s="491">
        <f>184046.011-3745-X221</f>
        <v>174836.66099999999</v>
      </c>
      <c r="Y219" s="319">
        <f t="shared" si="105"/>
        <v>0.47150567279297745</v>
      </c>
      <c r="Z219" s="397"/>
    </row>
    <row r="220" spans="2:26" s="470" customFormat="1" ht="15" customHeight="1" x14ac:dyDescent="0.25">
      <c r="B220" s="370" t="s">
        <v>1004</v>
      </c>
      <c r="C220" s="524" t="s">
        <v>1008</v>
      </c>
      <c r="D220" s="525" t="s">
        <v>1009</v>
      </c>
      <c r="E220" s="212"/>
      <c r="F220" s="212"/>
      <c r="G220" s="392"/>
      <c r="H220" s="213"/>
      <c r="I220" s="392"/>
      <c r="J220" s="392"/>
      <c r="K220" s="225"/>
      <c r="L220" s="392"/>
      <c r="M220" s="392"/>
      <c r="N220" s="225"/>
      <c r="O220" s="392">
        <f>3745</f>
        <v>3745</v>
      </c>
      <c r="P220" s="392">
        <f t="shared" si="102"/>
        <v>3745</v>
      </c>
      <c r="Q220" s="215" t="s">
        <v>1007</v>
      </c>
      <c r="R220" s="392">
        <f>3745</f>
        <v>3745</v>
      </c>
      <c r="S220" s="392">
        <f t="shared" si="89"/>
        <v>0</v>
      </c>
      <c r="T220" s="215"/>
      <c r="U220" s="392">
        <f>3745</f>
        <v>3745</v>
      </c>
      <c r="V220" s="392">
        <f t="shared" si="90"/>
        <v>0</v>
      </c>
      <c r="W220" s="215"/>
      <c r="X220" s="518">
        <v>1405</v>
      </c>
      <c r="Y220" s="319">
        <f t="shared" si="105"/>
        <v>0.37516688918558078</v>
      </c>
      <c r="Z220" s="397"/>
    </row>
    <row r="221" spans="2:26" s="470" customFormat="1" ht="15.75" customHeight="1" x14ac:dyDescent="0.25">
      <c r="B221" s="370" t="s">
        <v>1004</v>
      </c>
      <c r="C221" s="526" t="s">
        <v>1010</v>
      </c>
      <c r="D221" s="525" t="s">
        <v>1011</v>
      </c>
      <c r="E221" s="212">
        <v>10250</v>
      </c>
      <c r="F221" s="212">
        <f>ROUND(E221,0)+38150</f>
        <v>48400</v>
      </c>
      <c r="G221" s="392">
        <f t="shared" si="92"/>
        <v>38150</v>
      </c>
      <c r="H221" s="214" t="s">
        <v>1012</v>
      </c>
      <c r="I221" s="392">
        <f t="shared" ref="I221:I228" si="107">ROUND(F221,0)</f>
        <v>48400</v>
      </c>
      <c r="J221" s="392">
        <f t="shared" si="100"/>
        <v>0</v>
      </c>
      <c r="K221" s="214"/>
      <c r="L221" s="392">
        <f t="shared" ref="L221:L228" si="108">ROUND(I221,0)</f>
        <v>48400</v>
      </c>
      <c r="M221" s="392">
        <f t="shared" si="101"/>
        <v>0</v>
      </c>
      <c r="N221" s="214"/>
      <c r="O221" s="392">
        <f t="shared" ref="O221:O228" si="109">ROUND(L221,0)</f>
        <v>48400</v>
      </c>
      <c r="P221" s="392">
        <f t="shared" si="102"/>
        <v>0</v>
      </c>
      <c r="Q221" s="214"/>
      <c r="R221" s="392">
        <f t="shared" ref="R221:R228" si="110">ROUND(O221,0)</f>
        <v>48400</v>
      </c>
      <c r="S221" s="392">
        <f t="shared" si="89"/>
        <v>0</v>
      </c>
      <c r="T221" s="214"/>
      <c r="U221" s="392">
        <f t="shared" ref="U221:U228" si="111">ROUND(R221,0)</f>
        <v>48400</v>
      </c>
      <c r="V221" s="392">
        <f t="shared" si="90"/>
        <v>0</v>
      </c>
      <c r="W221" s="214"/>
      <c r="X221" s="527">
        <v>5464.35</v>
      </c>
      <c r="Y221" s="319">
        <f t="shared" si="105"/>
        <v>0.11289979338842976</v>
      </c>
      <c r="Z221" s="392" t="s">
        <v>1250</v>
      </c>
    </row>
    <row r="222" spans="2:26" s="470" customFormat="1" ht="15.6" customHeight="1" x14ac:dyDescent="0.25">
      <c r="B222" s="370" t="s">
        <v>1013</v>
      </c>
      <c r="C222" s="524" t="s">
        <v>1014</v>
      </c>
      <c r="D222" s="525" t="s">
        <v>1015</v>
      </c>
      <c r="E222" s="212">
        <v>209617</v>
      </c>
      <c r="F222" s="212">
        <f>ROUND(E222,0)-1034</f>
        <v>208583</v>
      </c>
      <c r="G222" s="392">
        <f t="shared" si="92"/>
        <v>-1034</v>
      </c>
      <c r="H222" s="214" t="s">
        <v>415</v>
      </c>
      <c r="I222" s="392">
        <f t="shared" si="107"/>
        <v>208583</v>
      </c>
      <c r="J222" s="392">
        <f t="shared" si="100"/>
        <v>0</v>
      </c>
      <c r="K222" s="214"/>
      <c r="L222" s="392">
        <f t="shared" si="108"/>
        <v>208583</v>
      </c>
      <c r="M222" s="392">
        <f t="shared" si="101"/>
        <v>0</v>
      </c>
      <c r="N222" s="214"/>
      <c r="O222" s="392">
        <f t="shared" si="109"/>
        <v>208583</v>
      </c>
      <c r="P222" s="392">
        <f t="shared" si="102"/>
        <v>0</v>
      </c>
      <c r="Q222" s="214"/>
      <c r="R222" s="392">
        <f t="shared" si="110"/>
        <v>208583</v>
      </c>
      <c r="S222" s="392">
        <f t="shared" si="89"/>
        <v>0</v>
      </c>
      <c r="T222" s="214"/>
      <c r="U222" s="392">
        <f t="shared" si="111"/>
        <v>208583</v>
      </c>
      <c r="V222" s="392">
        <f t="shared" si="90"/>
        <v>0</v>
      </c>
      <c r="W222" s="214"/>
      <c r="X222" s="491">
        <v>0</v>
      </c>
      <c r="Y222" s="319">
        <f t="shared" si="105"/>
        <v>0</v>
      </c>
      <c r="Z222" s="397"/>
    </row>
    <row r="223" spans="2:26" s="470" customFormat="1" ht="16.2" customHeight="1" x14ac:dyDescent="0.25">
      <c r="C223" s="477" t="s">
        <v>1016</v>
      </c>
      <c r="D223" s="478" t="s">
        <v>1017</v>
      </c>
      <c r="E223" s="240">
        <v>139599.07449700119</v>
      </c>
      <c r="F223" s="240">
        <f>ROUND(E223,0)</f>
        <v>139599</v>
      </c>
      <c r="G223" s="409">
        <f t="shared" si="92"/>
        <v>-7.4497001187410206E-2</v>
      </c>
      <c r="H223" s="270"/>
      <c r="I223" s="409">
        <f>ROUND(F223,0)</f>
        <v>139599</v>
      </c>
      <c r="J223" s="409">
        <f t="shared" si="100"/>
        <v>0</v>
      </c>
      <c r="K223" s="242"/>
      <c r="L223" s="409">
        <f t="shared" si="108"/>
        <v>139599</v>
      </c>
      <c r="M223" s="409">
        <f t="shared" si="101"/>
        <v>0</v>
      </c>
      <c r="N223" s="242"/>
      <c r="O223" s="409">
        <f t="shared" si="109"/>
        <v>139599</v>
      </c>
      <c r="P223" s="409">
        <f t="shared" si="102"/>
        <v>0</v>
      </c>
      <c r="Q223" s="242"/>
      <c r="R223" s="409">
        <f t="shared" si="110"/>
        <v>139599</v>
      </c>
      <c r="S223" s="409">
        <f t="shared" si="89"/>
        <v>0</v>
      </c>
      <c r="T223" s="242"/>
      <c r="U223" s="409">
        <f t="shared" si="111"/>
        <v>139599</v>
      </c>
      <c r="V223" s="409">
        <f t="shared" si="90"/>
        <v>0</v>
      </c>
      <c r="W223" s="242"/>
      <c r="X223" s="480">
        <v>91756.31</v>
      </c>
      <c r="Y223" s="328">
        <f t="shared" si="105"/>
        <v>0.65728486593743507</v>
      </c>
      <c r="Z223" s="483"/>
    </row>
    <row r="224" spans="2:26" s="470" customFormat="1" ht="33.75" customHeight="1" x14ac:dyDescent="0.25">
      <c r="B224" s="370">
        <v>1016</v>
      </c>
      <c r="C224" s="477" t="s">
        <v>1018</v>
      </c>
      <c r="D224" s="478" t="s">
        <v>603</v>
      </c>
      <c r="E224" s="240">
        <v>50000</v>
      </c>
      <c r="F224" s="240">
        <f>ROUND(E224,0)</f>
        <v>50000</v>
      </c>
      <c r="G224" s="409">
        <f t="shared" si="92"/>
        <v>0</v>
      </c>
      <c r="H224" s="270"/>
      <c r="I224" s="409">
        <f>ROUND(F224,0)</f>
        <v>50000</v>
      </c>
      <c r="J224" s="409">
        <f t="shared" si="100"/>
        <v>0</v>
      </c>
      <c r="K224" s="271"/>
      <c r="L224" s="409">
        <f t="shared" si="108"/>
        <v>50000</v>
      </c>
      <c r="M224" s="409">
        <f t="shared" si="101"/>
        <v>0</v>
      </c>
      <c r="N224" s="271"/>
      <c r="O224" s="409">
        <f>ROUND(L224,0)</f>
        <v>50000</v>
      </c>
      <c r="P224" s="409">
        <f t="shared" si="102"/>
        <v>0</v>
      </c>
      <c r="Q224" s="271"/>
      <c r="R224" s="409">
        <f t="shared" si="110"/>
        <v>50000</v>
      </c>
      <c r="S224" s="409">
        <f t="shared" si="89"/>
        <v>0</v>
      </c>
      <c r="T224" s="271"/>
      <c r="U224" s="409">
        <f>ROUND(R224,0)+20000</f>
        <v>70000</v>
      </c>
      <c r="V224" s="409">
        <f t="shared" si="90"/>
        <v>20000</v>
      </c>
      <c r="W224" s="242" t="s">
        <v>1214</v>
      </c>
      <c r="X224" s="480">
        <v>42125.5</v>
      </c>
      <c r="Y224" s="328">
        <f t="shared" si="105"/>
        <v>0.60179285714285713</v>
      </c>
      <c r="Z224" s="483"/>
    </row>
    <row r="225" spans="2:26" s="470" customFormat="1" ht="18.75" customHeight="1" x14ac:dyDescent="0.25">
      <c r="B225" s="370">
        <v>1017</v>
      </c>
      <c r="C225" s="477" t="s">
        <v>1019</v>
      </c>
      <c r="D225" s="478" t="s">
        <v>605</v>
      </c>
      <c r="E225" s="240">
        <v>200000</v>
      </c>
      <c r="F225" s="240">
        <f>ROUND(E225,0)</f>
        <v>200000</v>
      </c>
      <c r="G225" s="409">
        <f t="shared" si="92"/>
        <v>0</v>
      </c>
      <c r="H225" s="270"/>
      <c r="I225" s="409">
        <f t="shared" si="107"/>
        <v>200000</v>
      </c>
      <c r="J225" s="409">
        <f t="shared" si="100"/>
        <v>0</v>
      </c>
      <c r="K225" s="271"/>
      <c r="L225" s="409">
        <f t="shared" si="108"/>
        <v>200000</v>
      </c>
      <c r="M225" s="409">
        <f t="shared" si="101"/>
        <v>0</v>
      </c>
      <c r="N225" s="271"/>
      <c r="O225" s="409">
        <f t="shared" si="109"/>
        <v>200000</v>
      </c>
      <c r="P225" s="409">
        <f t="shared" si="102"/>
        <v>0</v>
      </c>
      <c r="Q225" s="271"/>
      <c r="R225" s="409">
        <f t="shared" si="110"/>
        <v>200000</v>
      </c>
      <c r="S225" s="409">
        <f t="shared" si="89"/>
        <v>0</v>
      </c>
      <c r="T225" s="271"/>
      <c r="U225" s="409">
        <f t="shared" si="111"/>
        <v>200000</v>
      </c>
      <c r="V225" s="409">
        <f t="shared" si="90"/>
        <v>0</v>
      </c>
      <c r="W225" s="271"/>
      <c r="X225" s="409">
        <v>0</v>
      </c>
      <c r="Y225" s="328">
        <f t="shared" si="105"/>
        <v>0</v>
      </c>
      <c r="Z225" s="483"/>
    </row>
    <row r="226" spans="2:26" s="470" customFormat="1" ht="40.200000000000003" customHeight="1" x14ac:dyDescent="0.25">
      <c r="B226" s="370">
        <v>1018</v>
      </c>
      <c r="C226" s="477" t="s">
        <v>1020</v>
      </c>
      <c r="D226" s="478" t="s">
        <v>864</v>
      </c>
      <c r="E226" s="240"/>
      <c r="F226" s="240"/>
      <c r="G226" s="409"/>
      <c r="H226" s="270"/>
      <c r="I226" s="409"/>
      <c r="J226" s="409"/>
      <c r="K226" s="271"/>
      <c r="L226" s="409"/>
      <c r="M226" s="409"/>
      <c r="N226" s="271"/>
      <c r="O226" s="409">
        <v>44284</v>
      </c>
      <c r="P226" s="409">
        <f t="shared" si="102"/>
        <v>44284</v>
      </c>
      <c r="Q226" s="242" t="s">
        <v>1021</v>
      </c>
      <c r="R226" s="409">
        <f t="shared" si="110"/>
        <v>44284</v>
      </c>
      <c r="S226" s="409">
        <f t="shared" si="89"/>
        <v>0</v>
      </c>
      <c r="T226" s="242"/>
      <c r="U226" s="409">
        <f t="shared" si="111"/>
        <v>44284</v>
      </c>
      <c r="V226" s="409">
        <f t="shared" si="90"/>
        <v>0</v>
      </c>
      <c r="W226" s="242"/>
      <c r="X226" s="480">
        <v>250</v>
      </c>
      <c r="Y226" s="328">
        <f t="shared" si="105"/>
        <v>5.6453798211543674E-3</v>
      </c>
      <c r="Z226" s="409" t="s">
        <v>1242</v>
      </c>
    </row>
    <row r="227" spans="2:26" ht="40.950000000000003" customHeight="1" x14ac:dyDescent="0.25">
      <c r="B227" s="370" t="s">
        <v>1022</v>
      </c>
      <c r="C227" s="477" t="s">
        <v>1023</v>
      </c>
      <c r="D227" s="478" t="s">
        <v>1024</v>
      </c>
      <c r="E227" s="240">
        <v>10226</v>
      </c>
      <c r="F227" s="240">
        <f>ROUND(E227,0)</f>
        <v>10226</v>
      </c>
      <c r="G227" s="409">
        <f>F227-E227</f>
        <v>0</v>
      </c>
      <c r="H227" s="270"/>
      <c r="I227" s="392">
        <f t="shared" si="107"/>
        <v>10226</v>
      </c>
      <c r="J227" s="392">
        <f t="shared" si="100"/>
        <v>0</v>
      </c>
      <c r="K227" s="225"/>
      <c r="L227" s="392">
        <f t="shared" si="108"/>
        <v>10226</v>
      </c>
      <c r="M227" s="392">
        <f t="shared" si="101"/>
        <v>0</v>
      </c>
      <c r="N227" s="225"/>
      <c r="O227" s="392">
        <f t="shared" si="109"/>
        <v>10226</v>
      </c>
      <c r="P227" s="392">
        <f t="shared" si="102"/>
        <v>0</v>
      </c>
      <c r="Q227" s="225"/>
      <c r="R227" s="392">
        <f t="shared" si="110"/>
        <v>10226</v>
      </c>
      <c r="S227" s="392">
        <f t="shared" si="89"/>
        <v>0</v>
      </c>
      <c r="T227" s="225"/>
      <c r="U227" s="392">
        <f t="shared" si="111"/>
        <v>10226</v>
      </c>
      <c r="V227" s="392">
        <f t="shared" si="90"/>
        <v>0</v>
      </c>
      <c r="W227" s="225"/>
      <c r="X227" s="392">
        <v>0</v>
      </c>
      <c r="Y227" s="319">
        <f t="shared" si="105"/>
        <v>0</v>
      </c>
      <c r="Z227" s="434"/>
    </row>
    <row r="228" spans="2:26" ht="44.4" customHeight="1" x14ac:dyDescent="0.25">
      <c r="B228" s="370" t="s">
        <v>1025</v>
      </c>
      <c r="C228" s="477" t="s">
        <v>1026</v>
      </c>
      <c r="D228" s="478" t="s">
        <v>1027</v>
      </c>
      <c r="E228" s="240">
        <v>4086</v>
      </c>
      <c r="F228" s="240">
        <f>ROUND(E228,0)</f>
        <v>4086</v>
      </c>
      <c r="G228" s="409">
        <f>F228-E228</f>
        <v>0</v>
      </c>
      <c r="H228" s="270"/>
      <c r="I228" s="392">
        <f t="shared" si="107"/>
        <v>4086</v>
      </c>
      <c r="J228" s="392">
        <f t="shared" si="100"/>
        <v>0</v>
      </c>
      <c r="K228" s="225"/>
      <c r="L228" s="392">
        <f t="shared" si="108"/>
        <v>4086</v>
      </c>
      <c r="M228" s="392">
        <f t="shared" si="101"/>
        <v>0</v>
      </c>
      <c r="N228" s="225"/>
      <c r="O228" s="392">
        <f t="shared" si="109"/>
        <v>4086</v>
      </c>
      <c r="P228" s="392">
        <f t="shared" si="102"/>
        <v>0</v>
      </c>
      <c r="Q228" s="225"/>
      <c r="R228" s="392">
        <f t="shared" si="110"/>
        <v>4086</v>
      </c>
      <c r="S228" s="392">
        <f t="shared" si="89"/>
        <v>0</v>
      </c>
      <c r="T228" s="225"/>
      <c r="U228" s="392">
        <f t="shared" si="111"/>
        <v>4086</v>
      </c>
      <c r="V228" s="392">
        <f t="shared" si="90"/>
        <v>0</v>
      </c>
      <c r="W228" s="225"/>
      <c r="X228" s="392">
        <v>0</v>
      </c>
      <c r="Y228" s="319">
        <f t="shared" si="105"/>
        <v>0</v>
      </c>
      <c r="Z228" s="434"/>
    </row>
    <row r="229" spans="2:26" x14ac:dyDescent="0.25">
      <c r="C229" s="484" t="s">
        <v>541</v>
      </c>
      <c r="D229" s="485" t="s">
        <v>1028</v>
      </c>
      <c r="E229" s="216">
        <v>24609695.260866992</v>
      </c>
      <c r="F229" s="216">
        <f t="shared" ref="F229" si="112">F230+F231+F235+F239+F243+F247+F251+F262+F263+F281+F284+F287+F288+F289+F290+F291+F292+F293</f>
        <v>25093873</v>
      </c>
      <c r="G229" s="395">
        <f>F229-E229</f>
        <v>484177.73913300782</v>
      </c>
      <c r="H229" s="396"/>
      <c r="I229" s="395">
        <f>I230+I231+I235+I239+I243+I247+I251+I262+I263+I281+I284+I287+I288+I289+I290+I291+I292+I293</f>
        <v>25311613</v>
      </c>
      <c r="J229" s="395">
        <f t="shared" si="100"/>
        <v>217740</v>
      </c>
      <c r="K229" s="395"/>
      <c r="L229" s="395">
        <f>L230+L231+L235+L239+L243+L247+L251+L262+L263+L281+L284+L287+L288+L289+L290+L291+L292+L293</f>
        <v>25298401</v>
      </c>
      <c r="M229" s="395">
        <f t="shared" si="101"/>
        <v>-13212</v>
      </c>
      <c r="N229" s="395"/>
      <c r="O229" s="395">
        <f>O230+O231+O235+O239+O243+O247+O251+O262+O263+O281+O284+O287+O288+O289+O290+O291+O292+O293</f>
        <v>25291772</v>
      </c>
      <c r="P229" s="395">
        <f t="shared" si="102"/>
        <v>-6629</v>
      </c>
      <c r="Q229" s="395"/>
      <c r="R229" s="395">
        <f>R230+R231+R235+R239+R243+R247+R251+R262+R263+R281+R284+R287+R288+R289+R290+R291+R292+R293</f>
        <v>25713889</v>
      </c>
      <c r="S229" s="395">
        <f t="shared" si="89"/>
        <v>422117</v>
      </c>
      <c r="T229" s="395"/>
      <c r="U229" s="395">
        <f>U230+U231+U235+U239+U243+U247+U251+U262+U263+U281+U284+U287+U288+U289+U290+U291+U292+U293</f>
        <v>25861417</v>
      </c>
      <c r="V229" s="395">
        <f t="shared" si="90"/>
        <v>147528</v>
      </c>
      <c r="W229" s="395"/>
      <c r="X229" s="395">
        <f>X230+X231+X235+X239+X243+X247+X251+X262+X263+X281+X284+X287+X288+X289+X290+X291+X292+X293</f>
        <v>15622182.399999999</v>
      </c>
      <c r="Y229" s="321">
        <f t="shared" si="105"/>
        <v>0.60407294774296394</v>
      </c>
      <c r="Z229" s="396"/>
    </row>
    <row r="230" spans="2:26" ht="27.6" customHeight="1" x14ac:dyDescent="0.25">
      <c r="B230" s="528" t="s">
        <v>1029</v>
      </c>
      <c r="C230" s="477" t="s">
        <v>1030</v>
      </c>
      <c r="D230" s="492" t="s">
        <v>1031</v>
      </c>
      <c r="E230" s="240">
        <v>750000</v>
      </c>
      <c r="F230" s="240">
        <f>ROUND(E230,0)</f>
        <v>750000</v>
      </c>
      <c r="G230" s="409">
        <f t="shared" si="92"/>
        <v>0</v>
      </c>
      <c r="H230" s="241"/>
      <c r="I230" s="409">
        <f>ROUND(F230,0)</f>
        <v>750000</v>
      </c>
      <c r="J230" s="409">
        <f t="shared" si="100"/>
        <v>0</v>
      </c>
      <c r="K230" s="242"/>
      <c r="L230" s="409">
        <f>ROUND(I230,0)</f>
        <v>750000</v>
      </c>
      <c r="M230" s="409">
        <f t="shared" si="101"/>
        <v>0</v>
      </c>
      <c r="N230" s="242"/>
      <c r="O230" s="409">
        <f>ROUND(L230,0)</f>
        <v>750000</v>
      </c>
      <c r="P230" s="409">
        <f t="shared" si="102"/>
        <v>0</v>
      </c>
      <c r="Q230" s="242"/>
      <c r="R230" s="409">
        <f>ROUND(O230,0)+80000+70000</f>
        <v>900000</v>
      </c>
      <c r="S230" s="409">
        <f t="shared" si="89"/>
        <v>150000</v>
      </c>
      <c r="T230" s="242" t="s">
        <v>705</v>
      </c>
      <c r="U230" s="409">
        <f>ROUND(R230,0)</f>
        <v>900000</v>
      </c>
      <c r="V230" s="409">
        <f t="shared" si="90"/>
        <v>0</v>
      </c>
      <c r="W230" s="242"/>
      <c r="X230" s="480">
        <v>606161.18999999994</v>
      </c>
      <c r="Y230" s="328">
        <f t="shared" si="105"/>
        <v>0.67351243333333322</v>
      </c>
      <c r="Z230" s="409" t="s">
        <v>1251</v>
      </c>
    </row>
    <row r="231" spans="2:26" ht="17.399999999999999" customHeight="1" x14ac:dyDescent="0.25">
      <c r="C231" s="477" t="s">
        <v>1032</v>
      </c>
      <c r="D231" s="492" t="s">
        <v>1033</v>
      </c>
      <c r="E231" s="240">
        <v>2321467.5649073655</v>
      </c>
      <c r="F231" s="240">
        <f t="shared" ref="F231" si="113">SUM(F232:F234)</f>
        <v>2327886</v>
      </c>
      <c r="G231" s="409">
        <f t="shared" si="92"/>
        <v>6418.4350926345214</v>
      </c>
      <c r="H231" s="270"/>
      <c r="I231" s="409">
        <f>SUM(I232:I234)</f>
        <v>2335378</v>
      </c>
      <c r="J231" s="409">
        <f t="shared" si="100"/>
        <v>7492</v>
      </c>
      <c r="K231" s="271"/>
      <c r="L231" s="409">
        <f>SUM(L232:L234)</f>
        <v>2312869</v>
      </c>
      <c r="M231" s="409">
        <f t="shared" si="101"/>
        <v>-22509</v>
      </c>
      <c r="N231" s="271"/>
      <c r="O231" s="409">
        <f>SUM(O232:O234)</f>
        <v>2312869</v>
      </c>
      <c r="P231" s="409">
        <f t="shared" si="102"/>
        <v>0</v>
      </c>
      <c r="Q231" s="271"/>
      <c r="R231" s="409">
        <f>SUM(R232:R234)</f>
        <v>2315847</v>
      </c>
      <c r="S231" s="409">
        <f t="shared" si="89"/>
        <v>2978</v>
      </c>
      <c r="T231" s="271"/>
      <c r="U231" s="409">
        <f>SUM(U232:U234)</f>
        <v>2299371</v>
      </c>
      <c r="V231" s="409">
        <f t="shared" si="90"/>
        <v>-16476</v>
      </c>
      <c r="W231" s="271"/>
      <c r="X231" s="409">
        <f>SUM(X232:X234)</f>
        <v>1402289.08</v>
      </c>
      <c r="Y231" s="328">
        <f t="shared" si="105"/>
        <v>0.60985768716749067</v>
      </c>
      <c r="Z231" s="483"/>
    </row>
    <row r="232" spans="2:26" ht="16.2" customHeight="1" x14ac:dyDescent="0.25">
      <c r="B232" s="427" t="s">
        <v>1034</v>
      </c>
      <c r="C232" s="489" t="s">
        <v>1035</v>
      </c>
      <c r="D232" s="461" t="s">
        <v>1036</v>
      </c>
      <c r="E232" s="295">
        <v>413462</v>
      </c>
      <c r="F232" s="295">
        <f>ROUND(E232,0)+399+324</f>
        <v>414185</v>
      </c>
      <c r="G232" s="529">
        <f t="shared" si="92"/>
        <v>723</v>
      </c>
      <c r="H232" s="215" t="s">
        <v>1037</v>
      </c>
      <c r="I232" s="529">
        <f>ROUND(F232,0)+7380+112</f>
        <v>421677</v>
      </c>
      <c r="J232" s="529">
        <f t="shared" si="100"/>
        <v>7492</v>
      </c>
      <c r="K232" s="215" t="s">
        <v>1038</v>
      </c>
      <c r="L232" s="529">
        <f>ROUND(I232,0)</f>
        <v>421677</v>
      </c>
      <c r="M232" s="529">
        <f t="shared" si="101"/>
        <v>0</v>
      </c>
      <c r="N232" s="215"/>
      <c r="O232" s="529">
        <f>ROUND(L232,0)</f>
        <v>421677</v>
      </c>
      <c r="P232" s="529">
        <f t="shared" si="102"/>
        <v>0</v>
      </c>
      <c r="Q232" s="215"/>
      <c r="R232" s="529">
        <f>ROUND(O232,0)</f>
        <v>421677</v>
      </c>
      <c r="S232" s="529">
        <f t="shared" si="89"/>
        <v>0</v>
      </c>
      <c r="T232" s="215"/>
      <c r="U232" s="529">
        <f>ROUND(R232,0)-18775-2065</f>
        <v>400837</v>
      </c>
      <c r="V232" s="529">
        <f t="shared" si="90"/>
        <v>-20840</v>
      </c>
      <c r="W232" s="215" t="s">
        <v>553</v>
      </c>
      <c r="X232" s="529">
        <v>280419.77</v>
      </c>
      <c r="Y232" s="344">
        <f t="shared" si="105"/>
        <v>0.69958554225283598</v>
      </c>
      <c r="Z232" s="530"/>
    </row>
    <row r="233" spans="2:26" ht="39.75" customHeight="1" x14ac:dyDescent="0.25">
      <c r="B233" s="427" t="s">
        <v>1039</v>
      </c>
      <c r="C233" s="489" t="s">
        <v>1040</v>
      </c>
      <c r="D233" s="461" t="s">
        <v>1041</v>
      </c>
      <c r="E233" s="295">
        <v>1908005.5649073652</v>
      </c>
      <c r="F233" s="295">
        <f>ROUND(E233,0)-160317+5695</f>
        <v>1753384</v>
      </c>
      <c r="G233" s="529">
        <f t="shared" si="92"/>
        <v>-154621.56490736525</v>
      </c>
      <c r="H233" s="215" t="s">
        <v>1042</v>
      </c>
      <c r="I233" s="529">
        <f>ROUND(F233,0)-145959</f>
        <v>1607425</v>
      </c>
      <c r="J233" s="529">
        <f t="shared" si="100"/>
        <v>-145959</v>
      </c>
      <c r="K233" s="215" t="s">
        <v>1043</v>
      </c>
      <c r="L233" s="529">
        <f>ROUND(I233,0)-22509</f>
        <v>1584916</v>
      </c>
      <c r="M233" s="529">
        <f t="shared" si="101"/>
        <v>-22509</v>
      </c>
      <c r="N233" s="215" t="s">
        <v>796</v>
      </c>
      <c r="O233" s="529">
        <f>ROUND(L233,0)-7811</f>
        <v>1577105</v>
      </c>
      <c r="P233" s="529">
        <f t="shared" si="102"/>
        <v>-7811</v>
      </c>
      <c r="Q233" s="215" t="s">
        <v>1044</v>
      </c>
      <c r="R233" s="529">
        <f>ROUND(O233,0)</f>
        <v>1577105</v>
      </c>
      <c r="S233" s="529">
        <f t="shared" si="89"/>
        <v>0</v>
      </c>
      <c r="T233" s="215"/>
      <c r="U233" s="529">
        <f>ROUND(R233,0)+10721-2109</f>
        <v>1585717</v>
      </c>
      <c r="V233" s="529">
        <f t="shared" si="90"/>
        <v>8612</v>
      </c>
      <c r="W233" s="356" t="s">
        <v>1252</v>
      </c>
      <c r="X233" s="529">
        <f>1082828.71-164691.4</f>
        <v>918137.30999999994</v>
      </c>
      <c r="Y233" s="344">
        <f t="shared" si="105"/>
        <v>0.57900451972199318</v>
      </c>
      <c r="Z233" s="529" t="s">
        <v>1253</v>
      </c>
    </row>
    <row r="234" spans="2:26" ht="36" customHeight="1" x14ac:dyDescent="0.25">
      <c r="B234" s="427"/>
      <c r="C234" s="489" t="s">
        <v>1045</v>
      </c>
      <c r="D234" s="461" t="s">
        <v>1046</v>
      </c>
      <c r="E234" s="295"/>
      <c r="F234" s="295">
        <v>160317</v>
      </c>
      <c r="G234" s="529">
        <f t="shared" si="92"/>
        <v>160317</v>
      </c>
      <c r="H234" s="296"/>
      <c r="I234" s="529">
        <f>ROUND(F234,0)+145959</f>
        <v>306276</v>
      </c>
      <c r="J234" s="529">
        <f>I234-F234</f>
        <v>145959</v>
      </c>
      <c r="K234" s="215" t="s">
        <v>1043</v>
      </c>
      <c r="L234" s="529">
        <f>ROUND(I234,0)</f>
        <v>306276</v>
      </c>
      <c r="M234" s="529">
        <f t="shared" si="101"/>
        <v>0</v>
      </c>
      <c r="N234" s="215"/>
      <c r="O234" s="529">
        <f>ROUND(L234,0)+7811</f>
        <v>314087</v>
      </c>
      <c r="P234" s="529">
        <f t="shared" si="102"/>
        <v>7811</v>
      </c>
      <c r="Q234" s="215" t="s">
        <v>1044</v>
      </c>
      <c r="R234" s="529">
        <f>ROUND(O234,0)+2978</f>
        <v>317065</v>
      </c>
      <c r="S234" s="529">
        <f t="shared" si="89"/>
        <v>2978</v>
      </c>
      <c r="T234" s="215" t="s">
        <v>1047</v>
      </c>
      <c r="U234" s="529">
        <f>ROUND(R234,0)-10721+2109+4364</f>
        <v>312817</v>
      </c>
      <c r="V234" s="529">
        <f t="shared" si="90"/>
        <v>-4248</v>
      </c>
      <c r="W234" s="357"/>
      <c r="X234" s="404">
        <f>164723+10000+17009+12000</f>
        <v>203732</v>
      </c>
      <c r="Y234" s="344">
        <f t="shared" si="105"/>
        <v>0.65128173980314374</v>
      </c>
      <c r="Z234" s="530"/>
    </row>
    <row r="235" spans="2:26" ht="18" customHeight="1" x14ac:dyDescent="0.25">
      <c r="C235" s="477" t="s">
        <v>1048</v>
      </c>
      <c r="D235" s="492" t="s">
        <v>1049</v>
      </c>
      <c r="E235" s="240">
        <v>1447835.9786112006</v>
      </c>
      <c r="F235" s="240">
        <f t="shared" ref="F235" si="114">F236+F237+F238</f>
        <v>1429177</v>
      </c>
      <c r="G235" s="409">
        <f t="shared" si="92"/>
        <v>-18658.978611200582</v>
      </c>
      <c r="H235" s="270"/>
      <c r="I235" s="409">
        <f>I236+I237+I238</f>
        <v>1432166</v>
      </c>
      <c r="J235" s="409">
        <f t="shared" si="100"/>
        <v>2989</v>
      </c>
      <c r="K235" s="271"/>
      <c r="L235" s="409">
        <f>L236+L237+L238</f>
        <v>1426182</v>
      </c>
      <c r="M235" s="409">
        <f t="shared" si="101"/>
        <v>-5984</v>
      </c>
      <c r="N235" s="271"/>
      <c r="O235" s="409">
        <f>O236+O237+O238</f>
        <v>1426182</v>
      </c>
      <c r="P235" s="409">
        <f t="shared" si="102"/>
        <v>0</v>
      </c>
      <c r="Q235" s="271"/>
      <c r="R235" s="409">
        <f>R236+R237+R238</f>
        <v>1430782</v>
      </c>
      <c r="S235" s="409">
        <f t="shared" si="89"/>
        <v>4600</v>
      </c>
      <c r="T235" s="271"/>
      <c r="U235" s="409">
        <f>U236+U237+U238</f>
        <v>1425343</v>
      </c>
      <c r="V235" s="409">
        <f t="shared" si="90"/>
        <v>-5439</v>
      </c>
      <c r="W235" s="271"/>
      <c r="X235" s="409">
        <f>X236+X237+X238</f>
        <v>820179.25</v>
      </c>
      <c r="Y235" s="328">
        <f t="shared" si="105"/>
        <v>0.57542587994609018</v>
      </c>
      <c r="Z235" s="483"/>
    </row>
    <row r="236" spans="2:26" ht="16.5" customHeight="1" x14ac:dyDescent="0.25">
      <c r="B236" s="427" t="s">
        <v>1050</v>
      </c>
      <c r="C236" s="489" t="s">
        <v>1051</v>
      </c>
      <c r="D236" s="461" t="s">
        <v>1036</v>
      </c>
      <c r="E236" s="212">
        <v>158733</v>
      </c>
      <c r="F236" s="212">
        <f>ROUND(E236,0)+525</f>
        <v>159258</v>
      </c>
      <c r="G236" s="392">
        <f t="shared" si="92"/>
        <v>525</v>
      </c>
      <c r="H236" s="215" t="s">
        <v>1037</v>
      </c>
      <c r="I236" s="392">
        <f>ROUND(F236,0)+2989</f>
        <v>162247</v>
      </c>
      <c r="J236" s="392">
        <f t="shared" si="100"/>
        <v>2989</v>
      </c>
      <c r="K236" s="215" t="s">
        <v>1038</v>
      </c>
      <c r="L236" s="392">
        <f>ROUND(I236,0)</f>
        <v>162247</v>
      </c>
      <c r="M236" s="392">
        <f t="shared" si="101"/>
        <v>0</v>
      </c>
      <c r="N236" s="215"/>
      <c r="O236" s="392">
        <f>ROUND(L236,0)</f>
        <v>162247</v>
      </c>
      <c r="P236" s="392">
        <f t="shared" si="102"/>
        <v>0</v>
      </c>
      <c r="Q236" s="215"/>
      <c r="R236" s="392">
        <f>ROUND(O236,0)</f>
        <v>162247</v>
      </c>
      <c r="S236" s="392">
        <f t="shared" si="89"/>
        <v>0</v>
      </c>
      <c r="T236" s="215"/>
      <c r="U236" s="392">
        <f>ROUND(R236,0)-5439</f>
        <v>156808</v>
      </c>
      <c r="V236" s="392">
        <f t="shared" si="90"/>
        <v>-5439</v>
      </c>
      <c r="W236" s="215" t="s">
        <v>553</v>
      </c>
      <c r="X236" s="392">
        <v>112127.71</v>
      </c>
      <c r="Y236" s="319">
        <f t="shared" si="105"/>
        <v>0.71506370848426104</v>
      </c>
      <c r="Z236" s="397"/>
    </row>
    <row r="237" spans="2:26" ht="13.5" customHeight="1" x14ac:dyDescent="0.25">
      <c r="B237" s="427" t="s">
        <v>1052</v>
      </c>
      <c r="C237" s="489" t="s">
        <v>1053</v>
      </c>
      <c r="D237" s="461" t="s">
        <v>1041</v>
      </c>
      <c r="E237" s="212">
        <v>1289102.9786112006</v>
      </c>
      <c r="F237" s="212">
        <f>ROUND(E237,0)-119772-19184</f>
        <v>1150147</v>
      </c>
      <c r="G237" s="392">
        <f t="shared" si="92"/>
        <v>-138955.97861120058</v>
      </c>
      <c r="H237" s="215" t="s">
        <v>1042</v>
      </c>
      <c r="I237" s="392">
        <f>ROUND(F237,0)-64977</f>
        <v>1085170</v>
      </c>
      <c r="J237" s="392">
        <f t="shared" si="100"/>
        <v>-64977</v>
      </c>
      <c r="K237" s="215" t="s">
        <v>1054</v>
      </c>
      <c r="L237" s="392">
        <f>ROUND(I237,0)-3036</f>
        <v>1082134</v>
      </c>
      <c r="M237" s="392">
        <f t="shared" si="101"/>
        <v>-3036</v>
      </c>
      <c r="N237" s="215" t="s">
        <v>796</v>
      </c>
      <c r="O237" s="392">
        <f>ROUND(L237,0)</f>
        <v>1082134</v>
      </c>
      <c r="P237" s="392">
        <f t="shared" si="102"/>
        <v>0</v>
      </c>
      <c r="Q237" s="215"/>
      <c r="R237" s="392">
        <f>ROUND(O237,0)</f>
        <v>1082134</v>
      </c>
      <c r="S237" s="392">
        <f t="shared" si="89"/>
        <v>0</v>
      </c>
      <c r="T237" s="215"/>
      <c r="U237" s="392">
        <f>ROUND(R237,0)</f>
        <v>1082134</v>
      </c>
      <c r="V237" s="392">
        <f t="shared" si="90"/>
        <v>0</v>
      </c>
      <c r="W237" s="215"/>
      <c r="X237" s="392">
        <f>680606.54-89829</f>
        <v>590777.54</v>
      </c>
      <c r="Y237" s="319">
        <f t="shared" si="105"/>
        <v>0.54593750866343727</v>
      </c>
      <c r="Z237" s="392" t="s">
        <v>1253</v>
      </c>
    </row>
    <row r="238" spans="2:26" ht="16.95" customHeight="1" x14ac:dyDescent="0.25">
      <c r="B238" s="427"/>
      <c r="C238" s="489" t="s">
        <v>1055</v>
      </c>
      <c r="D238" s="461" t="s">
        <v>1046</v>
      </c>
      <c r="E238" s="212"/>
      <c r="F238" s="212">
        <v>119772</v>
      </c>
      <c r="G238" s="392">
        <f t="shared" si="92"/>
        <v>119772</v>
      </c>
      <c r="H238" s="228"/>
      <c r="I238" s="392">
        <f>ROUND(F238,0)+64977</f>
        <v>184749</v>
      </c>
      <c r="J238" s="392">
        <f>I238-F238</f>
        <v>64977</v>
      </c>
      <c r="K238" s="215" t="s">
        <v>1054</v>
      </c>
      <c r="L238" s="392">
        <f>ROUND(I238,0)-2948</f>
        <v>181801</v>
      </c>
      <c r="M238" s="392">
        <f t="shared" si="101"/>
        <v>-2948</v>
      </c>
      <c r="N238" s="215" t="s">
        <v>796</v>
      </c>
      <c r="O238" s="392">
        <f>ROUND(L238,0)</f>
        <v>181801</v>
      </c>
      <c r="P238" s="392">
        <f>O238-L238</f>
        <v>0</v>
      </c>
      <c r="Q238" s="215"/>
      <c r="R238" s="392">
        <f>ROUND(O238,0)+4600</f>
        <v>186401</v>
      </c>
      <c r="S238" s="392">
        <f t="shared" si="89"/>
        <v>4600</v>
      </c>
      <c r="T238" s="215" t="s">
        <v>1056</v>
      </c>
      <c r="U238" s="392">
        <f>ROUND(R238,0)</f>
        <v>186401</v>
      </c>
      <c r="V238" s="392">
        <f t="shared" si="90"/>
        <v>0</v>
      </c>
      <c r="W238" s="215"/>
      <c r="X238" s="404">
        <v>117274</v>
      </c>
      <c r="Y238" s="319">
        <f t="shared" si="105"/>
        <v>0.62914898525222507</v>
      </c>
      <c r="Z238" s="392"/>
    </row>
    <row r="239" spans="2:26" ht="27.6" customHeight="1" x14ac:dyDescent="0.25">
      <c r="C239" s="531" t="s">
        <v>1057</v>
      </c>
      <c r="D239" s="492" t="s">
        <v>1058</v>
      </c>
      <c r="E239" s="240">
        <v>1594129.4529886562</v>
      </c>
      <c r="F239" s="240">
        <f>F240+F241+F242</f>
        <v>1595142</v>
      </c>
      <c r="G239" s="409">
        <f t="shared" si="92"/>
        <v>1012.5470113437623</v>
      </c>
      <c r="H239" s="270"/>
      <c r="I239" s="409">
        <f>I240+I241+I242</f>
        <v>1599680</v>
      </c>
      <c r="J239" s="409">
        <f t="shared" si="100"/>
        <v>4538</v>
      </c>
      <c r="K239" s="271"/>
      <c r="L239" s="409">
        <f>L240+L241+L242</f>
        <v>1599680</v>
      </c>
      <c r="M239" s="409">
        <f t="shared" si="101"/>
        <v>0</v>
      </c>
      <c r="N239" s="271"/>
      <c r="O239" s="409">
        <f>O240+O241+O242</f>
        <v>1602830</v>
      </c>
      <c r="P239" s="409">
        <f t="shared" si="102"/>
        <v>3150</v>
      </c>
      <c r="Q239" s="271"/>
      <c r="R239" s="409">
        <f>R240+R241+R242</f>
        <v>1614666</v>
      </c>
      <c r="S239" s="409">
        <f t="shared" si="89"/>
        <v>11836</v>
      </c>
      <c r="T239" s="271"/>
      <c r="U239" s="409">
        <f>U240+U241+U242</f>
        <v>1599521</v>
      </c>
      <c r="V239" s="409">
        <f t="shared" si="90"/>
        <v>-15145</v>
      </c>
      <c r="W239" s="271"/>
      <c r="X239" s="409">
        <f>X240+X241+X242</f>
        <v>1015486.66</v>
      </c>
      <c r="Y239" s="328">
        <f t="shared" si="105"/>
        <v>0.63486922647467592</v>
      </c>
      <c r="Z239" s="409"/>
    </row>
    <row r="240" spans="2:26" ht="13.5" customHeight="1" x14ac:dyDescent="0.25">
      <c r="B240" s="370" t="s">
        <v>1059</v>
      </c>
      <c r="C240" s="489" t="s">
        <v>1060</v>
      </c>
      <c r="D240" s="461" t="s">
        <v>1036</v>
      </c>
      <c r="E240" s="212">
        <v>238164</v>
      </c>
      <c r="F240" s="212">
        <f>ROUND(E240,0)+1013</f>
        <v>239177</v>
      </c>
      <c r="G240" s="392">
        <f t="shared" si="92"/>
        <v>1013</v>
      </c>
      <c r="H240" s="215" t="s">
        <v>1037</v>
      </c>
      <c r="I240" s="392">
        <f>ROUND(F240,0)+4538</f>
        <v>243715</v>
      </c>
      <c r="J240" s="392">
        <f t="shared" si="100"/>
        <v>4538</v>
      </c>
      <c r="K240" s="214" t="s">
        <v>1061</v>
      </c>
      <c r="L240" s="392">
        <f>ROUND(I240,0)</f>
        <v>243715</v>
      </c>
      <c r="M240" s="392">
        <f t="shared" si="101"/>
        <v>0</v>
      </c>
      <c r="N240" s="215"/>
      <c r="O240" s="392">
        <f>ROUND(L240,0)</f>
        <v>243715</v>
      </c>
      <c r="P240" s="392">
        <f t="shared" si="102"/>
        <v>0</v>
      </c>
      <c r="Q240" s="215"/>
      <c r="R240" s="392">
        <f>ROUND(O240,0)</f>
        <v>243715</v>
      </c>
      <c r="S240" s="392">
        <f t="shared" si="89"/>
        <v>0</v>
      </c>
      <c r="T240" s="215"/>
      <c r="U240" s="392">
        <f>ROUND(R240,0)-15145</f>
        <v>228570</v>
      </c>
      <c r="V240" s="392">
        <f t="shared" si="90"/>
        <v>-15145</v>
      </c>
      <c r="W240" s="215" t="s">
        <v>553</v>
      </c>
      <c r="X240" s="392">
        <v>165706.29</v>
      </c>
      <c r="Y240" s="319">
        <f t="shared" si="105"/>
        <v>0.72496954980968631</v>
      </c>
      <c r="Z240" s="392"/>
    </row>
    <row r="241" spans="2:26" ht="15.6" customHeight="1" x14ac:dyDescent="0.25">
      <c r="B241" s="370" t="s">
        <v>1062</v>
      </c>
      <c r="C241" s="489" t="s">
        <v>1063</v>
      </c>
      <c r="D241" s="461" t="s">
        <v>1041</v>
      </c>
      <c r="E241" s="212">
        <v>1201933.4529886562</v>
      </c>
      <c r="F241" s="212">
        <f>ROUND(E241,0)-10900</f>
        <v>1191033</v>
      </c>
      <c r="G241" s="392">
        <f t="shared" si="92"/>
        <v>-10900.452988656238</v>
      </c>
      <c r="H241" s="358" t="s">
        <v>1064</v>
      </c>
      <c r="I241" s="392">
        <f>ROUND(F241,0)</f>
        <v>1191033</v>
      </c>
      <c r="J241" s="392">
        <f t="shared" si="100"/>
        <v>0</v>
      </c>
      <c r="K241" s="215"/>
      <c r="L241" s="392">
        <f>ROUND(I241,0)</f>
        <v>1191033</v>
      </c>
      <c r="M241" s="392">
        <f t="shared" si="101"/>
        <v>0</v>
      </c>
      <c r="N241" s="215"/>
      <c r="O241" s="392">
        <f>ROUND(L241,0)+3150</f>
        <v>1194183</v>
      </c>
      <c r="P241" s="392">
        <f t="shared" si="102"/>
        <v>3150</v>
      </c>
      <c r="Q241" s="215" t="s">
        <v>1065</v>
      </c>
      <c r="R241" s="392">
        <f>ROUND(O241,0)+2300+9536</f>
        <v>1206019</v>
      </c>
      <c r="S241" s="397">
        <f t="shared" si="89"/>
        <v>11836</v>
      </c>
      <c r="T241" s="228" t="s">
        <v>1066</v>
      </c>
      <c r="U241" s="392">
        <f>ROUND(R241,0)</f>
        <v>1206019</v>
      </c>
      <c r="V241" s="392">
        <f t="shared" si="90"/>
        <v>0</v>
      </c>
      <c r="W241" s="228"/>
      <c r="X241" s="392">
        <f>858707.37-115786</f>
        <v>742921.37</v>
      </c>
      <c r="Y241" s="319">
        <f t="shared" si="105"/>
        <v>0.61601133149643583</v>
      </c>
      <c r="Z241" s="392"/>
    </row>
    <row r="242" spans="2:26" ht="17.399999999999999" customHeight="1" x14ac:dyDescent="0.25">
      <c r="C242" s="489" t="s">
        <v>1067</v>
      </c>
      <c r="D242" s="461" t="s">
        <v>1046</v>
      </c>
      <c r="E242" s="212">
        <v>154032</v>
      </c>
      <c r="F242" s="212">
        <f>ROUND(E242,0)+10900</f>
        <v>164932</v>
      </c>
      <c r="G242" s="392">
        <f>F242-E242</f>
        <v>10900</v>
      </c>
      <c r="H242" s="359"/>
      <c r="I242" s="392">
        <f>ROUND(F242,0)</f>
        <v>164932</v>
      </c>
      <c r="J242" s="392">
        <f t="shared" si="100"/>
        <v>0</v>
      </c>
      <c r="K242" s="215"/>
      <c r="L242" s="392">
        <f>ROUND(I242,0)</f>
        <v>164932</v>
      </c>
      <c r="M242" s="392">
        <f t="shared" si="101"/>
        <v>0</v>
      </c>
      <c r="N242" s="215"/>
      <c r="O242" s="392">
        <f>ROUND(L242,0)</f>
        <v>164932</v>
      </c>
      <c r="P242" s="392">
        <f t="shared" si="102"/>
        <v>0</v>
      </c>
      <c r="Q242" s="215"/>
      <c r="R242" s="392">
        <f>ROUND(O242,0)</f>
        <v>164932</v>
      </c>
      <c r="S242" s="392">
        <f t="shared" si="89"/>
        <v>0</v>
      </c>
      <c r="T242" s="215"/>
      <c r="U242" s="392">
        <f>ROUND(R242,0)</f>
        <v>164932</v>
      </c>
      <c r="V242" s="392">
        <f t="shared" si="90"/>
        <v>0</v>
      </c>
      <c r="W242" s="215"/>
      <c r="X242" s="404">
        <f>96103+5778+4978</f>
        <v>106859</v>
      </c>
      <c r="Y242" s="319">
        <f t="shared" si="105"/>
        <v>0.64789731525719696</v>
      </c>
      <c r="Z242" s="397"/>
    </row>
    <row r="243" spans="2:26" x14ac:dyDescent="0.25">
      <c r="B243" s="370" t="s">
        <v>1068</v>
      </c>
      <c r="C243" s="531" t="s">
        <v>1069</v>
      </c>
      <c r="D243" s="492" t="s">
        <v>1070</v>
      </c>
      <c r="E243" s="240">
        <v>1451440.1020564402</v>
      </c>
      <c r="F243" s="240">
        <f t="shared" ref="F243" si="115">SUM(F244:F246)</f>
        <v>1453093</v>
      </c>
      <c r="G243" s="409">
        <f t="shared" si="92"/>
        <v>1652.8979435598012</v>
      </c>
      <c r="H243" s="270"/>
      <c r="I243" s="409">
        <f>SUM(I244:I246)</f>
        <v>1456118</v>
      </c>
      <c r="J243" s="409">
        <f t="shared" si="100"/>
        <v>3025</v>
      </c>
      <c r="K243" s="271"/>
      <c r="L243" s="409">
        <f>SUM(L244:L246)</f>
        <v>1451590</v>
      </c>
      <c r="M243" s="409">
        <f t="shared" si="101"/>
        <v>-4528</v>
      </c>
      <c r="N243" s="271"/>
      <c r="O243" s="409">
        <f>SUM(O244:O246)</f>
        <v>1451590</v>
      </c>
      <c r="P243" s="409">
        <f t="shared" si="102"/>
        <v>0</v>
      </c>
      <c r="Q243" s="271"/>
      <c r="R243" s="409">
        <f>SUM(R244:R246)</f>
        <v>1451590</v>
      </c>
      <c r="S243" s="409">
        <f t="shared" si="89"/>
        <v>0</v>
      </c>
      <c r="T243" s="271"/>
      <c r="U243" s="409">
        <f>SUM(U244:U246)</f>
        <v>1485448</v>
      </c>
      <c r="V243" s="409">
        <f t="shared" si="90"/>
        <v>33858</v>
      </c>
      <c r="W243" s="271"/>
      <c r="X243" s="409">
        <f>SUM(X244:X246)</f>
        <v>910714.79999999993</v>
      </c>
      <c r="Y243" s="328">
        <f t="shared" si="105"/>
        <v>0.61309100015618179</v>
      </c>
      <c r="Z243" s="483"/>
    </row>
    <row r="244" spans="2:26" s="533" customFormat="1" ht="17.25" customHeight="1" x14ac:dyDescent="0.25">
      <c r="B244" s="532" t="s">
        <v>1071</v>
      </c>
      <c r="C244" s="489" t="s">
        <v>1072</v>
      </c>
      <c r="D244" s="461" t="s">
        <v>1036</v>
      </c>
      <c r="E244" s="212">
        <v>152284</v>
      </c>
      <c r="F244" s="212">
        <f>ROUND(E244,0)+1917-264</f>
        <v>153937</v>
      </c>
      <c r="G244" s="529">
        <f t="shared" si="92"/>
        <v>1653</v>
      </c>
      <c r="H244" s="215" t="s">
        <v>1037</v>
      </c>
      <c r="I244" s="392">
        <f>ROUND(F244,0)+3025</f>
        <v>156962</v>
      </c>
      <c r="J244" s="529">
        <f t="shared" si="100"/>
        <v>3025</v>
      </c>
      <c r="K244" s="214" t="s">
        <v>1061</v>
      </c>
      <c r="L244" s="392">
        <f>ROUND(I244,0)</f>
        <v>156962</v>
      </c>
      <c r="M244" s="529">
        <f t="shared" si="101"/>
        <v>0</v>
      </c>
      <c r="N244" s="214"/>
      <c r="O244" s="392">
        <f>ROUND(L244,0)</f>
        <v>156962</v>
      </c>
      <c r="P244" s="529">
        <f t="shared" si="102"/>
        <v>0</v>
      </c>
      <c r="Q244" s="214"/>
      <c r="R244" s="392">
        <f>ROUND(O244,0)</f>
        <v>156962</v>
      </c>
      <c r="S244" s="529">
        <f t="shared" si="89"/>
        <v>0</v>
      </c>
      <c r="T244" s="214"/>
      <c r="U244" s="392">
        <f>ROUND(R244,0)+33858</f>
        <v>190820</v>
      </c>
      <c r="V244" s="529">
        <f t="shared" si="90"/>
        <v>33858</v>
      </c>
      <c r="W244" s="214" t="s">
        <v>553</v>
      </c>
      <c r="X244" s="392">
        <v>103482.23</v>
      </c>
      <c r="Y244" s="319">
        <f t="shared" si="105"/>
        <v>0.54230285085420815</v>
      </c>
      <c r="Z244" s="397"/>
    </row>
    <row r="245" spans="2:26" s="533" customFormat="1" ht="15.6" customHeight="1" x14ac:dyDescent="0.25">
      <c r="C245" s="489" t="s">
        <v>1073</v>
      </c>
      <c r="D245" s="461" t="s">
        <v>1041</v>
      </c>
      <c r="E245" s="212">
        <v>1154321.1020564402</v>
      </c>
      <c r="F245" s="212">
        <f>ROUND(E245,0)</f>
        <v>1154321</v>
      </c>
      <c r="G245" s="529">
        <f t="shared" si="92"/>
        <v>-0.10205644019879401</v>
      </c>
      <c r="H245" s="228"/>
      <c r="I245" s="392">
        <f>ROUND(F245,0)</f>
        <v>1154321</v>
      </c>
      <c r="J245" s="529">
        <f t="shared" si="100"/>
        <v>0</v>
      </c>
      <c r="K245" s="214"/>
      <c r="L245" s="392">
        <f>ROUND(I245,0)-4528</f>
        <v>1149793</v>
      </c>
      <c r="M245" s="529">
        <f t="shared" si="101"/>
        <v>-4528</v>
      </c>
      <c r="N245" s="214" t="s">
        <v>796</v>
      </c>
      <c r="O245" s="392">
        <f>ROUND(L245,0)</f>
        <v>1149793</v>
      </c>
      <c r="P245" s="529">
        <f t="shared" si="102"/>
        <v>0</v>
      </c>
      <c r="Q245" s="214"/>
      <c r="R245" s="392">
        <f>ROUND(O245,0)</f>
        <v>1149793</v>
      </c>
      <c r="S245" s="529">
        <f t="shared" si="89"/>
        <v>0</v>
      </c>
      <c r="T245" s="214"/>
      <c r="U245" s="392">
        <f>ROUND(R245,0)</f>
        <v>1149793</v>
      </c>
      <c r="V245" s="529">
        <f t="shared" si="90"/>
        <v>0</v>
      </c>
      <c r="W245" s="214"/>
      <c r="X245" s="392">
        <f>812298.57-88308</f>
        <v>723990.57</v>
      </c>
      <c r="Y245" s="319">
        <f t="shared" si="105"/>
        <v>0.62967035805575433</v>
      </c>
      <c r="Z245" s="392"/>
    </row>
    <row r="246" spans="2:26" s="533" customFormat="1" ht="13.95" customHeight="1" x14ac:dyDescent="0.25">
      <c r="C246" s="489" t="s">
        <v>1074</v>
      </c>
      <c r="D246" s="461" t="s">
        <v>1046</v>
      </c>
      <c r="E246" s="212">
        <v>144835</v>
      </c>
      <c r="F246" s="212">
        <f>ROUND(E246,0)</f>
        <v>144835</v>
      </c>
      <c r="G246" s="529">
        <f>F246-E246</f>
        <v>0</v>
      </c>
      <c r="H246" s="228"/>
      <c r="I246" s="392">
        <f>ROUND(F246,0)</f>
        <v>144835</v>
      </c>
      <c r="J246" s="529">
        <f t="shared" si="100"/>
        <v>0</v>
      </c>
      <c r="K246" s="215"/>
      <c r="L246" s="392">
        <f>ROUND(I246,0)</f>
        <v>144835</v>
      </c>
      <c r="M246" s="529">
        <f t="shared" si="101"/>
        <v>0</v>
      </c>
      <c r="N246" s="215"/>
      <c r="O246" s="392">
        <f>ROUND(L246,0)</f>
        <v>144835</v>
      </c>
      <c r="P246" s="529">
        <f t="shared" si="102"/>
        <v>0</v>
      </c>
      <c r="Q246" s="215"/>
      <c r="R246" s="392">
        <f>ROUND(O246,0)</f>
        <v>144835</v>
      </c>
      <c r="S246" s="529">
        <f t="shared" si="89"/>
        <v>0</v>
      </c>
      <c r="T246" s="215"/>
      <c r="U246" s="392">
        <f>ROUND(R246,0)</f>
        <v>144835</v>
      </c>
      <c r="V246" s="529">
        <f t="shared" si="90"/>
        <v>0</v>
      </c>
      <c r="W246" s="215"/>
      <c r="X246" s="404">
        <v>83242</v>
      </c>
      <c r="Y246" s="319">
        <f t="shared" si="105"/>
        <v>0.57473676942727936</v>
      </c>
      <c r="Z246" s="397"/>
    </row>
    <row r="247" spans="2:26" x14ac:dyDescent="0.25">
      <c r="C247" s="531" t="s">
        <v>1075</v>
      </c>
      <c r="D247" s="492" t="s">
        <v>1076</v>
      </c>
      <c r="E247" s="240">
        <v>2861690</v>
      </c>
      <c r="F247" s="240">
        <f>F248+F249+F250</f>
        <v>2818998</v>
      </c>
      <c r="G247" s="409">
        <f t="shared" si="92"/>
        <v>-42692</v>
      </c>
      <c r="H247" s="270"/>
      <c r="I247" s="409">
        <f>I248+I249+I250</f>
        <v>2827823</v>
      </c>
      <c r="J247" s="409">
        <f t="shared" si="100"/>
        <v>8825</v>
      </c>
      <c r="K247" s="271"/>
      <c r="L247" s="409">
        <f>L248+L249+L250</f>
        <v>2827823</v>
      </c>
      <c r="M247" s="409">
        <f t="shared" si="101"/>
        <v>0</v>
      </c>
      <c r="N247" s="271"/>
      <c r="O247" s="409">
        <f>O248+O249+O250</f>
        <v>2827823</v>
      </c>
      <c r="P247" s="409">
        <f t="shared" si="102"/>
        <v>0</v>
      </c>
      <c r="Q247" s="271"/>
      <c r="R247" s="409">
        <f>R248+R249+R250</f>
        <v>3046262</v>
      </c>
      <c r="S247" s="409">
        <f t="shared" si="89"/>
        <v>218439</v>
      </c>
      <c r="T247" s="271" t="s">
        <v>705</v>
      </c>
      <c r="U247" s="409">
        <f>U248+U249+U250</f>
        <v>3076350</v>
      </c>
      <c r="V247" s="409">
        <f t="shared" si="90"/>
        <v>30088</v>
      </c>
      <c r="W247" s="271"/>
      <c r="X247" s="409">
        <f>X248+X249+X250</f>
        <v>2231554.2699999996</v>
      </c>
      <c r="Y247" s="328">
        <f t="shared" si="105"/>
        <v>0.7253902416825132</v>
      </c>
      <c r="Z247" s="483"/>
    </row>
    <row r="248" spans="2:26" s="533" customFormat="1" ht="16.95" customHeight="1" x14ac:dyDescent="0.25">
      <c r="B248" s="532" t="s">
        <v>1077</v>
      </c>
      <c r="C248" s="534" t="s">
        <v>1078</v>
      </c>
      <c r="D248" s="535" t="s">
        <v>1079</v>
      </c>
      <c r="E248" s="212">
        <v>833320</v>
      </c>
      <c r="F248" s="212">
        <f>ROUND(E248,0)-44403+1711</f>
        <v>790628</v>
      </c>
      <c r="G248" s="529">
        <f t="shared" si="92"/>
        <v>-42692</v>
      </c>
      <c r="H248" s="239" t="s">
        <v>1080</v>
      </c>
      <c r="I248" s="392">
        <f>ROUND(F248,0)+8825</f>
        <v>799453</v>
      </c>
      <c r="J248" s="529">
        <f t="shared" si="100"/>
        <v>8825</v>
      </c>
      <c r="K248" s="287" t="s">
        <v>1081</v>
      </c>
      <c r="L248" s="392">
        <f>ROUND(I248,0)</f>
        <v>799453</v>
      </c>
      <c r="M248" s="529">
        <f t="shared" si="101"/>
        <v>0</v>
      </c>
      <c r="N248" s="214"/>
      <c r="O248" s="392">
        <f>ROUND(L248,0)</f>
        <v>799453</v>
      </c>
      <c r="P248" s="529">
        <f t="shared" si="102"/>
        <v>0</v>
      </c>
      <c r="Q248" s="214"/>
      <c r="R248" s="392">
        <f>ROUND(O248,0)-179115</f>
        <v>620338</v>
      </c>
      <c r="S248" s="529">
        <f t="shared" si="89"/>
        <v>-179115</v>
      </c>
      <c r="T248" s="214" t="s">
        <v>705</v>
      </c>
      <c r="U248" s="392">
        <f>ROUND(R248,0)+30088</f>
        <v>650426</v>
      </c>
      <c r="V248" s="529">
        <f t="shared" si="90"/>
        <v>30088</v>
      </c>
      <c r="W248" s="214" t="s">
        <v>553</v>
      </c>
      <c r="X248" s="392">
        <v>443713.11</v>
      </c>
      <c r="Y248" s="319">
        <f t="shared" si="105"/>
        <v>0.68218845802597061</v>
      </c>
      <c r="Z248" s="536"/>
    </row>
    <row r="249" spans="2:26" s="533" customFormat="1" ht="16.2" customHeight="1" x14ac:dyDescent="0.25">
      <c r="B249" s="532" t="s">
        <v>1082</v>
      </c>
      <c r="C249" s="534" t="s">
        <v>1083</v>
      </c>
      <c r="D249" s="535" t="s">
        <v>1084</v>
      </c>
      <c r="E249" s="212">
        <v>1865620</v>
      </c>
      <c r="F249" s="212">
        <f>ROUND(E249,0)</f>
        <v>1865620</v>
      </c>
      <c r="G249" s="529">
        <f t="shared" si="92"/>
        <v>0</v>
      </c>
      <c r="H249" s="213"/>
      <c r="I249" s="392">
        <f>ROUND(F249,0)</f>
        <v>1865620</v>
      </c>
      <c r="J249" s="529">
        <f t="shared" si="100"/>
        <v>0</v>
      </c>
      <c r="K249" s="214"/>
      <c r="L249" s="392">
        <f>ROUND(I249,0)</f>
        <v>1865620</v>
      </c>
      <c r="M249" s="529">
        <f t="shared" si="101"/>
        <v>0</v>
      </c>
      <c r="N249" s="214"/>
      <c r="O249" s="392">
        <f>ROUND(L249,0)</f>
        <v>1865620</v>
      </c>
      <c r="P249" s="529">
        <f t="shared" si="102"/>
        <v>0</v>
      </c>
      <c r="Q249" s="214"/>
      <c r="R249" s="392">
        <f>ROUND(O249,0)+338737</f>
        <v>2204357</v>
      </c>
      <c r="S249" s="529">
        <f t="shared" si="89"/>
        <v>338737</v>
      </c>
      <c r="T249" s="214" t="s">
        <v>705</v>
      </c>
      <c r="U249" s="392">
        <f>ROUND(R249,0)</f>
        <v>2204357</v>
      </c>
      <c r="V249" s="529">
        <f t="shared" si="90"/>
        <v>0</v>
      </c>
      <c r="W249" s="214"/>
      <c r="X249" s="392">
        <v>1641440.88</v>
      </c>
      <c r="Y249" s="319">
        <f t="shared" si="105"/>
        <v>0.74463477558308377</v>
      </c>
      <c r="Z249" s="536"/>
    </row>
    <row r="250" spans="2:26" ht="14.4" customHeight="1" x14ac:dyDescent="0.25">
      <c r="B250" s="427" t="s">
        <v>1085</v>
      </c>
      <c r="C250" s="489" t="s">
        <v>1086</v>
      </c>
      <c r="D250" s="461" t="s">
        <v>1087</v>
      </c>
      <c r="E250" s="212">
        <v>162750</v>
      </c>
      <c r="F250" s="212">
        <f>ROUND(E250,0)</f>
        <v>162750</v>
      </c>
      <c r="G250" s="529">
        <f t="shared" si="92"/>
        <v>0</v>
      </c>
      <c r="H250" s="213"/>
      <c r="I250" s="392">
        <f>ROUND(F250,0)</f>
        <v>162750</v>
      </c>
      <c r="J250" s="529">
        <f t="shared" si="100"/>
        <v>0</v>
      </c>
      <c r="K250" s="214"/>
      <c r="L250" s="392">
        <f>ROUND(I250,0)</f>
        <v>162750</v>
      </c>
      <c r="M250" s="529">
        <f t="shared" si="101"/>
        <v>0</v>
      </c>
      <c r="N250" s="214"/>
      <c r="O250" s="392">
        <f>ROUND(L250,0)</f>
        <v>162750</v>
      </c>
      <c r="P250" s="529">
        <f t="shared" si="102"/>
        <v>0</v>
      </c>
      <c r="Q250" s="214"/>
      <c r="R250" s="392">
        <f>ROUND(O250,0)+58817</f>
        <v>221567</v>
      </c>
      <c r="S250" s="529">
        <f t="shared" si="89"/>
        <v>58817</v>
      </c>
      <c r="T250" s="214" t="s">
        <v>705</v>
      </c>
      <c r="U250" s="392">
        <f>ROUND(R250,0)</f>
        <v>221567</v>
      </c>
      <c r="V250" s="529">
        <f t="shared" si="90"/>
        <v>0</v>
      </c>
      <c r="W250" s="214"/>
      <c r="X250" s="392">
        <v>146400.28</v>
      </c>
      <c r="Y250" s="345">
        <f t="shared" si="105"/>
        <v>0.66074947984131205</v>
      </c>
      <c r="Z250" s="536"/>
    </row>
    <row r="251" spans="2:26" s="470" customFormat="1" ht="15.75" customHeight="1" x14ac:dyDescent="0.25">
      <c r="C251" s="531" t="s">
        <v>1088</v>
      </c>
      <c r="D251" s="492" t="s">
        <v>1089</v>
      </c>
      <c r="E251" s="272">
        <v>2139500.4741500001</v>
      </c>
      <c r="F251" s="272">
        <f>F252+F256+F257+F258+F259+F260+F261</f>
        <v>2133236</v>
      </c>
      <c r="G251" s="493">
        <f t="shared" si="92"/>
        <v>-6264.4741500001401</v>
      </c>
      <c r="H251" s="278"/>
      <c r="I251" s="493">
        <f>I252+I256+I257+I258+I259+I260+I261</f>
        <v>2205896</v>
      </c>
      <c r="J251" s="493">
        <f t="shared" si="100"/>
        <v>72660</v>
      </c>
      <c r="K251" s="279"/>
      <c r="L251" s="493">
        <f>L252+L256+L257+L258+L259+L260+L261</f>
        <v>2200705</v>
      </c>
      <c r="M251" s="493">
        <f t="shared" si="101"/>
        <v>-5191</v>
      </c>
      <c r="N251" s="279"/>
      <c r="O251" s="493">
        <f>O252+O256+O257+O258+O259+O260+O261</f>
        <v>2200705</v>
      </c>
      <c r="P251" s="493">
        <f t="shared" si="102"/>
        <v>0</v>
      </c>
      <c r="Q251" s="279"/>
      <c r="R251" s="493">
        <f>R252+R256+R257+R258+R259+R260+R261</f>
        <v>2246805</v>
      </c>
      <c r="S251" s="493">
        <f t="shared" si="89"/>
        <v>46100</v>
      </c>
      <c r="T251" s="279"/>
      <c r="U251" s="493">
        <f>U252+U256+U257+U258+U259+U260+U261</f>
        <v>2387345</v>
      </c>
      <c r="V251" s="493">
        <f t="shared" si="90"/>
        <v>140540</v>
      </c>
      <c r="W251" s="279"/>
      <c r="X251" s="493">
        <f>X252+X256+X257+X258+X259+X260+X261</f>
        <v>1535138.2600000002</v>
      </c>
      <c r="Y251" s="339">
        <f t="shared" si="105"/>
        <v>0.64303159367414442</v>
      </c>
      <c r="Z251" s="495"/>
    </row>
    <row r="252" spans="2:26" s="389" customFormat="1" ht="17.25" customHeight="1" x14ac:dyDescent="0.25">
      <c r="B252" s="402" t="s">
        <v>1090</v>
      </c>
      <c r="C252" s="489" t="s">
        <v>1091</v>
      </c>
      <c r="D252" s="461" t="s">
        <v>1036</v>
      </c>
      <c r="E252" s="212">
        <v>1127101</v>
      </c>
      <c r="F252" s="212">
        <f>F253+F254+F255</f>
        <v>1201531</v>
      </c>
      <c r="G252" s="392">
        <f t="shared" si="92"/>
        <v>74430</v>
      </c>
      <c r="H252" s="239" t="s">
        <v>1080</v>
      </c>
      <c r="I252" s="392">
        <f>I253+I254+I255</f>
        <v>1239539</v>
      </c>
      <c r="J252" s="392">
        <f t="shared" si="100"/>
        <v>38008</v>
      </c>
      <c r="K252" s="215"/>
      <c r="L252" s="392">
        <f>L253+L254+L255</f>
        <v>1239539</v>
      </c>
      <c r="M252" s="392">
        <f t="shared" si="101"/>
        <v>0</v>
      </c>
      <c r="N252" s="215"/>
      <c r="O252" s="392">
        <f>O253+O254+O255</f>
        <v>1239539</v>
      </c>
      <c r="P252" s="392">
        <f t="shared" si="102"/>
        <v>0</v>
      </c>
      <c r="Q252" s="215"/>
      <c r="R252" s="392">
        <f>R253+R254+R255</f>
        <v>1239539</v>
      </c>
      <c r="S252" s="392">
        <f t="shared" si="89"/>
        <v>0</v>
      </c>
      <c r="T252" s="215"/>
      <c r="U252" s="392">
        <f>U253+U254+U255</f>
        <v>1322260</v>
      </c>
      <c r="V252" s="392">
        <f t="shared" si="90"/>
        <v>82721</v>
      </c>
      <c r="W252" s="215" t="s">
        <v>553</v>
      </c>
      <c r="X252" s="392">
        <f>X253+X254+X255</f>
        <v>832198.83000000007</v>
      </c>
      <c r="Y252" s="319">
        <f t="shared" si="105"/>
        <v>0.62937609093521707</v>
      </c>
      <c r="Z252" s="397"/>
    </row>
    <row r="253" spans="2:26" s="539" customFormat="1" ht="17.25" customHeight="1" x14ac:dyDescent="0.25">
      <c r="B253" s="537"/>
      <c r="C253" s="504" t="s">
        <v>1092</v>
      </c>
      <c r="D253" s="505" t="s">
        <v>1093</v>
      </c>
      <c r="E253" s="297">
        <v>1070901</v>
      </c>
      <c r="F253" s="297">
        <f>1070901+22307</f>
        <v>1093208</v>
      </c>
      <c r="G253" s="506">
        <f t="shared" si="92"/>
        <v>22307</v>
      </c>
      <c r="H253" s="298" t="s">
        <v>1080</v>
      </c>
      <c r="I253" s="506">
        <f t="shared" ref="I253:I262" si="116">ROUND(F253,0)</f>
        <v>1093208</v>
      </c>
      <c r="J253" s="506">
        <f t="shared" si="100"/>
        <v>0</v>
      </c>
      <c r="K253" s="287"/>
      <c r="L253" s="506">
        <f>ROUND(I253,0)</f>
        <v>1093208</v>
      </c>
      <c r="M253" s="392">
        <f t="shared" si="101"/>
        <v>0</v>
      </c>
      <c r="N253" s="287"/>
      <c r="O253" s="506">
        <f>ROUND(L253,0)</f>
        <v>1093208</v>
      </c>
      <c r="P253" s="506">
        <f>O253-L253</f>
        <v>0</v>
      </c>
      <c r="Q253" s="287"/>
      <c r="R253" s="506">
        <f t="shared" ref="R253:R262" si="117">ROUND(O253,0)</f>
        <v>1093208</v>
      </c>
      <c r="S253" s="506">
        <f t="shared" si="89"/>
        <v>0</v>
      </c>
      <c r="T253" s="287"/>
      <c r="U253" s="506">
        <f>ROUND(R253,0)+85381</f>
        <v>1178589</v>
      </c>
      <c r="V253" s="506">
        <f t="shared" si="90"/>
        <v>85381</v>
      </c>
      <c r="W253" s="287"/>
      <c r="X253" s="506">
        <f>787017.87-X255-X256</f>
        <v>742144.61</v>
      </c>
      <c r="Y253" s="319">
        <f t="shared" si="105"/>
        <v>0.62968906887812459</v>
      </c>
      <c r="Z253" s="538"/>
    </row>
    <row r="254" spans="2:26" s="539" customFormat="1" ht="19.95" customHeight="1" x14ac:dyDescent="0.25">
      <c r="B254" s="537"/>
      <c r="C254" s="504" t="s">
        <v>1094</v>
      </c>
      <c r="D254" s="505" t="s">
        <v>1095</v>
      </c>
      <c r="E254" s="297">
        <v>56200</v>
      </c>
      <c r="F254" s="297">
        <f>56200+52004-31</f>
        <v>108173</v>
      </c>
      <c r="G254" s="506">
        <f t="shared" si="92"/>
        <v>51973</v>
      </c>
      <c r="H254" s="298" t="s">
        <v>1080</v>
      </c>
      <c r="I254" s="506">
        <f>ROUND(F254,0)+18425</f>
        <v>126598</v>
      </c>
      <c r="J254" s="506">
        <f t="shared" si="100"/>
        <v>18425</v>
      </c>
      <c r="K254" s="287" t="s">
        <v>1081</v>
      </c>
      <c r="L254" s="506">
        <f>ROUND(I254,0)</f>
        <v>126598</v>
      </c>
      <c r="M254" s="392">
        <f t="shared" si="101"/>
        <v>0</v>
      </c>
      <c r="N254" s="287"/>
      <c r="O254" s="506">
        <f>ROUND(L254,0)</f>
        <v>126598</v>
      </c>
      <c r="P254" s="506">
        <f>O254-L254</f>
        <v>0</v>
      </c>
      <c r="Q254" s="287"/>
      <c r="R254" s="506">
        <f t="shared" si="117"/>
        <v>126598</v>
      </c>
      <c r="S254" s="506">
        <f t="shared" si="89"/>
        <v>0</v>
      </c>
      <c r="T254" s="287"/>
      <c r="U254" s="506">
        <f>ROUND(R254,0)-2660</f>
        <v>123938</v>
      </c>
      <c r="V254" s="506">
        <f t="shared" si="90"/>
        <v>-2660</v>
      </c>
      <c r="W254" s="287"/>
      <c r="X254" s="506">
        <v>82120.19</v>
      </c>
      <c r="Y254" s="319">
        <f t="shared" si="105"/>
        <v>0.66259089222030376</v>
      </c>
      <c r="Z254" s="538"/>
    </row>
    <row r="255" spans="2:26" s="539" customFormat="1" ht="17.25" customHeight="1" x14ac:dyDescent="0.25">
      <c r="B255" s="537"/>
      <c r="C255" s="504" t="s">
        <v>1096</v>
      </c>
      <c r="D255" s="505" t="s">
        <v>1097</v>
      </c>
      <c r="E255" s="297"/>
      <c r="F255" s="297">
        <v>150</v>
      </c>
      <c r="G255" s="506">
        <f t="shared" si="92"/>
        <v>150</v>
      </c>
      <c r="H255" s="298" t="s">
        <v>1080</v>
      </c>
      <c r="I255" s="506">
        <f>ROUND(F255,0)+19583</f>
        <v>19733</v>
      </c>
      <c r="J255" s="506">
        <f t="shared" si="100"/>
        <v>19583</v>
      </c>
      <c r="K255" s="287" t="s">
        <v>1038</v>
      </c>
      <c r="L255" s="506">
        <f>ROUND(I255,0)</f>
        <v>19733</v>
      </c>
      <c r="M255" s="392">
        <f t="shared" si="101"/>
        <v>0</v>
      </c>
      <c r="N255" s="287"/>
      <c r="O255" s="506">
        <f>ROUND(L255,0)</f>
        <v>19733</v>
      </c>
      <c r="P255" s="506">
        <f>O255-L255</f>
        <v>0</v>
      </c>
      <c r="Q255" s="287"/>
      <c r="R255" s="506">
        <f t="shared" si="117"/>
        <v>19733</v>
      </c>
      <c r="S255" s="506">
        <f t="shared" si="89"/>
        <v>0</v>
      </c>
      <c r="T255" s="287"/>
      <c r="U255" s="506">
        <f t="shared" ref="U255:U262" si="118">ROUND(R255,0)</f>
        <v>19733</v>
      </c>
      <c r="V255" s="506">
        <f t="shared" si="90"/>
        <v>0</v>
      </c>
      <c r="W255" s="287"/>
      <c r="X255" s="506">
        <f>1864.03+6070</f>
        <v>7934.03</v>
      </c>
      <c r="Y255" s="346">
        <f t="shared" si="105"/>
        <v>0.40206912278923629</v>
      </c>
      <c r="Z255" s="538"/>
    </row>
    <row r="256" spans="2:26" s="389" customFormat="1" x14ac:dyDescent="0.25">
      <c r="B256" s="389" t="s">
        <v>1090</v>
      </c>
      <c r="C256" s="489" t="s">
        <v>1098</v>
      </c>
      <c r="D256" s="461" t="s">
        <v>1099</v>
      </c>
      <c r="E256" s="236">
        <v>49493</v>
      </c>
      <c r="F256" s="236">
        <f>ROUND(E256,0)+4754</f>
        <v>54247</v>
      </c>
      <c r="G256" s="392">
        <f t="shared" si="92"/>
        <v>4754</v>
      </c>
      <c r="H256" s="215" t="s">
        <v>1037</v>
      </c>
      <c r="I256" s="392">
        <f t="shared" si="116"/>
        <v>54247</v>
      </c>
      <c r="J256" s="392">
        <f t="shared" si="100"/>
        <v>0</v>
      </c>
      <c r="K256" s="215"/>
      <c r="L256" s="392">
        <f t="shared" ref="L256:L262" si="119">ROUND(I256,0)</f>
        <v>54247</v>
      </c>
      <c r="M256" s="392">
        <f t="shared" si="101"/>
        <v>0</v>
      </c>
      <c r="N256" s="215"/>
      <c r="O256" s="392">
        <f t="shared" ref="O256:O261" si="120">ROUND(L256,0)</f>
        <v>54247</v>
      </c>
      <c r="P256" s="392">
        <f t="shared" si="102"/>
        <v>0</v>
      </c>
      <c r="Q256" s="215"/>
      <c r="R256" s="392">
        <f t="shared" si="117"/>
        <v>54247</v>
      </c>
      <c r="S256" s="392">
        <f t="shared" si="89"/>
        <v>0</v>
      </c>
      <c r="T256" s="215"/>
      <c r="U256" s="392">
        <f t="shared" si="118"/>
        <v>54247</v>
      </c>
      <c r="V256" s="392">
        <f t="shared" si="90"/>
        <v>0</v>
      </c>
      <c r="W256" s="215"/>
      <c r="X256" s="392">
        <v>36939.230000000003</v>
      </c>
      <c r="Y256" s="319">
        <f t="shared" si="105"/>
        <v>0.68094512138920127</v>
      </c>
      <c r="Z256" s="397"/>
    </row>
    <row r="257" spans="2:26" s="389" customFormat="1" ht="59.25" customHeight="1" x14ac:dyDescent="0.25">
      <c r="B257" s="402" t="s">
        <v>1100</v>
      </c>
      <c r="C257" s="489" t="s">
        <v>1101</v>
      </c>
      <c r="D257" s="461" t="s">
        <v>1041</v>
      </c>
      <c r="E257" s="212">
        <v>659972.47414999991</v>
      </c>
      <c r="F257" s="212">
        <f>ROUND(E257,0)-42018-43430</f>
        <v>574524</v>
      </c>
      <c r="G257" s="392">
        <f t="shared" si="92"/>
        <v>-85448.474149999907</v>
      </c>
      <c r="H257" s="239" t="s">
        <v>1102</v>
      </c>
      <c r="I257" s="392">
        <f t="shared" si="116"/>
        <v>574524</v>
      </c>
      <c r="J257" s="392">
        <f t="shared" si="100"/>
        <v>0</v>
      </c>
      <c r="K257" s="215" t="s">
        <v>1103</v>
      </c>
      <c r="L257" s="392">
        <f>ROUND(I257,0)-5191</f>
        <v>569333</v>
      </c>
      <c r="M257" s="392">
        <f t="shared" si="101"/>
        <v>-5191</v>
      </c>
      <c r="N257" s="215" t="s">
        <v>796</v>
      </c>
      <c r="O257" s="392">
        <f t="shared" si="120"/>
        <v>569333</v>
      </c>
      <c r="P257" s="392">
        <f t="shared" si="102"/>
        <v>0</v>
      </c>
      <c r="Q257" s="215"/>
      <c r="R257" s="392">
        <f t="shared" si="117"/>
        <v>569333</v>
      </c>
      <c r="S257" s="392">
        <f t="shared" si="89"/>
        <v>0</v>
      </c>
      <c r="T257" s="215"/>
      <c r="U257" s="392">
        <f>ROUND(R257,0)+57819</f>
        <v>627152</v>
      </c>
      <c r="V257" s="392">
        <f t="shared" si="90"/>
        <v>57819</v>
      </c>
      <c r="W257" s="215" t="s">
        <v>1254</v>
      </c>
      <c r="X257" s="392">
        <f>630489.35-209673</f>
        <v>420816.35</v>
      </c>
      <c r="Y257" s="319">
        <f t="shared" si="105"/>
        <v>0.67099578730515086</v>
      </c>
      <c r="Z257" s="392"/>
    </row>
    <row r="258" spans="2:26" s="389" customFormat="1" ht="16.95" customHeight="1" x14ac:dyDescent="0.25">
      <c r="B258" s="402"/>
      <c r="C258" s="489" t="s">
        <v>1104</v>
      </c>
      <c r="D258" s="461" t="s">
        <v>1046</v>
      </c>
      <c r="E258" s="212">
        <v>283797</v>
      </c>
      <c r="F258" s="212">
        <f>ROUND(E258,0)</f>
        <v>283797</v>
      </c>
      <c r="G258" s="392">
        <f t="shared" ref="G258:G261" si="121">F258-E258</f>
        <v>0</v>
      </c>
      <c r="H258" s="228"/>
      <c r="I258" s="392">
        <f t="shared" si="116"/>
        <v>283797</v>
      </c>
      <c r="J258" s="392">
        <f t="shared" si="100"/>
        <v>0</v>
      </c>
      <c r="K258" s="215"/>
      <c r="L258" s="392">
        <f t="shared" si="119"/>
        <v>283797</v>
      </c>
      <c r="M258" s="392">
        <f t="shared" si="101"/>
        <v>0</v>
      </c>
      <c r="N258" s="215"/>
      <c r="O258" s="392">
        <f>ROUND(L258,0)</f>
        <v>283797</v>
      </c>
      <c r="P258" s="392">
        <f t="shared" si="102"/>
        <v>0</v>
      </c>
      <c r="Q258" s="215"/>
      <c r="R258" s="392">
        <f t="shared" si="117"/>
        <v>283797</v>
      </c>
      <c r="S258" s="392">
        <f t="shared" si="89"/>
        <v>0</v>
      </c>
      <c r="T258" s="215"/>
      <c r="U258" s="392">
        <f t="shared" si="118"/>
        <v>283797</v>
      </c>
      <c r="V258" s="392">
        <f t="shared" si="90"/>
        <v>0</v>
      </c>
      <c r="W258" s="215"/>
      <c r="X258" s="404">
        <v>194104</v>
      </c>
      <c r="Y258" s="319">
        <f t="shared" si="105"/>
        <v>0.68395367110998351</v>
      </c>
      <c r="Z258" s="397"/>
    </row>
    <row r="259" spans="2:26" s="389" customFormat="1" ht="16.95" customHeight="1" x14ac:dyDescent="0.25">
      <c r="B259" s="402" t="s">
        <v>1105</v>
      </c>
      <c r="C259" s="489" t="s">
        <v>1106</v>
      </c>
      <c r="D259" s="461" t="s">
        <v>1107</v>
      </c>
      <c r="E259" s="212">
        <v>3668</v>
      </c>
      <c r="F259" s="212">
        <f>ROUND(E259,0)</f>
        <v>3668</v>
      </c>
      <c r="G259" s="392">
        <f t="shared" si="121"/>
        <v>0</v>
      </c>
      <c r="H259" s="213"/>
      <c r="I259" s="392">
        <f>ROUND(F259,0)+7552</f>
        <v>11220</v>
      </c>
      <c r="J259" s="392">
        <f t="shared" si="100"/>
        <v>7552</v>
      </c>
      <c r="K259" s="214" t="s">
        <v>587</v>
      </c>
      <c r="L259" s="392">
        <f t="shared" si="119"/>
        <v>11220</v>
      </c>
      <c r="M259" s="392">
        <f t="shared" si="101"/>
        <v>0</v>
      </c>
      <c r="N259" s="214"/>
      <c r="O259" s="392">
        <f t="shared" si="120"/>
        <v>11220</v>
      </c>
      <c r="P259" s="392">
        <f t="shared" si="102"/>
        <v>0</v>
      </c>
      <c r="Q259" s="214"/>
      <c r="R259" s="392">
        <f t="shared" si="117"/>
        <v>11220</v>
      </c>
      <c r="S259" s="392">
        <f t="shared" si="89"/>
        <v>0</v>
      </c>
      <c r="T259" s="214"/>
      <c r="U259" s="392">
        <f t="shared" si="118"/>
        <v>11220</v>
      </c>
      <c r="V259" s="392">
        <f t="shared" si="90"/>
        <v>0</v>
      </c>
      <c r="W259" s="214"/>
      <c r="X259" s="392">
        <v>4337.32</v>
      </c>
      <c r="Y259" s="319">
        <f t="shared" si="105"/>
        <v>0.38657040998217468</v>
      </c>
      <c r="Z259" s="397"/>
    </row>
    <row r="260" spans="2:26" s="470" customFormat="1" ht="15.6" customHeight="1" x14ac:dyDescent="0.25">
      <c r="B260" s="427" t="s">
        <v>1108</v>
      </c>
      <c r="C260" s="489" t="s">
        <v>1109</v>
      </c>
      <c r="D260" s="461" t="s">
        <v>1110</v>
      </c>
      <c r="E260" s="212">
        <v>15469</v>
      </c>
      <c r="F260" s="212">
        <f>ROUND(E260,0)</f>
        <v>15469</v>
      </c>
      <c r="G260" s="392">
        <f t="shared" si="121"/>
        <v>0</v>
      </c>
      <c r="H260" s="213"/>
      <c r="I260" s="392">
        <f>ROUND(F260,0)+27100</f>
        <v>42569</v>
      </c>
      <c r="J260" s="392">
        <f t="shared" si="100"/>
        <v>27100</v>
      </c>
      <c r="K260" s="299" t="s">
        <v>1111</v>
      </c>
      <c r="L260" s="392">
        <f t="shared" si="119"/>
        <v>42569</v>
      </c>
      <c r="M260" s="392">
        <f t="shared" si="101"/>
        <v>0</v>
      </c>
      <c r="N260" s="245"/>
      <c r="O260" s="392">
        <f t="shared" si="120"/>
        <v>42569</v>
      </c>
      <c r="P260" s="392">
        <f t="shared" si="102"/>
        <v>0</v>
      </c>
      <c r="Q260" s="245"/>
      <c r="R260" s="392">
        <f>ROUND(O260,0)+16100+30000</f>
        <v>88669</v>
      </c>
      <c r="S260" s="392">
        <f t="shared" ref="S260:S302" si="122">R260-O260</f>
        <v>46100</v>
      </c>
      <c r="T260" s="246" t="s">
        <v>659</v>
      </c>
      <c r="U260" s="392">
        <f t="shared" si="118"/>
        <v>88669</v>
      </c>
      <c r="V260" s="392">
        <f t="shared" ref="V260:V302" si="123">U260-R260</f>
        <v>0</v>
      </c>
      <c r="W260" s="246"/>
      <c r="X260" s="392">
        <f>14473.66+32268.87</f>
        <v>46742.53</v>
      </c>
      <c r="Y260" s="319">
        <f t="shared" si="105"/>
        <v>0.52715751841116965</v>
      </c>
      <c r="Z260" s="397"/>
    </row>
    <row r="261" spans="2:26" s="470" customFormat="1" ht="15" customHeight="1" x14ac:dyDescent="0.25">
      <c r="B261" s="427" t="s">
        <v>1112</v>
      </c>
      <c r="C261" s="489" t="s">
        <v>1113</v>
      </c>
      <c r="D261" s="461" t="s">
        <v>1114</v>
      </c>
      <c r="E261" s="212">
        <v>0</v>
      </c>
      <c r="F261" s="212">
        <f>ROUND(E261,0)</f>
        <v>0</v>
      </c>
      <c r="G261" s="392">
        <f t="shared" si="121"/>
        <v>0</v>
      </c>
      <c r="H261" s="213"/>
      <c r="I261" s="392">
        <f t="shared" si="116"/>
        <v>0</v>
      </c>
      <c r="J261" s="392">
        <f t="shared" si="100"/>
        <v>0</v>
      </c>
      <c r="K261" s="214"/>
      <c r="L261" s="392">
        <f t="shared" si="119"/>
        <v>0</v>
      </c>
      <c r="M261" s="392">
        <f t="shared" si="101"/>
        <v>0</v>
      </c>
      <c r="N261" s="214"/>
      <c r="O261" s="392">
        <f t="shared" si="120"/>
        <v>0</v>
      </c>
      <c r="P261" s="392">
        <f t="shared" si="102"/>
        <v>0</v>
      </c>
      <c r="Q261" s="214"/>
      <c r="R261" s="392">
        <f t="shared" si="117"/>
        <v>0</v>
      </c>
      <c r="S261" s="392">
        <f t="shared" si="122"/>
        <v>0</v>
      </c>
      <c r="T261" s="214"/>
      <c r="U261" s="392">
        <f t="shared" si="118"/>
        <v>0</v>
      </c>
      <c r="V261" s="392">
        <f t="shared" si="123"/>
        <v>0</v>
      </c>
      <c r="W261" s="214"/>
      <c r="X261" s="397"/>
      <c r="Y261" s="319"/>
      <c r="Z261" s="397"/>
    </row>
    <row r="262" spans="2:26" ht="13.5" customHeight="1" x14ac:dyDescent="0.25">
      <c r="B262" s="427" t="s">
        <v>1115</v>
      </c>
      <c r="C262" s="531" t="s">
        <v>1116</v>
      </c>
      <c r="D262" s="492" t="s">
        <v>363</v>
      </c>
      <c r="E262" s="272">
        <v>0</v>
      </c>
      <c r="F262" s="272">
        <f>ROUND(E262,0)+19357+102058</f>
        <v>121415</v>
      </c>
      <c r="G262" s="493">
        <f>F262-E262</f>
        <v>121415</v>
      </c>
      <c r="H262" s="242" t="s">
        <v>1117</v>
      </c>
      <c r="I262" s="493">
        <f t="shared" si="116"/>
        <v>121415</v>
      </c>
      <c r="J262" s="493">
        <f t="shared" si="100"/>
        <v>0</v>
      </c>
      <c r="K262" s="242"/>
      <c r="L262" s="493">
        <f t="shared" si="119"/>
        <v>121415</v>
      </c>
      <c r="M262" s="493">
        <f t="shared" si="101"/>
        <v>0</v>
      </c>
      <c r="N262" s="242"/>
      <c r="O262" s="493">
        <f>ROUND(L262,0)-6629</f>
        <v>114786</v>
      </c>
      <c r="P262" s="493">
        <f t="shared" si="102"/>
        <v>-6629</v>
      </c>
      <c r="Q262" s="242" t="s">
        <v>1118</v>
      </c>
      <c r="R262" s="493">
        <f t="shared" si="117"/>
        <v>114786</v>
      </c>
      <c r="S262" s="493">
        <f t="shared" si="122"/>
        <v>0</v>
      </c>
      <c r="T262" s="242"/>
      <c r="U262" s="493">
        <f t="shared" si="118"/>
        <v>114786</v>
      </c>
      <c r="V262" s="493">
        <f t="shared" si="123"/>
        <v>0</v>
      </c>
      <c r="W262" s="242"/>
      <c r="X262" s="493">
        <v>114786</v>
      </c>
      <c r="Y262" s="339">
        <f t="shared" ref="Y262:Y302" si="124">X262/U262</f>
        <v>1</v>
      </c>
      <c r="Z262" s="409" t="s">
        <v>1255</v>
      </c>
    </row>
    <row r="263" spans="2:26" s="389" customFormat="1" ht="15.75" customHeight="1" x14ac:dyDescent="0.25">
      <c r="B263" s="402"/>
      <c r="C263" s="531" t="s">
        <v>1119</v>
      </c>
      <c r="D263" s="492" t="s">
        <v>1120</v>
      </c>
      <c r="E263" s="493">
        <v>8531591.7446570527</v>
      </c>
      <c r="F263" s="272">
        <f>F264+F268+F269+F270+F271+F272+F273+F274+F275+F276+F277</f>
        <v>8748498</v>
      </c>
      <c r="G263" s="272">
        <f t="shared" ref="G263:H263" si="125">G264+G268+G269+G270+G271+G272+G273+G274+G275+G276+G277</f>
        <v>216906.25534294697</v>
      </c>
      <c r="H263" s="272" t="e">
        <f t="shared" si="125"/>
        <v>#VALUE!</v>
      </c>
      <c r="I263" s="272">
        <f>I264+I268+I269+I270+I271+I272+I273+I274+I275+I276+I277</f>
        <v>8832612</v>
      </c>
      <c r="J263" s="493">
        <f t="shared" si="100"/>
        <v>84114</v>
      </c>
      <c r="K263" s="242"/>
      <c r="L263" s="272">
        <f>L264+L268+L269+L270+L271+L272+L273+L274+L275+L276+L277</f>
        <v>8853612</v>
      </c>
      <c r="M263" s="493">
        <f t="shared" si="101"/>
        <v>21000</v>
      </c>
      <c r="N263" s="242"/>
      <c r="O263" s="493">
        <f>O264+O268+O269+O270+O271+O272+O273+O274+O275+O276+O277</f>
        <v>8850462</v>
      </c>
      <c r="P263" s="493">
        <f t="shared" si="102"/>
        <v>-3150</v>
      </c>
      <c r="Q263" s="242"/>
      <c r="R263" s="493">
        <f>R264+R268+R269+R270+R271+R272+R273+R274+R275+R276+R277</f>
        <v>8838626</v>
      </c>
      <c r="S263" s="493">
        <f t="shared" si="122"/>
        <v>-11836</v>
      </c>
      <c r="T263" s="242"/>
      <c r="U263" s="493">
        <f>U264+U268+U269+U270+U271+U272+U273+U274+U275+U276+U277</f>
        <v>8818160</v>
      </c>
      <c r="V263" s="493">
        <f t="shared" si="123"/>
        <v>-20466</v>
      </c>
      <c r="W263" s="242"/>
      <c r="X263" s="493">
        <f>X264+X268+X269+X270+X271+X272+X273+X274+X275+X276+X277</f>
        <v>4972761.51</v>
      </c>
      <c r="Y263" s="339">
        <f t="shared" si="124"/>
        <v>0.56392280362343161</v>
      </c>
      <c r="Z263" s="495"/>
    </row>
    <row r="264" spans="2:26" s="389" customFormat="1" ht="17.25" customHeight="1" x14ac:dyDescent="0.25">
      <c r="B264" s="402" t="s">
        <v>750</v>
      </c>
      <c r="C264" s="489" t="s">
        <v>1121</v>
      </c>
      <c r="D264" s="461" t="s">
        <v>1036</v>
      </c>
      <c r="E264" s="212">
        <v>4238288</v>
      </c>
      <c r="F264" s="212">
        <f>SUM(F265:F267)</f>
        <v>4362146</v>
      </c>
      <c r="G264" s="392">
        <f t="shared" ref="G264:G302" si="126">F264-E264</f>
        <v>123858</v>
      </c>
      <c r="H264" s="239" t="s">
        <v>1080</v>
      </c>
      <c r="I264" s="392">
        <f>SUM(I265:I267)</f>
        <v>4407640</v>
      </c>
      <c r="J264" s="392">
        <f t="shared" si="100"/>
        <v>45494</v>
      </c>
      <c r="K264" s="215"/>
      <c r="L264" s="392">
        <f>SUM(L265:L267)</f>
        <v>4407640</v>
      </c>
      <c r="M264" s="392">
        <f t="shared" si="101"/>
        <v>0</v>
      </c>
      <c r="N264" s="215"/>
      <c r="O264" s="392">
        <f>SUM(O265:O267)</f>
        <v>4407640</v>
      </c>
      <c r="P264" s="392">
        <f t="shared" si="102"/>
        <v>0</v>
      </c>
      <c r="Q264" s="215"/>
      <c r="R264" s="392">
        <f>SUM(R265:R267)</f>
        <v>4407640</v>
      </c>
      <c r="S264" s="392">
        <f t="shared" si="122"/>
        <v>0</v>
      </c>
      <c r="T264" s="215"/>
      <c r="U264" s="392">
        <f>SUM(U265:U267)</f>
        <v>4396662</v>
      </c>
      <c r="V264" s="392">
        <f t="shared" si="123"/>
        <v>-10978</v>
      </c>
      <c r="W264" s="215" t="s">
        <v>553</v>
      </c>
      <c r="X264" s="392">
        <f>SUM(X265:X267)</f>
        <v>2833781.99</v>
      </c>
      <c r="Y264" s="319">
        <f t="shared" si="124"/>
        <v>0.64453032550603162</v>
      </c>
      <c r="Z264" s="397"/>
    </row>
    <row r="265" spans="2:26" s="539" customFormat="1" ht="17.25" customHeight="1" x14ac:dyDescent="0.25">
      <c r="B265" s="537"/>
      <c r="C265" s="504" t="s">
        <v>1122</v>
      </c>
      <c r="D265" s="505" t="s">
        <v>1123</v>
      </c>
      <c r="E265" s="297">
        <v>4021527</v>
      </c>
      <c r="F265" s="297">
        <f>4021527+17418-6716</f>
        <v>4032229</v>
      </c>
      <c r="G265" s="506">
        <f t="shared" si="126"/>
        <v>10702</v>
      </c>
      <c r="H265" s="298" t="s">
        <v>1080</v>
      </c>
      <c r="I265" s="506">
        <f>ROUND(F265,0)</f>
        <v>4032229</v>
      </c>
      <c r="J265" s="506">
        <f>I265-F265</f>
        <v>0</v>
      </c>
      <c r="K265" s="287"/>
      <c r="L265" s="506">
        <f>ROUND(I265,0)</f>
        <v>4032229</v>
      </c>
      <c r="M265" s="392">
        <f t="shared" si="101"/>
        <v>0</v>
      </c>
      <c r="N265" s="287"/>
      <c r="O265" s="392">
        <f>ROUND(L265,0)</f>
        <v>4032229</v>
      </c>
      <c r="P265" s="392">
        <f>O265-L265</f>
        <v>0</v>
      </c>
      <c r="Q265" s="287"/>
      <c r="R265" s="392">
        <f>ROUND(O265,0)</f>
        <v>4032229</v>
      </c>
      <c r="S265" s="392">
        <f t="shared" si="122"/>
        <v>0</v>
      </c>
      <c r="T265" s="287"/>
      <c r="U265" s="392">
        <f>ROUND(R265,0)+(14311-2258)</f>
        <v>4044282</v>
      </c>
      <c r="V265" s="392">
        <f t="shared" si="123"/>
        <v>12053</v>
      </c>
      <c r="W265" s="287"/>
      <c r="X265" s="506">
        <f>2763406.18-X267-X276</f>
        <v>2623492.1700000004</v>
      </c>
      <c r="Y265" s="319">
        <f t="shared" si="124"/>
        <v>0.6486917010238159</v>
      </c>
      <c r="Z265" s="538"/>
    </row>
    <row r="266" spans="2:26" s="539" customFormat="1" ht="16.95" customHeight="1" x14ac:dyDescent="0.25">
      <c r="B266" s="537"/>
      <c r="C266" s="504" t="s">
        <v>1124</v>
      </c>
      <c r="D266" s="505" t="s">
        <v>1095</v>
      </c>
      <c r="E266" s="297">
        <v>216761</v>
      </c>
      <c r="F266" s="297">
        <f>216761+110614+3572+30+4-1482</f>
        <v>329499</v>
      </c>
      <c r="G266" s="506">
        <f t="shared" si="126"/>
        <v>112738</v>
      </c>
      <c r="H266" s="298" t="s">
        <v>1080</v>
      </c>
      <c r="I266" s="506">
        <f>ROUND(F266,0)-49310+22060+264</f>
        <v>302513</v>
      </c>
      <c r="J266" s="506">
        <f>I266-F266</f>
        <v>-26986</v>
      </c>
      <c r="K266" s="287" t="s">
        <v>1081</v>
      </c>
      <c r="L266" s="506">
        <f>ROUND(I266,0)</f>
        <v>302513</v>
      </c>
      <c r="M266" s="392">
        <f t="shared" si="101"/>
        <v>0</v>
      </c>
      <c r="N266" s="287"/>
      <c r="O266" s="392">
        <f>ROUND(L266,0)</f>
        <v>302513</v>
      </c>
      <c r="P266" s="392">
        <f>O266-L266</f>
        <v>0</v>
      </c>
      <c r="Q266" s="287"/>
      <c r="R266" s="392">
        <f>ROUND(O266,0)</f>
        <v>302513</v>
      </c>
      <c r="S266" s="392">
        <f t="shared" si="122"/>
        <v>0</v>
      </c>
      <c r="T266" s="287"/>
      <c r="U266" s="392">
        <f>ROUND(R266,0)-4668-18363</f>
        <v>279482</v>
      </c>
      <c r="V266" s="392">
        <f t="shared" si="123"/>
        <v>-23031</v>
      </c>
      <c r="W266" s="287"/>
      <c r="X266" s="506">
        <v>168946.36</v>
      </c>
      <c r="Y266" s="319">
        <f t="shared" si="124"/>
        <v>0.60449817877358825</v>
      </c>
      <c r="Z266" s="538"/>
    </row>
    <row r="267" spans="2:26" s="539" customFormat="1" ht="17.25" customHeight="1" x14ac:dyDescent="0.25">
      <c r="B267" s="537"/>
      <c r="C267" s="504" t="s">
        <v>1125</v>
      </c>
      <c r="D267" s="505" t="s">
        <v>1097</v>
      </c>
      <c r="E267" s="297"/>
      <c r="F267" s="297">
        <f>418</f>
        <v>418</v>
      </c>
      <c r="G267" s="506">
        <f t="shared" si="126"/>
        <v>418</v>
      </c>
      <c r="H267" s="298" t="s">
        <v>1080</v>
      </c>
      <c r="I267" s="506">
        <f>ROUND(F267,0)-264+71355+538+851</f>
        <v>72898</v>
      </c>
      <c r="J267" s="506">
        <f>I267-F267</f>
        <v>72480</v>
      </c>
      <c r="K267" s="287" t="s">
        <v>1061</v>
      </c>
      <c r="L267" s="506">
        <f>ROUND(I267,0)</f>
        <v>72898</v>
      </c>
      <c r="M267" s="392">
        <f t="shared" si="101"/>
        <v>0</v>
      </c>
      <c r="N267" s="287"/>
      <c r="O267" s="392">
        <f>ROUND(L267,0)</f>
        <v>72898</v>
      </c>
      <c r="P267" s="392">
        <f>O267-L267</f>
        <v>0</v>
      </c>
      <c r="Q267" s="287"/>
      <c r="R267" s="392">
        <f>ROUND(O267,0)</f>
        <v>72898</v>
      </c>
      <c r="S267" s="392">
        <f t="shared" si="122"/>
        <v>0</v>
      </c>
      <c r="T267" s="287"/>
      <c r="U267" s="392">
        <f>ROUND(R267,0)</f>
        <v>72898</v>
      </c>
      <c r="V267" s="392">
        <f t="shared" si="123"/>
        <v>0</v>
      </c>
      <c r="W267" s="287"/>
      <c r="X267" s="506">
        <v>41343.46</v>
      </c>
      <c r="Y267" s="346">
        <f t="shared" si="124"/>
        <v>0.56714121100716064</v>
      </c>
      <c r="Z267" s="538"/>
    </row>
    <row r="268" spans="2:26" s="389" customFormat="1" ht="43.2" customHeight="1" x14ac:dyDescent="0.25">
      <c r="B268" s="402" t="s">
        <v>1126</v>
      </c>
      <c r="C268" s="489" t="s">
        <v>1127</v>
      </c>
      <c r="D268" s="461" t="s">
        <v>1041</v>
      </c>
      <c r="E268" s="212">
        <v>1427218.8621271863</v>
      </c>
      <c r="F268" s="212">
        <f>ROUND(E268,0)-337847+35517</f>
        <v>1124889</v>
      </c>
      <c r="G268" s="392">
        <f t="shared" si="126"/>
        <v>-302329.86212718626</v>
      </c>
      <c r="H268" s="215" t="s">
        <v>1128</v>
      </c>
      <c r="I268" s="392">
        <f>ROUND(F268,0)-146203</f>
        <v>978686</v>
      </c>
      <c r="J268" s="392">
        <f t="shared" si="100"/>
        <v>-146203</v>
      </c>
      <c r="K268" s="215" t="s">
        <v>1129</v>
      </c>
      <c r="L268" s="392">
        <f>ROUND(I268,0)+5000+16000</f>
        <v>999686</v>
      </c>
      <c r="M268" s="392">
        <f t="shared" si="101"/>
        <v>21000</v>
      </c>
      <c r="N268" s="300" t="s">
        <v>1130</v>
      </c>
      <c r="O268" s="392">
        <f>ROUND(L268,0)-6000</f>
        <v>993686</v>
      </c>
      <c r="P268" s="392">
        <f t="shared" si="102"/>
        <v>-6000</v>
      </c>
      <c r="Q268" s="214" t="s">
        <v>1131</v>
      </c>
      <c r="R268" s="392">
        <f>ROUND(O268,0)-5600</f>
        <v>988086</v>
      </c>
      <c r="S268" s="392">
        <f t="shared" si="122"/>
        <v>-5600</v>
      </c>
      <c r="T268" s="360" t="s">
        <v>1132</v>
      </c>
      <c r="U268" s="392">
        <f>ROUND(R268,0)-12000-8708</f>
        <v>967378</v>
      </c>
      <c r="V268" s="392">
        <f t="shared" si="123"/>
        <v>-20708</v>
      </c>
      <c r="W268" s="301" t="s">
        <v>1256</v>
      </c>
      <c r="X268" s="392">
        <f>1079482.88-303495.26-X272-X273</f>
        <v>697863.96999999986</v>
      </c>
      <c r="Y268" s="319">
        <f t="shared" si="124"/>
        <v>0.72139739584733154</v>
      </c>
      <c r="Z268" s="397"/>
    </row>
    <row r="269" spans="2:26" s="389" customFormat="1" ht="73.2" customHeight="1" x14ac:dyDescent="0.25">
      <c r="B269" s="402"/>
      <c r="C269" s="489" t="s">
        <v>1133</v>
      </c>
      <c r="D269" s="461" t="s">
        <v>1046</v>
      </c>
      <c r="E269" s="212"/>
      <c r="F269" s="212">
        <v>337847</v>
      </c>
      <c r="G269" s="392">
        <f t="shared" si="126"/>
        <v>337847</v>
      </c>
      <c r="H269" s="215"/>
      <c r="I269" s="392">
        <f>ROUND(F269,0)+10919+146203</f>
        <v>494969</v>
      </c>
      <c r="J269" s="392">
        <f>I269-F269</f>
        <v>157122</v>
      </c>
      <c r="K269" s="215" t="s">
        <v>1134</v>
      </c>
      <c r="L269" s="392">
        <f>ROUND(I269,0)</f>
        <v>494969</v>
      </c>
      <c r="M269" s="392">
        <f t="shared" si="101"/>
        <v>0</v>
      </c>
      <c r="N269" s="215"/>
      <c r="O269" s="392">
        <f>ROUND(L269,0)+6000</f>
        <v>500969</v>
      </c>
      <c r="P269" s="392">
        <f>O269-L269</f>
        <v>6000</v>
      </c>
      <c r="Q269" s="214" t="s">
        <v>1131</v>
      </c>
      <c r="R269" s="392">
        <f>ROUND(O269,0)+5600</f>
        <v>506569</v>
      </c>
      <c r="S269" s="392">
        <f t="shared" si="122"/>
        <v>5600</v>
      </c>
      <c r="T269" s="361"/>
      <c r="U269" s="392">
        <f>ROUND(R269,0)+12000+2300+8708</f>
        <v>529577</v>
      </c>
      <c r="V269" s="392">
        <f t="shared" si="123"/>
        <v>23008</v>
      </c>
      <c r="W269" s="301" t="s">
        <v>1257</v>
      </c>
      <c r="X269" s="404">
        <f>309371+50109</f>
        <v>359480</v>
      </c>
      <c r="Y269" s="319">
        <f t="shared" si="124"/>
        <v>0.67880591490944664</v>
      </c>
      <c r="Z269" s="397"/>
    </row>
    <row r="270" spans="2:26" s="389" customFormat="1" ht="15" customHeight="1" x14ac:dyDescent="0.25">
      <c r="B270" s="389" t="s">
        <v>1135</v>
      </c>
      <c r="C270" s="489" t="s">
        <v>1136</v>
      </c>
      <c r="D270" s="461" t="s">
        <v>1137</v>
      </c>
      <c r="E270" s="212">
        <v>266093</v>
      </c>
      <c r="F270" s="212">
        <f>ROUND(E270,0)</f>
        <v>266093</v>
      </c>
      <c r="G270" s="392">
        <f t="shared" si="126"/>
        <v>0</v>
      </c>
      <c r="H270" s="214"/>
      <c r="I270" s="392">
        <f>ROUND(F270,0)-27100</f>
        <v>238993</v>
      </c>
      <c r="J270" s="392">
        <f t="shared" si="100"/>
        <v>-27100</v>
      </c>
      <c r="K270" s="299" t="s">
        <v>1111</v>
      </c>
      <c r="L270" s="392">
        <f t="shared" ref="L270:L276" si="127">ROUND(I270,0)</f>
        <v>238993</v>
      </c>
      <c r="M270" s="392">
        <f t="shared" si="101"/>
        <v>0</v>
      </c>
      <c r="N270" s="214"/>
      <c r="O270" s="392">
        <f t="shared" ref="O270:O276" si="128">ROUND(L270,0)</f>
        <v>238993</v>
      </c>
      <c r="P270" s="392">
        <f t="shared" si="102"/>
        <v>0</v>
      </c>
      <c r="Q270" s="214"/>
      <c r="R270" s="392">
        <f t="shared" ref="R270:R276" si="129">ROUND(O270,0)</f>
        <v>238993</v>
      </c>
      <c r="S270" s="392">
        <f t="shared" si="122"/>
        <v>0</v>
      </c>
      <c r="T270" s="214"/>
      <c r="U270" s="392">
        <f t="shared" ref="U270:U276" si="130">ROUND(R270,0)</f>
        <v>238993</v>
      </c>
      <c r="V270" s="392">
        <f t="shared" si="123"/>
        <v>0</v>
      </c>
      <c r="W270" s="214"/>
      <c r="X270" s="392">
        <v>77833.850000000006</v>
      </c>
      <c r="Y270" s="319">
        <f t="shared" si="124"/>
        <v>0.32567418292585976</v>
      </c>
      <c r="Z270" s="397"/>
    </row>
    <row r="271" spans="2:26" s="389" customFormat="1" ht="16.2" customHeight="1" x14ac:dyDescent="0.25">
      <c r="B271" s="402" t="s">
        <v>1138</v>
      </c>
      <c r="C271" s="489" t="s">
        <v>1139</v>
      </c>
      <c r="D271" s="461" t="s">
        <v>1107</v>
      </c>
      <c r="E271" s="212">
        <v>14485</v>
      </c>
      <c r="F271" s="212">
        <f>ROUND(E271,0)</f>
        <v>14485</v>
      </c>
      <c r="G271" s="392">
        <f t="shared" si="126"/>
        <v>0</v>
      </c>
      <c r="H271" s="214"/>
      <c r="I271" s="392">
        <f>ROUND(F271,0)+26175</f>
        <v>40660</v>
      </c>
      <c r="J271" s="392">
        <f t="shared" si="100"/>
        <v>26175</v>
      </c>
      <c r="K271" s="214" t="s">
        <v>587</v>
      </c>
      <c r="L271" s="392">
        <f t="shared" si="127"/>
        <v>40660</v>
      </c>
      <c r="M271" s="392">
        <f t="shared" si="101"/>
        <v>0</v>
      </c>
      <c r="N271" s="214"/>
      <c r="O271" s="392">
        <f t="shared" si="128"/>
        <v>40660</v>
      </c>
      <c r="P271" s="392">
        <f t="shared" si="102"/>
        <v>0</v>
      </c>
      <c r="Q271" s="214"/>
      <c r="R271" s="392">
        <f t="shared" si="129"/>
        <v>40660</v>
      </c>
      <c r="S271" s="392">
        <f t="shared" si="122"/>
        <v>0</v>
      </c>
      <c r="T271" s="214"/>
      <c r="U271" s="392">
        <f t="shared" si="130"/>
        <v>40660</v>
      </c>
      <c r="V271" s="392">
        <f t="shared" si="123"/>
        <v>0</v>
      </c>
      <c r="W271" s="214"/>
      <c r="X271" s="392">
        <v>21511.39</v>
      </c>
      <c r="Y271" s="319">
        <f t="shared" si="124"/>
        <v>0.52905533694048201</v>
      </c>
      <c r="Z271" s="397"/>
    </row>
    <row r="272" spans="2:26" s="540" customFormat="1" ht="27.75" customHeight="1" x14ac:dyDescent="0.25">
      <c r="B272" s="402" t="s">
        <v>1126</v>
      </c>
      <c r="C272" s="489" t="s">
        <v>1140</v>
      </c>
      <c r="D272" s="461" t="s">
        <v>752</v>
      </c>
      <c r="E272" s="212">
        <v>34497</v>
      </c>
      <c r="F272" s="212">
        <f>ROUND(E272,0)+53231</f>
        <v>87728</v>
      </c>
      <c r="G272" s="392">
        <f t="shared" si="126"/>
        <v>53231</v>
      </c>
      <c r="H272" s="215" t="s">
        <v>1141</v>
      </c>
      <c r="I272" s="392">
        <f>ROUND(F272,0)</f>
        <v>87728</v>
      </c>
      <c r="J272" s="392">
        <f t="shared" si="100"/>
        <v>0</v>
      </c>
      <c r="K272" s="215"/>
      <c r="L272" s="392">
        <f t="shared" si="127"/>
        <v>87728</v>
      </c>
      <c r="M272" s="392">
        <f t="shared" si="101"/>
        <v>0</v>
      </c>
      <c r="N272" s="215"/>
      <c r="O272" s="392">
        <f t="shared" si="128"/>
        <v>87728</v>
      </c>
      <c r="P272" s="392">
        <f t="shared" si="102"/>
        <v>0</v>
      </c>
      <c r="Q272" s="215"/>
      <c r="R272" s="392">
        <f t="shared" si="129"/>
        <v>87728</v>
      </c>
      <c r="S272" s="392">
        <f t="shared" si="122"/>
        <v>0</v>
      </c>
      <c r="T272" s="215"/>
      <c r="U272" s="392">
        <f t="shared" si="130"/>
        <v>87728</v>
      </c>
      <c r="V272" s="392">
        <f t="shared" si="123"/>
        <v>0</v>
      </c>
      <c r="W272" s="215"/>
      <c r="X272" s="392">
        <v>78123.649999999994</v>
      </c>
      <c r="Y272" s="319">
        <f t="shared" si="124"/>
        <v>0.89052127028998718</v>
      </c>
      <c r="Z272" s="536" t="s">
        <v>1258</v>
      </c>
    </row>
    <row r="273" spans="2:26" s="540" customFormat="1" ht="44.25" customHeight="1" x14ac:dyDescent="0.25">
      <c r="B273" s="402" t="s">
        <v>1126</v>
      </c>
      <c r="C273" s="489" t="s">
        <v>1142</v>
      </c>
      <c r="D273" s="461" t="s">
        <v>755</v>
      </c>
      <c r="E273" s="212">
        <v>870000</v>
      </c>
      <c r="F273" s="212">
        <f>ROUND(E273,0)</f>
        <v>870000</v>
      </c>
      <c r="G273" s="392">
        <f>F273-E273</f>
        <v>0</v>
      </c>
      <c r="H273" s="228"/>
      <c r="I273" s="392">
        <f>ROUND(F273,0)</f>
        <v>870000</v>
      </c>
      <c r="J273" s="392">
        <f>I273-F273</f>
        <v>0</v>
      </c>
      <c r="K273" s="215"/>
      <c r="L273" s="392">
        <f t="shared" si="127"/>
        <v>870000</v>
      </c>
      <c r="M273" s="392">
        <f t="shared" si="101"/>
        <v>0</v>
      </c>
      <c r="N273" s="215"/>
      <c r="O273" s="392">
        <f>ROUND(L273,0)</f>
        <v>870000</v>
      </c>
      <c r="P273" s="392">
        <f>O273-L273</f>
        <v>0</v>
      </c>
      <c r="Q273" s="215"/>
      <c r="R273" s="392">
        <f t="shared" si="129"/>
        <v>870000</v>
      </c>
      <c r="S273" s="392">
        <f t="shared" si="122"/>
        <v>0</v>
      </c>
      <c r="T273" s="215"/>
      <c r="U273" s="392">
        <f>ROUND(R273,0)-2300</f>
        <v>867700</v>
      </c>
      <c r="V273" s="392">
        <f t="shared" si="123"/>
        <v>-2300</v>
      </c>
      <c r="W273" s="215" t="s">
        <v>1143</v>
      </c>
      <c r="X273" s="392">
        <v>0</v>
      </c>
      <c r="Y273" s="319">
        <f t="shared" si="124"/>
        <v>0</v>
      </c>
      <c r="Z273" s="397"/>
    </row>
    <row r="274" spans="2:26" s="540" customFormat="1" ht="30" customHeight="1" x14ac:dyDescent="0.25">
      <c r="B274" s="541" t="s">
        <v>1144</v>
      </c>
      <c r="C274" s="489" t="s">
        <v>1145</v>
      </c>
      <c r="D274" s="461" t="s">
        <v>1146</v>
      </c>
      <c r="E274" s="212">
        <v>1006133.6654766668</v>
      </c>
      <c r="F274" s="212">
        <f>ROUND(E274,0)-197877-65904</f>
        <v>742353</v>
      </c>
      <c r="G274" s="392">
        <f t="shared" si="126"/>
        <v>-263780.66547666676</v>
      </c>
      <c r="H274" s="215" t="s">
        <v>1147</v>
      </c>
      <c r="I274" s="392">
        <f>ROUND(F274,0)-58159</f>
        <v>684194</v>
      </c>
      <c r="J274" s="392">
        <f t="shared" si="100"/>
        <v>-58159</v>
      </c>
      <c r="K274" s="215" t="s">
        <v>1148</v>
      </c>
      <c r="L274" s="392">
        <f t="shared" si="127"/>
        <v>684194</v>
      </c>
      <c r="M274" s="392">
        <f t="shared" si="101"/>
        <v>0</v>
      </c>
      <c r="N274" s="215"/>
      <c r="O274" s="392">
        <f t="shared" si="128"/>
        <v>684194</v>
      </c>
      <c r="P274" s="392">
        <f t="shared" si="102"/>
        <v>0</v>
      </c>
      <c r="Q274" s="215"/>
      <c r="R274" s="392">
        <f t="shared" si="129"/>
        <v>684194</v>
      </c>
      <c r="S274" s="392">
        <f t="shared" si="122"/>
        <v>0</v>
      </c>
      <c r="T274" s="215"/>
      <c r="U274" s="392">
        <f>ROUND(R274,0)-9168</f>
        <v>675026</v>
      </c>
      <c r="V274" s="392">
        <f t="shared" si="123"/>
        <v>-9168</v>
      </c>
      <c r="W274" s="215" t="s">
        <v>1259</v>
      </c>
      <c r="X274" s="392">
        <f>472058.19-148410</f>
        <v>323648.19</v>
      </c>
      <c r="Y274" s="319">
        <f t="shared" si="124"/>
        <v>0.47946033189832687</v>
      </c>
      <c r="Z274" s="397"/>
    </row>
    <row r="275" spans="2:26" s="540" customFormat="1" ht="60.75" customHeight="1" x14ac:dyDescent="0.25">
      <c r="B275" s="541"/>
      <c r="C275" s="489" t="s">
        <v>1149</v>
      </c>
      <c r="D275" s="461" t="s">
        <v>1150</v>
      </c>
      <c r="E275" s="212"/>
      <c r="F275" s="212">
        <v>197877</v>
      </c>
      <c r="G275" s="392">
        <f t="shared" si="126"/>
        <v>197877</v>
      </c>
      <c r="H275" s="215"/>
      <c r="I275" s="392">
        <f>ROUND(F275,0)+19453+58159</f>
        <v>275489</v>
      </c>
      <c r="J275" s="392">
        <f>I275-F275</f>
        <v>77612</v>
      </c>
      <c r="K275" s="215" t="s">
        <v>1151</v>
      </c>
      <c r="L275" s="392">
        <f>ROUND(I275,0)</f>
        <v>275489</v>
      </c>
      <c r="M275" s="392">
        <f>L275-I275</f>
        <v>0</v>
      </c>
      <c r="N275" s="215"/>
      <c r="O275" s="392">
        <f>ROUND(L275,0)</f>
        <v>275489</v>
      </c>
      <c r="P275" s="392">
        <f>O275-L275</f>
        <v>0</v>
      </c>
      <c r="Q275" s="215"/>
      <c r="R275" s="392">
        <f t="shared" si="129"/>
        <v>275489</v>
      </c>
      <c r="S275" s="392">
        <f t="shared" si="122"/>
        <v>0</v>
      </c>
      <c r="T275" s="215"/>
      <c r="U275" s="392">
        <f>ROUND(R275,0)+3590+9168</f>
        <v>288247</v>
      </c>
      <c r="V275" s="392">
        <f t="shared" si="123"/>
        <v>12758</v>
      </c>
      <c r="W275" s="215" t="s">
        <v>1260</v>
      </c>
      <c r="X275" s="404">
        <v>203304</v>
      </c>
      <c r="Y275" s="319">
        <f t="shared" si="124"/>
        <v>0.7053117638691816</v>
      </c>
      <c r="Z275" s="397"/>
    </row>
    <row r="276" spans="2:26" s="540" customFormat="1" ht="15" customHeight="1" x14ac:dyDescent="0.25">
      <c r="B276" s="402" t="s">
        <v>750</v>
      </c>
      <c r="C276" s="489" t="s">
        <v>1152</v>
      </c>
      <c r="D276" s="461" t="s">
        <v>1153</v>
      </c>
      <c r="E276" s="212">
        <v>166307</v>
      </c>
      <c r="F276" s="212">
        <f>ROUND(E276,0)+69974</f>
        <v>236281</v>
      </c>
      <c r="G276" s="392">
        <f t="shared" si="126"/>
        <v>69974</v>
      </c>
      <c r="H276" s="215" t="s">
        <v>1037</v>
      </c>
      <c r="I276" s="392">
        <f>ROUND(F276,0)</f>
        <v>236281</v>
      </c>
      <c r="J276" s="392">
        <f t="shared" si="100"/>
        <v>0</v>
      </c>
      <c r="K276" s="214"/>
      <c r="L276" s="392">
        <f t="shared" si="127"/>
        <v>236281</v>
      </c>
      <c r="M276" s="392">
        <f t="shared" si="101"/>
        <v>0</v>
      </c>
      <c r="N276" s="214"/>
      <c r="O276" s="392">
        <f t="shared" si="128"/>
        <v>236281</v>
      </c>
      <c r="P276" s="392">
        <f t="shared" si="102"/>
        <v>0</v>
      </c>
      <c r="Q276" s="214"/>
      <c r="R276" s="392">
        <f t="shared" si="129"/>
        <v>236281</v>
      </c>
      <c r="S276" s="392">
        <f t="shared" si="122"/>
        <v>0</v>
      </c>
      <c r="T276" s="214"/>
      <c r="U276" s="392">
        <f t="shared" si="130"/>
        <v>236281</v>
      </c>
      <c r="V276" s="392">
        <f t="shared" si="123"/>
        <v>0</v>
      </c>
      <c r="W276" s="214"/>
      <c r="X276" s="392">
        <v>98570.55</v>
      </c>
      <c r="Y276" s="319">
        <f t="shared" si="124"/>
        <v>0.41717510083332981</v>
      </c>
      <c r="Z276" s="397"/>
    </row>
    <row r="277" spans="2:26" s="546" customFormat="1" ht="13.95" customHeight="1" x14ac:dyDescent="0.25">
      <c r="B277" s="541"/>
      <c r="C277" s="542" t="s">
        <v>1154</v>
      </c>
      <c r="D277" s="543" t="s">
        <v>1155</v>
      </c>
      <c r="E277" s="302">
        <v>508569.2170532</v>
      </c>
      <c r="F277" s="302">
        <f t="shared" ref="F277" si="131">F278+F279+F280</f>
        <v>508799</v>
      </c>
      <c r="G277" s="544">
        <f t="shared" si="126"/>
        <v>229.78294679999817</v>
      </c>
      <c r="H277" s="545"/>
      <c r="I277" s="544">
        <f>I278+I279+I280</f>
        <v>517972</v>
      </c>
      <c r="J277" s="544">
        <f t="shared" si="100"/>
        <v>9173</v>
      </c>
      <c r="K277" s="544"/>
      <c r="L277" s="544">
        <f>L278+L279+L280</f>
        <v>517972</v>
      </c>
      <c r="M277" s="544">
        <f t="shared" si="101"/>
        <v>0</v>
      </c>
      <c r="N277" s="544"/>
      <c r="O277" s="544">
        <f>O278+O279+O280</f>
        <v>514822</v>
      </c>
      <c r="P277" s="544">
        <f t="shared" si="102"/>
        <v>-3150</v>
      </c>
      <c r="Q277" s="544"/>
      <c r="R277" s="544">
        <f>R278+R279+R280</f>
        <v>502986</v>
      </c>
      <c r="S277" s="544">
        <f t="shared" si="122"/>
        <v>-11836</v>
      </c>
      <c r="T277" s="544"/>
      <c r="U277" s="544">
        <f>U278+U279+U280</f>
        <v>489908</v>
      </c>
      <c r="V277" s="544">
        <f t="shared" si="123"/>
        <v>-13078</v>
      </c>
      <c r="W277" s="544"/>
      <c r="X277" s="544">
        <f>X278+X279+X280</f>
        <v>278643.92</v>
      </c>
      <c r="Y277" s="347">
        <f t="shared" si="124"/>
        <v>0.56876785029025856</v>
      </c>
      <c r="Z277" s="545"/>
    </row>
    <row r="278" spans="2:26" s="540" customFormat="1" ht="12" customHeight="1" x14ac:dyDescent="0.25">
      <c r="B278" s="427" t="s">
        <v>1156</v>
      </c>
      <c r="C278" s="547" t="s">
        <v>1157</v>
      </c>
      <c r="D278" s="461" t="s">
        <v>1158</v>
      </c>
      <c r="E278" s="212">
        <v>138119</v>
      </c>
      <c r="F278" s="212">
        <f>ROUND(E278,0)-46+276</f>
        <v>138349</v>
      </c>
      <c r="G278" s="392">
        <f t="shared" si="126"/>
        <v>230</v>
      </c>
      <c r="H278" s="215" t="s">
        <v>1037</v>
      </c>
      <c r="I278" s="392">
        <f>ROUND(F278,0)+2468</f>
        <v>140817</v>
      </c>
      <c r="J278" s="392">
        <f t="shared" si="100"/>
        <v>2468</v>
      </c>
      <c r="K278" s="215" t="s">
        <v>1061</v>
      </c>
      <c r="L278" s="392">
        <f>ROUND(I278,0)</f>
        <v>140817</v>
      </c>
      <c r="M278" s="392">
        <f t="shared" si="101"/>
        <v>0</v>
      </c>
      <c r="N278" s="215"/>
      <c r="O278" s="392">
        <f>ROUND(L278,0)</f>
        <v>140817</v>
      </c>
      <c r="P278" s="392">
        <f t="shared" si="102"/>
        <v>0</v>
      </c>
      <c r="Q278" s="215"/>
      <c r="R278" s="392">
        <f>ROUND(O278,0)</f>
        <v>140817</v>
      </c>
      <c r="S278" s="392">
        <f t="shared" si="122"/>
        <v>0</v>
      </c>
      <c r="T278" s="215"/>
      <c r="U278" s="392">
        <f>ROUND(R278,0)-13078</f>
        <v>127739</v>
      </c>
      <c r="V278" s="392">
        <f t="shared" si="123"/>
        <v>-13078</v>
      </c>
      <c r="W278" s="215" t="s">
        <v>553</v>
      </c>
      <c r="X278" s="392">
        <v>89319.77</v>
      </c>
      <c r="Y278" s="319">
        <f t="shared" si="124"/>
        <v>0.69923649003045274</v>
      </c>
      <c r="Z278" s="392"/>
    </row>
    <row r="279" spans="2:26" s="470" customFormat="1" ht="13.95" customHeight="1" x14ac:dyDescent="0.25">
      <c r="B279" s="541" t="s">
        <v>1159</v>
      </c>
      <c r="C279" s="547" t="s">
        <v>1160</v>
      </c>
      <c r="D279" s="461" t="s">
        <v>1161</v>
      </c>
      <c r="E279" s="212">
        <v>370450.2170532</v>
      </c>
      <c r="F279" s="212">
        <f>ROUND(E279,0)-14058</f>
        <v>356392</v>
      </c>
      <c r="G279" s="392">
        <f t="shared" si="126"/>
        <v>-14058.217053200002</v>
      </c>
      <c r="H279" s="214"/>
      <c r="I279" s="392">
        <f>ROUND(F279,0)-6000</f>
        <v>350392</v>
      </c>
      <c r="J279" s="392">
        <f t="shared" si="100"/>
        <v>-6000</v>
      </c>
      <c r="K279" s="214" t="s">
        <v>1131</v>
      </c>
      <c r="L279" s="392">
        <f>ROUND(I279,0)</f>
        <v>350392</v>
      </c>
      <c r="M279" s="392">
        <f t="shared" si="101"/>
        <v>0</v>
      </c>
      <c r="N279" s="214"/>
      <c r="O279" s="392">
        <f>ROUND(L279,0)-3150</f>
        <v>347242</v>
      </c>
      <c r="P279" s="392">
        <f t="shared" si="102"/>
        <v>-3150</v>
      </c>
      <c r="Q279" s="215" t="s">
        <v>1065</v>
      </c>
      <c r="R279" s="392">
        <f>ROUND(O279,0)-2300-9536</f>
        <v>335406</v>
      </c>
      <c r="S279" s="392">
        <f t="shared" si="122"/>
        <v>-11836</v>
      </c>
      <c r="T279" s="215" t="s">
        <v>1066</v>
      </c>
      <c r="U279" s="392">
        <f>ROUND(R279,0)</f>
        <v>335406</v>
      </c>
      <c r="V279" s="392">
        <f t="shared" si="123"/>
        <v>0</v>
      </c>
      <c r="W279" s="215"/>
      <c r="X279" s="392">
        <f>187608.15-10539</f>
        <v>177069.15</v>
      </c>
      <c r="Y279" s="319">
        <f t="shared" si="124"/>
        <v>0.5279248135095973</v>
      </c>
      <c r="Z279" s="392"/>
    </row>
    <row r="280" spans="2:26" s="470" customFormat="1" ht="13.95" customHeight="1" x14ac:dyDescent="0.25">
      <c r="B280" s="541"/>
      <c r="C280" s="547" t="s">
        <v>1162</v>
      </c>
      <c r="D280" s="461" t="s">
        <v>973</v>
      </c>
      <c r="E280" s="212"/>
      <c r="F280" s="212">
        <v>14058</v>
      </c>
      <c r="G280" s="392">
        <f t="shared" si="126"/>
        <v>14058</v>
      </c>
      <c r="H280" s="214" t="s">
        <v>968</v>
      </c>
      <c r="I280" s="392">
        <f>ROUND(F280,0)+6705+6000</f>
        <v>26763</v>
      </c>
      <c r="J280" s="392">
        <f>I280-F280</f>
        <v>12705</v>
      </c>
      <c r="K280" s="215" t="s">
        <v>1163</v>
      </c>
      <c r="L280" s="392">
        <f>ROUND(I280,0)</f>
        <v>26763</v>
      </c>
      <c r="M280" s="392">
        <f t="shared" si="101"/>
        <v>0</v>
      </c>
      <c r="N280" s="214"/>
      <c r="O280" s="392">
        <f>ROUND(L280,0)</f>
        <v>26763</v>
      </c>
      <c r="P280" s="392">
        <f>O280-L280</f>
        <v>0</v>
      </c>
      <c r="Q280" s="214"/>
      <c r="R280" s="392">
        <f>ROUND(O280,0)</f>
        <v>26763</v>
      </c>
      <c r="S280" s="392">
        <f t="shared" si="122"/>
        <v>0</v>
      </c>
      <c r="T280" s="214"/>
      <c r="U280" s="392">
        <f>ROUND(R280,0)</f>
        <v>26763</v>
      </c>
      <c r="V280" s="392">
        <f t="shared" si="123"/>
        <v>0</v>
      </c>
      <c r="W280" s="214"/>
      <c r="X280" s="404">
        <v>12255</v>
      </c>
      <c r="Y280" s="319">
        <f t="shared" si="124"/>
        <v>0.45790830624369466</v>
      </c>
      <c r="Z280" s="392"/>
    </row>
    <row r="281" spans="2:26" ht="18" customHeight="1" x14ac:dyDescent="0.25">
      <c r="C281" s="531" t="s">
        <v>1164</v>
      </c>
      <c r="D281" s="492" t="s">
        <v>1165</v>
      </c>
      <c r="E281" s="272">
        <v>1647206</v>
      </c>
      <c r="F281" s="272">
        <f t="shared" ref="F281" si="132">F282+F283</f>
        <v>1852644</v>
      </c>
      <c r="G281" s="493">
        <f t="shared" si="126"/>
        <v>205438</v>
      </c>
      <c r="H281" s="495"/>
      <c r="I281" s="493">
        <f>I282+I283</f>
        <v>1852644</v>
      </c>
      <c r="J281" s="493">
        <f t="shared" si="100"/>
        <v>0</v>
      </c>
      <c r="K281" s="493"/>
      <c r="L281" s="493">
        <f>L282+L283</f>
        <v>1856644</v>
      </c>
      <c r="M281" s="493">
        <f t="shared" si="101"/>
        <v>4000</v>
      </c>
      <c r="N281" s="493"/>
      <c r="O281" s="493">
        <f>O282+O283</f>
        <v>1856644</v>
      </c>
      <c r="P281" s="493">
        <f t="shared" si="102"/>
        <v>0</v>
      </c>
      <c r="Q281" s="493"/>
      <c r="R281" s="493">
        <f>R282+R283</f>
        <v>1856644</v>
      </c>
      <c r="S281" s="493">
        <f t="shared" si="122"/>
        <v>0</v>
      </c>
      <c r="T281" s="493"/>
      <c r="U281" s="493">
        <f>U282+U283</f>
        <v>1852110</v>
      </c>
      <c r="V281" s="493">
        <f t="shared" si="123"/>
        <v>-4534</v>
      </c>
      <c r="W281" s="493"/>
      <c r="X281" s="493">
        <f>X282+X283</f>
        <v>1206208.53</v>
      </c>
      <c r="Y281" s="339">
        <f t="shared" si="124"/>
        <v>0.65126182030224988</v>
      </c>
      <c r="Z281" s="493"/>
    </row>
    <row r="282" spans="2:26" ht="13.5" customHeight="1" x14ac:dyDescent="0.25">
      <c r="C282" s="489" t="s">
        <v>1166</v>
      </c>
      <c r="D282" s="461" t="s">
        <v>1167</v>
      </c>
      <c r="E282" s="212">
        <v>651116</v>
      </c>
      <c r="F282" s="212">
        <f>ROUND(E282,0)+1832+142597</f>
        <v>795545</v>
      </c>
      <c r="G282" s="392">
        <f t="shared" si="126"/>
        <v>144429</v>
      </c>
      <c r="H282" s="215" t="s">
        <v>1168</v>
      </c>
      <c r="I282" s="392">
        <f>ROUND(F282,0)</f>
        <v>795545</v>
      </c>
      <c r="J282" s="392">
        <f t="shared" si="100"/>
        <v>0</v>
      </c>
      <c r="K282" s="215"/>
      <c r="L282" s="392">
        <f>ROUND(I282,0)</f>
        <v>795545</v>
      </c>
      <c r="M282" s="392">
        <f t="shared" si="101"/>
        <v>0</v>
      </c>
      <c r="N282" s="215"/>
      <c r="O282" s="392">
        <f>ROUND(L282,0)</f>
        <v>795545</v>
      </c>
      <c r="P282" s="392">
        <f t="shared" si="102"/>
        <v>0</v>
      </c>
      <c r="Q282" s="215"/>
      <c r="R282" s="392">
        <f>ROUND(O282,0)</f>
        <v>795545</v>
      </c>
      <c r="S282" s="392">
        <f t="shared" si="122"/>
        <v>0</v>
      </c>
      <c r="T282" s="215"/>
      <c r="U282" s="392">
        <f>ROUND(R282,0)-4534</f>
        <v>791011</v>
      </c>
      <c r="V282" s="392">
        <f t="shared" si="123"/>
        <v>-4534</v>
      </c>
      <c r="W282" s="215" t="s">
        <v>553</v>
      </c>
      <c r="X282" s="392">
        <v>517936.03</v>
      </c>
      <c r="Y282" s="319">
        <f t="shared" si="124"/>
        <v>0.65477727869776781</v>
      </c>
      <c r="Z282" s="392"/>
    </row>
    <row r="283" spans="2:26" ht="25.95" customHeight="1" x14ac:dyDescent="0.25">
      <c r="C283" s="489" t="s">
        <v>1169</v>
      </c>
      <c r="D283" s="461" t="s">
        <v>1041</v>
      </c>
      <c r="E283" s="212">
        <v>996090</v>
      </c>
      <c r="F283" s="212">
        <f>ROUND(E283,0)+61009</f>
        <v>1057099</v>
      </c>
      <c r="G283" s="392">
        <f t="shared" si="126"/>
        <v>61009</v>
      </c>
      <c r="H283" s="303" t="s">
        <v>1170</v>
      </c>
      <c r="I283" s="392">
        <f>ROUND(F283,0)</f>
        <v>1057099</v>
      </c>
      <c r="J283" s="392">
        <f t="shared" ref="J283:J302" si="133">I283-F283</f>
        <v>0</v>
      </c>
      <c r="K283" s="303"/>
      <c r="L283" s="392">
        <f>ROUND(I283,0)+4000</f>
        <v>1061099</v>
      </c>
      <c r="M283" s="392">
        <f t="shared" ref="M283:M302" si="134">L283-I283</f>
        <v>4000</v>
      </c>
      <c r="N283" s="285" t="s">
        <v>1171</v>
      </c>
      <c r="O283" s="392">
        <f>ROUND(L283,0)</f>
        <v>1061099</v>
      </c>
      <c r="P283" s="392">
        <f t="shared" ref="P283:P302" si="135">O283-L283</f>
        <v>0</v>
      </c>
      <c r="Q283" s="303"/>
      <c r="R283" s="392">
        <f>ROUND(O283,0)</f>
        <v>1061099</v>
      </c>
      <c r="S283" s="392">
        <f t="shared" si="122"/>
        <v>0</v>
      </c>
      <c r="T283" s="303"/>
      <c r="U283" s="392">
        <f>ROUND(R283,0)</f>
        <v>1061099</v>
      </c>
      <c r="V283" s="392">
        <f t="shared" si="123"/>
        <v>0</v>
      </c>
      <c r="W283" s="303"/>
      <c r="X283" s="392">
        <v>688272.5</v>
      </c>
      <c r="Y283" s="319">
        <f t="shared" si="124"/>
        <v>0.6486411729725502</v>
      </c>
      <c r="Z283" s="405"/>
    </row>
    <row r="284" spans="2:26" ht="16.2" customHeight="1" x14ac:dyDescent="0.25">
      <c r="C284" s="548" t="s">
        <v>1172</v>
      </c>
      <c r="D284" s="492" t="s">
        <v>1173</v>
      </c>
      <c r="E284" s="272">
        <v>706577.70189168002</v>
      </c>
      <c r="F284" s="272">
        <f>F285+F286</f>
        <v>706619</v>
      </c>
      <c r="G284" s="493">
        <f t="shared" si="126"/>
        <v>41.298108319984749</v>
      </c>
      <c r="H284" s="278"/>
      <c r="I284" s="493">
        <f>I285+I286</f>
        <v>740716</v>
      </c>
      <c r="J284" s="493">
        <f t="shared" si="133"/>
        <v>34097</v>
      </c>
      <c r="K284" s="279" t="s">
        <v>1174</v>
      </c>
      <c r="L284" s="493">
        <f>L285+L286</f>
        <v>740716</v>
      </c>
      <c r="M284" s="493">
        <f t="shared" si="134"/>
        <v>0</v>
      </c>
      <c r="N284" s="279"/>
      <c r="O284" s="493">
        <f>O285+O286</f>
        <v>740716</v>
      </c>
      <c r="P284" s="493">
        <f t="shared" si="135"/>
        <v>0</v>
      </c>
      <c r="Q284" s="279"/>
      <c r="R284" s="493">
        <f>R285+R286</f>
        <v>740716</v>
      </c>
      <c r="S284" s="493">
        <f t="shared" si="122"/>
        <v>0</v>
      </c>
      <c r="T284" s="279"/>
      <c r="U284" s="493">
        <f>U285+U286</f>
        <v>744620</v>
      </c>
      <c r="V284" s="493">
        <f t="shared" si="123"/>
        <v>3904</v>
      </c>
      <c r="W284" s="279"/>
      <c r="X284" s="493">
        <f>X285+X286</f>
        <v>430576.26</v>
      </c>
      <c r="Y284" s="339">
        <f t="shared" si="124"/>
        <v>0.57824965754344504</v>
      </c>
      <c r="Z284" s="495"/>
    </row>
    <row r="285" spans="2:26" ht="16.5" customHeight="1" x14ac:dyDescent="0.25">
      <c r="B285" s="427" t="s">
        <v>1175</v>
      </c>
      <c r="C285" s="489" t="s">
        <v>1176</v>
      </c>
      <c r="D285" s="461" t="s">
        <v>1167</v>
      </c>
      <c r="E285" s="212">
        <v>314605.76040000003</v>
      </c>
      <c r="F285" s="212">
        <f>ROUND(E285,0)+41</f>
        <v>314647</v>
      </c>
      <c r="G285" s="392">
        <f t="shared" si="126"/>
        <v>41.239599999971688</v>
      </c>
      <c r="H285" s="214" t="s">
        <v>415</v>
      </c>
      <c r="I285" s="392">
        <f>ROUND(F285,0)-22981</f>
        <v>291666</v>
      </c>
      <c r="J285" s="392">
        <f t="shared" si="133"/>
        <v>-22981</v>
      </c>
      <c r="K285" s="214"/>
      <c r="L285" s="392">
        <f t="shared" ref="L285:L292" si="136">ROUND(I285,0)</f>
        <v>291666</v>
      </c>
      <c r="M285" s="392">
        <f t="shared" si="134"/>
        <v>0</v>
      </c>
      <c r="N285" s="214"/>
      <c r="O285" s="392">
        <f t="shared" ref="O285:O291" si="137">ROUND(L285,0)</f>
        <v>291666</v>
      </c>
      <c r="P285" s="392">
        <f t="shared" si="135"/>
        <v>0</v>
      </c>
      <c r="Q285" s="214"/>
      <c r="R285" s="392">
        <f t="shared" ref="R285:R291" si="138">ROUND(O285,0)</f>
        <v>291666</v>
      </c>
      <c r="S285" s="392">
        <f t="shared" si="122"/>
        <v>0</v>
      </c>
      <c r="T285" s="214"/>
      <c r="U285" s="392">
        <f>ROUND(R285,0)+3904</f>
        <v>295570</v>
      </c>
      <c r="V285" s="392">
        <f t="shared" si="123"/>
        <v>3904</v>
      </c>
      <c r="W285" s="214" t="s">
        <v>558</v>
      </c>
      <c r="X285" s="392">
        <v>187539.27</v>
      </c>
      <c r="Y285" s="319">
        <f t="shared" si="124"/>
        <v>0.63450035524579618</v>
      </c>
      <c r="Z285" s="397"/>
    </row>
    <row r="286" spans="2:26" ht="16.5" customHeight="1" x14ac:dyDescent="0.25">
      <c r="B286" s="427" t="s">
        <v>1177</v>
      </c>
      <c r="C286" s="489" t="s">
        <v>1178</v>
      </c>
      <c r="D286" s="461" t="s">
        <v>1179</v>
      </c>
      <c r="E286" s="212">
        <v>391971.94149168005</v>
      </c>
      <c r="F286" s="212">
        <f t="shared" ref="F286:F291" si="139">ROUND(E286,0)</f>
        <v>391972</v>
      </c>
      <c r="G286" s="392">
        <f t="shared" si="126"/>
        <v>5.8508319954853505E-2</v>
      </c>
      <c r="H286" s="228"/>
      <c r="I286" s="392">
        <f>ROUND(F286,0)+57078</f>
        <v>449050</v>
      </c>
      <c r="J286" s="392">
        <f t="shared" si="133"/>
        <v>57078</v>
      </c>
      <c r="K286" s="215"/>
      <c r="L286" s="392">
        <f t="shared" si="136"/>
        <v>449050</v>
      </c>
      <c r="M286" s="392">
        <f t="shared" si="134"/>
        <v>0</v>
      </c>
      <c r="N286" s="215"/>
      <c r="O286" s="392">
        <f t="shared" si="137"/>
        <v>449050</v>
      </c>
      <c r="P286" s="392">
        <f t="shared" si="135"/>
        <v>0</v>
      </c>
      <c r="Q286" s="215"/>
      <c r="R286" s="392">
        <f t="shared" si="138"/>
        <v>449050</v>
      </c>
      <c r="S286" s="392">
        <f t="shared" si="122"/>
        <v>0</v>
      </c>
      <c r="T286" s="215"/>
      <c r="U286" s="392">
        <f t="shared" ref="U286:U291" si="140">ROUND(R286,0)</f>
        <v>449050</v>
      </c>
      <c r="V286" s="392">
        <f t="shared" si="123"/>
        <v>0</v>
      </c>
      <c r="W286" s="215"/>
      <c r="X286" s="392">
        <v>243036.99</v>
      </c>
      <c r="Y286" s="319">
        <f t="shared" si="124"/>
        <v>0.54122478565861265</v>
      </c>
      <c r="Z286" s="405"/>
    </row>
    <row r="287" spans="2:26" ht="29.4" customHeight="1" x14ac:dyDescent="0.25">
      <c r="B287" s="427" t="s">
        <v>1180</v>
      </c>
      <c r="C287" s="548" t="s">
        <v>1181</v>
      </c>
      <c r="D287" s="492" t="s">
        <v>1182</v>
      </c>
      <c r="E287" s="240">
        <v>482391.24160460004</v>
      </c>
      <c r="F287" s="240">
        <f t="shared" si="139"/>
        <v>482391</v>
      </c>
      <c r="G287" s="409">
        <f t="shared" si="126"/>
        <v>-0.2416046000435017</v>
      </c>
      <c r="H287" s="241"/>
      <c r="I287" s="409">
        <f t="shared" ref="I287:I292" si="141">ROUND(F287,0)</f>
        <v>482391</v>
      </c>
      <c r="J287" s="409">
        <f t="shared" si="133"/>
        <v>0</v>
      </c>
      <c r="K287" s="242"/>
      <c r="L287" s="409">
        <f t="shared" si="136"/>
        <v>482391</v>
      </c>
      <c r="M287" s="409">
        <f t="shared" si="134"/>
        <v>0</v>
      </c>
      <c r="N287" s="242"/>
      <c r="O287" s="409">
        <f>ROUND(L287,0)</f>
        <v>482391</v>
      </c>
      <c r="P287" s="409">
        <f t="shared" si="135"/>
        <v>0</v>
      </c>
      <c r="Q287" s="242"/>
      <c r="R287" s="409">
        <f t="shared" si="138"/>
        <v>482391</v>
      </c>
      <c r="S287" s="409">
        <f t="shared" si="122"/>
        <v>0</v>
      </c>
      <c r="T287" s="242"/>
      <c r="U287" s="422">
        <f>ROUND(R287,0)+1198</f>
        <v>483589</v>
      </c>
      <c r="V287" s="422">
        <f t="shared" si="123"/>
        <v>1198</v>
      </c>
      <c r="W287" s="239" t="s">
        <v>1269</v>
      </c>
      <c r="X287" s="409">
        <f>265682.29+61276.3</f>
        <v>326958.58999999997</v>
      </c>
      <c r="Y287" s="328">
        <f t="shared" si="124"/>
        <v>0.67610841024092772</v>
      </c>
      <c r="Z287" s="409" t="s">
        <v>1261</v>
      </c>
    </row>
    <row r="288" spans="2:26" ht="18" customHeight="1" x14ac:dyDescent="0.25">
      <c r="B288" s="427"/>
      <c r="C288" s="548" t="s">
        <v>1183</v>
      </c>
      <c r="D288" s="492" t="s">
        <v>1184</v>
      </c>
      <c r="E288" s="240">
        <v>3000</v>
      </c>
      <c r="F288" s="240">
        <f t="shared" si="139"/>
        <v>3000</v>
      </c>
      <c r="G288" s="409">
        <f t="shared" si="126"/>
        <v>0</v>
      </c>
      <c r="H288" s="241"/>
      <c r="I288" s="409">
        <f t="shared" si="141"/>
        <v>3000</v>
      </c>
      <c r="J288" s="409">
        <f t="shared" si="133"/>
        <v>0</v>
      </c>
      <c r="K288" s="242"/>
      <c r="L288" s="409">
        <f t="shared" si="136"/>
        <v>3000</v>
      </c>
      <c r="M288" s="409">
        <f t="shared" si="134"/>
        <v>0</v>
      </c>
      <c r="N288" s="242"/>
      <c r="O288" s="409">
        <f t="shared" si="137"/>
        <v>3000</v>
      </c>
      <c r="P288" s="409">
        <f t="shared" si="135"/>
        <v>0</v>
      </c>
      <c r="Q288" s="242"/>
      <c r="R288" s="409">
        <f t="shared" si="138"/>
        <v>3000</v>
      </c>
      <c r="S288" s="409">
        <f t="shared" si="122"/>
        <v>0</v>
      </c>
      <c r="T288" s="242"/>
      <c r="U288" s="409">
        <f t="shared" si="140"/>
        <v>3000</v>
      </c>
      <c r="V288" s="409">
        <f t="shared" si="123"/>
        <v>0</v>
      </c>
      <c r="W288" s="242"/>
      <c r="X288" s="409">
        <v>0</v>
      </c>
      <c r="Y288" s="328">
        <f t="shared" si="124"/>
        <v>0</v>
      </c>
      <c r="Z288" s="483"/>
    </row>
    <row r="289" spans="2:27" ht="31.95" customHeight="1" x14ac:dyDescent="0.25">
      <c r="B289" s="427" t="s">
        <v>1185</v>
      </c>
      <c r="C289" s="548" t="s">
        <v>1186</v>
      </c>
      <c r="D289" s="492" t="s">
        <v>1187</v>
      </c>
      <c r="E289" s="240">
        <v>17962</v>
      </c>
      <c r="F289" s="240">
        <f>ROUND(E289,0)-1841</f>
        <v>16121</v>
      </c>
      <c r="G289" s="409">
        <f t="shared" si="126"/>
        <v>-1841</v>
      </c>
      <c r="H289" s="242" t="s">
        <v>415</v>
      </c>
      <c r="I289" s="409">
        <f t="shared" si="141"/>
        <v>16121</v>
      </c>
      <c r="J289" s="409">
        <f t="shared" si="133"/>
        <v>0</v>
      </c>
      <c r="K289" s="242"/>
      <c r="L289" s="409">
        <f t="shared" si="136"/>
        <v>16121</v>
      </c>
      <c r="M289" s="409">
        <f t="shared" si="134"/>
        <v>0</v>
      </c>
      <c r="N289" s="242"/>
      <c r="O289" s="409">
        <f t="shared" si="137"/>
        <v>16121</v>
      </c>
      <c r="P289" s="409">
        <f t="shared" si="135"/>
        <v>0</v>
      </c>
      <c r="Q289" s="242"/>
      <c r="R289" s="409">
        <f t="shared" si="138"/>
        <v>16121</v>
      </c>
      <c r="S289" s="409">
        <f t="shared" si="122"/>
        <v>0</v>
      </c>
      <c r="T289" s="242"/>
      <c r="U289" s="409">
        <f t="shared" si="140"/>
        <v>16121</v>
      </c>
      <c r="V289" s="409">
        <f t="shared" si="123"/>
        <v>0</v>
      </c>
      <c r="W289" s="242"/>
      <c r="X289" s="409">
        <v>0</v>
      </c>
      <c r="Y289" s="328">
        <f t="shared" si="124"/>
        <v>0</v>
      </c>
      <c r="Z289" s="409" t="s">
        <v>1262</v>
      </c>
    </row>
    <row r="290" spans="2:27" ht="27" customHeight="1" x14ac:dyDescent="0.25">
      <c r="B290" s="427" t="s">
        <v>1188</v>
      </c>
      <c r="C290" s="548" t="s">
        <v>1189</v>
      </c>
      <c r="D290" s="492" t="s">
        <v>1190</v>
      </c>
      <c r="E290" s="240">
        <v>1049</v>
      </c>
      <c r="F290" s="240">
        <f t="shared" si="139"/>
        <v>1049</v>
      </c>
      <c r="G290" s="409">
        <f t="shared" si="126"/>
        <v>0</v>
      </c>
      <c r="H290" s="241"/>
      <c r="I290" s="409">
        <f t="shared" si="141"/>
        <v>1049</v>
      </c>
      <c r="J290" s="409">
        <f t="shared" si="133"/>
        <v>0</v>
      </c>
      <c r="K290" s="242"/>
      <c r="L290" s="409">
        <f t="shared" si="136"/>
        <v>1049</v>
      </c>
      <c r="M290" s="409">
        <f t="shared" si="134"/>
        <v>0</v>
      </c>
      <c r="N290" s="242"/>
      <c r="O290" s="409">
        <f t="shared" si="137"/>
        <v>1049</v>
      </c>
      <c r="P290" s="409">
        <f t="shared" si="135"/>
        <v>0</v>
      </c>
      <c r="Q290" s="242"/>
      <c r="R290" s="409">
        <f t="shared" si="138"/>
        <v>1049</v>
      </c>
      <c r="S290" s="409">
        <f t="shared" si="122"/>
        <v>0</v>
      </c>
      <c r="T290" s="242"/>
      <c r="U290" s="409">
        <f t="shared" si="140"/>
        <v>1049</v>
      </c>
      <c r="V290" s="409">
        <f t="shared" si="123"/>
        <v>0</v>
      </c>
      <c r="W290" s="242"/>
      <c r="X290" s="409">
        <v>0</v>
      </c>
      <c r="Y290" s="328">
        <f t="shared" si="124"/>
        <v>0</v>
      </c>
      <c r="Z290" s="409" t="s">
        <v>1262</v>
      </c>
    </row>
    <row r="291" spans="2:27" ht="57.6" customHeight="1" x14ac:dyDescent="0.25">
      <c r="B291" s="427" t="s">
        <v>1191</v>
      </c>
      <c r="C291" s="548" t="s">
        <v>1192</v>
      </c>
      <c r="D291" s="492" t="s">
        <v>1193</v>
      </c>
      <c r="E291" s="240">
        <v>765</v>
      </c>
      <c r="F291" s="240">
        <f t="shared" si="139"/>
        <v>765</v>
      </c>
      <c r="G291" s="409">
        <f t="shared" si="126"/>
        <v>0</v>
      </c>
      <c r="H291" s="241"/>
      <c r="I291" s="409">
        <f t="shared" si="141"/>
        <v>765</v>
      </c>
      <c r="J291" s="409">
        <f t="shared" si="133"/>
        <v>0</v>
      </c>
      <c r="K291" s="242"/>
      <c r="L291" s="409">
        <f t="shared" si="136"/>
        <v>765</v>
      </c>
      <c r="M291" s="409">
        <f t="shared" si="134"/>
        <v>0</v>
      </c>
      <c r="N291" s="242"/>
      <c r="O291" s="409">
        <f t="shared" si="137"/>
        <v>765</v>
      </c>
      <c r="P291" s="409">
        <f t="shared" si="135"/>
        <v>0</v>
      </c>
      <c r="Q291" s="242"/>
      <c r="R291" s="409">
        <f t="shared" si="138"/>
        <v>765</v>
      </c>
      <c r="S291" s="409">
        <f t="shared" si="122"/>
        <v>0</v>
      </c>
      <c r="T291" s="242"/>
      <c r="U291" s="409">
        <f t="shared" si="140"/>
        <v>765</v>
      </c>
      <c r="V291" s="409">
        <f t="shared" si="123"/>
        <v>0</v>
      </c>
      <c r="W291" s="242"/>
      <c r="X291" s="409">
        <v>0</v>
      </c>
      <c r="Y291" s="328">
        <f t="shared" si="124"/>
        <v>0</v>
      </c>
      <c r="Z291" s="409" t="s">
        <v>1262</v>
      </c>
    </row>
    <row r="292" spans="2:27" ht="30.6" customHeight="1" x14ac:dyDescent="0.25">
      <c r="B292" s="427" t="s">
        <v>1194</v>
      </c>
      <c r="C292" s="531" t="s">
        <v>1195</v>
      </c>
      <c r="D292" s="492" t="s">
        <v>1196</v>
      </c>
      <c r="E292" s="240">
        <v>637343</v>
      </c>
      <c r="F292" s="240">
        <f>ROUND(E292,0)</f>
        <v>637343</v>
      </c>
      <c r="G292" s="409">
        <f>F292-E292</f>
        <v>0</v>
      </c>
      <c r="H292" s="241"/>
      <c r="I292" s="409">
        <f t="shared" si="141"/>
        <v>637343</v>
      </c>
      <c r="J292" s="409">
        <f>I292-F292</f>
        <v>0</v>
      </c>
      <c r="K292" s="242"/>
      <c r="L292" s="409">
        <f t="shared" si="136"/>
        <v>637343</v>
      </c>
      <c r="M292" s="409">
        <f t="shared" si="134"/>
        <v>0</v>
      </c>
      <c r="N292" s="242"/>
      <c r="O292" s="409">
        <f>ROUND(L292,0)</f>
        <v>637343</v>
      </c>
      <c r="P292" s="409">
        <f>O292-L292</f>
        <v>0</v>
      </c>
      <c r="Q292" s="242"/>
      <c r="R292" s="409">
        <f>ROUND(O292,0)</f>
        <v>637343</v>
      </c>
      <c r="S292" s="409">
        <f t="shared" si="122"/>
        <v>0</v>
      </c>
      <c r="T292" s="242"/>
      <c r="U292" s="409">
        <f>ROUND(R292,0)</f>
        <v>637343</v>
      </c>
      <c r="V292" s="409">
        <f t="shared" si="123"/>
        <v>0</v>
      </c>
      <c r="W292" s="242"/>
      <c r="X292" s="409">
        <v>49368</v>
      </c>
      <c r="Y292" s="328">
        <f t="shared" si="124"/>
        <v>7.7459076196020035E-2</v>
      </c>
      <c r="Z292" s="409" t="s">
        <v>1263</v>
      </c>
    </row>
    <row r="293" spans="2:27" ht="27" customHeight="1" x14ac:dyDescent="0.25">
      <c r="C293" s="531" t="s">
        <v>1197</v>
      </c>
      <c r="D293" s="492" t="s">
        <v>647</v>
      </c>
      <c r="E293" s="229">
        <v>15746</v>
      </c>
      <c r="F293" s="229">
        <f>F294+F295</f>
        <v>16496</v>
      </c>
      <c r="G293" s="409">
        <f t="shared" si="126"/>
        <v>750</v>
      </c>
      <c r="H293" s="241"/>
      <c r="I293" s="410">
        <f>I294+I295</f>
        <v>16496</v>
      </c>
      <c r="J293" s="409">
        <f t="shared" si="133"/>
        <v>0</v>
      </c>
      <c r="K293" s="242"/>
      <c r="L293" s="410">
        <f>L294+L295</f>
        <v>16496</v>
      </c>
      <c r="M293" s="409">
        <f t="shared" si="134"/>
        <v>0</v>
      </c>
      <c r="N293" s="242"/>
      <c r="O293" s="410">
        <f>O294+O295</f>
        <v>16496</v>
      </c>
      <c r="P293" s="409">
        <f t="shared" si="135"/>
        <v>0</v>
      </c>
      <c r="Q293" s="242"/>
      <c r="R293" s="410">
        <f>R294+R295</f>
        <v>16496</v>
      </c>
      <c r="S293" s="409">
        <f t="shared" si="122"/>
        <v>0</v>
      </c>
      <c r="T293" s="242"/>
      <c r="U293" s="410">
        <f>U294+U295</f>
        <v>16496</v>
      </c>
      <c r="V293" s="409">
        <f t="shared" si="123"/>
        <v>0</v>
      </c>
      <c r="W293" s="242"/>
      <c r="X293" s="410">
        <f>X294+X295</f>
        <v>0</v>
      </c>
      <c r="Y293" s="324">
        <f t="shared" si="124"/>
        <v>0</v>
      </c>
      <c r="Z293" s="411"/>
    </row>
    <row r="294" spans="2:27" ht="14.4" customHeight="1" x14ac:dyDescent="0.25">
      <c r="B294" s="427" t="s">
        <v>1198</v>
      </c>
      <c r="C294" s="489" t="s">
        <v>1199</v>
      </c>
      <c r="D294" s="461" t="s">
        <v>1200</v>
      </c>
      <c r="E294" s="212">
        <v>15746</v>
      </c>
      <c r="F294" s="212">
        <f>ROUND(E294,0)+750</f>
        <v>16496</v>
      </c>
      <c r="G294" s="392">
        <f t="shared" si="126"/>
        <v>750</v>
      </c>
      <c r="H294" s="215" t="s">
        <v>415</v>
      </c>
      <c r="I294" s="392">
        <f>ROUND(F294,0)</f>
        <v>16496</v>
      </c>
      <c r="J294" s="392">
        <f t="shared" si="133"/>
        <v>0</v>
      </c>
      <c r="K294" s="215"/>
      <c r="L294" s="392">
        <f>ROUND(I294,0)</f>
        <v>16496</v>
      </c>
      <c r="M294" s="392">
        <f t="shared" si="134"/>
        <v>0</v>
      </c>
      <c r="N294" s="215"/>
      <c r="O294" s="392">
        <f>ROUND(L294,0)</f>
        <v>16496</v>
      </c>
      <c r="P294" s="392">
        <f t="shared" si="135"/>
        <v>0</v>
      </c>
      <c r="Q294" s="215"/>
      <c r="R294" s="392">
        <f>ROUND(O294,0)</f>
        <v>16496</v>
      </c>
      <c r="S294" s="392">
        <f t="shared" si="122"/>
        <v>0</v>
      </c>
      <c r="T294" s="215"/>
      <c r="U294" s="392">
        <f>ROUND(R294,0)</f>
        <v>16496</v>
      </c>
      <c r="V294" s="392">
        <f t="shared" si="123"/>
        <v>0</v>
      </c>
      <c r="W294" s="215"/>
      <c r="X294" s="392">
        <v>0</v>
      </c>
      <c r="Y294" s="319">
        <f t="shared" si="124"/>
        <v>0</v>
      </c>
      <c r="Z294" s="397"/>
    </row>
    <row r="295" spans="2:27" s="470" customFormat="1" ht="15" customHeight="1" x14ac:dyDescent="0.25">
      <c r="B295" s="427" t="s">
        <v>1201</v>
      </c>
      <c r="C295" s="489" t="s">
        <v>1202</v>
      </c>
      <c r="D295" s="461" t="s">
        <v>1203</v>
      </c>
      <c r="E295" s="212">
        <v>0</v>
      </c>
      <c r="F295" s="212">
        <f>ROUND(E295,0)</f>
        <v>0</v>
      </c>
      <c r="G295" s="392">
        <f t="shared" si="126"/>
        <v>0</v>
      </c>
      <c r="H295" s="228"/>
      <c r="I295" s="392">
        <f>ROUND(F295,0)</f>
        <v>0</v>
      </c>
      <c r="J295" s="392">
        <f t="shared" si="133"/>
        <v>0</v>
      </c>
      <c r="K295" s="215"/>
      <c r="L295" s="392">
        <f>ROUND(I295,0)</f>
        <v>0</v>
      </c>
      <c r="M295" s="392">
        <f t="shared" si="134"/>
        <v>0</v>
      </c>
      <c r="N295" s="215"/>
      <c r="O295" s="392">
        <f>ROUND(L295,0)</f>
        <v>0</v>
      </c>
      <c r="P295" s="392">
        <f t="shared" si="135"/>
        <v>0</v>
      </c>
      <c r="Q295" s="215"/>
      <c r="R295" s="392">
        <f>ROUND(O295,0)</f>
        <v>0</v>
      </c>
      <c r="S295" s="392">
        <f t="shared" si="122"/>
        <v>0</v>
      </c>
      <c r="T295" s="215"/>
      <c r="U295" s="392">
        <f>ROUND(R295,0)</f>
        <v>0</v>
      </c>
      <c r="V295" s="392">
        <f t="shared" si="123"/>
        <v>0</v>
      </c>
      <c r="W295" s="215"/>
      <c r="X295" s="392">
        <v>0</v>
      </c>
      <c r="Y295" s="319" t="e">
        <f t="shared" si="124"/>
        <v>#DIV/0!</v>
      </c>
      <c r="Z295" s="397"/>
    </row>
    <row r="296" spans="2:27" s="470" customFormat="1" ht="17.399999999999999" customHeight="1" outlineLevel="1" x14ac:dyDescent="0.25">
      <c r="C296" s="484" t="s">
        <v>1204</v>
      </c>
      <c r="D296" s="485" t="s">
        <v>1205</v>
      </c>
      <c r="E296" s="216">
        <v>0</v>
      </c>
      <c r="F296" s="216">
        <f>SUM(F297:F298)</f>
        <v>0</v>
      </c>
      <c r="G296" s="395">
        <f t="shared" si="126"/>
        <v>0</v>
      </c>
      <c r="H296" s="217"/>
      <c r="I296" s="395">
        <f>SUM(I297:I298)</f>
        <v>0</v>
      </c>
      <c r="J296" s="395">
        <f t="shared" si="133"/>
        <v>0</v>
      </c>
      <c r="K296" s="218"/>
      <c r="L296" s="395">
        <f>SUM(L297:L298)</f>
        <v>0</v>
      </c>
      <c r="M296" s="395">
        <f t="shared" si="134"/>
        <v>0</v>
      </c>
      <c r="N296" s="218"/>
      <c r="O296" s="395">
        <f>SUM(O297:O298)</f>
        <v>0</v>
      </c>
      <c r="P296" s="395">
        <f t="shared" si="135"/>
        <v>0</v>
      </c>
      <c r="Q296" s="218"/>
      <c r="R296" s="395">
        <f>SUM(R297:R298)</f>
        <v>0</v>
      </c>
      <c r="S296" s="395">
        <f t="shared" si="122"/>
        <v>0</v>
      </c>
      <c r="T296" s="218"/>
      <c r="U296" s="395">
        <f>SUM(U297:U298)</f>
        <v>0</v>
      </c>
      <c r="V296" s="395">
        <f t="shared" si="123"/>
        <v>0</v>
      </c>
      <c r="W296" s="218"/>
      <c r="X296" s="395">
        <f>SUM(X297:X298)</f>
        <v>0</v>
      </c>
      <c r="Y296" s="321" t="e">
        <f t="shared" si="124"/>
        <v>#DIV/0!</v>
      </c>
      <c r="Z296" s="396"/>
    </row>
    <row r="297" spans="2:27" ht="17.25" customHeight="1" outlineLevel="1" x14ac:dyDescent="0.25">
      <c r="C297" s="477" t="s">
        <v>546</v>
      </c>
      <c r="D297" s="478" t="s">
        <v>1206</v>
      </c>
      <c r="E297" s="240"/>
      <c r="F297" s="240"/>
      <c r="G297" s="409">
        <f t="shared" si="126"/>
        <v>0</v>
      </c>
      <c r="H297" s="241"/>
      <c r="I297" s="409"/>
      <c r="J297" s="409">
        <f t="shared" si="133"/>
        <v>0</v>
      </c>
      <c r="K297" s="242"/>
      <c r="L297" s="409"/>
      <c r="M297" s="409">
        <f t="shared" si="134"/>
        <v>0</v>
      </c>
      <c r="N297" s="242"/>
      <c r="O297" s="409">
        <f>ROUND(L297,0)</f>
        <v>0</v>
      </c>
      <c r="P297" s="409">
        <f t="shared" si="135"/>
        <v>0</v>
      </c>
      <c r="Q297" s="242"/>
      <c r="R297" s="409">
        <f>ROUND(O297,0)</f>
        <v>0</v>
      </c>
      <c r="S297" s="409">
        <f t="shared" si="122"/>
        <v>0</v>
      </c>
      <c r="T297" s="242"/>
      <c r="U297" s="409">
        <f>ROUND(R297,0)</f>
        <v>0</v>
      </c>
      <c r="V297" s="409">
        <f t="shared" si="123"/>
        <v>0</v>
      </c>
      <c r="W297" s="242"/>
      <c r="X297" s="483"/>
      <c r="Y297" s="328" t="e">
        <f t="shared" si="124"/>
        <v>#DIV/0!</v>
      </c>
      <c r="Z297" s="483"/>
    </row>
    <row r="298" spans="2:27" ht="14.4" outlineLevel="1" thickBot="1" x14ac:dyDescent="0.3">
      <c r="C298" s="477" t="s">
        <v>615</v>
      </c>
      <c r="D298" s="478" t="s">
        <v>1207</v>
      </c>
      <c r="E298" s="240"/>
      <c r="F298" s="240"/>
      <c r="G298" s="409">
        <f t="shared" si="126"/>
        <v>0</v>
      </c>
      <c r="H298" s="241"/>
      <c r="I298" s="409"/>
      <c r="J298" s="409">
        <f t="shared" si="133"/>
        <v>0</v>
      </c>
      <c r="K298" s="242"/>
      <c r="L298" s="409"/>
      <c r="M298" s="409">
        <f t="shared" si="134"/>
        <v>0</v>
      </c>
      <c r="N298" s="242"/>
      <c r="O298" s="409">
        <f>ROUND(L298,0)</f>
        <v>0</v>
      </c>
      <c r="P298" s="409">
        <f t="shared" si="135"/>
        <v>0</v>
      </c>
      <c r="Q298" s="242"/>
      <c r="R298" s="409">
        <f>ROUND(O298,0)</f>
        <v>0</v>
      </c>
      <c r="S298" s="409">
        <f t="shared" si="122"/>
        <v>0</v>
      </c>
      <c r="T298" s="242"/>
      <c r="U298" s="409">
        <f>ROUND(R298,0)</f>
        <v>0</v>
      </c>
      <c r="V298" s="409">
        <f t="shared" si="123"/>
        <v>0</v>
      </c>
      <c r="W298" s="242"/>
      <c r="X298" s="483"/>
      <c r="Y298" s="328" t="e">
        <f t="shared" si="124"/>
        <v>#DIV/0!</v>
      </c>
      <c r="Z298" s="483"/>
    </row>
    <row r="299" spans="2:27" s="470" customFormat="1" ht="30" customHeight="1" thickBot="1" x14ac:dyDescent="0.3">
      <c r="C299" s="549"/>
      <c r="D299" s="550" t="s">
        <v>1208</v>
      </c>
      <c r="E299" s="304">
        <v>58317822.384578399</v>
      </c>
      <c r="F299" s="304">
        <f t="shared" ref="F299:I299" si="142">F130+F140+F142+F143+F148+F150+F192+F207+F229+F296</f>
        <v>59128575</v>
      </c>
      <c r="G299" s="304">
        <f t="shared" si="142"/>
        <v>810752.62895110343</v>
      </c>
      <c r="H299" s="304" t="e">
        <f t="shared" si="142"/>
        <v>#VALUE!</v>
      </c>
      <c r="I299" s="304">
        <f t="shared" si="142"/>
        <v>59750919</v>
      </c>
      <c r="J299" s="551">
        <f t="shared" si="133"/>
        <v>622344</v>
      </c>
      <c r="K299" s="305"/>
      <c r="L299" s="551">
        <f>L130+L140+L142+L143+L148+L150+L192+L207+L229+L296</f>
        <v>59826407</v>
      </c>
      <c r="M299" s="551">
        <f t="shared" si="134"/>
        <v>75488</v>
      </c>
      <c r="N299" s="305"/>
      <c r="O299" s="551">
        <f>O130+O140+O142+O143+O148+O150+O192+O207+O229+O296</f>
        <v>60556119</v>
      </c>
      <c r="P299" s="551">
        <f t="shared" si="135"/>
        <v>729712</v>
      </c>
      <c r="Q299" s="305"/>
      <c r="R299" s="551">
        <f>R130+R140+R142+R143+R148+R150+R192+R207+R229+R296</f>
        <v>61061627</v>
      </c>
      <c r="S299" s="551">
        <f t="shared" si="122"/>
        <v>505508</v>
      </c>
      <c r="T299" s="305"/>
      <c r="U299" s="551">
        <f>U130+U140+U142+U143+U148+U150+U192+U207+U229+U296</f>
        <v>61255958</v>
      </c>
      <c r="V299" s="551">
        <f t="shared" si="123"/>
        <v>194331</v>
      </c>
      <c r="W299" s="305"/>
      <c r="X299" s="551">
        <f>X130+X140+X142+X143+X148+X150+X192+X207+X229+X296+0.5</f>
        <v>38001513.500999995</v>
      </c>
      <c r="Y299" s="348">
        <f t="shared" si="124"/>
        <v>0.62037252769763218</v>
      </c>
      <c r="Z299" s="552"/>
      <c r="AA299" s="553"/>
    </row>
    <row r="300" spans="2:27" s="389" customFormat="1" ht="76.2" customHeight="1" thickBot="1" x14ac:dyDescent="0.3">
      <c r="C300" s="484" t="s">
        <v>671</v>
      </c>
      <c r="D300" s="485" t="s">
        <v>1209</v>
      </c>
      <c r="E300" s="216">
        <v>3486155</v>
      </c>
      <c r="F300" s="216">
        <f>ROUND(E300,0)+37335+(133641+67)</f>
        <v>3657198</v>
      </c>
      <c r="G300" s="395">
        <f t="shared" si="126"/>
        <v>171043</v>
      </c>
      <c r="H300" s="306" t="s">
        <v>1210</v>
      </c>
      <c r="I300" s="395">
        <f>ROUND(F300,0)</f>
        <v>3657198</v>
      </c>
      <c r="J300" s="395">
        <f t="shared" si="133"/>
        <v>0</v>
      </c>
      <c r="K300" s="227"/>
      <c r="L300" s="395">
        <f>ROUND(I300,0)</f>
        <v>3657198</v>
      </c>
      <c r="M300" s="395">
        <f t="shared" si="134"/>
        <v>0</v>
      </c>
      <c r="N300" s="227"/>
      <c r="O300" s="395">
        <f>ROUND(L300,0)</f>
        <v>3657198</v>
      </c>
      <c r="P300" s="395">
        <f t="shared" si="135"/>
        <v>0</v>
      </c>
      <c r="Q300" s="227"/>
      <c r="R300" s="395">
        <f>ROUND(O300,0)</f>
        <v>3657198</v>
      </c>
      <c r="S300" s="395">
        <f t="shared" si="122"/>
        <v>0</v>
      </c>
      <c r="T300" s="227"/>
      <c r="U300" s="395">
        <f>ROUND(R300,0)</f>
        <v>3657198</v>
      </c>
      <c r="V300" s="395">
        <f t="shared" si="123"/>
        <v>0</v>
      </c>
      <c r="W300" s="227"/>
      <c r="X300" s="395">
        <v>2792855.71</v>
      </c>
      <c r="Y300" s="321">
        <f t="shared" si="124"/>
        <v>0.76365996864266028</v>
      </c>
      <c r="Z300" s="396"/>
    </row>
    <row r="301" spans="2:27" ht="14.4" thickBot="1" x14ac:dyDescent="0.3">
      <c r="C301" s="549"/>
      <c r="D301" s="550" t="s">
        <v>1211</v>
      </c>
      <c r="E301" s="307">
        <v>61803977.384578399</v>
      </c>
      <c r="F301" s="307">
        <f>F299+F300</f>
        <v>62785773</v>
      </c>
      <c r="G301" s="554">
        <f t="shared" si="126"/>
        <v>981795.61542160064</v>
      </c>
      <c r="H301" s="308"/>
      <c r="I301" s="554">
        <f>I299+I300</f>
        <v>63408117</v>
      </c>
      <c r="J301" s="554">
        <f t="shared" si="133"/>
        <v>622344</v>
      </c>
      <c r="K301" s="308"/>
      <c r="L301" s="554">
        <f>L299+L300</f>
        <v>63483605</v>
      </c>
      <c r="M301" s="554">
        <f t="shared" si="134"/>
        <v>75488</v>
      </c>
      <c r="N301" s="308"/>
      <c r="O301" s="554">
        <f>O299+O300</f>
        <v>64213317</v>
      </c>
      <c r="P301" s="554">
        <f t="shared" si="135"/>
        <v>729712</v>
      </c>
      <c r="Q301" s="308"/>
      <c r="R301" s="554">
        <f>R299+R300</f>
        <v>64718825</v>
      </c>
      <c r="S301" s="554">
        <f t="shared" si="122"/>
        <v>505508</v>
      </c>
      <c r="T301" s="308"/>
      <c r="U301" s="554">
        <f>U299+U300</f>
        <v>64913156</v>
      </c>
      <c r="V301" s="554">
        <f t="shared" si="123"/>
        <v>194331</v>
      </c>
      <c r="W301" s="308"/>
      <c r="X301" s="554">
        <f>X299+X300</f>
        <v>40794369.210999995</v>
      </c>
      <c r="Y301" s="349">
        <f t="shared" si="124"/>
        <v>0.62844532179270407</v>
      </c>
      <c r="Z301" s="555"/>
    </row>
    <row r="302" spans="2:27" ht="15" thickTop="1" thickBot="1" x14ac:dyDescent="0.3">
      <c r="C302" s="556" t="s">
        <v>1212</v>
      </c>
      <c r="D302" s="557" t="s">
        <v>1213</v>
      </c>
      <c r="E302" s="309">
        <v>0.25542160123586655</v>
      </c>
      <c r="F302" s="309">
        <f>F124-F301-0.2</f>
        <v>80542.8</v>
      </c>
      <c r="G302" s="558">
        <f t="shared" si="126"/>
        <v>80542.544578398767</v>
      </c>
      <c r="H302" s="310"/>
      <c r="I302" s="558">
        <f>I124-I301-0.2</f>
        <v>50316.800000000003</v>
      </c>
      <c r="J302" s="558">
        <f t="shared" si="133"/>
        <v>-30226</v>
      </c>
      <c r="K302" s="310"/>
      <c r="L302" s="558">
        <f>L124-L301-0.2</f>
        <v>58013.8</v>
      </c>
      <c r="M302" s="558">
        <f t="shared" si="134"/>
        <v>7697</v>
      </c>
      <c r="N302" s="310"/>
      <c r="O302" s="558">
        <f>O124-O301-0.2</f>
        <v>58013.8</v>
      </c>
      <c r="P302" s="558">
        <f t="shared" si="135"/>
        <v>0</v>
      </c>
      <c r="Q302" s="310"/>
      <c r="R302" s="558">
        <f>R124-R301-0.2</f>
        <v>38078.800000000003</v>
      </c>
      <c r="S302" s="558">
        <f t="shared" si="122"/>
        <v>-19935</v>
      </c>
      <c r="T302" s="310"/>
      <c r="U302" s="558">
        <f>U124-U301-0.2</f>
        <v>57060.800000000003</v>
      </c>
      <c r="V302" s="558">
        <f t="shared" si="123"/>
        <v>18982</v>
      </c>
      <c r="W302" s="310"/>
      <c r="X302" s="558">
        <f>X124-X301-0.2</f>
        <v>9224625.4190000109</v>
      </c>
      <c r="Y302" s="350">
        <f t="shared" si="124"/>
        <v>161.66309303409716</v>
      </c>
      <c r="Z302" s="559"/>
    </row>
  </sheetData>
  <mergeCells count="17">
    <mergeCell ref="W194:W195"/>
    <mergeCell ref="T196:T197"/>
    <mergeCell ref="W233:W234"/>
    <mergeCell ref="H241:H242"/>
    <mergeCell ref="T268:T269"/>
    <mergeCell ref="C127:D127"/>
    <mergeCell ref="C128:D128"/>
    <mergeCell ref="W131:W132"/>
    <mergeCell ref="K145:K146"/>
    <mergeCell ref="X156:X157"/>
    <mergeCell ref="Y156:Y157"/>
    <mergeCell ref="C2:D2"/>
    <mergeCell ref="C3:D3"/>
    <mergeCell ref="X52:X53"/>
    <mergeCell ref="Y52:Y53"/>
    <mergeCell ref="X55:X56"/>
    <mergeCell ref="Y55:Y56"/>
  </mergeCells>
  <conditionalFormatting sqref="E302:G302">
    <cfRule type="cellIs" dxfId="6" priority="7" operator="lessThan">
      <formula>0</formula>
    </cfRule>
  </conditionalFormatting>
  <conditionalFormatting sqref="I302:J302">
    <cfRule type="cellIs" dxfId="5" priority="5" operator="lessThan">
      <formula>0</formula>
    </cfRule>
  </conditionalFormatting>
  <conditionalFormatting sqref="L302:M302">
    <cfRule type="cellIs" dxfId="4" priority="4" operator="lessThan">
      <formula>0</formula>
    </cfRule>
  </conditionalFormatting>
  <conditionalFormatting sqref="O302:P302">
    <cfRule type="cellIs" dxfId="3" priority="3" operator="lessThan">
      <formula>0</formula>
    </cfRule>
  </conditionalFormatting>
  <conditionalFormatting sqref="R302:S302">
    <cfRule type="cellIs" dxfId="2" priority="2" operator="lessThan">
      <formula>0</formula>
    </cfRule>
  </conditionalFormatting>
  <conditionalFormatting sqref="U302:V302">
    <cfRule type="cellIs" dxfId="1" priority="1" operator="lessThan">
      <formula>0</formula>
    </cfRule>
  </conditionalFormatting>
  <conditionalFormatting sqref="X302:Z302">
    <cfRule type="cellIs" dxfId="0" priority="6" operator="lessThan">
      <formula>0</formula>
    </cfRule>
  </conditionalFormatting>
  <pageMargins left="0.47244094488188981" right="0.47244094488188981" top="0.47244094488188981" bottom="0.47244094488188981" header="0.27559055118110237" footer="0.27559055118110237"/>
  <pageSetup paperSize="9" fitToHeight="0"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3D0FC-44C4-480A-B658-F7E643839EDC}">
  <sheetPr>
    <tabColor rgb="FF7030A0"/>
    <pageSetUpPr fitToPage="1"/>
  </sheetPr>
  <dimension ref="A1:BG175"/>
  <sheetViews>
    <sheetView topLeftCell="A121" zoomScaleNormal="100" workbookViewId="0">
      <pane xSplit="3" topLeftCell="D1" activePane="topRight" state="frozen"/>
      <selection activeCell="C1" sqref="C1"/>
      <selection pane="topRight" activeCell="Q169" sqref="Q169"/>
    </sheetView>
  </sheetViews>
  <sheetFormatPr defaultColWidth="8.88671875" defaultRowHeight="14.4" outlineLevelRow="1" outlineLevelCol="1" x14ac:dyDescent="0.3"/>
  <cols>
    <col min="1" max="1" width="5" style="1" hidden="1" customWidth="1" outlineLevel="1"/>
    <col min="2" max="2" width="3.5546875" style="1" hidden="1" customWidth="1" outlineLevel="1"/>
    <col min="3" max="3" width="4.33203125" style="1" customWidth="1" collapsed="1"/>
    <col min="4" max="4" width="31.88671875" style="1" customWidth="1"/>
    <col min="5" max="5" width="12.33203125" style="3" customWidth="1"/>
    <col min="6" max="6" width="11.5546875" style="1" customWidth="1"/>
    <col min="7" max="8" width="11" style="1" customWidth="1"/>
    <col min="9" max="9" width="6.44140625" style="1" hidden="1" customWidth="1" outlineLevel="1"/>
    <col min="10" max="10" width="11.88671875" style="3" customWidth="1" collapsed="1"/>
    <col min="11" max="12" width="13.33203125" style="1" hidden="1" customWidth="1" outlineLevel="1"/>
    <col min="13" max="13" width="6" style="1" hidden="1" customWidth="1" outlineLevel="1"/>
    <col min="14" max="16" width="13.33203125" style="1" hidden="1" customWidth="1" outlineLevel="1"/>
    <col min="17" max="17" width="14.44140625" style="1" customWidth="1" collapsed="1"/>
    <col min="18" max="18" width="11.6640625" style="1" hidden="1" customWidth="1" outlineLevel="1"/>
    <col min="19" max="19" width="11.6640625" style="6" hidden="1" customWidth="1" outlineLevel="1"/>
    <col min="20" max="21" width="12.33203125" style="6" hidden="1" customWidth="1" outlineLevel="1"/>
    <col min="22" max="22" width="10.33203125" style="1" customWidth="1" collapsed="1"/>
    <col min="23" max="28" width="10.33203125" style="1" customWidth="1"/>
    <col min="29" max="51" width="10.33203125" style="1" hidden="1" customWidth="1" outlineLevel="1"/>
    <col min="52" max="52" width="11.33203125" style="1" hidden="1" customWidth="1" outlineLevel="1"/>
    <col min="53" max="53" width="10.33203125" style="1" hidden="1" customWidth="1" outlineLevel="1"/>
    <col min="54" max="54" width="12.33203125" style="1" customWidth="1" collapsed="1"/>
    <col min="55" max="55" width="11.5546875" style="1" customWidth="1" collapsed="1"/>
    <col min="56" max="56" width="8.88671875" style="1"/>
    <col min="57" max="57" width="9" style="1" bestFit="1" customWidth="1"/>
    <col min="58" max="58" width="10.6640625" style="1" customWidth="1"/>
    <col min="59" max="59" width="12.33203125" style="1" bestFit="1" customWidth="1"/>
    <col min="60" max="16384" width="8.88671875" style="1"/>
  </cols>
  <sheetData>
    <row r="1" spans="1:58" ht="18" x14ac:dyDescent="0.35">
      <c r="C1" s="2" t="s">
        <v>0</v>
      </c>
      <c r="K1" s="4"/>
      <c r="L1" s="4"/>
      <c r="M1" s="4"/>
      <c r="N1" s="4"/>
      <c r="O1" s="4"/>
      <c r="Q1" s="5"/>
      <c r="R1" s="5"/>
    </row>
    <row r="2" spans="1:58" ht="18" x14ac:dyDescent="0.35">
      <c r="C2" s="2"/>
      <c r="K2" s="5"/>
      <c r="L2" s="5"/>
      <c r="M2" s="5"/>
      <c r="N2" s="5"/>
      <c r="O2" s="5"/>
      <c r="Q2" s="5"/>
      <c r="R2" s="5"/>
      <c r="S2" s="5"/>
      <c r="T2" s="5"/>
      <c r="U2" s="5"/>
      <c r="X2" s="7"/>
    </row>
    <row r="3" spans="1:58" ht="15.6" x14ac:dyDescent="0.3">
      <c r="C3" s="8" t="s">
        <v>1</v>
      </c>
      <c r="K3" s="4"/>
      <c r="L3" s="4"/>
      <c r="M3" s="4"/>
      <c r="N3" s="4"/>
      <c r="O3" s="4"/>
      <c r="P3" s="4"/>
      <c r="Q3" s="5"/>
      <c r="R3" s="5"/>
      <c r="S3" s="5"/>
      <c r="T3" s="9"/>
      <c r="U3" s="9"/>
      <c r="V3" s="9"/>
      <c r="W3" s="9"/>
      <c r="X3" s="9"/>
      <c r="Y3" s="9"/>
      <c r="Z3" s="9"/>
      <c r="AA3" s="9"/>
      <c r="AB3" s="9"/>
      <c r="AC3" s="9"/>
      <c r="AD3" s="9"/>
      <c r="AE3" s="9"/>
      <c r="AF3" s="9"/>
      <c r="AG3" s="9"/>
      <c r="AH3" s="9"/>
      <c r="AI3" s="9"/>
      <c r="AJ3" s="9"/>
      <c r="AK3" s="9"/>
      <c r="AL3" s="9"/>
      <c r="AM3" s="9"/>
      <c r="AN3" s="9"/>
      <c r="AO3" s="9"/>
      <c r="AP3" s="9"/>
      <c r="AQ3" s="9"/>
      <c r="AR3" s="9"/>
      <c r="AS3" s="9"/>
      <c r="AT3" s="9"/>
      <c r="AU3" s="9"/>
      <c r="AV3" s="9"/>
      <c r="AW3" s="9"/>
      <c r="AX3" s="9"/>
      <c r="AY3" s="9"/>
      <c r="AZ3" s="9"/>
      <c r="BA3" s="9"/>
      <c r="BB3" s="9"/>
      <c r="BC3" s="9"/>
    </row>
    <row r="4" spans="1:58" hidden="1" outlineLevel="1" x14ac:dyDescent="0.3">
      <c r="C4" s="10"/>
      <c r="K4" s="5"/>
      <c r="L4" s="5"/>
      <c r="M4" s="5"/>
      <c r="N4" s="5"/>
      <c r="O4" s="5"/>
      <c r="P4" s="11">
        <v>0</v>
      </c>
      <c r="Q4" s="5"/>
      <c r="R4" s="5"/>
      <c r="S4" s="5"/>
      <c r="T4" s="5"/>
      <c r="U4" s="5"/>
      <c r="V4" s="12"/>
      <c r="W4" s="12"/>
      <c r="X4" s="12"/>
      <c r="Y4" s="12"/>
      <c r="Z4" s="12"/>
      <c r="AA4" s="12"/>
      <c r="AB4" s="12"/>
      <c r="AC4" s="12"/>
      <c r="AD4" s="12"/>
      <c r="AE4" s="12"/>
    </row>
    <row r="5" spans="1:58" s="13" customFormat="1" ht="57.6" collapsed="1" x14ac:dyDescent="0.3">
      <c r="B5" s="14" t="s">
        <v>2</v>
      </c>
      <c r="C5" s="15" t="s">
        <v>3</v>
      </c>
      <c r="D5" s="16" t="s">
        <v>4</v>
      </c>
      <c r="E5" s="15" t="s">
        <v>5</v>
      </c>
      <c r="F5" s="15" t="s">
        <v>6</v>
      </c>
      <c r="G5" s="15" t="s">
        <v>7</v>
      </c>
      <c r="H5" s="15" t="s">
        <v>8</v>
      </c>
      <c r="I5" s="15" t="s">
        <v>9</v>
      </c>
      <c r="J5" s="17" t="s">
        <v>10</v>
      </c>
      <c r="K5" s="18" t="s">
        <v>11</v>
      </c>
      <c r="L5" s="18" t="s">
        <v>12</v>
      </c>
      <c r="M5" s="18" t="s">
        <v>13</v>
      </c>
      <c r="N5" s="18" t="s">
        <v>14</v>
      </c>
      <c r="O5" s="18" t="s">
        <v>15</v>
      </c>
      <c r="P5" s="18" t="s">
        <v>16</v>
      </c>
      <c r="Q5" s="19" t="s">
        <v>17</v>
      </c>
      <c r="R5" s="20" t="s">
        <v>18</v>
      </c>
      <c r="S5" s="21" t="s">
        <v>19</v>
      </c>
      <c r="T5" s="22">
        <v>2024</v>
      </c>
      <c r="U5" s="22"/>
      <c r="V5" s="16">
        <v>2024</v>
      </c>
      <c r="W5" s="16">
        <v>2025</v>
      </c>
      <c r="X5" s="16">
        <v>2026</v>
      </c>
      <c r="Y5" s="16">
        <v>2027</v>
      </c>
      <c r="Z5" s="16">
        <v>2028</v>
      </c>
      <c r="AA5" s="16">
        <v>2029</v>
      </c>
      <c r="AB5" s="16">
        <v>2030</v>
      </c>
      <c r="AC5" s="16">
        <v>2031</v>
      </c>
      <c r="AD5" s="16">
        <v>2032</v>
      </c>
      <c r="AE5" s="16">
        <v>2033</v>
      </c>
      <c r="AF5" s="16">
        <v>2034</v>
      </c>
      <c r="AG5" s="16">
        <v>2035</v>
      </c>
      <c r="AH5" s="16">
        <v>2036</v>
      </c>
      <c r="AI5" s="16">
        <v>2037</v>
      </c>
      <c r="AJ5" s="16">
        <v>2038</v>
      </c>
      <c r="AK5" s="16">
        <v>2039</v>
      </c>
      <c r="AL5" s="16">
        <v>2040</v>
      </c>
      <c r="AM5" s="16">
        <v>2041</v>
      </c>
      <c r="AN5" s="16">
        <v>2042</v>
      </c>
      <c r="AO5" s="16">
        <v>2043</v>
      </c>
      <c r="AP5" s="16">
        <v>2044</v>
      </c>
      <c r="AQ5" s="16">
        <v>2045</v>
      </c>
      <c r="AR5" s="16">
        <v>2046</v>
      </c>
      <c r="AS5" s="16">
        <v>2047</v>
      </c>
      <c r="AT5" s="16">
        <v>2048</v>
      </c>
      <c r="AU5" s="16">
        <v>2049</v>
      </c>
      <c r="AV5" s="16">
        <v>2050</v>
      </c>
      <c r="AW5" s="16">
        <v>2051</v>
      </c>
      <c r="AX5" s="16">
        <v>2052</v>
      </c>
      <c r="AY5" s="16">
        <v>2053</v>
      </c>
      <c r="AZ5" s="15" t="s">
        <v>20</v>
      </c>
      <c r="BA5" s="23"/>
      <c r="BB5" s="14" t="s">
        <v>21</v>
      </c>
      <c r="BC5" s="15" t="s">
        <v>22</v>
      </c>
    </row>
    <row r="6" spans="1:58" s="24" customFormat="1" outlineLevel="1" x14ac:dyDescent="0.3">
      <c r="B6" s="25" t="s">
        <v>23</v>
      </c>
      <c r="C6" s="26">
        <v>1</v>
      </c>
      <c r="D6" s="27" t="s">
        <v>24</v>
      </c>
      <c r="E6" s="28" t="s">
        <v>25</v>
      </c>
      <c r="F6" s="29" t="s">
        <v>26</v>
      </c>
      <c r="G6" s="29" t="s">
        <v>27</v>
      </c>
      <c r="H6" s="29" t="s">
        <v>28</v>
      </c>
      <c r="I6" s="29" t="s">
        <v>29</v>
      </c>
      <c r="J6" s="30">
        <v>2099988.0499999998</v>
      </c>
      <c r="K6" s="31">
        <v>1343825.59</v>
      </c>
      <c r="L6" s="31"/>
      <c r="M6" s="31"/>
      <c r="N6" s="27"/>
      <c r="O6" s="27"/>
      <c r="P6" s="27"/>
      <c r="Q6" s="32" t="s">
        <v>30</v>
      </c>
      <c r="R6" s="33">
        <v>24486</v>
      </c>
      <c r="S6" s="33">
        <v>73458.600000000006</v>
      </c>
      <c r="T6" s="34">
        <f>SUM(R6:S6)</f>
        <v>97944.6</v>
      </c>
      <c r="U6" s="35">
        <f>V6-T6</f>
        <v>0.19999999999708962</v>
      </c>
      <c r="V6" s="36">
        <v>97944.8</v>
      </c>
      <c r="W6" s="36">
        <v>97944.8</v>
      </c>
      <c r="X6" s="36">
        <v>97944.8</v>
      </c>
      <c r="Y6" s="36">
        <v>97944.8</v>
      </c>
      <c r="Z6" s="36">
        <v>97944.8</v>
      </c>
      <c r="AA6" s="36">
        <v>97944.8</v>
      </c>
      <c r="AB6" s="36">
        <v>97944.8</v>
      </c>
      <c r="AC6" s="36">
        <v>97944.8</v>
      </c>
      <c r="AD6" s="36">
        <v>97944.8</v>
      </c>
      <c r="AE6" s="36">
        <v>113829.75999999999</v>
      </c>
      <c r="AF6" s="36">
        <v>113829.75999999999</v>
      </c>
      <c r="AG6" s="36">
        <v>113829.75999999999</v>
      </c>
      <c r="AH6" s="36">
        <v>71860.709999999992</v>
      </c>
      <c r="AI6" s="36">
        <v>0</v>
      </c>
      <c r="AJ6" s="36">
        <v>0</v>
      </c>
      <c r="AK6" s="36">
        <v>0</v>
      </c>
      <c r="AL6" s="36">
        <v>0</v>
      </c>
      <c r="AM6" s="36">
        <v>0</v>
      </c>
      <c r="AN6" s="36">
        <v>0</v>
      </c>
      <c r="AO6" s="36">
        <v>0</v>
      </c>
      <c r="AP6" s="36">
        <v>0</v>
      </c>
      <c r="AQ6" s="36">
        <v>0</v>
      </c>
      <c r="AR6" s="36">
        <v>0</v>
      </c>
      <c r="AS6" s="36">
        <v>0</v>
      </c>
      <c r="AT6" s="36">
        <v>0</v>
      </c>
      <c r="AU6" s="36">
        <v>0</v>
      </c>
      <c r="AV6" s="36">
        <v>0</v>
      </c>
      <c r="AW6" s="36">
        <v>0</v>
      </c>
      <c r="AX6" s="36"/>
      <c r="AY6" s="36"/>
      <c r="AZ6" s="37">
        <f>SUM(V6:AY6)</f>
        <v>1294853.1900000002</v>
      </c>
      <c r="BA6" s="38">
        <f>AZ6-SUM(V6:AY6)</f>
        <v>0</v>
      </c>
      <c r="BB6" s="39">
        <f>SUM(AC6:AY6)</f>
        <v>609239.59</v>
      </c>
      <c r="BC6" s="40">
        <f>SUM(V6:AB6,BB6)</f>
        <v>1294853.19</v>
      </c>
      <c r="BE6" s="24" t="b">
        <f>AZ6=BC6</f>
        <v>1</v>
      </c>
      <c r="BF6" s="41"/>
    </row>
    <row r="7" spans="1:58" outlineLevel="1" x14ac:dyDescent="0.3">
      <c r="B7" s="42" t="s">
        <v>23</v>
      </c>
      <c r="C7" s="43"/>
      <c r="D7" s="44" t="s">
        <v>31</v>
      </c>
      <c r="E7" s="45"/>
      <c r="F7" s="46"/>
      <c r="G7" s="46"/>
      <c r="H7" s="46"/>
      <c r="I7" s="46"/>
      <c r="J7" s="47"/>
      <c r="K7" s="47"/>
      <c r="L7" s="47" t="s">
        <v>32</v>
      </c>
      <c r="M7" s="47"/>
      <c r="N7" s="48">
        <f>SUM(O7:P7)</f>
        <v>3.8879999999999999</v>
      </c>
      <c r="O7" s="48">
        <v>3.8879999999999999</v>
      </c>
      <c r="P7" s="48">
        <f>$P$4</f>
        <v>0</v>
      </c>
      <c r="Q7" s="48" t="s">
        <v>33</v>
      </c>
      <c r="R7" s="49">
        <v>36163.53</v>
      </c>
      <c r="S7" s="49">
        <v>12000.57</v>
      </c>
      <c r="T7" s="50">
        <f>SUM(R7:S7)</f>
        <v>48164.1</v>
      </c>
      <c r="U7" s="51">
        <f t="shared" ref="U7:U70" si="0">V7-T7</f>
        <v>0.5</v>
      </c>
      <c r="V7" s="52">
        <f>36163.53+12000.57+0.5</f>
        <v>48164.6</v>
      </c>
      <c r="W7" s="52">
        <f>SUM(W6:$AW6)*$N7/100</f>
        <v>46535.7982032</v>
      </c>
      <c r="X7" s="52">
        <f>SUM(X6:$AW6)*$N7/100</f>
        <v>42727.704379200004</v>
      </c>
      <c r="Y7" s="52">
        <f>SUM(Y6:$AW6)*$N7/100</f>
        <v>38919.610555200001</v>
      </c>
      <c r="Z7" s="52">
        <f>SUM(Z6:$AW6)*$N7/100</f>
        <v>35111.516731199998</v>
      </c>
      <c r="AA7" s="52">
        <f>SUM(AA6:$AW6)*$N7/100</f>
        <v>31303.422907199998</v>
      </c>
      <c r="AB7" s="52">
        <f>SUM(AB6:$AW6)*$N7/100</f>
        <v>27495.329083199998</v>
      </c>
      <c r="AC7" s="52">
        <f>SUM(AC6:$AW6)*$N7/100</f>
        <v>23687.235259199999</v>
      </c>
      <c r="AD7" s="52">
        <f>SUM(AD6:$AW6)*$N7/100</f>
        <v>19879.141435200003</v>
      </c>
      <c r="AE7" s="52">
        <f>SUM(AE6:$AW6)*$N7/100</f>
        <v>16071.0476112</v>
      </c>
      <c r="AF7" s="52">
        <f>SUM(AF6:$AW6)*$N7/100</f>
        <v>11645.346542399999</v>
      </c>
      <c r="AG7" s="52">
        <f>SUM(AG6:$AW6)*$N7/100</f>
        <v>7219.6454735999987</v>
      </c>
      <c r="AH7" s="52">
        <f>SUM(AH6:$AW6)*$N7/100</f>
        <v>2793.9444048</v>
      </c>
      <c r="AI7" s="52">
        <v>0</v>
      </c>
      <c r="AJ7" s="52">
        <v>0</v>
      </c>
      <c r="AK7" s="52">
        <v>0</v>
      </c>
      <c r="AL7" s="52">
        <v>0</v>
      </c>
      <c r="AM7" s="52">
        <v>0</v>
      </c>
      <c r="AN7" s="52">
        <v>0</v>
      </c>
      <c r="AO7" s="52">
        <v>0</v>
      </c>
      <c r="AP7" s="52">
        <v>0</v>
      </c>
      <c r="AQ7" s="52">
        <v>0</v>
      </c>
      <c r="AR7" s="52">
        <v>0</v>
      </c>
      <c r="AS7" s="52">
        <v>0</v>
      </c>
      <c r="AT7" s="52">
        <v>0</v>
      </c>
      <c r="AU7" s="52">
        <v>0</v>
      </c>
      <c r="AV7" s="52">
        <v>0</v>
      </c>
      <c r="AW7" s="52">
        <v>0</v>
      </c>
      <c r="AX7" s="52"/>
      <c r="AY7" s="52"/>
      <c r="AZ7" s="53">
        <f>SUM(V7:AY7)</f>
        <v>351554.34258560004</v>
      </c>
      <c r="BA7" s="38">
        <f t="shared" ref="BA7:BA72" si="1">AZ7-SUM(V7:AY7)</f>
        <v>0</v>
      </c>
      <c r="BB7" s="54">
        <f>SUM(AC7:AY7)</f>
        <v>81296.360726400002</v>
      </c>
      <c r="BC7" s="55">
        <f>SUM(V7:AB7,BB7)</f>
        <v>351554.34258559998</v>
      </c>
      <c r="BE7" s="24" t="b">
        <f t="shared" ref="BE7:BE72" si="2">AZ7=BC7</f>
        <v>1</v>
      </c>
    </row>
    <row r="8" spans="1:58" s="24" customFormat="1" outlineLevel="1" x14ac:dyDescent="0.3">
      <c r="B8" s="25" t="s">
        <v>23</v>
      </c>
      <c r="C8" s="26">
        <v>2</v>
      </c>
      <c r="D8" s="27" t="s">
        <v>24</v>
      </c>
      <c r="E8" s="28" t="s">
        <v>34</v>
      </c>
      <c r="F8" s="29" t="s">
        <v>35</v>
      </c>
      <c r="G8" s="29" t="s">
        <v>36</v>
      </c>
      <c r="H8" s="29" t="s">
        <v>37</v>
      </c>
      <c r="I8" s="29" t="s">
        <v>29</v>
      </c>
      <c r="J8" s="30">
        <v>6628759.9400000004</v>
      </c>
      <c r="K8" s="31">
        <v>3337088.24</v>
      </c>
      <c r="L8" s="31"/>
      <c r="M8" s="31"/>
      <c r="N8" s="32"/>
      <c r="O8" s="32">
        <v>2.3380000000000001</v>
      </c>
      <c r="P8" s="32"/>
      <c r="Q8" s="32" t="s">
        <v>30</v>
      </c>
      <c r="R8" s="33">
        <v>98150</v>
      </c>
      <c r="S8" s="33">
        <v>294449.09999999998</v>
      </c>
      <c r="T8" s="34">
        <f t="shared" ref="T8:T71" si="3">SUM(R8:S8)</f>
        <v>392599.1</v>
      </c>
      <c r="U8" s="35">
        <f t="shared" si="0"/>
        <v>-0.29999999998835847</v>
      </c>
      <c r="V8" s="36">
        <v>392598.8</v>
      </c>
      <c r="W8" s="36">
        <v>392598.8</v>
      </c>
      <c r="X8" s="36">
        <v>392598.8</v>
      </c>
      <c r="Y8" s="36">
        <v>392598.8</v>
      </c>
      <c r="Z8" s="36">
        <v>392598.8</v>
      </c>
      <c r="AA8" s="36">
        <v>392598.8</v>
      </c>
      <c r="AB8" s="36">
        <v>392598.8</v>
      </c>
      <c r="AC8" s="36">
        <v>392597.24</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36">
        <v>0</v>
      </c>
      <c r="AV8" s="36">
        <v>0</v>
      </c>
      <c r="AW8" s="36">
        <v>0</v>
      </c>
      <c r="AX8" s="36"/>
      <c r="AY8" s="36"/>
      <c r="AZ8" s="37">
        <f t="shared" ref="AZ8:AZ71" si="4">SUM(V8:AY8)</f>
        <v>3140788.84</v>
      </c>
      <c r="BA8" s="38">
        <f t="shared" si="1"/>
        <v>0</v>
      </c>
      <c r="BB8" s="39">
        <f t="shared" ref="BB8:BB71" si="5">SUM(AC8:AY8)</f>
        <v>392597.24</v>
      </c>
      <c r="BC8" s="40">
        <f t="shared" ref="BC8:BC73" si="6">SUM(V8:AB8,BB8)</f>
        <v>3140788.84</v>
      </c>
      <c r="BE8" s="24" t="b">
        <f t="shared" si="2"/>
        <v>1</v>
      </c>
      <c r="BF8" s="41"/>
    </row>
    <row r="9" spans="1:58" outlineLevel="1" x14ac:dyDescent="0.3">
      <c r="B9" s="42" t="s">
        <v>23</v>
      </c>
      <c r="C9" s="43"/>
      <c r="D9" s="44" t="s">
        <v>38</v>
      </c>
      <c r="E9" s="45"/>
      <c r="F9" s="46"/>
      <c r="G9" s="46"/>
      <c r="H9" s="46"/>
      <c r="I9" s="46"/>
      <c r="J9" s="47"/>
      <c r="K9" s="47"/>
      <c r="L9" s="56" t="s">
        <v>39</v>
      </c>
      <c r="M9" s="56"/>
      <c r="N9" s="48">
        <f t="shared" ref="N9:N71" si="7">SUM(O9:P9)</f>
        <v>4.1500000000000004</v>
      </c>
      <c r="O9" s="57">
        <v>4.1500000000000004</v>
      </c>
      <c r="P9" s="48">
        <f>$P$4</f>
        <v>0</v>
      </c>
      <c r="Q9" s="48" t="s">
        <v>33</v>
      </c>
      <c r="R9" s="49">
        <v>100730.78</v>
      </c>
      <c r="S9" s="49">
        <v>31113.33</v>
      </c>
      <c r="T9" s="50">
        <f t="shared" si="3"/>
        <v>131844.10999999999</v>
      </c>
      <c r="U9" s="51">
        <f t="shared" si="0"/>
        <v>0.5</v>
      </c>
      <c r="V9" s="52">
        <f>100730.78+31113.33+0.5</f>
        <v>131844.60999999999</v>
      </c>
      <c r="W9" s="52">
        <f>SUM(W8:$AW8)*$N9/100</f>
        <v>114049.88666000002</v>
      </c>
      <c r="X9" s="52">
        <f>SUM(X8:$AW8)*$N9/100</f>
        <v>97757.036460000018</v>
      </c>
      <c r="Y9" s="52">
        <f>SUM(Y8:$AW8)*$N9/100</f>
        <v>81464.186260000002</v>
      </c>
      <c r="Z9" s="52">
        <f>SUM(Z8:$AW8)*$N9/100</f>
        <v>65171.336059999994</v>
      </c>
      <c r="AA9" s="52">
        <f>SUM(AA8:$AW8)*$N9/100</f>
        <v>48878.485860000001</v>
      </c>
      <c r="AB9" s="52">
        <f>SUM(AB8:$AW8)*$N9/100</f>
        <v>32585.635660000007</v>
      </c>
      <c r="AC9" s="52">
        <f>SUM(AC8:$AW8)*$N9/100</f>
        <v>16292.785460000001</v>
      </c>
      <c r="AD9" s="52">
        <f>SUM(AD8:$AW8)*$N9/100</f>
        <v>0</v>
      </c>
      <c r="AE9" s="52">
        <v>0</v>
      </c>
      <c r="AF9" s="52">
        <v>0</v>
      </c>
      <c r="AG9" s="52">
        <v>0</v>
      </c>
      <c r="AH9" s="52">
        <v>0</v>
      </c>
      <c r="AI9" s="52">
        <v>0</v>
      </c>
      <c r="AJ9" s="52">
        <v>0</v>
      </c>
      <c r="AK9" s="52">
        <v>0</v>
      </c>
      <c r="AL9" s="52">
        <v>0</v>
      </c>
      <c r="AM9" s="52">
        <v>0</v>
      </c>
      <c r="AN9" s="52">
        <v>0</v>
      </c>
      <c r="AO9" s="52">
        <v>0</v>
      </c>
      <c r="AP9" s="52">
        <v>0</v>
      </c>
      <c r="AQ9" s="52">
        <v>0</v>
      </c>
      <c r="AR9" s="52">
        <v>0</v>
      </c>
      <c r="AS9" s="52">
        <v>0</v>
      </c>
      <c r="AT9" s="52">
        <v>0</v>
      </c>
      <c r="AU9" s="52">
        <v>0</v>
      </c>
      <c r="AV9" s="52">
        <v>0</v>
      </c>
      <c r="AW9" s="52">
        <v>0</v>
      </c>
      <c r="AX9" s="52"/>
      <c r="AY9" s="52"/>
      <c r="AZ9" s="53">
        <f t="shared" si="4"/>
        <v>588043.96242000011</v>
      </c>
      <c r="BA9" s="38">
        <f t="shared" si="1"/>
        <v>0</v>
      </c>
      <c r="BB9" s="54">
        <f t="shared" si="5"/>
        <v>16292.785460000001</v>
      </c>
      <c r="BC9" s="55">
        <f t="shared" si="6"/>
        <v>588043.96242000011</v>
      </c>
      <c r="BE9" s="24" t="b">
        <f t="shared" si="2"/>
        <v>1</v>
      </c>
    </row>
    <row r="10" spans="1:58" s="24" customFormat="1" outlineLevel="1" x14ac:dyDescent="0.3">
      <c r="A10" s="24" t="s">
        <v>40</v>
      </c>
      <c r="B10" s="25" t="s">
        <v>23</v>
      </c>
      <c r="C10" s="26">
        <v>3</v>
      </c>
      <c r="D10" s="27" t="s">
        <v>41</v>
      </c>
      <c r="E10" s="28" t="s">
        <v>42</v>
      </c>
      <c r="F10" s="29" t="s">
        <v>43</v>
      </c>
      <c r="G10" s="29" t="s">
        <v>44</v>
      </c>
      <c r="H10" s="29" t="s">
        <v>45</v>
      </c>
      <c r="I10" s="29" t="s">
        <v>29</v>
      </c>
      <c r="J10" s="30">
        <v>871076.43</v>
      </c>
      <c r="K10" s="31">
        <v>453250.01</v>
      </c>
      <c r="L10" s="31"/>
      <c r="M10" s="31"/>
      <c r="N10" s="32"/>
      <c r="O10" s="32">
        <v>1.1990000000000001</v>
      </c>
      <c r="P10" s="32"/>
      <c r="Q10" s="32" t="s">
        <v>30</v>
      </c>
      <c r="R10" s="33">
        <v>13331</v>
      </c>
      <c r="S10" s="33">
        <v>39992.67</v>
      </c>
      <c r="T10" s="34">
        <f t="shared" si="3"/>
        <v>53323.67</v>
      </c>
      <c r="U10" s="35">
        <f t="shared" si="0"/>
        <v>-0.11000000000058208</v>
      </c>
      <c r="V10" s="36">
        <v>53323.56</v>
      </c>
      <c r="W10" s="36">
        <v>53323.56</v>
      </c>
      <c r="X10" s="36">
        <v>53323.56</v>
      </c>
      <c r="Y10" s="36">
        <v>53323.56</v>
      </c>
      <c r="Z10" s="36">
        <v>53323.56</v>
      </c>
      <c r="AA10" s="36">
        <v>53323.56</v>
      </c>
      <c r="AB10" s="36">
        <v>53323.56</v>
      </c>
      <c r="AC10" s="36">
        <v>51223.4</v>
      </c>
      <c r="AD10" s="36">
        <v>2099.91</v>
      </c>
      <c r="AE10" s="36">
        <v>0</v>
      </c>
      <c r="AF10" s="36">
        <v>0</v>
      </c>
      <c r="AG10" s="36">
        <v>0</v>
      </c>
      <c r="AH10" s="36">
        <v>0</v>
      </c>
      <c r="AI10" s="36">
        <v>0</v>
      </c>
      <c r="AJ10" s="36">
        <v>0</v>
      </c>
      <c r="AK10" s="36">
        <v>0</v>
      </c>
      <c r="AL10" s="36">
        <v>0</v>
      </c>
      <c r="AM10" s="36">
        <v>0</v>
      </c>
      <c r="AN10" s="36">
        <v>0</v>
      </c>
      <c r="AO10" s="36">
        <v>0</v>
      </c>
      <c r="AP10" s="36">
        <v>0</v>
      </c>
      <c r="AQ10" s="36">
        <v>0</v>
      </c>
      <c r="AR10" s="36">
        <v>0</v>
      </c>
      <c r="AS10" s="36">
        <v>0</v>
      </c>
      <c r="AT10" s="36">
        <v>0</v>
      </c>
      <c r="AU10" s="36">
        <v>0</v>
      </c>
      <c r="AV10" s="36">
        <v>0</v>
      </c>
      <c r="AW10" s="36">
        <v>0</v>
      </c>
      <c r="AX10" s="36"/>
      <c r="AY10" s="36"/>
      <c r="AZ10" s="37">
        <f t="shared" si="4"/>
        <v>426588.23</v>
      </c>
      <c r="BA10" s="38">
        <f t="shared" si="1"/>
        <v>0</v>
      </c>
      <c r="BB10" s="39">
        <f t="shared" si="5"/>
        <v>53323.31</v>
      </c>
      <c r="BC10" s="40">
        <f t="shared" si="6"/>
        <v>426588.23</v>
      </c>
      <c r="BE10" s="24" t="b">
        <f t="shared" si="2"/>
        <v>1</v>
      </c>
      <c r="BF10" s="41"/>
    </row>
    <row r="11" spans="1:58" outlineLevel="1" x14ac:dyDescent="0.3">
      <c r="A11" s="24" t="s">
        <v>40</v>
      </c>
      <c r="B11" s="42" t="s">
        <v>23</v>
      </c>
      <c r="C11" s="43"/>
      <c r="D11" s="44" t="s">
        <v>46</v>
      </c>
      <c r="E11" s="45"/>
      <c r="F11" s="46"/>
      <c r="G11" s="46"/>
      <c r="H11" s="46"/>
      <c r="I11" s="46"/>
      <c r="J11" s="47"/>
      <c r="K11" s="47"/>
      <c r="L11" s="47" t="s">
        <v>47</v>
      </c>
      <c r="M11" s="47"/>
      <c r="N11" s="48">
        <f t="shared" si="7"/>
        <v>4.1500000000000004</v>
      </c>
      <c r="O11" s="57">
        <v>4.1500000000000004</v>
      </c>
      <c r="P11" s="48">
        <f>$P$4</f>
        <v>0</v>
      </c>
      <c r="Q11" s="48" t="s">
        <v>33</v>
      </c>
      <c r="R11" s="49">
        <v>13347.67</v>
      </c>
      <c r="S11" s="49">
        <v>3824.54</v>
      </c>
      <c r="T11" s="50">
        <f t="shared" si="3"/>
        <v>17172.21</v>
      </c>
      <c r="U11" s="51">
        <f t="shared" si="0"/>
        <v>0.5</v>
      </c>
      <c r="V11" s="52">
        <f>13347.67+3824.54+0.5</f>
        <v>17172.71</v>
      </c>
      <c r="W11" s="52">
        <v>15376.41</v>
      </c>
      <c r="X11" s="52">
        <v>13137.43</v>
      </c>
      <c r="Y11" s="52">
        <v>10896.919999999998</v>
      </c>
      <c r="Z11" s="52">
        <v>8679.44</v>
      </c>
      <c r="AA11" s="52">
        <v>6409.7699999999995</v>
      </c>
      <c r="AB11" s="52">
        <v>4166.21</v>
      </c>
      <c r="AC11" s="52">
        <v>1941.92</v>
      </c>
      <c r="AD11" s="52">
        <v>173.87</v>
      </c>
      <c r="AE11" s="52">
        <v>0</v>
      </c>
      <c r="AF11" s="52">
        <v>0</v>
      </c>
      <c r="AG11" s="52">
        <v>0</v>
      </c>
      <c r="AH11" s="52">
        <v>0</v>
      </c>
      <c r="AI11" s="52">
        <v>0</v>
      </c>
      <c r="AJ11" s="52">
        <v>0</v>
      </c>
      <c r="AK11" s="52">
        <v>0</v>
      </c>
      <c r="AL11" s="52">
        <v>0</v>
      </c>
      <c r="AM11" s="52">
        <v>0</v>
      </c>
      <c r="AN11" s="52">
        <v>0</v>
      </c>
      <c r="AO11" s="52">
        <v>0</v>
      </c>
      <c r="AP11" s="52">
        <v>0</v>
      </c>
      <c r="AQ11" s="52">
        <v>0</v>
      </c>
      <c r="AR11" s="52">
        <v>0</v>
      </c>
      <c r="AS11" s="52">
        <v>0</v>
      </c>
      <c r="AT11" s="52">
        <v>0</v>
      </c>
      <c r="AU11" s="52">
        <v>0</v>
      </c>
      <c r="AV11" s="52">
        <v>0</v>
      </c>
      <c r="AW11" s="52">
        <v>0</v>
      </c>
      <c r="AX11" s="52"/>
      <c r="AY11" s="52"/>
      <c r="AZ11" s="53">
        <f t="shared" si="4"/>
        <v>77954.680000000008</v>
      </c>
      <c r="BA11" s="38">
        <f t="shared" si="1"/>
        <v>0</v>
      </c>
      <c r="BB11" s="54">
        <f t="shared" si="5"/>
        <v>2115.79</v>
      </c>
      <c r="BC11" s="55">
        <f t="shared" si="6"/>
        <v>77954.680000000008</v>
      </c>
      <c r="BE11" s="24" t="b">
        <f t="shared" si="2"/>
        <v>1</v>
      </c>
    </row>
    <row r="12" spans="1:58" s="24" customFormat="1" outlineLevel="1" x14ac:dyDescent="0.3">
      <c r="A12" s="24" t="s">
        <v>40</v>
      </c>
      <c r="B12" s="25" t="s">
        <v>23</v>
      </c>
      <c r="C12" s="26">
        <v>4</v>
      </c>
      <c r="D12" s="27" t="s">
        <v>24</v>
      </c>
      <c r="E12" s="28" t="s">
        <v>48</v>
      </c>
      <c r="F12" s="29" t="s">
        <v>49</v>
      </c>
      <c r="G12" s="29" t="s">
        <v>50</v>
      </c>
      <c r="H12" s="29" t="s">
        <v>51</v>
      </c>
      <c r="I12" s="29" t="s">
        <v>29</v>
      </c>
      <c r="J12" s="30">
        <v>520921.91</v>
      </c>
      <c r="K12" s="31">
        <v>28941.09</v>
      </c>
      <c r="L12" s="31"/>
      <c r="M12" s="31"/>
      <c r="N12" s="32"/>
      <c r="O12" s="32"/>
      <c r="P12" s="32"/>
      <c r="Q12" s="32" t="s">
        <v>30</v>
      </c>
      <c r="R12" s="33">
        <v>0</v>
      </c>
      <c r="S12" s="33">
        <v>0</v>
      </c>
      <c r="T12" s="34">
        <f t="shared" si="3"/>
        <v>0</v>
      </c>
      <c r="U12" s="35">
        <f t="shared" si="0"/>
        <v>67.680000000000007</v>
      </c>
      <c r="V12" s="36">
        <v>67.680000000000007</v>
      </c>
      <c r="W12" s="36">
        <v>0</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0</v>
      </c>
      <c r="AT12" s="36">
        <v>0</v>
      </c>
      <c r="AU12" s="36">
        <v>0</v>
      </c>
      <c r="AV12" s="36">
        <v>0</v>
      </c>
      <c r="AW12" s="36">
        <v>0</v>
      </c>
      <c r="AX12" s="36"/>
      <c r="AY12" s="36"/>
      <c r="AZ12" s="37">
        <f t="shared" si="4"/>
        <v>67.680000000000007</v>
      </c>
      <c r="BA12" s="38">
        <f t="shared" si="1"/>
        <v>0</v>
      </c>
      <c r="BB12" s="39">
        <f>SUM(AB12:AY12)</f>
        <v>0</v>
      </c>
      <c r="BC12" s="40">
        <f>SUM(V12:AA12,BB12)</f>
        <v>67.680000000000007</v>
      </c>
      <c r="BE12" s="24" t="b">
        <f t="shared" si="2"/>
        <v>1</v>
      </c>
      <c r="BF12" s="41"/>
    </row>
    <row r="13" spans="1:58" outlineLevel="1" x14ac:dyDescent="0.3">
      <c r="A13" s="24" t="s">
        <v>40</v>
      </c>
      <c r="B13" s="42" t="s">
        <v>23</v>
      </c>
      <c r="C13" s="43"/>
      <c r="D13" s="44" t="s">
        <v>52</v>
      </c>
      <c r="E13" s="45"/>
      <c r="F13" s="46"/>
      <c r="G13" s="46"/>
      <c r="H13" s="46"/>
      <c r="I13" s="46"/>
      <c r="J13" s="47"/>
      <c r="K13" s="47"/>
      <c r="L13" s="47" t="s">
        <v>53</v>
      </c>
      <c r="M13" s="47"/>
      <c r="N13" s="48">
        <f>SUM(O13:P13)</f>
        <v>3.0870000000000002</v>
      </c>
      <c r="O13" s="57">
        <v>3.0870000000000002</v>
      </c>
      <c r="P13" s="48">
        <f>$P$4</f>
        <v>0</v>
      </c>
      <c r="Q13" s="48" t="s">
        <v>33</v>
      </c>
      <c r="R13" s="49">
        <v>67.680000000000007</v>
      </c>
      <c r="S13" s="49">
        <v>0</v>
      </c>
      <c r="T13" s="50">
        <f t="shared" si="3"/>
        <v>67.680000000000007</v>
      </c>
      <c r="U13" s="51">
        <f t="shared" si="0"/>
        <v>0.31999999999999318</v>
      </c>
      <c r="V13" s="52">
        <v>68</v>
      </c>
      <c r="W13" s="52">
        <v>0</v>
      </c>
      <c r="X13" s="52">
        <v>0</v>
      </c>
      <c r="Y13" s="52">
        <v>0</v>
      </c>
      <c r="Z13" s="52">
        <v>0</v>
      </c>
      <c r="AA13" s="52">
        <v>0</v>
      </c>
      <c r="AB13" s="52">
        <v>0</v>
      </c>
      <c r="AC13" s="52">
        <v>0</v>
      </c>
      <c r="AD13" s="52">
        <v>0</v>
      </c>
      <c r="AE13" s="52">
        <v>0</v>
      </c>
      <c r="AF13" s="52">
        <v>0</v>
      </c>
      <c r="AG13" s="52">
        <v>0</v>
      </c>
      <c r="AH13" s="52">
        <v>0</v>
      </c>
      <c r="AI13" s="52">
        <v>0</v>
      </c>
      <c r="AJ13" s="52">
        <v>0</v>
      </c>
      <c r="AK13" s="52">
        <v>0</v>
      </c>
      <c r="AL13" s="52">
        <v>0</v>
      </c>
      <c r="AM13" s="52">
        <v>0</v>
      </c>
      <c r="AN13" s="52">
        <v>0</v>
      </c>
      <c r="AO13" s="52">
        <v>0</v>
      </c>
      <c r="AP13" s="52">
        <v>0</v>
      </c>
      <c r="AQ13" s="52">
        <v>0</v>
      </c>
      <c r="AR13" s="52">
        <v>0</v>
      </c>
      <c r="AS13" s="52">
        <v>0</v>
      </c>
      <c r="AT13" s="52">
        <v>0</v>
      </c>
      <c r="AU13" s="52">
        <v>0</v>
      </c>
      <c r="AV13" s="52">
        <v>0</v>
      </c>
      <c r="AW13" s="52">
        <v>0</v>
      </c>
      <c r="AX13" s="52"/>
      <c r="AY13" s="52"/>
      <c r="AZ13" s="53">
        <f t="shared" si="4"/>
        <v>68</v>
      </c>
      <c r="BA13" s="38">
        <f t="shared" si="1"/>
        <v>0</v>
      </c>
      <c r="BB13" s="54">
        <f>SUM(AB13:AY13)</f>
        <v>0</v>
      </c>
      <c r="BC13" s="55">
        <f>SUM(V13:AA13,BB13)</f>
        <v>68</v>
      </c>
      <c r="BE13" s="24" t="b">
        <f t="shared" si="2"/>
        <v>1</v>
      </c>
    </row>
    <row r="14" spans="1:58" s="24" customFormat="1" outlineLevel="1" x14ac:dyDescent="0.3">
      <c r="B14" s="25" t="s">
        <v>23</v>
      </c>
      <c r="C14" s="26">
        <v>5</v>
      </c>
      <c r="D14" s="27" t="s">
        <v>54</v>
      </c>
      <c r="E14" s="28" t="s">
        <v>55</v>
      </c>
      <c r="F14" s="29" t="s">
        <v>56</v>
      </c>
      <c r="G14" s="29" t="s">
        <v>57</v>
      </c>
      <c r="H14" s="29" t="s">
        <v>58</v>
      </c>
      <c r="I14" s="29" t="s">
        <v>29</v>
      </c>
      <c r="J14" s="30">
        <v>1925611</v>
      </c>
      <c r="K14" s="31">
        <v>1195236</v>
      </c>
      <c r="L14" s="31"/>
      <c r="M14" s="31"/>
      <c r="N14" s="32"/>
      <c r="O14" s="32"/>
      <c r="P14" s="32"/>
      <c r="Q14" s="32" t="s">
        <v>30</v>
      </c>
      <c r="R14" s="33">
        <v>33201</v>
      </c>
      <c r="S14" s="33">
        <v>99603</v>
      </c>
      <c r="T14" s="34">
        <f t="shared" si="3"/>
        <v>132804</v>
      </c>
      <c r="U14" s="35">
        <f t="shared" si="0"/>
        <v>0</v>
      </c>
      <c r="V14" s="36">
        <v>132804</v>
      </c>
      <c r="W14" s="36">
        <v>132804</v>
      </c>
      <c r="X14" s="36">
        <v>132804</v>
      </c>
      <c r="Y14" s="36">
        <v>132804</v>
      </c>
      <c r="Z14" s="36">
        <v>132804</v>
      </c>
      <c r="AA14" s="36">
        <v>132804</v>
      </c>
      <c r="AB14" s="36">
        <v>132804</v>
      </c>
      <c r="AC14" s="36">
        <v>132804</v>
      </c>
      <c r="AD14" s="36">
        <v>66402</v>
      </c>
      <c r="AE14" s="36">
        <v>0</v>
      </c>
      <c r="AF14" s="36">
        <v>0</v>
      </c>
      <c r="AG14" s="36">
        <v>0</v>
      </c>
      <c r="AH14" s="36">
        <v>0</v>
      </c>
      <c r="AI14" s="36">
        <v>0</v>
      </c>
      <c r="AJ14" s="36">
        <v>0</v>
      </c>
      <c r="AK14" s="36">
        <v>0</v>
      </c>
      <c r="AL14" s="36">
        <v>0</v>
      </c>
      <c r="AM14" s="36">
        <v>0</v>
      </c>
      <c r="AN14" s="36">
        <v>0</v>
      </c>
      <c r="AO14" s="36">
        <v>0</v>
      </c>
      <c r="AP14" s="36">
        <v>0</v>
      </c>
      <c r="AQ14" s="36">
        <v>0</v>
      </c>
      <c r="AR14" s="36">
        <v>0</v>
      </c>
      <c r="AS14" s="36">
        <v>0</v>
      </c>
      <c r="AT14" s="36">
        <v>0</v>
      </c>
      <c r="AU14" s="36">
        <v>0</v>
      </c>
      <c r="AV14" s="36">
        <v>0</v>
      </c>
      <c r="AW14" s="36">
        <v>0</v>
      </c>
      <c r="AX14" s="36"/>
      <c r="AY14" s="36"/>
      <c r="AZ14" s="37">
        <f t="shared" si="4"/>
        <v>1128834</v>
      </c>
      <c r="BA14" s="38">
        <f t="shared" si="1"/>
        <v>0</v>
      </c>
      <c r="BB14" s="39">
        <f t="shared" si="5"/>
        <v>199206</v>
      </c>
      <c r="BC14" s="40">
        <f t="shared" si="6"/>
        <v>1128834</v>
      </c>
      <c r="BE14" s="24" t="b">
        <f t="shared" si="2"/>
        <v>1</v>
      </c>
      <c r="BF14" s="1"/>
    </row>
    <row r="15" spans="1:58" outlineLevel="1" x14ac:dyDescent="0.3">
      <c r="B15" s="42" t="s">
        <v>23</v>
      </c>
      <c r="C15" s="43"/>
      <c r="D15" s="44" t="s">
        <v>59</v>
      </c>
      <c r="E15" s="45"/>
      <c r="F15" s="46"/>
      <c r="G15" s="46"/>
      <c r="H15" s="46"/>
      <c r="I15" s="46"/>
      <c r="J15" s="47"/>
      <c r="K15" s="47"/>
      <c r="L15" s="47" t="s">
        <v>60</v>
      </c>
      <c r="M15" s="47"/>
      <c r="N15" s="48">
        <f t="shared" si="7"/>
        <v>4.0579999999999998</v>
      </c>
      <c r="O15" s="48">
        <v>4.0579999999999998</v>
      </c>
      <c r="P15" s="48">
        <f>$P$4</f>
        <v>0</v>
      </c>
      <c r="Q15" s="48" t="s">
        <v>33</v>
      </c>
      <c r="R15" s="49">
        <v>32484.75</v>
      </c>
      <c r="S15" s="49">
        <v>10070.57</v>
      </c>
      <c r="T15" s="50">
        <f t="shared" si="3"/>
        <v>42555.32</v>
      </c>
      <c r="U15" s="51">
        <f t="shared" si="0"/>
        <v>0.5</v>
      </c>
      <c r="V15" s="52">
        <f>32484.75+10070.57+0.5</f>
        <v>42555.82</v>
      </c>
      <c r="W15" s="52">
        <f>SUM(W14:$AW14)*$N15/100</f>
        <v>40418.897399999994</v>
      </c>
      <c r="X15" s="52">
        <f>SUM(X14:$AW14)*$N15/100</f>
        <v>35029.711080000001</v>
      </c>
      <c r="Y15" s="52">
        <f>SUM(Y14:$AW14)*$N15/100</f>
        <v>29640.524759999997</v>
      </c>
      <c r="Z15" s="52">
        <f>SUM(Z14:$AW14)*$N15/100</f>
        <v>24251.33844</v>
      </c>
      <c r="AA15" s="52">
        <f>SUM(AA14:$AW14)*$N15/100</f>
        <v>18862.152119999999</v>
      </c>
      <c r="AB15" s="52">
        <f>SUM(AB14:$AW14)*$N15/100</f>
        <v>13472.965799999998</v>
      </c>
      <c r="AC15" s="52">
        <f>SUM(AC14:$AW14)*$N15/100</f>
        <v>8083.7794800000001</v>
      </c>
      <c r="AD15" s="52">
        <f>SUM(AD14:$AW14)*$N15/100</f>
        <v>2694.5931599999999</v>
      </c>
      <c r="AE15" s="52">
        <v>0</v>
      </c>
      <c r="AF15" s="52">
        <v>0</v>
      </c>
      <c r="AG15" s="52">
        <v>0</v>
      </c>
      <c r="AH15" s="52">
        <v>0</v>
      </c>
      <c r="AI15" s="52">
        <v>0</v>
      </c>
      <c r="AJ15" s="52">
        <v>0</v>
      </c>
      <c r="AK15" s="52">
        <v>0</v>
      </c>
      <c r="AL15" s="52">
        <v>0</v>
      </c>
      <c r="AM15" s="52">
        <v>0</v>
      </c>
      <c r="AN15" s="52">
        <v>0</v>
      </c>
      <c r="AO15" s="52">
        <v>0</v>
      </c>
      <c r="AP15" s="52">
        <v>0</v>
      </c>
      <c r="AQ15" s="52">
        <v>0</v>
      </c>
      <c r="AR15" s="52">
        <v>0</v>
      </c>
      <c r="AS15" s="52">
        <v>0</v>
      </c>
      <c r="AT15" s="52">
        <v>0</v>
      </c>
      <c r="AU15" s="52">
        <v>0</v>
      </c>
      <c r="AV15" s="52">
        <v>0</v>
      </c>
      <c r="AW15" s="52">
        <v>0</v>
      </c>
      <c r="AX15" s="52"/>
      <c r="AY15" s="52"/>
      <c r="AZ15" s="53">
        <f t="shared" si="4"/>
        <v>215009.78224</v>
      </c>
      <c r="BA15" s="38">
        <f t="shared" si="1"/>
        <v>0</v>
      </c>
      <c r="BB15" s="54">
        <f t="shared" si="5"/>
        <v>10778.37264</v>
      </c>
      <c r="BC15" s="55">
        <f t="shared" si="6"/>
        <v>215009.78224</v>
      </c>
      <c r="BE15" s="24" t="b">
        <f t="shared" si="2"/>
        <v>1</v>
      </c>
    </row>
    <row r="16" spans="1:58" s="24" customFormat="1" outlineLevel="1" x14ac:dyDescent="0.3">
      <c r="B16" s="25" t="s">
        <v>23</v>
      </c>
      <c r="C16" s="26">
        <v>6</v>
      </c>
      <c r="D16" s="27" t="s">
        <v>54</v>
      </c>
      <c r="E16" s="28" t="s">
        <v>61</v>
      </c>
      <c r="F16" s="29" t="s">
        <v>62</v>
      </c>
      <c r="G16" s="29" t="s">
        <v>63</v>
      </c>
      <c r="H16" s="29" t="s">
        <v>64</v>
      </c>
      <c r="I16" s="29" t="s">
        <v>29</v>
      </c>
      <c r="J16" s="30">
        <v>154450.12</v>
      </c>
      <c r="K16" s="31">
        <v>96866</v>
      </c>
      <c r="L16" s="31"/>
      <c r="M16" s="31"/>
      <c r="N16" s="32"/>
      <c r="O16" s="32"/>
      <c r="P16" s="32"/>
      <c r="Q16" s="32" t="s">
        <v>30</v>
      </c>
      <c r="R16" s="33">
        <v>2618</v>
      </c>
      <c r="S16" s="33">
        <v>7854</v>
      </c>
      <c r="T16" s="34">
        <f t="shared" si="3"/>
        <v>10472</v>
      </c>
      <c r="U16" s="35">
        <f t="shared" si="0"/>
        <v>0</v>
      </c>
      <c r="V16" s="36">
        <v>10472</v>
      </c>
      <c r="W16" s="36">
        <v>10472</v>
      </c>
      <c r="X16" s="36">
        <v>10472</v>
      </c>
      <c r="Y16" s="36">
        <v>10472</v>
      </c>
      <c r="Z16" s="36">
        <v>10472</v>
      </c>
      <c r="AA16" s="36">
        <v>10472</v>
      </c>
      <c r="AB16" s="36">
        <v>10472</v>
      </c>
      <c r="AC16" s="36">
        <v>10472</v>
      </c>
      <c r="AD16" s="36">
        <v>7854</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36">
        <v>0</v>
      </c>
      <c r="AU16" s="36">
        <v>0</v>
      </c>
      <c r="AV16" s="36">
        <v>0</v>
      </c>
      <c r="AW16" s="36">
        <v>0</v>
      </c>
      <c r="AX16" s="36"/>
      <c r="AY16" s="36"/>
      <c r="AZ16" s="37">
        <f t="shared" si="4"/>
        <v>91630</v>
      </c>
      <c r="BA16" s="38">
        <f t="shared" si="1"/>
        <v>0</v>
      </c>
      <c r="BB16" s="39">
        <f t="shared" si="5"/>
        <v>18326</v>
      </c>
      <c r="BC16" s="40">
        <f t="shared" si="6"/>
        <v>91630</v>
      </c>
      <c r="BE16" s="24" t="b">
        <f t="shared" si="2"/>
        <v>1</v>
      </c>
      <c r="BF16" s="41"/>
    </row>
    <row r="17" spans="2:58" outlineLevel="1" x14ac:dyDescent="0.3">
      <c r="B17" s="42" t="s">
        <v>23</v>
      </c>
      <c r="C17" s="43"/>
      <c r="D17" s="44" t="s">
        <v>65</v>
      </c>
      <c r="E17" s="45"/>
      <c r="F17" s="46"/>
      <c r="G17" s="46"/>
      <c r="H17" s="46"/>
      <c r="I17" s="46"/>
      <c r="J17" s="47"/>
      <c r="K17" s="47"/>
      <c r="L17" s="47" t="s">
        <v>66</v>
      </c>
      <c r="M17" s="47"/>
      <c r="N17" s="48">
        <f t="shared" si="7"/>
        <v>4.3659999999999997</v>
      </c>
      <c r="O17" s="48">
        <v>4.3659999999999997</v>
      </c>
      <c r="P17" s="48">
        <f>$P$4</f>
        <v>0</v>
      </c>
      <c r="Q17" s="48" t="s">
        <v>33</v>
      </c>
      <c r="R17" s="49">
        <v>2860.34</v>
      </c>
      <c r="S17" s="49">
        <v>831.06</v>
      </c>
      <c r="T17" s="50">
        <f t="shared" si="3"/>
        <v>3691.4</v>
      </c>
      <c r="U17" s="51">
        <f>V17-T17</f>
        <v>0.5</v>
      </c>
      <c r="V17" s="52">
        <f>2860.34+831.06+0.5</f>
        <v>3691.9</v>
      </c>
      <c r="W17" s="52">
        <f>SUM(W16:$AW16)*$N17/100</f>
        <v>3543.3582799999999</v>
      </c>
      <c r="X17" s="52">
        <f>SUM(X16:$AW16)*$N17/100</f>
        <v>3086.15076</v>
      </c>
      <c r="Y17" s="52">
        <f>SUM(Y16:$AW16)*$N17/100</f>
        <v>2628.9432399999996</v>
      </c>
      <c r="Z17" s="52">
        <f>SUM(Z16:$AW16)*$N17/100</f>
        <v>2171.7357199999997</v>
      </c>
      <c r="AA17" s="52">
        <f>SUM(AA16:$AW16)*$N17/100</f>
        <v>1714.5281999999997</v>
      </c>
      <c r="AB17" s="52">
        <f>SUM(AB16:$AW16)*$N17/100</f>
        <v>1257.3206799999998</v>
      </c>
      <c r="AC17" s="52">
        <f>SUM(AC16:$AW16)*$N17/100</f>
        <v>800.11315999999988</v>
      </c>
      <c r="AD17" s="52">
        <f>SUM(AD16:$AW16)*$N17/100</f>
        <v>342.90564000000001</v>
      </c>
      <c r="AE17" s="52">
        <v>0</v>
      </c>
      <c r="AF17" s="52">
        <v>0</v>
      </c>
      <c r="AG17" s="52">
        <v>0</v>
      </c>
      <c r="AH17" s="52">
        <v>0</v>
      </c>
      <c r="AI17" s="52">
        <v>0</v>
      </c>
      <c r="AJ17" s="52">
        <v>0</v>
      </c>
      <c r="AK17" s="52">
        <v>0</v>
      </c>
      <c r="AL17" s="52">
        <v>0</v>
      </c>
      <c r="AM17" s="52">
        <v>0</v>
      </c>
      <c r="AN17" s="52">
        <v>0</v>
      </c>
      <c r="AO17" s="52">
        <v>0</v>
      </c>
      <c r="AP17" s="52">
        <v>0</v>
      </c>
      <c r="AQ17" s="52">
        <v>0</v>
      </c>
      <c r="AR17" s="52">
        <v>0</v>
      </c>
      <c r="AS17" s="52">
        <v>0</v>
      </c>
      <c r="AT17" s="52">
        <v>0</v>
      </c>
      <c r="AU17" s="52">
        <v>0</v>
      </c>
      <c r="AV17" s="52">
        <v>0</v>
      </c>
      <c r="AW17" s="52">
        <v>0</v>
      </c>
      <c r="AX17" s="52"/>
      <c r="AY17" s="52"/>
      <c r="AZ17" s="53">
        <f t="shared" si="4"/>
        <v>19236.955680000003</v>
      </c>
      <c r="BA17" s="38">
        <f t="shared" si="1"/>
        <v>0</v>
      </c>
      <c r="BB17" s="54">
        <f t="shared" si="5"/>
        <v>1143.0187999999998</v>
      </c>
      <c r="BC17" s="55">
        <f t="shared" si="6"/>
        <v>19236.955679999999</v>
      </c>
      <c r="BE17" s="24" t="b">
        <f t="shared" si="2"/>
        <v>1</v>
      </c>
    </row>
    <row r="18" spans="2:58" s="24" customFormat="1" outlineLevel="1" x14ac:dyDescent="0.3">
      <c r="B18" s="25" t="s">
        <v>23</v>
      </c>
      <c r="C18" s="26">
        <v>7</v>
      </c>
      <c r="D18" s="27" t="s">
        <v>67</v>
      </c>
      <c r="E18" s="28" t="s">
        <v>68</v>
      </c>
      <c r="F18" s="29" t="s">
        <v>69</v>
      </c>
      <c r="G18" s="29" t="s">
        <v>70</v>
      </c>
      <c r="H18" s="29" t="s">
        <v>71</v>
      </c>
      <c r="I18" s="29" t="s">
        <v>29</v>
      </c>
      <c r="J18" s="30">
        <v>11123368</v>
      </c>
      <c r="K18" s="31">
        <v>9499600</v>
      </c>
      <c r="L18" s="31"/>
      <c r="M18" s="31"/>
      <c r="N18" s="32"/>
      <c r="O18" s="32"/>
      <c r="P18" s="32"/>
      <c r="Q18" s="32" t="s">
        <v>30</v>
      </c>
      <c r="R18" s="33">
        <v>94996</v>
      </c>
      <c r="S18" s="33">
        <v>284988</v>
      </c>
      <c r="T18" s="34">
        <f t="shared" si="3"/>
        <v>379984</v>
      </c>
      <c r="U18" s="35">
        <f t="shared" si="0"/>
        <v>0</v>
      </c>
      <c r="V18" s="36">
        <v>379984</v>
      </c>
      <c r="W18" s="36">
        <v>379984</v>
      </c>
      <c r="X18" s="36">
        <v>379984</v>
      </c>
      <c r="Y18" s="36">
        <v>379984</v>
      </c>
      <c r="Z18" s="36">
        <v>379984</v>
      </c>
      <c r="AA18" s="36">
        <v>379984</v>
      </c>
      <c r="AB18" s="36">
        <v>379984</v>
      </c>
      <c r="AC18" s="36">
        <v>379984</v>
      </c>
      <c r="AD18" s="36">
        <v>379984</v>
      </c>
      <c r="AE18" s="36">
        <v>379984</v>
      </c>
      <c r="AF18" s="36">
        <v>379984</v>
      </c>
      <c r="AG18" s="36">
        <v>379984</v>
      </c>
      <c r="AH18" s="36">
        <v>379984</v>
      </c>
      <c r="AI18" s="36">
        <v>379984</v>
      </c>
      <c r="AJ18" s="36">
        <v>379984</v>
      </c>
      <c r="AK18" s="36">
        <v>379984</v>
      </c>
      <c r="AL18" s="36">
        <v>379984</v>
      </c>
      <c r="AM18" s="36">
        <v>379984</v>
      </c>
      <c r="AN18" s="36">
        <v>379984</v>
      </c>
      <c r="AO18" s="36">
        <v>379984</v>
      </c>
      <c r="AP18" s="36">
        <v>379984</v>
      </c>
      <c r="AQ18" s="36">
        <v>379984</v>
      </c>
      <c r="AR18" s="36">
        <v>379984</v>
      </c>
      <c r="AS18" s="36">
        <v>379984</v>
      </c>
      <c r="AT18" s="36">
        <v>189992</v>
      </c>
      <c r="AU18" s="36">
        <v>0</v>
      </c>
      <c r="AV18" s="36">
        <v>0</v>
      </c>
      <c r="AW18" s="36">
        <v>0</v>
      </c>
      <c r="AX18" s="36"/>
      <c r="AY18" s="36"/>
      <c r="AZ18" s="37">
        <f t="shared" si="4"/>
        <v>9309608</v>
      </c>
      <c r="BA18" s="38">
        <f t="shared" si="1"/>
        <v>0</v>
      </c>
      <c r="BB18" s="39">
        <f t="shared" si="5"/>
        <v>6649720</v>
      </c>
      <c r="BC18" s="40">
        <f t="shared" si="6"/>
        <v>9309608</v>
      </c>
      <c r="BE18" s="24" t="b">
        <f t="shared" si="2"/>
        <v>1</v>
      </c>
      <c r="BF18" s="41"/>
    </row>
    <row r="19" spans="2:58" outlineLevel="1" x14ac:dyDescent="0.3">
      <c r="B19" s="42" t="s">
        <v>23</v>
      </c>
      <c r="C19" s="43"/>
      <c r="D19" s="44" t="s">
        <v>72</v>
      </c>
      <c r="E19" s="45"/>
      <c r="F19" s="46"/>
      <c r="G19" s="46"/>
      <c r="H19" s="46"/>
      <c r="I19" s="46"/>
      <c r="J19" s="47"/>
      <c r="K19" s="47"/>
      <c r="L19" s="47" t="s">
        <v>73</v>
      </c>
      <c r="M19" s="47"/>
      <c r="N19" s="48">
        <f t="shared" si="7"/>
        <v>3.8719999999999999</v>
      </c>
      <c r="O19" s="48">
        <v>3.8719999999999999</v>
      </c>
      <c r="P19" s="48">
        <f>$P$4</f>
        <v>0</v>
      </c>
      <c r="Q19" s="48" t="s">
        <v>33</v>
      </c>
      <c r="R19" s="49">
        <v>261604.03</v>
      </c>
      <c r="S19" s="49">
        <v>89428.92</v>
      </c>
      <c r="T19" s="50">
        <f t="shared" si="3"/>
        <v>351032.95</v>
      </c>
      <c r="U19" s="51">
        <f t="shared" si="0"/>
        <v>0</v>
      </c>
      <c r="V19" s="52">
        <f>261604.03+89428.92</f>
        <v>351032.95</v>
      </c>
      <c r="W19" s="52">
        <f>SUM(W18:$AW18)*$N19/100</f>
        <v>345755.04128</v>
      </c>
      <c r="X19" s="52">
        <f>SUM(X18:$AW18)*$N19/100</f>
        <v>331042.06079999998</v>
      </c>
      <c r="Y19" s="52">
        <f>SUM(Y18:$AW18)*$N19/100</f>
        <v>316329.08031999995</v>
      </c>
      <c r="Z19" s="52">
        <f>SUM(Z18:$AW18)*$N19/100</f>
        <v>301616.09983999998</v>
      </c>
      <c r="AA19" s="52">
        <f>SUM(AA18:$AW18)*$N19/100</f>
        <v>286903.11936000001</v>
      </c>
      <c r="AB19" s="52">
        <f>SUM(AB18:$AW18)*$N19/100</f>
        <v>272190.13887999998</v>
      </c>
      <c r="AC19" s="52">
        <f>SUM(AC18:$AW18)*$N19/100</f>
        <v>257477.15839999999</v>
      </c>
      <c r="AD19" s="52">
        <f>SUM(AD18:$AW18)*$N19/100</f>
        <v>242764.17791999999</v>
      </c>
      <c r="AE19" s="52">
        <f>SUM(AE18:$AW18)*$N19/100</f>
        <v>228051.19743999999</v>
      </c>
      <c r="AF19" s="52">
        <f>SUM(AF18:$AW18)*$N19/100</f>
        <v>213338.21695999999</v>
      </c>
      <c r="AG19" s="52">
        <f>SUM(AG18:$AW18)*$N19/100</f>
        <v>198625.23647999999</v>
      </c>
      <c r="AH19" s="52">
        <f>SUM(AH18:$AW18)*$N19/100</f>
        <v>183912.25599999996</v>
      </c>
      <c r="AI19" s="52">
        <f>SUM(AI18:$AW18)*$N19/100</f>
        <v>169199.27552000002</v>
      </c>
      <c r="AJ19" s="52">
        <f>SUM(AJ18:$AW18)*$N19/100</f>
        <v>154486.29504</v>
      </c>
      <c r="AK19" s="52">
        <f>SUM(AK18:$AW18)*$N19/100</f>
        <v>139773.31456</v>
      </c>
      <c r="AL19" s="52">
        <f>SUM(AL18:$AW18)*$N19/100</f>
        <v>125060.33408</v>
      </c>
      <c r="AM19" s="52">
        <f>SUM(AM18:$AW18)*$N19/100</f>
        <v>110347.35359999999</v>
      </c>
      <c r="AN19" s="52">
        <f>SUM(AN18:$AW18)*$N19/100</f>
        <v>95634.373119999989</v>
      </c>
      <c r="AO19" s="52">
        <f>SUM(AO18:$AW18)*$N19/100</f>
        <v>80921.392639999991</v>
      </c>
      <c r="AP19" s="52">
        <f>SUM(AP18:$AW18)*$N19/100</f>
        <v>66208.412160000007</v>
      </c>
      <c r="AQ19" s="52">
        <f>SUM(AQ18:$AW18)*$N19/100</f>
        <v>51495.431679999994</v>
      </c>
      <c r="AR19" s="52">
        <f>SUM(AR18:$AW18)*$N19/100</f>
        <v>36782.451200000003</v>
      </c>
      <c r="AS19" s="52">
        <f>SUM(AS18:$AW18)*$N19/100</f>
        <v>22069.470720000001</v>
      </c>
      <c r="AT19" s="52">
        <f>SUM(AT18:$AW18)*$N19/100</f>
        <v>7356.4902400000001</v>
      </c>
      <c r="AU19" s="52">
        <v>0</v>
      </c>
      <c r="AV19" s="52">
        <v>0</v>
      </c>
      <c r="AW19" s="52">
        <v>0</v>
      </c>
      <c r="AX19" s="52"/>
      <c r="AY19" s="52"/>
      <c r="AZ19" s="53">
        <f t="shared" si="4"/>
        <v>4588371.3282399997</v>
      </c>
      <c r="BA19" s="38">
        <f t="shared" si="1"/>
        <v>0</v>
      </c>
      <c r="BB19" s="54">
        <f t="shared" si="5"/>
        <v>2383502.8377600005</v>
      </c>
      <c r="BC19" s="55">
        <f t="shared" si="6"/>
        <v>4588371.3282400006</v>
      </c>
      <c r="BE19" s="24" t="b">
        <f t="shared" si="2"/>
        <v>1</v>
      </c>
    </row>
    <row r="20" spans="2:58" s="24" customFormat="1" outlineLevel="1" x14ac:dyDescent="0.3">
      <c r="B20" s="25" t="s">
        <v>74</v>
      </c>
      <c r="C20" s="26">
        <v>8</v>
      </c>
      <c r="D20" s="27" t="s">
        <v>75</v>
      </c>
      <c r="E20" s="28" t="s">
        <v>76</v>
      </c>
      <c r="F20" s="29" t="s">
        <v>77</v>
      </c>
      <c r="G20" s="29" t="s">
        <v>78</v>
      </c>
      <c r="H20" s="29" t="s">
        <v>79</v>
      </c>
      <c r="I20" s="29" t="s">
        <v>29</v>
      </c>
      <c r="J20" s="30">
        <v>484935.32</v>
      </c>
      <c r="K20" s="31">
        <v>299602</v>
      </c>
      <c r="L20" s="31"/>
      <c r="M20" s="31"/>
      <c r="N20" s="32"/>
      <c r="O20" s="32"/>
      <c r="P20" s="32"/>
      <c r="Q20" s="32" t="s">
        <v>30</v>
      </c>
      <c r="R20" s="33">
        <v>5078</v>
      </c>
      <c r="S20" s="33">
        <v>15234</v>
      </c>
      <c r="T20" s="34">
        <f t="shared" si="3"/>
        <v>20312</v>
      </c>
      <c r="U20" s="35">
        <f t="shared" si="0"/>
        <v>0</v>
      </c>
      <c r="V20" s="36">
        <v>20312</v>
      </c>
      <c r="W20" s="36">
        <v>20312</v>
      </c>
      <c r="X20" s="36">
        <v>20312</v>
      </c>
      <c r="Y20" s="36">
        <v>20312</v>
      </c>
      <c r="Z20" s="36">
        <v>20312</v>
      </c>
      <c r="AA20" s="36">
        <v>20312</v>
      </c>
      <c r="AB20" s="36">
        <v>20312</v>
      </c>
      <c r="AC20" s="36">
        <v>20312</v>
      </c>
      <c r="AD20" s="36">
        <v>20312</v>
      </c>
      <c r="AE20" s="36">
        <v>20312</v>
      </c>
      <c r="AF20" s="36">
        <v>20312</v>
      </c>
      <c r="AG20" s="36">
        <v>20312</v>
      </c>
      <c r="AH20" s="36">
        <v>20312</v>
      </c>
      <c r="AI20" s="36">
        <v>20312</v>
      </c>
      <c r="AJ20" s="36">
        <v>5078</v>
      </c>
      <c r="AK20" s="36">
        <v>0</v>
      </c>
      <c r="AL20" s="36">
        <v>0</v>
      </c>
      <c r="AM20" s="36">
        <v>0</v>
      </c>
      <c r="AN20" s="36">
        <v>0</v>
      </c>
      <c r="AO20" s="36">
        <v>0</v>
      </c>
      <c r="AP20" s="36">
        <v>0</v>
      </c>
      <c r="AQ20" s="36">
        <v>0</v>
      </c>
      <c r="AR20" s="36">
        <v>0</v>
      </c>
      <c r="AS20" s="36">
        <v>0</v>
      </c>
      <c r="AT20" s="36">
        <v>0</v>
      </c>
      <c r="AU20" s="36">
        <v>0</v>
      </c>
      <c r="AV20" s="36">
        <v>0</v>
      </c>
      <c r="AW20" s="36">
        <v>0</v>
      </c>
      <c r="AX20" s="36"/>
      <c r="AY20" s="36"/>
      <c r="AZ20" s="37">
        <f t="shared" si="4"/>
        <v>289446</v>
      </c>
      <c r="BA20" s="38">
        <f t="shared" si="1"/>
        <v>0</v>
      </c>
      <c r="BB20" s="39">
        <f t="shared" si="5"/>
        <v>147262</v>
      </c>
      <c r="BC20" s="40">
        <f t="shared" si="6"/>
        <v>289446</v>
      </c>
      <c r="BE20" s="24" t="b">
        <f t="shared" si="2"/>
        <v>1</v>
      </c>
      <c r="BF20" s="41"/>
    </row>
    <row r="21" spans="2:58" outlineLevel="1" x14ac:dyDescent="0.3">
      <c r="B21" s="42" t="s">
        <v>74</v>
      </c>
      <c r="C21" s="43"/>
      <c r="D21" s="44" t="s">
        <v>80</v>
      </c>
      <c r="E21" s="45"/>
      <c r="F21" s="46"/>
      <c r="G21" s="46"/>
      <c r="H21" s="46"/>
      <c r="I21" s="46"/>
      <c r="J21" s="47"/>
      <c r="K21" s="47"/>
      <c r="L21" s="47" t="s">
        <v>81</v>
      </c>
      <c r="M21" s="47"/>
      <c r="N21" s="48">
        <f t="shared" si="7"/>
        <v>3.613</v>
      </c>
      <c r="O21" s="48">
        <v>3.613</v>
      </c>
      <c r="P21" s="48">
        <f>$P$4</f>
        <v>0</v>
      </c>
      <c r="Q21" s="48" t="s">
        <v>33</v>
      </c>
      <c r="R21" s="49">
        <v>7858.79</v>
      </c>
      <c r="S21" s="49">
        <v>2668.57</v>
      </c>
      <c r="T21" s="50">
        <f t="shared" si="3"/>
        <v>10527.36</v>
      </c>
      <c r="U21" s="51">
        <f t="shared" si="0"/>
        <v>0.5</v>
      </c>
      <c r="V21" s="52">
        <f>7858.79+2668.57+0.5</f>
        <v>10527.86</v>
      </c>
      <c r="W21" s="52">
        <f>SUM(W20:$AW20)*$N21/100</f>
        <v>9723.81142</v>
      </c>
      <c r="X21" s="52">
        <f>SUM(X20:$AW20)*$N21/100</f>
        <v>8989.9388600000002</v>
      </c>
      <c r="Y21" s="52">
        <f>SUM(Y20:$AW20)*$N21/100</f>
        <v>8256.0663000000004</v>
      </c>
      <c r="Z21" s="52">
        <f>SUM(Z20:$AW20)*$N21/100</f>
        <v>7522.1937399999997</v>
      </c>
      <c r="AA21" s="52">
        <f>SUM(AA20:$AW20)*$N21/100</f>
        <v>6788.3211799999999</v>
      </c>
      <c r="AB21" s="52">
        <f>SUM(AB20:$AW20)*$N21/100</f>
        <v>6054.4486199999992</v>
      </c>
      <c r="AC21" s="52">
        <f>SUM(AC20:$AW20)*$N21/100</f>
        <v>5320.5760600000003</v>
      </c>
      <c r="AD21" s="52">
        <f>SUM(AD20:$AW20)*$N21/100</f>
        <v>4586.7034999999996</v>
      </c>
      <c r="AE21" s="52">
        <f>SUM(AE20:$AW20)*$N21/100</f>
        <v>3852.8309399999998</v>
      </c>
      <c r="AF21" s="52">
        <f>SUM(AF20:$AW20)*$N21/100</f>
        <v>3118.95838</v>
      </c>
      <c r="AG21" s="52">
        <f>SUM(AG20:$AW20)*$N21/100</f>
        <v>2385.0858199999998</v>
      </c>
      <c r="AH21" s="52">
        <f>SUM(AH20:$AW20)*$N21/100</f>
        <v>1651.21326</v>
      </c>
      <c r="AI21" s="52">
        <f>SUM(AI20:$AW20)*$N21/100</f>
        <v>917.34070000000008</v>
      </c>
      <c r="AJ21" s="52">
        <f>SUM(AJ20:$AW20)*$N21/100</f>
        <v>183.46813999999998</v>
      </c>
      <c r="AK21" s="52">
        <v>0</v>
      </c>
      <c r="AL21" s="52">
        <v>0</v>
      </c>
      <c r="AM21" s="52">
        <v>0</v>
      </c>
      <c r="AN21" s="52">
        <v>0</v>
      </c>
      <c r="AO21" s="52">
        <v>0</v>
      </c>
      <c r="AP21" s="52">
        <v>0</v>
      </c>
      <c r="AQ21" s="52">
        <v>0</v>
      </c>
      <c r="AR21" s="52">
        <v>0</v>
      </c>
      <c r="AS21" s="52">
        <v>0</v>
      </c>
      <c r="AT21" s="52">
        <v>0</v>
      </c>
      <c r="AU21" s="52">
        <v>0</v>
      </c>
      <c r="AV21" s="52">
        <v>0</v>
      </c>
      <c r="AW21" s="52">
        <v>0</v>
      </c>
      <c r="AX21" s="52"/>
      <c r="AY21" s="52"/>
      <c r="AZ21" s="53">
        <f t="shared" si="4"/>
        <v>79878.816919999983</v>
      </c>
      <c r="BA21" s="38">
        <f t="shared" si="1"/>
        <v>0</v>
      </c>
      <c r="BB21" s="54">
        <f t="shared" si="5"/>
        <v>22016.176800000001</v>
      </c>
      <c r="BC21" s="55">
        <f t="shared" si="6"/>
        <v>79878.816919999997</v>
      </c>
      <c r="BE21" s="24" t="b">
        <f t="shared" si="2"/>
        <v>1</v>
      </c>
    </row>
    <row r="22" spans="2:58" s="24" customFormat="1" outlineLevel="1" x14ac:dyDescent="0.3">
      <c r="B22" s="25" t="s">
        <v>74</v>
      </c>
      <c r="C22" s="26">
        <v>9</v>
      </c>
      <c r="D22" s="27" t="s">
        <v>82</v>
      </c>
      <c r="E22" s="28" t="s">
        <v>83</v>
      </c>
      <c r="F22" s="29" t="s">
        <v>84</v>
      </c>
      <c r="G22" s="29" t="s">
        <v>85</v>
      </c>
      <c r="H22" s="29" t="s">
        <v>86</v>
      </c>
      <c r="I22" s="29" t="s">
        <v>29</v>
      </c>
      <c r="J22" s="30">
        <v>278611.39</v>
      </c>
      <c r="K22" s="31">
        <v>217140</v>
      </c>
      <c r="L22" s="31"/>
      <c r="M22" s="31"/>
      <c r="N22" s="32"/>
      <c r="O22" s="32"/>
      <c r="P22" s="32"/>
      <c r="Q22" s="32" t="s">
        <v>30</v>
      </c>
      <c r="R22" s="33">
        <v>3619</v>
      </c>
      <c r="S22" s="33">
        <v>10857</v>
      </c>
      <c r="T22" s="34">
        <f t="shared" si="3"/>
        <v>14476</v>
      </c>
      <c r="U22" s="35">
        <f t="shared" si="0"/>
        <v>0</v>
      </c>
      <c r="V22" s="36">
        <v>14476</v>
      </c>
      <c r="W22" s="36">
        <v>14476</v>
      </c>
      <c r="X22" s="36">
        <v>14476</v>
      </c>
      <c r="Y22" s="36">
        <v>14476</v>
      </c>
      <c r="Z22" s="36">
        <v>14476</v>
      </c>
      <c r="AA22" s="36">
        <v>14476</v>
      </c>
      <c r="AB22" s="36">
        <v>14476</v>
      </c>
      <c r="AC22" s="36">
        <v>14476</v>
      </c>
      <c r="AD22" s="36">
        <v>14476</v>
      </c>
      <c r="AE22" s="36">
        <v>14476</v>
      </c>
      <c r="AF22" s="36">
        <v>14476</v>
      </c>
      <c r="AG22" s="36">
        <v>14476</v>
      </c>
      <c r="AH22" s="36">
        <v>14476</v>
      </c>
      <c r="AI22" s="36">
        <v>14476</v>
      </c>
      <c r="AJ22" s="36">
        <v>7238</v>
      </c>
      <c r="AK22" s="36">
        <v>0</v>
      </c>
      <c r="AL22" s="36">
        <v>0</v>
      </c>
      <c r="AM22" s="36">
        <v>0</v>
      </c>
      <c r="AN22" s="36">
        <v>0</v>
      </c>
      <c r="AO22" s="36">
        <v>0</v>
      </c>
      <c r="AP22" s="36">
        <v>0</v>
      </c>
      <c r="AQ22" s="36">
        <v>0</v>
      </c>
      <c r="AR22" s="36">
        <v>0</v>
      </c>
      <c r="AS22" s="36">
        <v>0</v>
      </c>
      <c r="AT22" s="36">
        <v>0</v>
      </c>
      <c r="AU22" s="36">
        <v>0</v>
      </c>
      <c r="AV22" s="36">
        <v>0</v>
      </c>
      <c r="AW22" s="36">
        <v>0</v>
      </c>
      <c r="AX22" s="36"/>
      <c r="AY22" s="36"/>
      <c r="AZ22" s="37">
        <f t="shared" si="4"/>
        <v>209902</v>
      </c>
      <c r="BA22" s="38">
        <f t="shared" si="1"/>
        <v>0</v>
      </c>
      <c r="BB22" s="39">
        <f t="shared" si="5"/>
        <v>108570</v>
      </c>
      <c r="BC22" s="40">
        <f t="shared" si="6"/>
        <v>209902</v>
      </c>
      <c r="BE22" s="24" t="b">
        <f t="shared" si="2"/>
        <v>1</v>
      </c>
      <c r="BF22" s="41"/>
    </row>
    <row r="23" spans="2:58" outlineLevel="1" x14ac:dyDescent="0.3">
      <c r="B23" s="42" t="s">
        <v>74</v>
      </c>
      <c r="C23" s="43"/>
      <c r="D23" s="44" t="s">
        <v>87</v>
      </c>
      <c r="E23" s="45"/>
      <c r="F23" s="46"/>
      <c r="G23" s="46"/>
      <c r="H23" s="46"/>
      <c r="I23" s="46"/>
      <c r="J23" s="47"/>
      <c r="K23" s="47"/>
      <c r="L23" s="47" t="s">
        <v>88</v>
      </c>
      <c r="M23" s="47"/>
      <c r="N23" s="48">
        <f t="shared" si="7"/>
        <v>4.0570000000000004</v>
      </c>
      <c r="O23" s="48">
        <v>4.0570000000000004</v>
      </c>
      <c r="P23" s="48">
        <f>$P$4</f>
        <v>0</v>
      </c>
      <c r="Q23" s="48" t="s">
        <v>33</v>
      </c>
      <c r="R23" s="49">
        <v>6059.9</v>
      </c>
      <c r="S23" s="49">
        <v>1945.8</v>
      </c>
      <c r="T23" s="50">
        <f t="shared" si="3"/>
        <v>8005.7</v>
      </c>
      <c r="U23" s="51">
        <f t="shared" si="0"/>
        <v>0</v>
      </c>
      <c r="V23" s="52">
        <f>6059.9+1945.8</f>
        <v>8005.7</v>
      </c>
      <c r="W23" s="52">
        <f>SUM(W22:$AW22)*$N23/100</f>
        <v>7928.4328200000009</v>
      </c>
      <c r="X23" s="52">
        <f>SUM(X22:$AW22)*$N23/100</f>
        <v>7341.1415000000006</v>
      </c>
      <c r="Y23" s="52">
        <f>SUM(Y22:$AW22)*$N23/100</f>
        <v>6753.8501800000004</v>
      </c>
      <c r="Z23" s="52">
        <f>SUM(Z22:$AW22)*$N23/100</f>
        <v>6166.558860000001</v>
      </c>
      <c r="AA23" s="52">
        <f>SUM(AA22:$AW22)*$N23/100</f>
        <v>5579.2675400000007</v>
      </c>
      <c r="AB23" s="52">
        <f>SUM(AB22:$AW22)*$N23/100</f>
        <v>4991.9762200000005</v>
      </c>
      <c r="AC23" s="52">
        <f>SUM(AC22:$AW22)*$N23/100</f>
        <v>4404.6849000000002</v>
      </c>
      <c r="AD23" s="52">
        <f>SUM(AD22:$AW22)*$N23/100</f>
        <v>3817.3935799999999</v>
      </c>
      <c r="AE23" s="52">
        <f>SUM(AE22:$AW22)*$N23/100</f>
        <v>3230.1022600000001</v>
      </c>
      <c r="AF23" s="52">
        <f>SUM(AF22:$AW22)*$N23/100</f>
        <v>2642.8109400000003</v>
      </c>
      <c r="AG23" s="52">
        <f>SUM(AG22:$AW22)*$N23/100</f>
        <v>2055.5196200000005</v>
      </c>
      <c r="AH23" s="52">
        <f>SUM(AH22:$AW22)*$N23/100</f>
        <v>1468.2283000000002</v>
      </c>
      <c r="AI23" s="52">
        <f>SUM(AI22:$AW22)*$N23/100</f>
        <v>880.93698000000006</v>
      </c>
      <c r="AJ23" s="52">
        <f>SUM(AJ22:$AW22)*$N23/100</f>
        <v>293.64566000000002</v>
      </c>
      <c r="AK23" s="52">
        <v>0</v>
      </c>
      <c r="AL23" s="52">
        <v>0</v>
      </c>
      <c r="AM23" s="52">
        <v>0</v>
      </c>
      <c r="AN23" s="52">
        <v>0</v>
      </c>
      <c r="AO23" s="52">
        <v>0</v>
      </c>
      <c r="AP23" s="52">
        <v>0</v>
      </c>
      <c r="AQ23" s="52">
        <v>0</v>
      </c>
      <c r="AR23" s="52">
        <v>0</v>
      </c>
      <c r="AS23" s="52">
        <v>0</v>
      </c>
      <c r="AT23" s="52">
        <v>0</v>
      </c>
      <c r="AU23" s="52">
        <v>0</v>
      </c>
      <c r="AV23" s="52">
        <v>0</v>
      </c>
      <c r="AW23" s="52">
        <v>0</v>
      </c>
      <c r="AX23" s="52"/>
      <c r="AY23" s="52"/>
      <c r="AZ23" s="53">
        <f t="shared" si="4"/>
        <v>65560.249360000002</v>
      </c>
      <c r="BA23" s="38">
        <f t="shared" si="1"/>
        <v>0</v>
      </c>
      <c r="BB23" s="54">
        <f t="shared" si="5"/>
        <v>18793.322239999998</v>
      </c>
      <c r="BC23" s="55">
        <f t="shared" si="6"/>
        <v>65560.249360000002</v>
      </c>
      <c r="BE23" s="24" t="b">
        <f t="shared" si="2"/>
        <v>1</v>
      </c>
    </row>
    <row r="24" spans="2:58" s="24" customFormat="1" outlineLevel="1" x14ac:dyDescent="0.3">
      <c r="B24" s="25" t="s">
        <v>74</v>
      </c>
      <c r="C24" s="26">
        <v>10</v>
      </c>
      <c r="D24" s="27" t="s">
        <v>89</v>
      </c>
      <c r="E24" s="28" t="s">
        <v>90</v>
      </c>
      <c r="F24" s="29" t="s">
        <v>91</v>
      </c>
      <c r="G24" s="29" t="s">
        <v>85</v>
      </c>
      <c r="H24" s="29" t="s">
        <v>92</v>
      </c>
      <c r="I24" s="29" t="s">
        <v>29</v>
      </c>
      <c r="J24" s="30">
        <v>55899</v>
      </c>
      <c r="K24" s="31">
        <v>17888</v>
      </c>
      <c r="L24" s="31"/>
      <c r="M24" s="31"/>
      <c r="N24" s="32"/>
      <c r="O24" s="32"/>
      <c r="P24" s="32"/>
      <c r="Q24" s="32" t="s">
        <v>30</v>
      </c>
      <c r="R24" s="33">
        <v>2236</v>
      </c>
      <c r="S24" s="33">
        <v>6708</v>
      </c>
      <c r="T24" s="34">
        <f t="shared" si="3"/>
        <v>8944</v>
      </c>
      <c r="U24" s="35">
        <f t="shared" si="0"/>
        <v>0</v>
      </c>
      <c r="V24" s="36">
        <v>8944</v>
      </c>
      <c r="W24" s="36">
        <v>4472</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36">
        <v>0</v>
      </c>
      <c r="AX24" s="36"/>
      <c r="AY24" s="36"/>
      <c r="AZ24" s="37">
        <f t="shared" si="4"/>
        <v>13416</v>
      </c>
      <c r="BA24" s="38">
        <f t="shared" si="1"/>
        <v>0</v>
      </c>
      <c r="BB24" s="39">
        <f t="shared" si="5"/>
        <v>0</v>
      </c>
      <c r="BC24" s="40">
        <f t="shared" si="6"/>
        <v>13416</v>
      </c>
      <c r="BE24" s="24" t="b">
        <f t="shared" si="2"/>
        <v>1</v>
      </c>
      <c r="BF24" s="41"/>
    </row>
    <row r="25" spans="2:58" outlineLevel="1" x14ac:dyDescent="0.3">
      <c r="B25" s="42" t="s">
        <v>74</v>
      </c>
      <c r="C25" s="43"/>
      <c r="D25" s="44" t="s">
        <v>93</v>
      </c>
      <c r="E25" s="45"/>
      <c r="F25" s="46"/>
      <c r="G25" s="46"/>
      <c r="H25" s="46"/>
      <c r="I25" s="46"/>
      <c r="J25" s="47"/>
      <c r="K25" s="47"/>
      <c r="L25" s="47" t="s">
        <v>88</v>
      </c>
      <c r="M25" s="47"/>
      <c r="N25" s="48">
        <f t="shared" si="7"/>
        <v>4.0570000000000004</v>
      </c>
      <c r="O25" s="48">
        <v>4.0570000000000004</v>
      </c>
      <c r="P25" s="48">
        <f>$P$4</f>
        <v>0</v>
      </c>
      <c r="Q25" s="48" t="s">
        <v>33</v>
      </c>
      <c r="R25" s="49">
        <f>380.23</f>
        <v>380.23</v>
      </c>
      <c r="S25" s="49">
        <v>83.49</v>
      </c>
      <c r="T25" s="50">
        <f t="shared" si="3"/>
        <v>463.72</v>
      </c>
      <c r="U25" s="51">
        <f t="shared" si="0"/>
        <v>0</v>
      </c>
      <c r="V25" s="52">
        <f>380.23+83.49</f>
        <v>463.72</v>
      </c>
      <c r="W25" s="52">
        <f>SUM(W24:$AW24)*$N25/100</f>
        <v>181.42904000000001</v>
      </c>
      <c r="X25" s="52">
        <v>0</v>
      </c>
      <c r="Y25" s="52">
        <v>0</v>
      </c>
      <c r="Z25" s="52">
        <v>0</v>
      </c>
      <c r="AA25" s="52">
        <v>0</v>
      </c>
      <c r="AB25" s="52">
        <v>0</v>
      </c>
      <c r="AC25" s="52">
        <v>0</v>
      </c>
      <c r="AD25" s="52">
        <v>0</v>
      </c>
      <c r="AE25" s="52">
        <v>0</v>
      </c>
      <c r="AF25" s="52">
        <v>0</v>
      </c>
      <c r="AG25" s="52">
        <v>0</v>
      </c>
      <c r="AH25" s="52">
        <v>0</v>
      </c>
      <c r="AI25" s="52">
        <v>0</v>
      </c>
      <c r="AJ25" s="52">
        <v>0</v>
      </c>
      <c r="AK25" s="52">
        <v>0</v>
      </c>
      <c r="AL25" s="52">
        <v>0</v>
      </c>
      <c r="AM25" s="52">
        <v>0</v>
      </c>
      <c r="AN25" s="52">
        <v>0</v>
      </c>
      <c r="AO25" s="52">
        <v>0</v>
      </c>
      <c r="AP25" s="52">
        <v>0</v>
      </c>
      <c r="AQ25" s="52">
        <v>0</v>
      </c>
      <c r="AR25" s="52">
        <v>0</v>
      </c>
      <c r="AS25" s="52">
        <v>0</v>
      </c>
      <c r="AT25" s="52">
        <v>0</v>
      </c>
      <c r="AU25" s="52">
        <v>0</v>
      </c>
      <c r="AV25" s="52">
        <v>0</v>
      </c>
      <c r="AW25" s="52">
        <v>0</v>
      </c>
      <c r="AX25" s="52"/>
      <c r="AY25" s="52"/>
      <c r="AZ25" s="53">
        <f t="shared" si="4"/>
        <v>645.14904000000001</v>
      </c>
      <c r="BA25" s="38">
        <f t="shared" si="1"/>
        <v>0</v>
      </c>
      <c r="BB25" s="54">
        <f t="shared" si="5"/>
        <v>0</v>
      </c>
      <c r="BC25" s="55">
        <f t="shared" si="6"/>
        <v>645.14904000000001</v>
      </c>
      <c r="BE25" s="24" t="b">
        <f t="shared" si="2"/>
        <v>1</v>
      </c>
    </row>
    <row r="26" spans="2:58" s="24" customFormat="1" outlineLevel="1" x14ac:dyDescent="0.3">
      <c r="B26" s="25" t="s">
        <v>74</v>
      </c>
      <c r="C26" s="26">
        <v>11</v>
      </c>
      <c r="D26" s="27" t="s">
        <v>94</v>
      </c>
      <c r="E26" s="28" t="s">
        <v>95</v>
      </c>
      <c r="F26" s="29" t="s">
        <v>96</v>
      </c>
      <c r="G26" s="29" t="s">
        <v>85</v>
      </c>
      <c r="H26" s="29" t="s">
        <v>97</v>
      </c>
      <c r="I26" s="29" t="s">
        <v>29</v>
      </c>
      <c r="J26" s="30">
        <v>49472</v>
      </c>
      <c r="K26" s="31">
        <v>14800</v>
      </c>
      <c r="L26" s="31"/>
      <c r="M26" s="31"/>
      <c r="N26" s="32"/>
      <c r="O26" s="32"/>
      <c r="P26" s="32"/>
      <c r="Q26" s="32" t="s">
        <v>30</v>
      </c>
      <c r="R26" s="33">
        <v>370</v>
      </c>
      <c r="S26" s="33">
        <v>1110</v>
      </c>
      <c r="T26" s="34">
        <f t="shared" si="3"/>
        <v>1480</v>
      </c>
      <c r="U26" s="35">
        <f t="shared" si="0"/>
        <v>0</v>
      </c>
      <c r="V26" s="36">
        <v>1480</v>
      </c>
      <c r="W26" s="36">
        <v>1480</v>
      </c>
      <c r="X26" s="36">
        <v>1480</v>
      </c>
      <c r="Y26" s="36">
        <v>1480</v>
      </c>
      <c r="Z26" s="36">
        <v>1480</v>
      </c>
      <c r="AA26" s="36">
        <v>1480</v>
      </c>
      <c r="AB26" s="36">
        <v>1480</v>
      </c>
      <c r="AC26" s="36">
        <v>1480</v>
      </c>
      <c r="AD26" s="36">
        <v>1480</v>
      </c>
      <c r="AE26" s="36">
        <v>740</v>
      </c>
      <c r="AF26" s="36">
        <v>0</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c r="AY26" s="36"/>
      <c r="AZ26" s="37">
        <f t="shared" si="4"/>
        <v>14060</v>
      </c>
      <c r="BA26" s="38">
        <f t="shared" si="1"/>
        <v>0</v>
      </c>
      <c r="BB26" s="39">
        <f t="shared" si="5"/>
        <v>3700</v>
      </c>
      <c r="BC26" s="40">
        <f t="shared" si="6"/>
        <v>14060</v>
      </c>
      <c r="BE26" s="24" t="b">
        <f t="shared" si="2"/>
        <v>1</v>
      </c>
      <c r="BF26" s="41"/>
    </row>
    <row r="27" spans="2:58" outlineLevel="1" x14ac:dyDescent="0.3">
      <c r="B27" s="42" t="s">
        <v>74</v>
      </c>
      <c r="C27" s="43"/>
      <c r="D27" s="44" t="s">
        <v>98</v>
      </c>
      <c r="E27" s="45"/>
      <c r="F27" s="46"/>
      <c r="G27" s="46"/>
      <c r="H27" s="46"/>
      <c r="I27" s="46"/>
      <c r="J27" s="47"/>
      <c r="K27" s="47"/>
      <c r="L27" s="47" t="s">
        <v>88</v>
      </c>
      <c r="M27" s="47"/>
      <c r="N27" s="48">
        <f t="shared" si="7"/>
        <v>4.0570000000000004</v>
      </c>
      <c r="O27" s="48">
        <v>4.0570000000000004</v>
      </c>
      <c r="P27" s="48">
        <f>$P$4</f>
        <v>0</v>
      </c>
      <c r="Q27" s="48" t="s">
        <v>33</v>
      </c>
      <c r="R27" s="49">
        <f>405.46</f>
        <v>405.46</v>
      </c>
      <c r="S27" s="49">
        <v>127.74</v>
      </c>
      <c r="T27" s="50">
        <f t="shared" si="3"/>
        <v>533.19999999999993</v>
      </c>
      <c r="U27" s="51">
        <f t="shared" si="0"/>
        <v>0.5</v>
      </c>
      <c r="V27" s="52">
        <f>405.46+127.74+0.5</f>
        <v>533.69999999999993</v>
      </c>
      <c r="W27" s="52">
        <f>SUM(W26:$AW26)*$N27/100</f>
        <v>510.37060000000002</v>
      </c>
      <c r="X27" s="52">
        <f>SUM(X26:$AW26)*$N27/100</f>
        <v>450.32700000000006</v>
      </c>
      <c r="Y27" s="52">
        <f>SUM(Y26:$AW26)*$N27/100</f>
        <v>390.28340000000003</v>
      </c>
      <c r="Z27" s="52">
        <f>SUM(Z26:$AW26)*$N27/100</f>
        <v>330.23980000000006</v>
      </c>
      <c r="AA27" s="52">
        <f>SUM(AA26:$AW26)*$N27/100</f>
        <v>270.19620000000003</v>
      </c>
      <c r="AB27" s="52">
        <f>SUM(AB26:$AW26)*$N27/100</f>
        <v>210.15260000000001</v>
      </c>
      <c r="AC27" s="52">
        <f>SUM(AC26:$AW26)*$N27/100</f>
        <v>150.10900000000001</v>
      </c>
      <c r="AD27" s="52">
        <f>SUM(AD26:$AW26)*$N27/100</f>
        <v>90.065400000000011</v>
      </c>
      <c r="AE27" s="52">
        <f>SUM(AE26:$AW26)*$N27/100</f>
        <v>30.021800000000002</v>
      </c>
      <c r="AF27" s="52">
        <v>0</v>
      </c>
      <c r="AG27" s="52">
        <v>0</v>
      </c>
      <c r="AH27" s="52">
        <v>0</v>
      </c>
      <c r="AI27" s="52">
        <v>0</v>
      </c>
      <c r="AJ27" s="52">
        <v>0</v>
      </c>
      <c r="AK27" s="52">
        <v>0</v>
      </c>
      <c r="AL27" s="52">
        <v>0</v>
      </c>
      <c r="AM27" s="52">
        <v>0</v>
      </c>
      <c r="AN27" s="52">
        <v>0</v>
      </c>
      <c r="AO27" s="52">
        <v>0</v>
      </c>
      <c r="AP27" s="52">
        <v>0</v>
      </c>
      <c r="AQ27" s="52">
        <v>0</v>
      </c>
      <c r="AR27" s="52">
        <v>0</v>
      </c>
      <c r="AS27" s="52">
        <v>0</v>
      </c>
      <c r="AT27" s="52">
        <v>0</v>
      </c>
      <c r="AU27" s="52">
        <v>0</v>
      </c>
      <c r="AV27" s="52">
        <v>0</v>
      </c>
      <c r="AW27" s="52">
        <v>0</v>
      </c>
      <c r="AX27" s="52"/>
      <c r="AY27" s="52"/>
      <c r="AZ27" s="53">
        <f t="shared" si="4"/>
        <v>2965.4657999999995</v>
      </c>
      <c r="BA27" s="38">
        <f t="shared" si="1"/>
        <v>0</v>
      </c>
      <c r="BB27" s="54">
        <f t="shared" si="5"/>
        <v>270.19620000000003</v>
      </c>
      <c r="BC27" s="55">
        <f t="shared" si="6"/>
        <v>2965.4657999999995</v>
      </c>
      <c r="BE27" s="24" t="b">
        <f t="shared" si="2"/>
        <v>1</v>
      </c>
    </row>
    <row r="28" spans="2:58" s="24" customFormat="1" outlineLevel="1" x14ac:dyDescent="0.3">
      <c r="B28" s="25" t="s">
        <v>74</v>
      </c>
      <c r="C28" s="26">
        <v>12</v>
      </c>
      <c r="D28" s="27" t="s">
        <v>99</v>
      </c>
      <c r="E28" s="28" t="s">
        <v>100</v>
      </c>
      <c r="F28" s="29" t="s">
        <v>101</v>
      </c>
      <c r="G28" s="29" t="s">
        <v>85</v>
      </c>
      <c r="H28" s="29" t="s">
        <v>86</v>
      </c>
      <c r="I28" s="29" t="s">
        <v>29</v>
      </c>
      <c r="J28" s="30">
        <v>238897.15</v>
      </c>
      <c r="K28" s="31">
        <v>159000</v>
      </c>
      <c r="L28" s="31"/>
      <c r="M28" s="31"/>
      <c r="N28" s="32"/>
      <c r="O28" s="32"/>
      <c r="P28" s="32"/>
      <c r="Q28" s="32" t="s">
        <v>30</v>
      </c>
      <c r="R28" s="33">
        <v>2650</v>
      </c>
      <c r="S28" s="33">
        <v>7950</v>
      </c>
      <c r="T28" s="34">
        <f t="shared" si="3"/>
        <v>10600</v>
      </c>
      <c r="U28" s="35">
        <f t="shared" si="0"/>
        <v>0</v>
      </c>
      <c r="V28" s="36">
        <v>10600</v>
      </c>
      <c r="W28" s="36">
        <v>10600</v>
      </c>
      <c r="X28" s="36">
        <v>10600</v>
      </c>
      <c r="Y28" s="36">
        <v>10600</v>
      </c>
      <c r="Z28" s="36">
        <v>10600</v>
      </c>
      <c r="AA28" s="36">
        <v>10600</v>
      </c>
      <c r="AB28" s="36">
        <v>10600</v>
      </c>
      <c r="AC28" s="36">
        <v>10600</v>
      </c>
      <c r="AD28" s="36">
        <v>10600</v>
      </c>
      <c r="AE28" s="36">
        <v>10600</v>
      </c>
      <c r="AF28" s="36">
        <v>10600</v>
      </c>
      <c r="AG28" s="36">
        <v>10600</v>
      </c>
      <c r="AH28" s="36">
        <v>10600</v>
      </c>
      <c r="AI28" s="36">
        <v>10600</v>
      </c>
      <c r="AJ28" s="36">
        <v>5300</v>
      </c>
      <c r="AK28" s="36">
        <v>0</v>
      </c>
      <c r="AL28" s="36">
        <v>0</v>
      </c>
      <c r="AM28" s="36">
        <v>0</v>
      </c>
      <c r="AN28" s="36">
        <v>0</v>
      </c>
      <c r="AO28" s="36">
        <v>0</v>
      </c>
      <c r="AP28" s="36">
        <v>0</v>
      </c>
      <c r="AQ28" s="36">
        <v>0</v>
      </c>
      <c r="AR28" s="36">
        <v>0</v>
      </c>
      <c r="AS28" s="36">
        <v>0</v>
      </c>
      <c r="AT28" s="36">
        <v>0</v>
      </c>
      <c r="AU28" s="36">
        <v>0</v>
      </c>
      <c r="AV28" s="36">
        <v>0</v>
      </c>
      <c r="AW28" s="36">
        <v>0</v>
      </c>
      <c r="AX28" s="36"/>
      <c r="AY28" s="36"/>
      <c r="AZ28" s="37">
        <f t="shared" si="4"/>
        <v>153700</v>
      </c>
      <c r="BA28" s="38">
        <f t="shared" si="1"/>
        <v>0</v>
      </c>
      <c r="BB28" s="39">
        <f t="shared" si="5"/>
        <v>79500</v>
      </c>
      <c r="BC28" s="40">
        <f t="shared" si="6"/>
        <v>153700</v>
      </c>
      <c r="BE28" s="24" t="b">
        <f t="shared" si="2"/>
        <v>1</v>
      </c>
      <c r="BF28" s="41"/>
    </row>
    <row r="29" spans="2:58" outlineLevel="1" x14ac:dyDescent="0.3">
      <c r="B29" s="42" t="s">
        <v>74</v>
      </c>
      <c r="C29" s="43"/>
      <c r="D29" s="44" t="s">
        <v>102</v>
      </c>
      <c r="E29" s="45"/>
      <c r="F29" s="46"/>
      <c r="G29" s="46"/>
      <c r="H29" s="46"/>
      <c r="I29" s="46"/>
      <c r="J29" s="47"/>
      <c r="K29" s="47"/>
      <c r="L29" s="47" t="s">
        <v>88</v>
      </c>
      <c r="M29" s="47"/>
      <c r="N29" s="48">
        <f t="shared" si="7"/>
        <v>4.0570000000000004</v>
      </c>
      <c r="O29" s="48">
        <v>4.0570000000000004</v>
      </c>
      <c r="P29" s="48">
        <f>$P$4</f>
        <v>0</v>
      </c>
      <c r="Q29" s="48" t="s">
        <v>33</v>
      </c>
      <c r="R29" s="49">
        <f>4437.35</f>
        <v>4437.3500000000004</v>
      </c>
      <c r="S29" s="49">
        <v>1424.8</v>
      </c>
      <c r="T29" s="50">
        <f t="shared" si="3"/>
        <v>5862.1500000000005</v>
      </c>
      <c r="U29" s="51">
        <f t="shared" si="0"/>
        <v>0.5</v>
      </c>
      <c r="V29" s="52">
        <f>4437.35+1424.8+0.5</f>
        <v>5862.6500000000005</v>
      </c>
      <c r="W29" s="52">
        <f>SUM(W28:$AW28)*$N29/100</f>
        <v>5805.5670000000009</v>
      </c>
      <c r="X29" s="52">
        <f>SUM(X28:$AW28)*$N29/100</f>
        <v>5375.5249999999996</v>
      </c>
      <c r="Y29" s="52">
        <f>SUM(Y28:$AW28)*$N29/100</f>
        <v>4945.4830000000002</v>
      </c>
      <c r="Z29" s="52">
        <f>SUM(Z28:$AW28)*$N29/100</f>
        <v>4515.4410000000007</v>
      </c>
      <c r="AA29" s="52">
        <f>SUM(AA28:$AW28)*$N29/100</f>
        <v>4085.3990000000003</v>
      </c>
      <c r="AB29" s="52">
        <f>SUM(AB28:$AW28)*$N29/100</f>
        <v>3655.357</v>
      </c>
      <c r="AC29" s="52">
        <f>SUM(AC28:$AW28)*$N29/100</f>
        <v>3225.3150000000005</v>
      </c>
      <c r="AD29" s="52">
        <f>SUM(AD28:$AW28)*$N29/100</f>
        <v>2795.2730000000006</v>
      </c>
      <c r="AE29" s="52">
        <f>SUM(AE28:$AW28)*$N29/100</f>
        <v>2365.2310000000002</v>
      </c>
      <c r="AF29" s="52">
        <f>SUM(AF28:$AW28)*$N29/100</f>
        <v>1935.1890000000003</v>
      </c>
      <c r="AG29" s="52">
        <f>SUM(AG28:$AW28)*$N29/100</f>
        <v>1505.1470000000002</v>
      </c>
      <c r="AH29" s="52">
        <f>SUM(AH28:$AW28)*$N29/100</f>
        <v>1075.1050000000002</v>
      </c>
      <c r="AI29" s="52">
        <f>SUM(AI28:$AW28)*$N29/100</f>
        <v>645.06299999999999</v>
      </c>
      <c r="AJ29" s="52">
        <f>SUM(AJ28:$AW28)*$N29/100</f>
        <v>215.02100000000002</v>
      </c>
      <c r="AK29" s="52">
        <v>0</v>
      </c>
      <c r="AL29" s="52">
        <v>0</v>
      </c>
      <c r="AM29" s="52">
        <v>0</v>
      </c>
      <c r="AN29" s="52">
        <v>0</v>
      </c>
      <c r="AO29" s="52">
        <v>0</v>
      </c>
      <c r="AP29" s="52">
        <v>0</v>
      </c>
      <c r="AQ29" s="52">
        <v>0</v>
      </c>
      <c r="AR29" s="52">
        <v>0</v>
      </c>
      <c r="AS29" s="52">
        <v>0</v>
      </c>
      <c r="AT29" s="52">
        <v>0</v>
      </c>
      <c r="AU29" s="52">
        <v>0</v>
      </c>
      <c r="AV29" s="52">
        <v>0</v>
      </c>
      <c r="AW29" s="52">
        <v>0</v>
      </c>
      <c r="AX29" s="52"/>
      <c r="AY29" s="52"/>
      <c r="AZ29" s="53">
        <f t="shared" si="4"/>
        <v>48006.766000000003</v>
      </c>
      <c r="BA29" s="38">
        <f t="shared" si="1"/>
        <v>0</v>
      </c>
      <c r="BB29" s="54">
        <f t="shared" si="5"/>
        <v>13761.344000000003</v>
      </c>
      <c r="BC29" s="55">
        <f t="shared" si="6"/>
        <v>48006.766000000003</v>
      </c>
      <c r="BE29" s="24" t="b">
        <f t="shared" si="2"/>
        <v>1</v>
      </c>
    </row>
    <row r="30" spans="2:58" s="24" customFormat="1" outlineLevel="1" x14ac:dyDescent="0.3">
      <c r="B30" s="25" t="s">
        <v>74</v>
      </c>
      <c r="C30" s="26">
        <v>13</v>
      </c>
      <c r="D30" s="27" t="s">
        <v>103</v>
      </c>
      <c r="E30" s="28" t="s">
        <v>104</v>
      </c>
      <c r="F30" s="29" t="s">
        <v>105</v>
      </c>
      <c r="G30" s="29" t="s">
        <v>106</v>
      </c>
      <c r="H30" s="29" t="s">
        <v>107</v>
      </c>
      <c r="I30" s="29" t="s">
        <v>29</v>
      </c>
      <c r="J30" s="30">
        <v>34291</v>
      </c>
      <c r="K30" s="31">
        <v>17740</v>
      </c>
      <c r="L30" s="31"/>
      <c r="M30" s="31"/>
      <c r="N30" s="32"/>
      <c r="O30" s="32"/>
      <c r="P30" s="32"/>
      <c r="Q30" s="32" t="s">
        <v>30</v>
      </c>
      <c r="R30" s="33">
        <v>887</v>
      </c>
      <c r="S30" s="33">
        <v>2661</v>
      </c>
      <c r="T30" s="34">
        <f t="shared" si="3"/>
        <v>3548</v>
      </c>
      <c r="U30" s="35">
        <f t="shared" si="0"/>
        <v>0</v>
      </c>
      <c r="V30" s="36">
        <v>3548</v>
      </c>
      <c r="W30" s="36">
        <v>3548</v>
      </c>
      <c r="X30" s="36">
        <v>3548</v>
      </c>
      <c r="Y30" s="36">
        <v>3548</v>
      </c>
      <c r="Z30" s="36">
        <v>1774</v>
      </c>
      <c r="AA30" s="36">
        <v>0</v>
      </c>
      <c r="AB30" s="36">
        <v>0</v>
      </c>
      <c r="AC30" s="36">
        <v>0</v>
      </c>
      <c r="AD30" s="36">
        <v>0</v>
      </c>
      <c r="AE30" s="36">
        <v>0</v>
      </c>
      <c r="AF30" s="36">
        <v>0</v>
      </c>
      <c r="AG30" s="36">
        <v>0</v>
      </c>
      <c r="AH30" s="36">
        <v>0</v>
      </c>
      <c r="AI30" s="36">
        <v>0</v>
      </c>
      <c r="AJ30" s="36">
        <v>0</v>
      </c>
      <c r="AK30" s="36">
        <v>0</v>
      </c>
      <c r="AL30" s="36">
        <v>0</v>
      </c>
      <c r="AM30" s="36">
        <v>0</v>
      </c>
      <c r="AN30" s="36">
        <v>0</v>
      </c>
      <c r="AO30" s="36">
        <v>0</v>
      </c>
      <c r="AP30" s="36">
        <v>0</v>
      </c>
      <c r="AQ30" s="36">
        <v>0</v>
      </c>
      <c r="AR30" s="36">
        <v>0</v>
      </c>
      <c r="AS30" s="36">
        <v>0</v>
      </c>
      <c r="AT30" s="36">
        <v>0</v>
      </c>
      <c r="AU30" s="36">
        <v>0</v>
      </c>
      <c r="AV30" s="36">
        <v>0</v>
      </c>
      <c r="AW30" s="36">
        <v>0</v>
      </c>
      <c r="AX30" s="36"/>
      <c r="AY30" s="36"/>
      <c r="AZ30" s="37">
        <f t="shared" si="4"/>
        <v>15966</v>
      </c>
      <c r="BA30" s="38">
        <f t="shared" si="1"/>
        <v>0</v>
      </c>
      <c r="BB30" s="39">
        <f t="shared" si="5"/>
        <v>0</v>
      </c>
      <c r="BC30" s="40">
        <f t="shared" si="6"/>
        <v>15966</v>
      </c>
      <c r="BE30" s="24" t="b">
        <f t="shared" si="2"/>
        <v>1</v>
      </c>
      <c r="BF30" s="41"/>
    </row>
    <row r="31" spans="2:58" outlineLevel="1" x14ac:dyDescent="0.3">
      <c r="B31" s="42" t="s">
        <v>74</v>
      </c>
      <c r="C31" s="43"/>
      <c r="D31" s="44" t="s">
        <v>108</v>
      </c>
      <c r="E31" s="45"/>
      <c r="F31" s="46"/>
      <c r="G31" s="46"/>
      <c r="H31" s="46"/>
      <c r="I31" s="46"/>
      <c r="J31" s="47"/>
      <c r="K31" s="47"/>
      <c r="L31" s="47" t="s">
        <v>109</v>
      </c>
      <c r="M31" s="47"/>
      <c r="N31" s="48">
        <f t="shared" si="7"/>
        <v>4.415</v>
      </c>
      <c r="O31" s="48">
        <v>4.415</v>
      </c>
      <c r="P31" s="48">
        <f>$P$4</f>
        <v>0</v>
      </c>
      <c r="Q31" s="48" t="s">
        <v>33</v>
      </c>
      <c r="R31" s="49">
        <f>502.63</f>
        <v>502.63</v>
      </c>
      <c r="S31" s="49">
        <v>135.94999999999999</v>
      </c>
      <c r="T31" s="50">
        <f t="shared" si="3"/>
        <v>638.57999999999993</v>
      </c>
      <c r="U31" s="51">
        <f t="shared" si="0"/>
        <v>0</v>
      </c>
      <c r="V31" s="52">
        <f>502.63+135.95</f>
        <v>638.57999999999993</v>
      </c>
      <c r="W31" s="52">
        <f>SUM(W30:$AW30)*$N31/100</f>
        <v>548.25469999999996</v>
      </c>
      <c r="X31" s="52">
        <f>SUM(X30:$AW30)*$N31/100</f>
        <v>391.6105</v>
      </c>
      <c r="Y31" s="52">
        <f>SUM(Y30:$AW30)*$N31/100</f>
        <v>234.96630000000002</v>
      </c>
      <c r="Z31" s="52">
        <f>SUM(Z30:$AW30)*$N31/100</f>
        <v>78.322100000000006</v>
      </c>
      <c r="AA31" s="52">
        <v>0</v>
      </c>
      <c r="AB31" s="52">
        <v>0</v>
      </c>
      <c r="AC31" s="52">
        <v>0</v>
      </c>
      <c r="AD31" s="52">
        <v>0</v>
      </c>
      <c r="AE31" s="52">
        <v>0</v>
      </c>
      <c r="AF31" s="52">
        <v>0</v>
      </c>
      <c r="AG31" s="52">
        <v>0</v>
      </c>
      <c r="AH31" s="52">
        <v>0</v>
      </c>
      <c r="AI31" s="52">
        <v>0</v>
      </c>
      <c r="AJ31" s="52">
        <v>0</v>
      </c>
      <c r="AK31" s="52">
        <v>0</v>
      </c>
      <c r="AL31" s="52">
        <v>0</v>
      </c>
      <c r="AM31" s="52">
        <v>0</v>
      </c>
      <c r="AN31" s="52">
        <v>0</v>
      </c>
      <c r="AO31" s="52">
        <v>0</v>
      </c>
      <c r="AP31" s="52">
        <v>0</v>
      </c>
      <c r="AQ31" s="52">
        <v>0</v>
      </c>
      <c r="AR31" s="52">
        <v>0</v>
      </c>
      <c r="AS31" s="52">
        <v>0</v>
      </c>
      <c r="AT31" s="52">
        <v>0</v>
      </c>
      <c r="AU31" s="52">
        <v>0</v>
      </c>
      <c r="AV31" s="52">
        <v>0</v>
      </c>
      <c r="AW31" s="52">
        <v>0</v>
      </c>
      <c r="AX31" s="52"/>
      <c r="AY31" s="52"/>
      <c r="AZ31" s="53">
        <f t="shared" si="4"/>
        <v>1891.7336</v>
      </c>
      <c r="BA31" s="38">
        <f t="shared" si="1"/>
        <v>0</v>
      </c>
      <c r="BB31" s="54">
        <f t="shared" si="5"/>
        <v>0</v>
      </c>
      <c r="BC31" s="55">
        <f t="shared" si="6"/>
        <v>1891.7336</v>
      </c>
      <c r="BE31" s="24" t="b">
        <f t="shared" si="2"/>
        <v>1</v>
      </c>
    </row>
    <row r="32" spans="2:58" s="24" customFormat="1" outlineLevel="1" x14ac:dyDescent="0.3">
      <c r="B32" s="25" t="s">
        <v>74</v>
      </c>
      <c r="C32" s="26">
        <v>14</v>
      </c>
      <c r="D32" s="27" t="s">
        <v>110</v>
      </c>
      <c r="E32" s="28" t="s">
        <v>111</v>
      </c>
      <c r="F32" s="29" t="s">
        <v>112</v>
      </c>
      <c r="G32" s="29" t="s">
        <v>113</v>
      </c>
      <c r="H32" s="29" t="s">
        <v>114</v>
      </c>
      <c r="I32" s="29" t="s">
        <v>29</v>
      </c>
      <c r="J32" s="30">
        <v>2609698.31</v>
      </c>
      <c r="K32" s="31">
        <v>2374239.31</v>
      </c>
      <c r="L32" s="31"/>
      <c r="M32" s="31"/>
      <c r="N32" s="32"/>
      <c r="O32" s="32"/>
      <c r="P32" s="32"/>
      <c r="Q32" s="32" t="s">
        <v>30</v>
      </c>
      <c r="R32" s="33">
        <v>23550</v>
      </c>
      <c r="S32" s="33">
        <v>70650</v>
      </c>
      <c r="T32" s="34">
        <f t="shared" si="3"/>
        <v>94200</v>
      </c>
      <c r="U32" s="35">
        <f t="shared" si="0"/>
        <v>0</v>
      </c>
      <c r="V32" s="36">
        <v>94200</v>
      </c>
      <c r="W32" s="36">
        <v>94200</v>
      </c>
      <c r="X32" s="36">
        <v>94200</v>
      </c>
      <c r="Y32" s="36">
        <v>94200</v>
      </c>
      <c r="Z32" s="36">
        <v>94200</v>
      </c>
      <c r="AA32" s="36">
        <v>94200</v>
      </c>
      <c r="AB32" s="36">
        <v>94200</v>
      </c>
      <c r="AC32" s="36">
        <v>94200</v>
      </c>
      <c r="AD32" s="36">
        <v>94200</v>
      </c>
      <c r="AE32" s="36">
        <v>94200</v>
      </c>
      <c r="AF32" s="36">
        <v>94200</v>
      </c>
      <c r="AG32" s="36">
        <v>94200</v>
      </c>
      <c r="AH32" s="36">
        <v>94200</v>
      </c>
      <c r="AI32" s="36">
        <v>94200</v>
      </c>
      <c r="AJ32" s="36">
        <v>94200</v>
      </c>
      <c r="AK32" s="36">
        <v>94200</v>
      </c>
      <c r="AL32" s="36">
        <v>94200</v>
      </c>
      <c r="AM32" s="36">
        <v>94200</v>
      </c>
      <c r="AN32" s="36">
        <v>94200</v>
      </c>
      <c r="AO32" s="36">
        <v>94200</v>
      </c>
      <c r="AP32" s="36">
        <v>94200</v>
      </c>
      <c r="AQ32" s="36">
        <v>94200</v>
      </c>
      <c r="AR32" s="36">
        <v>94200</v>
      </c>
      <c r="AS32" s="36">
        <v>94200</v>
      </c>
      <c r="AT32" s="36">
        <v>66339.31</v>
      </c>
      <c r="AU32" s="36">
        <v>0</v>
      </c>
      <c r="AV32" s="36">
        <v>0</v>
      </c>
      <c r="AW32" s="36">
        <v>0</v>
      </c>
      <c r="AX32" s="36"/>
      <c r="AY32" s="36"/>
      <c r="AZ32" s="37">
        <f t="shared" si="4"/>
        <v>2327139.31</v>
      </c>
      <c r="BA32" s="38">
        <f t="shared" si="1"/>
        <v>0</v>
      </c>
      <c r="BB32" s="39">
        <f t="shared" si="5"/>
        <v>1667739.31</v>
      </c>
      <c r="BC32" s="40">
        <f t="shared" si="6"/>
        <v>2327139.31</v>
      </c>
      <c r="BE32" s="24" t="b">
        <f t="shared" si="2"/>
        <v>1</v>
      </c>
      <c r="BF32" s="41"/>
    </row>
    <row r="33" spans="2:58" outlineLevel="1" x14ac:dyDescent="0.3">
      <c r="B33" s="42" t="s">
        <v>74</v>
      </c>
      <c r="C33" s="43"/>
      <c r="D33" s="44" t="s">
        <v>115</v>
      </c>
      <c r="E33" s="45"/>
      <c r="F33" s="46"/>
      <c r="G33" s="46"/>
      <c r="H33" s="46"/>
      <c r="I33" s="46"/>
      <c r="J33" s="47"/>
      <c r="K33" s="47"/>
      <c r="L33" s="47" t="s">
        <v>116</v>
      </c>
      <c r="M33" s="47"/>
      <c r="N33" s="48">
        <f t="shared" si="7"/>
        <v>4.3639999999999999</v>
      </c>
      <c r="O33" s="48">
        <v>4.3639999999999999</v>
      </c>
      <c r="P33" s="48">
        <f>$P$4</f>
        <v>0</v>
      </c>
      <c r="Q33" s="48" t="s">
        <v>33</v>
      </c>
      <c r="R33" s="49">
        <f>72776.14</f>
        <v>72776.14</v>
      </c>
      <c r="S33" s="49">
        <v>21955.77</v>
      </c>
      <c r="T33" s="50">
        <f t="shared" si="3"/>
        <v>94731.91</v>
      </c>
      <c r="U33" s="51">
        <f t="shared" si="0"/>
        <v>0</v>
      </c>
      <c r="V33" s="52">
        <f>72776.14+21955.77</f>
        <v>94731.91</v>
      </c>
      <c r="W33" s="52">
        <f>SUM(W32:$AW32)*$N33/100</f>
        <v>97445.471488400013</v>
      </c>
      <c r="X33" s="52">
        <f>SUM(X32:$AW32)*$N33/100</f>
        <v>93334.583488400007</v>
      </c>
      <c r="Y33" s="52">
        <f>SUM(Y32:$AW32)*$N33/100</f>
        <v>89223.695488400001</v>
      </c>
      <c r="Z33" s="52">
        <f>SUM(Z32:$AW32)*$N33/100</f>
        <v>85112.807488400009</v>
      </c>
      <c r="AA33" s="52">
        <f>SUM(AA32:$AW32)*$N33/100</f>
        <v>81001.919488400003</v>
      </c>
      <c r="AB33" s="52">
        <f>SUM(AB32:$AW32)*$N33/100</f>
        <v>76891.031488399996</v>
      </c>
      <c r="AC33" s="52">
        <f>SUM(AC32:$AW32)*$N33/100</f>
        <v>72780.143488400005</v>
      </c>
      <c r="AD33" s="52">
        <f>SUM(AD32:$AW32)*$N33/100</f>
        <v>68669.255488399998</v>
      </c>
      <c r="AE33" s="52">
        <f>SUM(AE32:$AW32)*$N33/100</f>
        <v>64558.367488400007</v>
      </c>
      <c r="AF33" s="52">
        <f>SUM(AF32:$AW32)*$N33/100</f>
        <v>60447.4794884</v>
      </c>
      <c r="AG33" s="52">
        <f>SUM(AG32:$AW32)*$N33/100</f>
        <v>56336.591488400001</v>
      </c>
      <c r="AH33" s="52">
        <f>SUM(AH32:$AW32)*$N33/100</f>
        <v>52225.703488400002</v>
      </c>
      <c r="AI33" s="52">
        <f>SUM(AI32:$AW32)*$N33/100</f>
        <v>48114.815488400003</v>
      </c>
      <c r="AJ33" s="52">
        <f>SUM(AJ32:$AW32)*$N33/100</f>
        <v>44003.927488400004</v>
      </c>
      <c r="AK33" s="52">
        <f>SUM(AK32:$AW32)*$N33/100</f>
        <v>39893.039488400005</v>
      </c>
      <c r="AL33" s="52">
        <f>SUM(AL32:$AW32)*$N33/100</f>
        <v>35782.151488399999</v>
      </c>
      <c r="AM33" s="52">
        <f>SUM(AM32:$AW32)*$N33/100</f>
        <v>31671.2634884</v>
      </c>
      <c r="AN33" s="52">
        <f>SUM(AN32:$AW32)*$N33/100</f>
        <v>27560.375488400005</v>
      </c>
      <c r="AO33" s="52">
        <f>SUM(AO32:$AW32)*$N33/100</f>
        <v>23449.487488400002</v>
      </c>
      <c r="AP33" s="52">
        <f>SUM(AP32:$AW32)*$N33/100</f>
        <v>19338.599488399999</v>
      </c>
      <c r="AQ33" s="52">
        <f>SUM(AQ32:$AW32)*$N33/100</f>
        <v>15227.711488399998</v>
      </c>
      <c r="AR33" s="52">
        <f>SUM(AR32:$AW32)*$N33/100</f>
        <v>11116.823488399999</v>
      </c>
      <c r="AS33" s="52">
        <f>SUM(AS32:$AW32)*$N33/100</f>
        <v>7005.9354883999995</v>
      </c>
      <c r="AT33" s="52">
        <f>SUM(AT32:$AW32)*$N33/100</f>
        <v>2895.0474883999996</v>
      </c>
      <c r="AU33" s="52">
        <v>0</v>
      </c>
      <c r="AV33" s="52">
        <v>0</v>
      </c>
      <c r="AW33" s="52">
        <v>0</v>
      </c>
      <c r="AX33" s="52"/>
      <c r="AY33" s="52"/>
      <c r="AZ33" s="53">
        <f t="shared" si="4"/>
        <v>1298818.1377216002</v>
      </c>
      <c r="BA33" s="38">
        <f t="shared" si="1"/>
        <v>0</v>
      </c>
      <c r="BB33" s="54">
        <f t="shared" si="5"/>
        <v>681076.71879120008</v>
      </c>
      <c r="BC33" s="55">
        <f t="shared" si="6"/>
        <v>1298818.1377216</v>
      </c>
      <c r="BE33" s="24" t="b">
        <f t="shared" si="2"/>
        <v>1</v>
      </c>
    </row>
    <row r="34" spans="2:58" s="24" customFormat="1" outlineLevel="1" x14ac:dyDescent="0.3">
      <c r="B34" s="25" t="s">
        <v>74</v>
      </c>
      <c r="C34" s="26">
        <v>15</v>
      </c>
      <c r="D34" s="27" t="s">
        <v>117</v>
      </c>
      <c r="E34" s="28" t="s">
        <v>118</v>
      </c>
      <c r="F34" s="29" t="s">
        <v>119</v>
      </c>
      <c r="G34" s="29" t="s">
        <v>113</v>
      </c>
      <c r="H34" s="29" t="s">
        <v>114</v>
      </c>
      <c r="I34" s="29" t="s">
        <v>29</v>
      </c>
      <c r="J34" s="30">
        <v>3496295</v>
      </c>
      <c r="K34" s="31">
        <v>3181399</v>
      </c>
      <c r="L34" s="31"/>
      <c r="M34" s="31"/>
      <c r="N34" s="32"/>
      <c r="O34" s="32"/>
      <c r="P34" s="32"/>
      <c r="Q34" s="32" t="s">
        <v>30</v>
      </c>
      <c r="R34" s="33">
        <v>31499</v>
      </c>
      <c r="S34" s="33">
        <v>94497</v>
      </c>
      <c r="T34" s="34">
        <f t="shared" si="3"/>
        <v>125996</v>
      </c>
      <c r="U34" s="35">
        <f t="shared" si="0"/>
        <v>0</v>
      </c>
      <c r="V34" s="36">
        <v>125996</v>
      </c>
      <c r="W34" s="36">
        <v>125996</v>
      </c>
      <c r="X34" s="36">
        <v>125996</v>
      </c>
      <c r="Y34" s="36">
        <v>125996</v>
      </c>
      <c r="Z34" s="36">
        <v>125996</v>
      </c>
      <c r="AA34" s="36">
        <v>125996</v>
      </c>
      <c r="AB34" s="36">
        <v>125996</v>
      </c>
      <c r="AC34" s="36">
        <v>125996</v>
      </c>
      <c r="AD34" s="36">
        <v>125996</v>
      </c>
      <c r="AE34" s="36">
        <v>125996</v>
      </c>
      <c r="AF34" s="36">
        <v>125996</v>
      </c>
      <c r="AG34" s="36">
        <v>125996</v>
      </c>
      <c r="AH34" s="36">
        <v>125996</v>
      </c>
      <c r="AI34" s="36">
        <v>125996</v>
      </c>
      <c r="AJ34" s="36">
        <v>125996</v>
      </c>
      <c r="AK34" s="36">
        <v>125996</v>
      </c>
      <c r="AL34" s="36">
        <v>125996</v>
      </c>
      <c r="AM34" s="36">
        <v>125996</v>
      </c>
      <c r="AN34" s="36">
        <v>125996</v>
      </c>
      <c r="AO34" s="36">
        <v>125996</v>
      </c>
      <c r="AP34" s="36">
        <v>125996</v>
      </c>
      <c r="AQ34" s="36">
        <v>125996</v>
      </c>
      <c r="AR34" s="36">
        <v>125996</v>
      </c>
      <c r="AS34" s="36">
        <v>125996</v>
      </c>
      <c r="AT34" s="36">
        <v>94497</v>
      </c>
      <c r="AU34" s="36">
        <v>0</v>
      </c>
      <c r="AV34" s="36">
        <v>0</v>
      </c>
      <c r="AW34" s="36">
        <v>0</v>
      </c>
      <c r="AX34" s="36"/>
      <c r="AY34" s="36"/>
      <c r="AZ34" s="37">
        <f t="shared" si="4"/>
        <v>3118401</v>
      </c>
      <c r="BA34" s="38">
        <f t="shared" si="1"/>
        <v>0</v>
      </c>
      <c r="BB34" s="39">
        <f t="shared" si="5"/>
        <v>2236429</v>
      </c>
      <c r="BC34" s="40">
        <f t="shared" si="6"/>
        <v>3118401</v>
      </c>
      <c r="BE34" s="24" t="b">
        <f t="shared" si="2"/>
        <v>1</v>
      </c>
      <c r="BF34" s="41"/>
    </row>
    <row r="35" spans="2:58" outlineLevel="1" x14ac:dyDescent="0.3">
      <c r="B35" s="42" t="s">
        <v>74</v>
      </c>
      <c r="C35" s="43"/>
      <c r="D35" s="44" t="s">
        <v>120</v>
      </c>
      <c r="E35" s="45"/>
      <c r="F35" s="46"/>
      <c r="G35" s="46"/>
      <c r="H35" s="46"/>
      <c r="I35" s="46"/>
      <c r="J35" s="47"/>
      <c r="K35" s="47"/>
      <c r="L35" s="47" t="s">
        <v>116</v>
      </c>
      <c r="M35" s="47"/>
      <c r="N35" s="48">
        <f t="shared" si="7"/>
        <v>4.3639999999999999</v>
      </c>
      <c r="O35" s="48">
        <v>4.3639999999999999</v>
      </c>
      <c r="P35" s="48">
        <f>$P$4</f>
        <v>0</v>
      </c>
      <c r="Q35" s="48" t="s">
        <v>33</v>
      </c>
      <c r="R35" s="49">
        <f>97521.33</f>
        <v>97521.33</v>
      </c>
      <c r="S35" s="49">
        <v>29422.240000000002</v>
      </c>
      <c r="T35" s="50">
        <f t="shared" si="3"/>
        <v>126943.57</v>
      </c>
      <c r="U35" s="58">
        <f t="shared" si="0"/>
        <v>0</v>
      </c>
      <c r="V35" s="52">
        <f>97521.33+29422.24</f>
        <v>126943.57</v>
      </c>
      <c r="W35" s="52">
        <f>SUM(W34:$AW34)*$N35/100</f>
        <v>130588.5542</v>
      </c>
      <c r="X35" s="52">
        <f>SUM(X34:$AW34)*$N35/100</f>
        <v>125090.08876</v>
      </c>
      <c r="Y35" s="52">
        <f>SUM(Y34:$AW34)*$N35/100</f>
        <v>119591.62332</v>
      </c>
      <c r="Z35" s="52">
        <f>SUM(Z34:$AW34)*$N35/100</f>
        <v>114093.15787999998</v>
      </c>
      <c r="AA35" s="52">
        <f>SUM(AA34:$AW34)*$N35/100</f>
        <v>108594.69243999998</v>
      </c>
      <c r="AB35" s="52">
        <f>SUM(AB34:$AW34)*$N35/100</f>
        <v>103096.227</v>
      </c>
      <c r="AC35" s="52">
        <f>SUM(AC34:$AW34)*$N35/100</f>
        <v>97597.761559999999</v>
      </c>
      <c r="AD35" s="52">
        <f>SUM(AD34:$AW34)*$N35/100</f>
        <v>92099.296119999999</v>
      </c>
      <c r="AE35" s="52">
        <f>SUM(AE34:$AW34)*$N35/100</f>
        <v>86600.830679999999</v>
      </c>
      <c r="AF35" s="52">
        <f>SUM(AF34:$AW34)*$N35/100</f>
        <v>81102.365239999999</v>
      </c>
      <c r="AG35" s="52">
        <f>SUM(AG34:$AW34)*$N35/100</f>
        <v>75603.899799999999</v>
      </c>
      <c r="AH35" s="52">
        <f>SUM(AH34:$AW34)*$N35/100</f>
        <v>70105.434359999999</v>
      </c>
      <c r="AI35" s="52">
        <f>SUM(AI34:$AW34)*$N35/100</f>
        <v>64606.968919999999</v>
      </c>
      <c r="AJ35" s="52">
        <f>SUM(AJ34:$AW34)*$N35/100</f>
        <v>59108.503479999999</v>
      </c>
      <c r="AK35" s="52">
        <f>SUM(AK34:$AW34)*$N35/100</f>
        <v>53610.038039999992</v>
      </c>
      <c r="AL35" s="52">
        <f>SUM(AL34:$AW34)*$N35/100</f>
        <v>48111.5726</v>
      </c>
      <c r="AM35" s="52">
        <f>SUM(AM34:$AW34)*$N35/100</f>
        <v>42613.10716</v>
      </c>
      <c r="AN35" s="52">
        <f>SUM(AN34:$AW34)*$N35/100</f>
        <v>37114.64172</v>
      </c>
      <c r="AO35" s="52">
        <f>SUM(AO34:$AW34)*$N35/100</f>
        <v>31616.17628</v>
      </c>
      <c r="AP35" s="52">
        <f>SUM(AP34:$AW34)*$N35/100</f>
        <v>26117.71084</v>
      </c>
      <c r="AQ35" s="52">
        <f>SUM(AQ34:$AW34)*$N35/100</f>
        <v>20619.2454</v>
      </c>
      <c r="AR35" s="52">
        <f>SUM(AR34:$AW34)*$N35/100</f>
        <v>15120.77996</v>
      </c>
      <c r="AS35" s="52">
        <f>SUM(AS34:$AW34)*$N35/100</f>
        <v>9622.3145199999999</v>
      </c>
      <c r="AT35" s="52">
        <f>SUM(AT34:$AW34)*$N35/100</f>
        <v>4123.84908</v>
      </c>
      <c r="AU35" s="52">
        <v>0</v>
      </c>
      <c r="AV35" s="52">
        <v>0</v>
      </c>
      <c r="AW35" s="52">
        <v>0</v>
      </c>
      <c r="AX35" s="52"/>
      <c r="AY35" s="52"/>
      <c r="AZ35" s="53">
        <f t="shared" si="4"/>
        <v>1743492.4093599997</v>
      </c>
      <c r="BA35" s="38">
        <f t="shared" si="1"/>
        <v>0</v>
      </c>
      <c r="BB35" s="54">
        <f t="shared" si="5"/>
        <v>915494.49575999985</v>
      </c>
      <c r="BC35" s="55">
        <f t="shared" si="6"/>
        <v>1743492.4093599999</v>
      </c>
      <c r="BE35" s="24" t="b">
        <f t="shared" si="2"/>
        <v>1</v>
      </c>
    </row>
    <row r="36" spans="2:58" s="24" customFormat="1" outlineLevel="1" x14ac:dyDescent="0.3">
      <c r="B36" s="25" t="s">
        <v>74</v>
      </c>
      <c r="C36" s="26">
        <v>16</v>
      </c>
      <c r="D36" s="27" t="s">
        <v>82</v>
      </c>
      <c r="E36" s="28" t="s">
        <v>121</v>
      </c>
      <c r="F36" s="29" t="s">
        <v>122</v>
      </c>
      <c r="G36" s="29" t="s">
        <v>123</v>
      </c>
      <c r="H36" s="29" t="s">
        <v>124</v>
      </c>
      <c r="I36" s="29" t="s">
        <v>29</v>
      </c>
      <c r="J36" s="30">
        <v>190122</v>
      </c>
      <c r="K36" s="31">
        <v>148712</v>
      </c>
      <c r="L36" s="31"/>
      <c r="M36" s="31"/>
      <c r="N36" s="32"/>
      <c r="O36" s="32">
        <v>1.482</v>
      </c>
      <c r="P36" s="32"/>
      <c r="Q36" s="32" t="s">
        <v>30</v>
      </c>
      <c r="R36" s="33">
        <v>2438</v>
      </c>
      <c r="S36" s="33">
        <v>7314</v>
      </c>
      <c r="T36" s="34">
        <f t="shared" si="3"/>
        <v>9752</v>
      </c>
      <c r="U36" s="35">
        <f t="shared" si="0"/>
        <v>0</v>
      </c>
      <c r="V36" s="36">
        <v>9752</v>
      </c>
      <c r="W36" s="36">
        <v>9752</v>
      </c>
      <c r="X36" s="36">
        <v>9752</v>
      </c>
      <c r="Y36" s="36">
        <v>9752</v>
      </c>
      <c r="Z36" s="36">
        <v>9752</v>
      </c>
      <c r="AA36" s="36">
        <v>9752</v>
      </c>
      <c r="AB36" s="36">
        <v>9752</v>
      </c>
      <c r="AC36" s="36">
        <v>9752</v>
      </c>
      <c r="AD36" s="36">
        <v>9752</v>
      </c>
      <c r="AE36" s="36">
        <v>9752</v>
      </c>
      <c r="AF36" s="36">
        <v>9752</v>
      </c>
      <c r="AG36" s="36">
        <v>9752</v>
      </c>
      <c r="AH36" s="36">
        <v>9752</v>
      </c>
      <c r="AI36" s="36">
        <v>9752</v>
      </c>
      <c r="AJ36" s="36">
        <v>7308</v>
      </c>
      <c r="AK36" s="36">
        <v>0</v>
      </c>
      <c r="AL36" s="36">
        <v>0</v>
      </c>
      <c r="AM36" s="36">
        <v>0</v>
      </c>
      <c r="AN36" s="36">
        <v>0</v>
      </c>
      <c r="AO36" s="36">
        <v>0</v>
      </c>
      <c r="AP36" s="36">
        <v>0</v>
      </c>
      <c r="AQ36" s="36">
        <v>0</v>
      </c>
      <c r="AR36" s="36">
        <v>0</v>
      </c>
      <c r="AS36" s="36">
        <v>0</v>
      </c>
      <c r="AT36" s="36">
        <v>0</v>
      </c>
      <c r="AU36" s="36">
        <v>0</v>
      </c>
      <c r="AV36" s="36">
        <v>0</v>
      </c>
      <c r="AW36" s="36">
        <v>0</v>
      </c>
      <c r="AX36" s="36"/>
      <c r="AY36" s="36"/>
      <c r="AZ36" s="37">
        <f t="shared" si="4"/>
        <v>143836</v>
      </c>
      <c r="BA36" s="38">
        <f t="shared" si="1"/>
        <v>0</v>
      </c>
      <c r="BB36" s="39">
        <f t="shared" si="5"/>
        <v>75572</v>
      </c>
      <c r="BC36" s="40">
        <f t="shared" si="6"/>
        <v>143836</v>
      </c>
      <c r="BE36" s="24" t="b">
        <f t="shared" si="2"/>
        <v>1</v>
      </c>
      <c r="BF36" s="41"/>
    </row>
    <row r="37" spans="2:58" outlineLevel="1" x14ac:dyDescent="0.3">
      <c r="B37" s="42" t="s">
        <v>74</v>
      </c>
      <c r="C37" s="43"/>
      <c r="D37" s="44" t="s">
        <v>125</v>
      </c>
      <c r="E37" s="45"/>
      <c r="F37" s="46"/>
      <c r="G37" s="46"/>
      <c r="H37" s="46"/>
      <c r="I37" s="46"/>
      <c r="J37" s="47"/>
      <c r="K37" s="47"/>
      <c r="L37" s="47" t="s">
        <v>126</v>
      </c>
      <c r="M37" s="47"/>
      <c r="N37" s="48">
        <f t="shared" si="7"/>
        <v>4.1500000000000004</v>
      </c>
      <c r="O37" s="57">
        <v>4.1500000000000004</v>
      </c>
      <c r="P37" s="48">
        <f>$P$4</f>
        <v>0</v>
      </c>
      <c r="Q37" s="48" t="s">
        <v>33</v>
      </c>
      <c r="R37" s="49">
        <f>4499.79</f>
        <v>4499.79</v>
      </c>
      <c r="S37" s="49">
        <v>1372.13</v>
      </c>
      <c r="T37" s="50">
        <f t="shared" si="3"/>
        <v>5871.92</v>
      </c>
      <c r="U37" s="51">
        <f t="shared" si="0"/>
        <v>0</v>
      </c>
      <c r="V37" s="52">
        <f>4499.79+1372.13</f>
        <v>5871.92</v>
      </c>
      <c r="W37" s="52">
        <f>SUM(W36:$AW36)*$N37/100</f>
        <v>5564.4860000000008</v>
      </c>
      <c r="X37" s="52">
        <f>SUM(X36:$AW36)*$N37/100</f>
        <v>5159.7780000000002</v>
      </c>
      <c r="Y37" s="52">
        <f>SUM(Y36:$AW36)*$N37/100</f>
        <v>4755.0700000000006</v>
      </c>
      <c r="Z37" s="52">
        <f>SUM(Z36:$AW36)*$N37/100</f>
        <v>4350.3620000000001</v>
      </c>
      <c r="AA37" s="52">
        <f>SUM(AA36:$AW36)*$N37/100</f>
        <v>3945.6540000000005</v>
      </c>
      <c r="AB37" s="52">
        <f>SUM(AB36:$AW36)*$N37/100</f>
        <v>3540.9460000000004</v>
      </c>
      <c r="AC37" s="52">
        <f>SUM(AC36:$AW36)*$N37/100</f>
        <v>3136.2380000000003</v>
      </c>
      <c r="AD37" s="52">
        <f>SUM(AD36:$AW36)*$N37/100</f>
        <v>2731.53</v>
      </c>
      <c r="AE37" s="52">
        <f>SUM(AE36:$AW36)*$N37/100</f>
        <v>2326.8220000000001</v>
      </c>
      <c r="AF37" s="52">
        <f>SUM(AF36:$AW36)*$N37/100</f>
        <v>1922.1140000000003</v>
      </c>
      <c r="AG37" s="52">
        <f>SUM(AG36:$AW36)*$N37/100</f>
        <v>1517.4059999999999</v>
      </c>
      <c r="AH37" s="52">
        <f>SUM(AH36:$AW36)*$N37/100</f>
        <v>1112.6980000000001</v>
      </c>
      <c r="AI37" s="52">
        <f>SUM(AI36:$AW36)*$N37/100</f>
        <v>707.99</v>
      </c>
      <c r="AJ37" s="52">
        <f>SUM(AJ36:$AW36)*$N37/100</f>
        <v>303.28200000000004</v>
      </c>
      <c r="AK37" s="52">
        <v>0</v>
      </c>
      <c r="AL37" s="52">
        <v>0</v>
      </c>
      <c r="AM37" s="52">
        <v>0</v>
      </c>
      <c r="AN37" s="52">
        <v>0</v>
      </c>
      <c r="AO37" s="52">
        <v>0</v>
      </c>
      <c r="AP37" s="52">
        <v>0</v>
      </c>
      <c r="AQ37" s="52">
        <v>0</v>
      </c>
      <c r="AR37" s="52">
        <v>0</v>
      </c>
      <c r="AS37" s="52">
        <v>0</v>
      </c>
      <c r="AT37" s="52">
        <v>0</v>
      </c>
      <c r="AU37" s="52">
        <v>0</v>
      </c>
      <c r="AV37" s="52">
        <v>0</v>
      </c>
      <c r="AW37" s="52">
        <v>0</v>
      </c>
      <c r="AX37" s="52"/>
      <c r="AY37" s="52"/>
      <c r="AZ37" s="53">
        <f t="shared" si="4"/>
        <v>46946.296000000002</v>
      </c>
      <c r="BA37" s="38">
        <f t="shared" si="1"/>
        <v>0</v>
      </c>
      <c r="BB37" s="54">
        <f t="shared" si="5"/>
        <v>13758.08</v>
      </c>
      <c r="BC37" s="55">
        <f t="shared" si="6"/>
        <v>46946.296000000009</v>
      </c>
      <c r="BE37" s="24" t="b">
        <f t="shared" si="2"/>
        <v>1</v>
      </c>
    </row>
    <row r="38" spans="2:58" s="24" customFormat="1" outlineLevel="1" collapsed="1" x14ac:dyDescent="0.3">
      <c r="B38" s="25" t="s">
        <v>74</v>
      </c>
      <c r="C38" s="26">
        <v>17</v>
      </c>
      <c r="D38" s="27" t="s">
        <v>127</v>
      </c>
      <c r="E38" s="28" t="s">
        <v>128</v>
      </c>
      <c r="F38" s="29" t="s">
        <v>129</v>
      </c>
      <c r="G38" s="29" t="s">
        <v>130</v>
      </c>
      <c r="H38" s="29" t="s">
        <v>124</v>
      </c>
      <c r="I38" s="29" t="s">
        <v>29</v>
      </c>
      <c r="J38" s="30">
        <v>177076.43</v>
      </c>
      <c r="K38" s="31">
        <v>140300</v>
      </c>
      <c r="L38" s="31"/>
      <c r="M38" s="31"/>
      <c r="N38" s="32"/>
      <c r="O38" s="32">
        <v>1.903</v>
      </c>
      <c r="P38" s="32"/>
      <c r="Q38" s="32" t="s">
        <v>30</v>
      </c>
      <c r="R38" s="33">
        <v>2300</v>
      </c>
      <c r="S38" s="33">
        <v>6900</v>
      </c>
      <c r="T38" s="34">
        <f t="shared" si="3"/>
        <v>9200</v>
      </c>
      <c r="U38" s="35">
        <f t="shared" si="0"/>
        <v>0</v>
      </c>
      <c r="V38" s="36">
        <v>9200</v>
      </c>
      <c r="W38" s="36">
        <v>9200</v>
      </c>
      <c r="X38" s="36">
        <v>9200</v>
      </c>
      <c r="Y38" s="36">
        <v>9200</v>
      </c>
      <c r="Z38" s="36">
        <v>9200</v>
      </c>
      <c r="AA38" s="36">
        <v>9200</v>
      </c>
      <c r="AB38" s="36">
        <v>9200</v>
      </c>
      <c r="AC38" s="36">
        <v>9200</v>
      </c>
      <c r="AD38" s="36">
        <v>9200</v>
      </c>
      <c r="AE38" s="36">
        <v>9200</v>
      </c>
      <c r="AF38" s="36">
        <v>9200</v>
      </c>
      <c r="AG38" s="36">
        <v>9200</v>
      </c>
      <c r="AH38" s="36">
        <v>9200</v>
      </c>
      <c r="AI38" s="36">
        <v>9200</v>
      </c>
      <c r="AJ38" s="36">
        <v>6900</v>
      </c>
      <c r="AK38" s="36">
        <v>0</v>
      </c>
      <c r="AL38" s="36">
        <v>0</v>
      </c>
      <c r="AM38" s="36">
        <v>0</v>
      </c>
      <c r="AN38" s="36">
        <v>0</v>
      </c>
      <c r="AO38" s="36">
        <v>0</v>
      </c>
      <c r="AP38" s="36">
        <v>0</v>
      </c>
      <c r="AQ38" s="36">
        <v>0</v>
      </c>
      <c r="AR38" s="36">
        <v>0</v>
      </c>
      <c r="AS38" s="36">
        <v>0</v>
      </c>
      <c r="AT38" s="36">
        <v>0</v>
      </c>
      <c r="AU38" s="36">
        <v>0</v>
      </c>
      <c r="AV38" s="36">
        <v>0</v>
      </c>
      <c r="AW38" s="36">
        <v>0</v>
      </c>
      <c r="AX38" s="36"/>
      <c r="AY38" s="36"/>
      <c r="AZ38" s="37">
        <f t="shared" si="4"/>
        <v>135700</v>
      </c>
      <c r="BA38" s="38">
        <f t="shared" si="1"/>
        <v>0</v>
      </c>
      <c r="BB38" s="39">
        <f t="shared" si="5"/>
        <v>71300</v>
      </c>
      <c r="BC38" s="40">
        <f t="shared" si="6"/>
        <v>135700</v>
      </c>
      <c r="BE38" s="24" t="b">
        <f t="shared" si="2"/>
        <v>1</v>
      </c>
      <c r="BF38" s="41"/>
    </row>
    <row r="39" spans="2:58" outlineLevel="1" x14ac:dyDescent="0.3">
      <c r="B39" s="42" t="s">
        <v>74</v>
      </c>
      <c r="C39" s="43"/>
      <c r="D39" s="44" t="s">
        <v>131</v>
      </c>
      <c r="E39" s="45"/>
      <c r="F39" s="46"/>
      <c r="G39" s="46"/>
      <c r="H39" s="46"/>
      <c r="I39" s="46"/>
      <c r="J39" s="47"/>
      <c r="K39" s="47"/>
      <c r="L39" s="47" t="s">
        <v>132</v>
      </c>
      <c r="M39" s="47"/>
      <c r="N39" s="48">
        <f t="shared" si="7"/>
        <v>4.1500000000000004</v>
      </c>
      <c r="O39" s="57">
        <v>4.1500000000000004</v>
      </c>
      <c r="P39" s="48">
        <f>$P$4</f>
        <v>0</v>
      </c>
      <c r="Q39" s="48" t="s">
        <v>33</v>
      </c>
      <c r="R39" s="49">
        <f>4233.94</f>
        <v>4233.9399999999996</v>
      </c>
      <c r="S39" s="49">
        <v>1322.8</v>
      </c>
      <c r="T39" s="50">
        <f t="shared" si="3"/>
        <v>5556.74</v>
      </c>
      <c r="U39" s="51">
        <f t="shared" si="0"/>
        <v>0</v>
      </c>
      <c r="V39" s="52">
        <f>4233.94+1322.8</f>
        <v>5556.74</v>
      </c>
      <c r="W39" s="52">
        <f>SUM(W38:$AW38)*$N39/100</f>
        <v>5249.75</v>
      </c>
      <c r="X39" s="52">
        <f>SUM(X38:$AW38)*$N39/100</f>
        <v>4867.9500000000007</v>
      </c>
      <c r="Y39" s="52">
        <f>SUM(Y38:$AW38)*$N39/100</f>
        <v>4486.1500000000005</v>
      </c>
      <c r="Z39" s="52">
        <f>SUM(Z38:$AW38)*$N39/100</f>
        <v>4104.3500000000004</v>
      </c>
      <c r="AA39" s="52">
        <f>SUM(AA38:$AW38)*$N39/100</f>
        <v>3722.5500000000006</v>
      </c>
      <c r="AB39" s="52">
        <f>SUM(AB38:$AW38)*$N39/100</f>
        <v>3340.75</v>
      </c>
      <c r="AC39" s="52">
        <f>SUM(AC38:$AW38)*$N39/100</f>
        <v>2958.95</v>
      </c>
      <c r="AD39" s="52">
        <f>SUM(AD38:$AW38)*$N39/100</f>
        <v>2577.15</v>
      </c>
      <c r="AE39" s="52">
        <f>SUM(AE38:$AW38)*$N39/100</f>
        <v>2195.3500000000004</v>
      </c>
      <c r="AF39" s="52">
        <f>SUM(AF38:$AW38)*$N39/100</f>
        <v>1813.5500000000002</v>
      </c>
      <c r="AG39" s="52">
        <f>SUM(AG38:$AW38)*$N39/100</f>
        <v>1431.75</v>
      </c>
      <c r="AH39" s="52">
        <f>SUM(AH38:$AW38)*$N39/100</f>
        <v>1049.95</v>
      </c>
      <c r="AI39" s="52">
        <f>SUM(AI38:$AW38)*$N39/100</f>
        <v>668.15</v>
      </c>
      <c r="AJ39" s="52">
        <f>SUM(AJ38:$AW38)*$N39/100</f>
        <v>286.35000000000002</v>
      </c>
      <c r="AK39" s="52">
        <v>0</v>
      </c>
      <c r="AL39" s="52">
        <v>0</v>
      </c>
      <c r="AM39" s="52">
        <v>0</v>
      </c>
      <c r="AN39" s="52">
        <v>0</v>
      </c>
      <c r="AO39" s="52">
        <v>0</v>
      </c>
      <c r="AP39" s="52">
        <v>0</v>
      </c>
      <c r="AQ39" s="52">
        <v>0</v>
      </c>
      <c r="AR39" s="52">
        <v>0</v>
      </c>
      <c r="AS39" s="52">
        <v>0</v>
      </c>
      <c r="AT39" s="52">
        <v>0</v>
      </c>
      <c r="AU39" s="52">
        <v>0</v>
      </c>
      <c r="AV39" s="52">
        <v>0</v>
      </c>
      <c r="AW39" s="52">
        <v>0</v>
      </c>
      <c r="AX39" s="52"/>
      <c r="AY39" s="52"/>
      <c r="AZ39" s="53">
        <f t="shared" si="4"/>
        <v>44309.440000000002</v>
      </c>
      <c r="BA39" s="38">
        <f t="shared" si="1"/>
        <v>0</v>
      </c>
      <c r="BB39" s="54">
        <f t="shared" si="5"/>
        <v>12981.2</v>
      </c>
      <c r="BC39" s="55">
        <f t="shared" si="6"/>
        <v>44309.440000000002</v>
      </c>
      <c r="BE39" s="24" t="b">
        <f t="shared" si="2"/>
        <v>1</v>
      </c>
    </row>
    <row r="40" spans="2:58" s="24" customFormat="1" outlineLevel="1" collapsed="1" x14ac:dyDescent="0.3">
      <c r="B40" s="25" t="s">
        <v>23</v>
      </c>
      <c r="C40" s="26">
        <v>18</v>
      </c>
      <c r="D40" s="27" t="s">
        <v>133</v>
      </c>
      <c r="E40" s="28" t="s">
        <v>134</v>
      </c>
      <c r="F40" s="29" t="s">
        <v>135</v>
      </c>
      <c r="G40" s="29" t="s">
        <v>130</v>
      </c>
      <c r="H40" s="29" t="s">
        <v>136</v>
      </c>
      <c r="I40" s="29" t="s">
        <v>29</v>
      </c>
      <c r="J40" s="30">
        <v>1174139.99</v>
      </c>
      <c r="K40" s="31">
        <v>830003.99</v>
      </c>
      <c r="L40" s="31"/>
      <c r="M40" s="31"/>
      <c r="N40" s="32"/>
      <c r="O40" s="32">
        <v>1.903</v>
      </c>
      <c r="P40" s="32"/>
      <c r="Q40" s="32" t="s">
        <v>30</v>
      </c>
      <c r="R40" s="59">
        <v>20244</v>
      </c>
      <c r="S40" s="59">
        <v>60732</v>
      </c>
      <c r="T40" s="34">
        <f t="shared" si="3"/>
        <v>80976</v>
      </c>
      <c r="U40" s="35">
        <f t="shared" si="0"/>
        <v>0</v>
      </c>
      <c r="V40" s="36">
        <v>80976</v>
      </c>
      <c r="W40" s="36">
        <v>80976</v>
      </c>
      <c r="X40" s="36">
        <v>80976</v>
      </c>
      <c r="Y40" s="36">
        <v>80976</v>
      </c>
      <c r="Z40" s="36">
        <v>80976</v>
      </c>
      <c r="AA40" s="36">
        <v>80976</v>
      </c>
      <c r="AB40" s="36">
        <v>80976</v>
      </c>
      <c r="AC40" s="36">
        <v>80976</v>
      </c>
      <c r="AD40" s="36">
        <v>80976</v>
      </c>
      <c r="AE40" s="36">
        <v>60731.990000000005</v>
      </c>
      <c r="AF40" s="36">
        <v>0</v>
      </c>
      <c r="AG40" s="36">
        <v>0</v>
      </c>
      <c r="AH40" s="36">
        <v>0</v>
      </c>
      <c r="AI40" s="36">
        <v>0</v>
      </c>
      <c r="AJ40" s="36">
        <v>0</v>
      </c>
      <c r="AK40" s="36">
        <v>0</v>
      </c>
      <c r="AL40" s="36">
        <v>0</v>
      </c>
      <c r="AM40" s="36">
        <v>0</v>
      </c>
      <c r="AN40" s="36">
        <v>0</v>
      </c>
      <c r="AO40" s="36">
        <v>0</v>
      </c>
      <c r="AP40" s="36">
        <v>0</v>
      </c>
      <c r="AQ40" s="36">
        <v>0</v>
      </c>
      <c r="AR40" s="36">
        <v>0</v>
      </c>
      <c r="AS40" s="36">
        <v>0</v>
      </c>
      <c r="AT40" s="36">
        <v>0</v>
      </c>
      <c r="AU40" s="36">
        <v>0</v>
      </c>
      <c r="AV40" s="36">
        <v>0</v>
      </c>
      <c r="AW40" s="36">
        <v>0</v>
      </c>
      <c r="AX40" s="36"/>
      <c r="AY40" s="36"/>
      <c r="AZ40" s="37">
        <f t="shared" si="4"/>
        <v>789515.99</v>
      </c>
      <c r="BA40" s="38">
        <f t="shared" si="1"/>
        <v>0</v>
      </c>
      <c r="BB40" s="39">
        <f t="shared" si="5"/>
        <v>222683.99</v>
      </c>
      <c r="BC40" s="40">
        <f t="shared" si="6"/>
        <v>789515.99</v>
      </c>
      <c r="BE40" s="24" t="b">
        <f t="shared" si="2"/>
        <v>1</v>
      </c>
      <c r="BF40" s="41"/>
    </row>
    <row r="41" spans="2:58" outlineLevel="1" x14ac:dyDescent="0.3">
      <c r="B41" s="42" t="s">
        <v>23</v>
      </c>
      <c r="C41" s="43"/>
      <c r="D41" s="44"/>
      <c r="E41" s="45"/>
      <c r="F41" s="46"/>
      <c r="G41" s="46"/>
      <c r="H41" s="46"/>
      <c r="I41" s="46"/>
      <c r="J41" s="47"/>
      <c r="K41" s="47"/>
      <c r="L41" s="47" t="s">
        <v>137</v>
      </c>
      <c r="M41" s="47"/>
      <c r="N41" s="48">
        <f t="shared" si="7"/>
        <v>4.1500000000000004</v>
      </c>
      <c r="O41" s="57">
        <v>4.1500000000000004</v>
      </c>
      <c r="P41" s="48">
        <f>$P$4</f>
        <v>0</v>
      </c>
      <c r="Q41" s="48" t="s">
        <v>33</v>
      </c>
      <c r="R41" s="49">
        <f>24606.82</f>
        <v>24606.82</v>
      </c>
      <c r="S41" s="49">
        <v>7564.88</v>
      </c>
      <c r="T41" s="50">
        <f t="shared" si="3"/>
        <v>32171.7</v>
      </c>
      <c r="U41" s="58">
        <f t="shared" si="0"/>
        <v>0</v>
      </c>
      <c r="V41" s="52">
        <f>24606.82+7564.88</f>
        <v>32171.7</v>
      </c>
      <c r="W41" s="52">
        <f>SUM(W40:$AW40)*$N41/100</f>
        <v>29404.409585000001</v>
      </c>
      <c r="X41" s="52">
        <f>SUM(X40:$AW40)*$N41/100</f>
        <v>26043.905585000004</v>
      </c>
      <c r="Y41" s="52">
        <f>SUM(Y40:$AW40)*$N41/100</f>
        <v>22683.401585000003</v>
      </c>
      <c r="Z41" s="52">
        <f>SUM(Z40:$AW40)*$N41/100</f>
        <v>19322.897585000002</v>
      </c>
      <c r="AA41" s="52">
        <f>SUM(AA40:$AW40)*$N41/100</f>
        <v>15962.393585000002</v>
      </c>
      <c r="AB41" s="52">
        <f>SUM(AB40:$AW40)*$N41/100</f>
        <v>12601.889585000003</v>
      </c>
      <c r="AC41" s="52">
        <f>SUM(AC40:$AW40)*$N41/100</f>
        <v>9241.385585</v>
      </c>
      <c r="AD41" s="52">
        <f>SUM(AD40:$AW40)*$N41/100</f>
        <v>5880.8815850000001</v>
      </c>
      <c r="AE41" s="52">
        <f>SUM(AE40:$AW40)*$N41/100</f>
        <v>2520.3775850000006</v>
      </c>
      <c r="AF41" s="52">
        <v>0</v>
      </c>
      <c r="AG41" s="52">
        <v>0</v>
      </c>
      <c r="AH41" s="52">
        <v>0</v>
      </c>
      <c r="AI41" s="52">
        <v>0</v>
      </c>
      <c r="AJ41" s="52">
        <v>0</v>
      </c>
      <c r="AK41" s="52">
        <v>0</v>
      </c>
      <c r="AL41" s="52">
        <v>0</v>
      </c>
      <c r="AM41" s="52">
        <v>0</v>
      </c>
      <c r="AN41" s="52">
        <v>0</v>
      </c>
      <c r="AO41" s="52">
        <v>0</v>
      </c>
      <c r="AP41" s="52">
        <v>0</v>
      </c>
      <c r="AQ41" s="52">
        <v>0</v>
      </c>
      <c r="AR41" s="52">
        <v>0</v>
      </c>
      <c r="AS41" s="52">
        <v>0</v>
      </c>
      <c r="AT41" s="52">
        <v>0</v>
      </c>
      <c r="AU41" s="52">
        <v>0</v>
      </c>
      <c r="AV41" s="52">
        <v>0</v>
      </c>
      <c r="AW41" s="52">
        <v>0</v>
      </c>
      <c r="AX41" s="52"/>
      <c r="AY41" s="52"/>
      <c r="AZ41" s="53">
        <f t="shared" si="4"/>
        <v>175833.24226500001</v>
      </c>
      <c r="BA41" s="38">
        <f t="shared" si="1"/>
        <v>0</v>
      </c>
      <c r="BB41" s="54">
        <f t="shared" si="5"/>
        <v>17642.644755000001</v>
      </c>
      <c r="BC41" s="55">
        <f t="shared" si="6"/>
        <v>175833.24226500001</v>
      </c>
      <c r="BE41" s="24" t="b">
        <f t="shared" si="2"/>
        <v>1</v>
      </c>
    </row>
    <row r="42" spans="2:58" s="24" customFormat="1" outlineLevel="1" collapsed="1" x14ac:dyDescent="0.3">
      <c r="B42" s="25" t="s">
        <v>23</v>
      </c>
      <c r="C42" s="26">
        <v>19</v>
      </c>
      <c r="D42" s="27" t="s">
        <v>138</v>
      </c>
      <c r="E42" s="28" t="s">
        <v>139</v>
      </c>
      <c r="F42" s="29" t="s">
        <v>140</v>
      </c>
      <c r="G42" s="29" t="s">
        <v>141</v>
      </c>
      <c r="H42" s="29" t="s">
        <v>142</v>
      </c>
      <c r="I42" s="29" t="s">
        <v>29</v>
      </c>
      <c r="J42" s="30">
        <v>388132.51</v>
      </c>
      <c r="K42" s="31">
        <v>204582</v>
      </c>
      <c r="L42" s="31"/>
      <c r="M42" s="31"/>
      <c r="N42" s="32"/>
      <c r="O42" s="32">
        <v>2.621</v>
      </c>
      <c r="P42" s="32"/>
      <c r="Q42" s="32" t="s">
        <v>30</v>
      </c>
      <c r="R42" s="33">
        <v>9742</v>
      </c>
      <c r="S42" s="33">
        <v>29226</v>
      </c>
      <c r="T42" s="34">
        <f t="shared" si="3"/>
        <v>38968</v>
      </c>
      <c r="U42" s="35">
        <f t="shared" si="0"/>
        <v>0</v>
      </c>
      <c r="V42" s="36">
        <v>38968</v>
      </c>
      <c r="W42" s="36">
        <v>38968</v>
      </c>
      <c r="X42" s="36">
        <v>38968</v>
      </c>
      <c r="Y42" s="36">
        <v>38968</v>
      </c>
      <c r="Z42" s="36">
        <v>29226</v>
      </c>
      <c r="AA42" s="36">
        <v>0</v>
      </c>
      <c r="AB42" s="36">
        <v>0</v>
      </c>
      <c r="AC42" s="36">
        <v>0</v>
      </c>
      <c r="AD42" s="36">
        <v>0</v>
      </c>
      <c r="AE42" s="36">
        <v>0</v>
      </c>
      <c r="AF42" s="36">
        <v>0</v>
      </c>
      <c r="AG42" s="36">
        <v>0</v>
      </c>
      <c r="AH42" s="36">
        <v>0</v>
      </c>
      <c r="AI42" s="36">
        <v>0</v>
      </c>
      <c r="AJ42" s="36">
        <v>0</v>
      </c>
      <c r="AK42" s="36">
        <v>0</v>
      </c>
      <c r="AL42" s="36">
        <v>0</v>
      </c>
      <c r="AM42" s="36">
        <v>0</v>
      </c>
      <c r="AN42" s="36">
        <v>0</v>
      </c>
      <c r="AO42" s="36">
        <v>0</v>
      </c>
      <c r="AP42" s="36">
        <v>0</v>
      </c>
      <c r="AQ42" s="36">
        <v>0</v>
      </c>
      <c r="AR42" s="36">
        <v>0</v>
      </c>
      <c r="AS42" s="36">
        <v>0</v>
      </c>
      <c r="AT42" s="36">
        <v>0</v>
      </c>
      <c r="AU42" s="36">
        <v>0</v>
      </c>
      <c r="AV42" s="36">
        <v>0</v>
      </c>
      <c r="AW42" s="36">
        <v>0</v>
      </c>
      <c r="AX42" s="36"/>
      <c r="AY42" s="36"/>
      <c r="AZ42" s="37">
        <f t="shared" si="4"/>
        <v>185098</v>
      </c>
      <c r="BA42" s="38">
        <f t="shared" si="1"/>
        <v>0</v>
      </c>
      <c r="BB42" s="39">
        <f t="shared" si="5"/>
        <v>0</v>
      </c>
      <c r="BC42" s="40">
        <f t="shared" si="6"/>
        <v>185098</v>
      </c>
      <c r="BE42" s="24" t="b">
        <f t="shared" si="2"/>
        <v>1</v>
      </c>
      <c r="BF42" s="41"/>
    </row>
    <row r="43" spans="2:58" outlineLevel="1" x14ac:dyDescent="0.3">
      <c r="B43" s="42" t="s">
        <v>23</v>
      </c>
      <c r="C43" s="43"/>
      <c r="D43" s="44"/>
      <c r="E43" s="45"/>
      <c r="F43" s="46"/>
      <c r="G43" s="46"/>
      <c r="H43" s="46"/>
      <c r="I43" s="46"/>
      <c r="J43" s="47"/>
      <c r="K43" s="47"/>
      <c r="L43" s="47" t="s">
        <v>143</v>
      </c>
      <c r="M43" s="47"/>
      <c r="N43" s="48">
        <f t="shared" si="7"/>
        <v>4.1500000000000004</v>
      </c>
      <c r="O43" s="57">
        <v>4.1500000000000004</v>
      </c>
      <c r="P43" s="48">
        <f>$P$4</f>
        <v>0</v>
      </c>
      <c r="Q43" s="48" t="s">
        <v>33</v>
      </c>
      <c r="R43" s="49">
        <f>5861.24</f>
        <v>5861.24</v>
      </c>
      <c r="S43" s="49">
        <v>1765.09</v>
      </c>
      <c r="T43" s="50">
        <f t="shared" si="3"/>
        <v>7626.33</v>
      </c>
      <c r="U43" s="51">
        <f t="shared" si="0"/>
        <v>0.5</v>
      </c>
      <c r="V43" s="52">
        <f>5861.24+1765.09+0.5</f>
        <v>7626.83</v>
      </c>
      <c r="W43" s="52">
        <f>SUM(W42:$AW42)*$N43/100</f>
        <v>6064.3950000000004</v>
      </c>
      <c r="X43" s="52">
        <f>SUM(X42:$AW42)*$N43/100</f>
        <v>4447.2230000000009</v>
      </c>
      <c r="Y43" s="52">
        <f>SUM(Y42:$AW42)*$N43/100</f>
        <v>2830.0510000000004</v>
      </c>
      <c r="Z43" s="52">
        <f>SUM(Z42:$AW42)*$N43/100</f>
        <v>1212.8790000000001</v>
      </c>
      <c r="AA43" s="52">
        <v>0</v>
      </c>
      <c r="AB43" s="52">
        <v>0</v>
      </c>
      <c r="AC43" s="52">
        <v>0</v>
      </c>
      <c r="AD43" s="52">
        <v>0</v>
      </c>
      <c r="AE43" s="52">
        <v>0</v>
      </c>
      <c r="AF43" s="52">
        <v>0</v>
      </c>
      <c r="AG43" s="52">
        <v>0</v>
      </c>
      <c r="AH43" s="52">
        <v>0</v>
      </c>
      <c r="AI43" s="52">
        <v>0</v>
      </c>
      <c r="AJ43" s="52">
        <v>0</v>
      </c>
      <c r="AK43" s="52">
        <v>0</v>
      </c>
      <c r="AL43" s="52">
        <v>0</v>
      </c>
      <c r="AM43" s="52">
        <v>0</v>
      </c>
      <c r="AN43" s="52">
        <v>0</v>
      </c>
      <c r="AO43" s="52">
        <v>0</v>
      </c>
      <c r="AP43" s="52">
        <v>0</v>
      </c>
      <c r="AQ43" s="52">
        <v>0</v>
      </c>
      <c r="AR43" s="52">
        <v>0</v>
      </c>
      <c r="AS43" s="52">
        <v>0</v>
      </c>
      <c r="AT43" s="52">
        <v>0</v>
      </c>
      <c r="AU43" s="52">
        <v>0</v>
      </c>
      <c r="AV43" s="52">
        <v>0</v>
      </c>
      <c r="AW43" s="52">
        <v>0</v>
      </c>
      <c r="AX43" s="52"/>
      <c r="AY43" s="52"/>
      <c r="AZ43" s="53">
        <f t="shared" si="4"/>
        <v>22181.378000000001</v>
      </c>
      <c r="BA43" s="38">
        <f t="shared" si="1"/>
        <v>0</v>
      </c>
      <c r="BB43" s="54">
        <f t="shared" si="5"/>
        <v>0</v>
      </c>
      <c r="BC43" s="55">
        <f t="shared" si="6"/>
        <v>22181.378000000001</v>
      </c>
      <c r="BE43" s="24" t="b">
        <f t="shared" si="2"/>
        <v>1</v>
      </c>
    </row>
    <row r="44" spans="2:58" s="24" customFormat="1" outlineLevel="1" x14ac:dyDescent="0.3">
      <c r="B44" s="25" t="s">
        <v>74</v>
      </c>
      <c r="C44" s="26">
        <v>20</v>
      </c>
      <c r="D44" s="27" t="s">
        <v>82</v>
      </c>
      <c r="E44" s="28" t="s">
        <v>144</v>
      </c>
      <c r="F44" s="29" t="s">
        <v>145</v>
      </c>
      <c r="G44" s="29" t="s">
        <v>146</v>
      </c>
      <c r="H44" s="29" t="s">
        <v>147</v>
      </c>
      <c r="I44" s="29" t="s">
        <v>29</v>
      </c>
      <c r="J44" s="30">
        <v>160577.24</v>
      </c>
      <c r="K44" s="31">
        <v>127658</v>
      </c>
      <c r="L44" s="31"/>
      <c r="M44" s="31"/>
      <c r="N44" s="32"/>
      <c r="O44" s="32">
        <v>2.964</v>
      </c>
      <c r="P44" s="32"/>
      <c r="Q44" s="32" t="s">
        <v>30</v>
      </c>
      <c r="R44" s="33">
        <v>2059</v>
      </c>
      <c r="S44" s="33">
        <v>6177</v>
      </c>
      <c r="T44" s="34">
        <f t="shared" si="3"/>
        <v>8236</v>
      </c>
      <c r="U44" s="35">
        <f t="shared" si="0"/>
        <v>0</v>
      </c>
      <c r="V44" s="36">
        <v>8236</v>
      </c>
      <c r="W44" s="36">
        <v>8236</v>
      </c>
      <c r="X44" s="36">
        <v>8236</v>
      </c>
      <c r="Y44" s="36">
        <v>8236</v>
      </c>
      <c r="Z44" s="36">
        <v>8236</v>
      </c>
      <c r="AA44" s="36">
        <v>8236</v>
      </c>
      <c r="AB44" s="36">
        <v>8236</v>
      </c>
      <c r="AC44" s="36">
        <v>8236</v>
      </c>
      <c r="AD44" s="36">
        <v>8236</v>
      </c>
      <c r="AE44" s="36">
        <v>8236</v>
      </c>
      <c r="AF44" s="36">
        <v>8236</v>
      </c>
      <c r="AG44" s="36">
        <v>8236</v>
      </c>
      <c r="AH44" s="36">
        <v>8236</v>
      </c>
      <c r="AI44" s="36">
        <v>8236</v>
      </c>
      <c r="AJ44" s="36">
        <v>8236</v>
      </c>
      <c r="AK44" s="36">
        <v>0</v>
      </c>
      <c r="AL44" s="36">
        <v>0</v>
      </c>
      <c r="AM44" s="36">
        <v>0</v>
      </c>
      <c r="AN44" s="36">
        <v>0</v>
      </c>
      <c r="AO44" s="36">
        <v>0</v>
      </c>
      <c r="AP44" s="36">
        <v>0</v>
      </c>
      <c r="AQ44" s="36">
        <v>0</v>
      </c>
      <c r="AR44" s="36">
        <v>0</v>
      </c>
      <c r="AS44" s="36">
        <v>0</v>
      </c>
      <c r="AT44" s="36">
        <v>0</v>
      </c>
      <c r="AU44" s="36">
        <v>0</v>
      </c>
      <c r="AV44" s="36">
        <v>0</v>
      </c>
      <c r="AW44" s="36">
        <v>0</v>
      </c>
      <c r="AX44" s="36"/>
      <c r="AY44" s="36"/>
      <c r="AZ44" s="37">
        <f t="shared" si="4"/>
        <v>123540</v>
      </c>
      <c r="BA44" s="38">
        <f t="shared" si="1"/>
        <v>0</v>
      </c>
      <c r="BB44" s="39">
        <f t="shared" si="5"/>
        <v>65888</v>
      </c>
      <c r="BC44" s="40">
        <f t="shared" si="6"/>
        <v>123540</v>
      </c>
      <c r="BE44" s="24" t="b">
        <f t="shared" si="2"/>
        <v>1</v>
      </c>
      <c r="BF44" s="41"/>
    </row>
    <row r="45" spans="2:58" outlineLevel="1" x14ac:dyDescent="0.3">
      <c r="B45" s="42" t="s">
        <v>74</v>
      </c>
      <c r="C45" s="43"/>
      <c r="D45" s="44" t="s">
        <v>148</v>
      </c>
      <c r="E45" s="45"/>
      <c r="F45" s="46"/>
      <c r="G45" s="46"/>
      <c r="H45" s="46"/>
      <c r="I45" s="46"/>
      <c r="J45" s="47"/>
      <c r="K45" s="47"/>
      <c r="L45" s="47" t="s">
        <v>149</v>
      </c>
      <c r="M45" s="47"/>
      <c r="N45" s="48">
        <f t="shared" si="7"/>
        <v>4.1500000000000004</v>
      </c>
      <c r="O45" s="57">
        <v>4.1500000000000004</v>
      </c>
      <c r="P45" s="48">
        <f>$P$4</f>
        <v>0</v>
      </c>
      <c r="Q45" s="48" t="s">
        <v>33</v>
      </c>
      <c r="R45" s="49">
        <f>3738.45</f>
        <v>3738.45</v>
      </c>
      <c r="S45" s="49">
        <v>1264.53</v>
      </c>
      <c r="T45" s="50">
        <f t="shared" si="3"/>
        <v>5002.9799999999996</v>
      </c>
      <c r="U45" s="51">
        <f t="shared" si="0"/>
        <v>0</v>
      </c>
      <c r="V45" s="52">
        <f>3738.45+1264.53</f>
        <v>5002.9799999999996</v>
      </c>
      <c r="W45" s="52">
        <f>SUM(W44:$AW44)*$N45/100</f>
        <v>4785.116</v>
      </c>
      <c r="X45" s="52">
        <f>SUM(X44:$AW44)*$N45/100</f>
        <v>4443.3220000000001</v>
      </c>
      <c r="Y45" s="52">
        <f>SUM(Y44:$AW44)*$N45/100</f>
        <v>4101.5280000000002</v>
      </c>
      <c r="Z45" s="52">
        <f>SUM(Z44:$AW44)*$N45/100</f>
        <v>3759.7340000000004</v>
      </c>
      <c r="AA45" s="52">
        <f>SUM(AA44:$AW44)*$N45/100</f>
        <v>3417.9400000000005</v>
      </c>
      <c r="AB45" s="52">
        <f>SUM(AB44:$AW44)*$N45/100</f>
        <v>3076.1460000000002</v>
      </c>
      <c r="AC45" s="52">
        <f>SUM(AC44:$AW44)*$N45/100</f>
        <v>2734.3520000000003</v>
      </c>
      <c r="AD45" s="52">
        <f>SUM(AD44:$AW44)*$N45/100</f>
        <v>2392.558</v>
      </c>
      <c r="AE45" s="52">
        <f>SUM(AE44:$AW44)*$N45/100</f>
        <v>2050.7640000000001</v>
      </c>
      <c r="AF45" s="52">
        <f>SUM(AF44:$AW44)*$N45/100</f>
        <v>1708.9700000000003</v>
      </c>
      <c r="AG45" s="52">
        <f>SUM(AG44:$AW44)*$N45/100</f>
        <v>1367.1760000000002</v>
      </c>
      <c r="AH45" s="52">
        <f>SUM(AH44:$AW44)*$N45/100</f>
        <v>1025.3820000000001</v>
      </c>
      <c r="AI45" s="52">
        <f>SUM(AI44:$AW44)*$N45/100</f>
        <v>683.58800000000008</v>
      </c>
      <c r="AJ45" s="52">
        <f>SUM(AJ44:$AW44)*$N45/100</f>
        <v>341.79400000000004</v>
      </c>
      <c r="AK45" s="52">
        <v>0</v>
      </c>
      <c r="AL45" s="52">
        <v>0</v>
      </c>
      <c r="AM45" s="52">
        <v>0</v>
      </c>
      <c r="AN45" s="52">
        <v>0</v>
      </c>
      <c r="AO45" s="52">
        <v>0</v>
      </c>
      <c r="AP45" s="52">
        <v>0</v>
      </c>
      <c r="AQ45" s="52">
        <v>0</v>
      </c>
      <c r="AR45" s="52">
        <v>0</v>
      </c>
      <c r="AS45" s="52">
        <v>0</v>
      </c>
      <c r="AT45" s="52">
        <v>0</v>
      </c>
      <c r="AU45" s="52">
        <v>0</v>
      </c>
      <c r="AV45" s="52">
        <v>0</v>
      </c>
      <c r="AW45" s="52">
        <v>0</v>
      </c>
      <c r="AX45" s="52"/>
      <c r="AY45" s="52"/>
      <c r="AZ45" s="53">
        <f t="shared" si="4"/>
        <v>40891.350000000006</v>
      </c>
      <c r="BA45" s="38">
        <f t="shared" si="1"/>
        <v>0</v>
      </c>
      <c r="BB45" s="54">
        <f t="shared" si="5"/>
        <v>12304.583999999999</v>
      </c>
      <c r="BC45" s="55">
        <f t="shared" si="6"/>
        <v>40891.350000000006</v>
      </c>
      <c r="BE45" s="24" t="b">
        <f t="shared" si="2"/>
        <v>1</v>
      </c>
    </row>
    <row r="46" spans="2:58" s="24" customFormat="1" outlineLevel="1" x14ac:dyDescent="0.3">
      <c r="B46" s="25" t="s">
        <v>74</v>
      </c>
      <c r="C46" s="26">
        <v>21</v>
      </c>
      <c r="D46" s="27" t="s">
        <v>150</v>
      </c>
      <c r="E46" s="28" t="s">
        <v>151</v>
      </c>
      <c r="F46" s="29" t="s">
        <v>152</v>
      </c>
      <c r="G46" s="29" t="s">
        <v>153</v>
      </c>
      <c r="H46" s="29" t="s">
        <v>154</v>
      </c>
      <c r="I46" s="29" t="s">
        <v>29</v>
      </c>
      <c r="J46" s="30">
        <v>131127</v>
      </c>
      <c r="K46" s="31">
        <v>104284</v>
      </c>
      <c r="L46" s="31"/>
      <c r="M46" s="31"/>
      <c r="N46" s="32"/>
      <c r="O46" s="32">
        <v>2.9870000000000001</v>
      </c>
      <c r="P46" s="32"/>
      <c r="Q46" s="32" t="s">
        <v>30</v>
      </c>
      <c r="R46" s="33">
        <v>1682</v>
      </c>
      <c r="S46" s="33">
        <v>5046</v>
      </c>
      <c r="T46" s="34">
        <f t="shared" si="3"/>
        <v>6728</v>
      </c>
      <c r="U46" s="35">
        <f t="shared" si="0"/>
        <v>0</v>
      </c>
      <c r="V46" s="36">
        <v>6728</v>
      </c>
      <c r="W46" s="36">
        <v>6728</v>
      </c>
      <c r="X46" s="36">
        <v>6728</v>
      </c>
      <c r="Y46" s="36">
        <v>6728</v>
      </c>
      <c r="Z46" s="36">
        <v>6728</v>
      </c>
      <c r="AA46" s="36">
        <v>6728</v>
      </c>
      <c r="AB46" s="36">
        <v>6728</v>
      </c>
      <c r="AC46" s="36">
        <v>6728</v>
      </c>
      <c r="AD46" s="36">
        <v>6728</v>
      </c>
      <c r="AE46" s="36">
        <v>6728</v>
      </c>
      <c r="AF46" s="36">
        <v>6728</v>
      </c>
      <c r="AG46" s="36">
        <v>6728</v>
      </c>
      <c r="AH46" s="36">
        <v>6728</v>
      </c>
      <c r="AI46" s="36">
        <v>6728</v>
      </c>
      <c r="AJ46" s="36">
        <v>6728</v>
      </c>
      <c r="AK46" s="36">
        <v>0</v>
      </c>
      <c r="AL46" s="36">
        <v>0</v>
      </c>
      <c r="AM46" s="36">
        <v>0</v>
      </c>
      <c r="AN46" s="36">
        <v>0</v>
      </c>
      <c r="AO46" s="36">
        <v>0</v>
      </c>
      <c r="AP46" s="36">
        <v>0</v>
      </c>
      <c r="AQ46" s="36">
        <v>0</v>
      </c>
      <c r="AR46" s="36">
        <v>0</v>
      </c>
      <c r="AS46" s="36">
        <v>0</v>
      </c>
      <c r="AT46" s="36">
        <v>0</v>
      </c>
      <c r="AU46" s="36">
        <v>0</v>
      </c>
      <c r="AV46" s="36">
        <v>0</v>
      </c>
      <c r="AW46" s="36">
        <v>0</v>
      </c>
      <c r="AX46" s="36"/>
      <c r="AY46" s="36"/>
      <c r="AZ46" s="37">
        <f t="shared" si="4"/>
        <v>100920</v>
      </c>
      <c r="BA46" s="38">
        <f t="shared" si="1"/>
        <v>0</v>
      </c>
      <c r="BB46" s="39">
        <f t="shared" si="5"/>
        <v>53824</v>
      </c>
      <c r="BC46" s="40">
        <f t="shared" si="6"/>
        <v>100920</v>
      </c>
      <c r="BE46" s="24" t="b">
        <f t="shared" si="2"/>
        <v>1</v>
      </c>
      <c r="BF46" s="41"/>
    </row>
    <row r="47" spans="2:58" outlineLevel="1" x14ac:dyDescent="0.3">
      <c r="B47" s="42" t="s">
        <v>74</v>
      </c>
      <c r="C47" s="43"/>
      <c r="D47" s="44" t="s">
        <v>155</v>
      </c>
      <c r="E47" s="45"/>
      <c r="F47" s="46"/>
      <c r="G47" s="46"/>
      <c r="H47" s="46"/>
      <c r="I47" s="46"/>
      <c r="J47" s="47"/>
      <c r="K47" s="47"/>
      <c r="L47" s="47" t="s">
        <v>156</v>
      </c>
      <c r="M47" s="47"/>
      <c r="N47" s="48">
        <f t="shared" si="7"/>
        <v>4.1500000000000004</v>
      </c>
      <c r="O47" s="57">
        <v>4.1500000000000004</v>
      </c>
      <c r="P47" s="48">
        <f>$P$4</f>
        <v>0</v>
      </c>
      <c r="Q47" s="48" t="s">
        <v>33</v>
      </c>
      <c r="R47" s="49">
        <f>3041.01</f>
        <v>3041.01</v>
      </c>
      <c r="S47" s="49">
        <v>1034.74</v>
      </c>
      <c r="T47" s="50">
        <f t="shared" si="3"/>
        <v>4075.75</v>
      </c>
      <c r="U47" s="51">
        <f t="shared" si="0"/>
        <v>0</v>
      </c>
      <c r="V47" s="52">
        <f>3041.01+1034.74</f>
        <v>4075.75</v>
      </c>
      <c r="W47" s="52">
        <f>SUM(W46:$AW46)*$N47/100</f>
        <v>3908.9680000000003</v>
      </c>
      <c r="X47" s="52">
        <f>SUM(X46:$AW46)*$N47/100</f>
        <v>3629.7560000000003</v>
      </c>
      <c r="Y47" s="52">
        <f>SUM(Y46:$AW46)*$N47/100</f>
        <v>3350.5440000000003</v>
      </c>
      <c r="Z47" s="52">
        <f>SUM(Z46:$AW46)*$N47/100</f>
        <v>3071.3320000000003</v>
      </c>
      <c r="AA47" s="52">
        <f>SUM(AA46:$AW46)*$N47/100</f>
        <v>2792.12</v>
      </c>
      <c r="AB47" s="52">
        <f>SUM(AB46:$AW46)*$N47/100</f>
        <v>2512.9080000000004</v>
      </c>
      <c r="AC47" s="52">
        <f>SUM(AC46:$AW46)*$N47/100</f>
        <v>2233.6959999999999</v>
      </c>
      <c r="AD47" s="52">
        <f>SUM(AD46:$AW46)*$N47/100</f>
        <v>1954.4840000000002</v>
      </c>
      <c r="AE47" s="52">
        <f>SUM(AE46:$AW46)*$N47/100</f>
        <v>1675.2720000000002</v>
      </c>
      <c r="AF47" s="52">
        <f>SUM(AF46:$AW46)*$N47/100</f>
        <v>1396.06</v>
      </c>
      <c r="AG47" s="52">
        <f>SUM(AG46:$AW46)*$N47/100</f>
        <v>1116.848</v>
      </c>
      <c r="AH47" s="52">
        <f>SUM(AH46:$AW46)*$N47/100</f>
        <v>837.63600000000008</v>
      </c>
      <c r="AI47" s="52">
        <f>SUM(AI46:$AW46)*$N47/100</f>
        <v>558.42399999999998</v>
      </c>
      <c r="AJ47" s="52">
        <f>SUM(AJ46:$AW46)*$N47/100</f>
        <v>279.21199999999999</v>
      </c>
      <c r="AK47" s="52">
        <v>0</v>
      </c>
      <c r="AL47" s="52">
        <v>0</v>
      </c>
      <c r="AM47" s="52">
        <v>0</v>
      </c>
      <c r="AN47" s="52">
        <v>0</v>
      </c>
      <c r="AO47" s="52">
        <v>0</v>
      </c>
      <c r="AP47" s="52">
        <v>0</v>
      </c>
      <c r="AQ47" s="52">
        <v>0</v>
      </c>
      <c r="AR47" s="52">
        <v>0</v>
      </c>
      <c r="AS47" s="52">
        <v>0</v>
      </c>
      <c r="AT47" s="52">
        <v>0</v>
      </c>
      <c r="AU47" s="52">
        <v>0</v>
      </c>
      <c r="AV47" s="52">
        <v>0</v>
      </c>
      <c r="AW47" s="52">
        <v>0</v>
      </c>
      <c r="AX47" s="52"/>
      <c r="AY47" s="52"/>
      <c r="AZ47" s="53">
        <f t="shared" si="4"/>
        <v>33393.01</v>
      </c>
      <c r="BA47" s="38">
        <f t="shared" si="1"/>
        <v>0</v>
      </c>
      <c r="BB47" s="54">
        <f t="shared" si="5"/>
        <v>10051.632000000001</v>
      </c>
      <c r="BC47" s="55">
        <f t="shared" si="6"/>
        <v>33393.01</v>
      </c>
      <c r="BE47" s="24" t="b">
        <f t="shared" si="2"/>
        <v>1</v>
      </c>
    </row>
    <row r="48" spans="2:58" s="24" customFormat="1" outlineLevel="1" x14ac:dyDescent="0.3">
      <c r="B48" s="25" t="s">
        <v>74</v>
      </c>
      <c r="C48" s="26">
        <v>22</v>
      </c>
      <c r="D48" s="27" t="s">
        <v>157</v>
      </c>
      <c r="E48" s="28" t="s">
        <v>158</v>
      </c>
      <c r="F48" s="29" t="s">
        <v>159</v>
      </c>
      <c r="G48" s="29" t="s">
        <v>160</v>
      </c>
      <c r="H48" s="29" t="s">
        <v>161</v>
      </c>
      <c r="I48" s="29" t="s">
        <v>29</v>
      </c>
      <c r="J48" s="30">
        <v>5678344.2000000002</v>
      </c>
      <c r="K48" s="31">
        <v>3249664</v>
      </c>
      <c r="L48" s="31"/>
      <c r="M48" s="31"/>
      <c r="N48" s="32"/>
      <c r="O48" s="32"/>
      <c r="P48" s="32"/>
      <c r="Q48" s="32" t="s">
        <v>30</v>
      </c>
      <c r="R48" s="33">
        <v>98829</v>
      </c>
      <c r="S48" s="33">
        <v>296487</v>
      </c>
      <c r="T48" s="34">
        <f t="shared" si="3"/>
        <v>395316</v>
      </c>
      <c r="U48" s="35">
        <f t="shared" si="0"/>
        <v>0</v>
      </c>
      <c r="V48" s="36">
        <v>395316</v>
      </c>
      <c r="W48" s="36">
        <v>363420</v>
      </c>
      <c r="X48" s="36">
        <v>344336</v>
      </c>
      <c r="Y48" s="36">
        <v>314856</v>
      </c>
      <c r="Z48" s="36">
        <v>305080</v>
      </c>
      <c r="AA48" s="36">
        <v>279984</v>
      </c>
      <c r="AB48" s="36">
        <v>252100</v>
      </c>
      <c r="AC48" s="36">
        <v>243352</v>
      </c>
      <c r="AD48" s="36">
        <v>243352</v>
      </c>
      <c r="AE48" s="36">
        <v>243352</v>
      </c>
      <c r="AF48" s="36">
        <v>33356</v>
      </c>
      <c r="AG48" s="36">
        <v>13680</v>
      </c>
      <c r="AH48" s="36">
        <v>0</v>
      </c>
      <c r="AI48" s="36">
        <v>0</v>
      </c>
      <c r="AJ48" s="36">
        <v>0</v>
      </c>
      <c r="AK48" s="36">
        <v>0</v>
      </c>
      <c r="AL48" s="36">
        <v>0</v>
      </c>
      <c r="AM48" s="36">
        <v>0</v>
      </c>
      <c r="AN48" s="36">
        <v>0</v>
      </c>
      <c r="AO48" s="36">
        <v>0</v>
      </c>
      <c r="AP48" s="36">
        <v>0</v>
      </c>
      <c r="AQ48" s="36">
        <v>0</v>
      </c>
      <c r="AR48" s="36">
        <v>0</v>
      </c>
      <c r="AS48" s="36">
        <v>0</v>
      </c>
      <c r="AT48" s="36">
        <v>0</v>
      </c>
      <c r="AU48" s="36">
        <v>0</v>
      </c>
      <c r="AV48" s="36">
        <v>0</v>
      </c>
      <c r="AW48" s="36">
        <v>0</v>
      </c>
      <c r="AX48" s="36"/>
      <c r="AY48" s="36"/>
      <c r="AZ48" s="37">
        <f t="shared" si="4"/>
        <v>3032184</v>
      </c>
      <c r="BA48" s="38">
        <f t="shared" si="1"/>
        <v>0</v>
      </c>
      <c r="BB48" s="39">
        <f t="shared" si="5"/>
        <v>777092</v>
      </c>
      <c r="BC48" s="40">
        <f t="shared" si="6"/>
        <v>3032184</v>
      </c>
      <c r="BE48" s="24" t="b">
        <f t="shared" si="2"/>
        <v>1</v>
      </c>
      <c r="BF48" s="41"/>
    </row>
    <row r="49" spans="1:58" outlineLevel="1" x14ac:dyDescent="0.3">
      <c r="B49" s="42" t="s">
        <v>74</v>
      </c>
      <c r="C49" s="43"/>
      <c r="D49" s="44" t="s">
        <v>162</v>
      </c>
      <c r="E49" s="45"/>
      <c r="F49" s="46"/>
      <c r="G49" s="46"/>
      <c r="H49" s="46"/>
      <c r="I49" s="46"/>
      <c r="J49" s="47"/>
      <c r="K49" s="47"/>
      <c r="L49" s="47" t="s">
        <v>163</v>
      </c>
      <c r="M49" s="47"/>
      <c r="N49" s="48">
        <f t="shared" si="7"/>
        <v>3.875</v>
      </c>
      <c r="O49" s="48">
        <v>3.875</v>
      </c>
      <c r="P49" s="48">
        <f>$P$4</f>
        <v>0</v>
      </c>
      <c r="Q49" s="48" t="s">
        <v>33</v>
      </c>
      <c r="R49" s="49">
        <f>85285.14</f>
        <v>85285.14</v>
      </c>
      <c r="S49" s="49">
        <v>27469.360000000001</v>
      </c>
      <c r="T49" s="50">
        <f t="shared" si="3"/>
        <v>112754.5</v>
      </c>
      <c r="U49" s="58">
        <f t="shared" si="0"/>
        <v>0</v>
      </c>
      <c r="V49" s="52">
        <f>85285.14+27469.36</f>
        <v>112754.5</v>
      </c>
      <c r="W49" s="52">
        <f>SUM(W48:$AW48)*$N49/100</f>
        <v>102178.63499999999</v>
      </c>
      <c r="X49" s="52">
        <f>SUM(X48:$AW48)*$N49/100</f>
        <v>88096.11</v>
      </c>
      <c r="Y49" s="52">
        <f>SUM(Y48:$AW48)*$N49/100</f>
        <v>74753.09</v>
      </c>
      <c r="Z49" s="52">
        <f>SUM(Z48:$AW48)*$N49/100</f>
        <v>62552.42</v>
      </c>
      <c r="AA49" s="52">
        <f>SUM(AA48:$AW48)*$N49/100</f>
        <v>50730.57</v>
      </c>
      <c r="AB49" s="52">
        <f>SUM(AB48:$AW48)*$N49/100</f>
        <v>39881.19</v>
      </c>
      <c r="AC49" s="52">
        <f>SUM(AC48:$AW48)*$N49/100</f>
        <v>30112.314999999999</v>
      </c>
      <c r="AD49" s="52">
        <f>SUM(AD48:$AW48)*$N49/100</f>
        <v>20682.424999999999</v>
      </c>
      <c r="AE49" s="52">
        <f>SUM(AE48:$AW48)*$N49/100</f>
        <v>11252.535</v>
      </c>
      <c r="AF49" s="52">
        <f>SUM(AF48:$AW48)*$N49/100</f>
        <v>1822.645</v>
      </c>
      <c r="AG49" s="52">
        <f>SUM(AG48:$AW48)*$N49/100</f>
        <v>530.1</v>
      </c>
      <c r="AH49" s="52">
        <v>0</v>
      </c>
      <c r="AI49" s="52">
        <v>0</v>
      </c>
      <c r="AJ49" s="52">
        <v>0</v>
      </c>
      <c r="AK49" s="52">
        <v>0</v>
      </c>
      <c r="AL49" s="52">
        <v>0</v>
      </c>
      <c r="AM49" s="52">
        <v>0</v>
      </c>
      <c r="AN49" s="52">
        <v>0</v>
      </c>
      <c r="AO49" s="52">
        <v>0</v>
      </c>
      <c r="AP49" s="52">
        <v>0</v>
      </c>
      <c r="AQ49" s="52">
        <v>0</v>
      </c>
      <c r="AR49" s="52">
        <v>0</v>
      </c>
      <c r="AS49" s="52">
        <v>0</v>
      </c>
      <c r="AT49" s="52">
        <v>0</v>
      </c>
      <c r="AU49" s="52">
        <v>0</v>
      </c>
      <c r="AV49" s="52">
        <v>0</v>
      </c>
      <c r="AW49" s="52">
        <v>0</v>
      </c>
      <c r="AX49" s="52"/>
      <c r="AY49" s="52"/>
      <c r="AZ49" s="53">
        <f t="shared" si="4"/>
        <v>595346.53499999992</v>
      </c>
      <c r="BA49" s="38">
        <f t="shared" si="1"/>
        <v>0</v>
      </c>
      <c r="BB49" s="54">
        <f t="shared" si="5"/>
        <v>64400.01999999999</v>
      </c>
      <c r="BC49" s="55">
        <f t="shared" si="6"/>
        <v>595346.53499999992</v>
      </c>
      <c r="BE49" s="24" t="b">
        <f t="shared" si="2"/>
        <v>1</v>
      </c>
    </row>
    <row r="50" spans="1:58" s="24" customFormat="1" outlineLevel="1" x14ac:dyDescent="0.3">
      <c r="B50" s="25" t="s">
        <v>74</v>
      </c>
      <c r="C50" s="26">
        <v>23</v>
      </c>
      <c r="D50" s="27" t="s">
        <v>164</v>
      </c>
      <c r="E50" s="28" t="s">
        <v>165</v>
      </c>
      <c r="F50" s="29" t="s">
        <v>166</v>
      </c>
      <c r="G50" s="29" t="s">
        <v>167</v>
      </c>
      <c r="H50" s="29" t="s">
        <v>168</v>
      </c>
      <c r="I50" s="29" t="s">
        <v>29</v>
      </c>
      <c r="J50" s="30">
        <v>117517</v>
      </c>
      <c r="K50" s="31">
        <v>11109</v>
      </c>
      <c r="L50" s="31"/>
      <c r="M50" s="31"/>
      <c r="N50" s="32"/>
      <c r="O50" s="32"/>
      <c r="P50" s="32"/>
      <c r="Q50" s="32" t="s">
        <v>30</v>
      </c>
      <c r="R50" s="33">
        <v>483</v>
      </c>
      <c r="S50" s="33">
        <v>1449</v>
      </c>
      <c r="T50" s="34">
        <f t="shared" si="3"/>
        <v>1932</v>
      </c>
      <c r="U50" s="60">
        <f t="shared" si="0"/>
        <v>0</v>
      </c>
      <c r="V50" s="36">
        <v>1932</v>
      </c>
      <c r="W50" s="36">
        <v>1932</v>
      </c>
      <c r="X50" s="36">
        <v>1932</v>
      </c>
      <c r="Y50" s="36">
        <v>1932</v>
      </c>
      <c r="Z50" s="36">
        <v>1932</v>
      </c>
      <c r="AA50" s="36">
        <v>483</v>
      </c>
      <c r="AB50" s="36">
        <v>0</v>
      </c>
      <c r="AC50" s="36">
        <v>0</v>
      </c>
      <c r="AD50" s="36">
        <v>0</v>
      </c>
      <c r="AE50" s="36">
        <v>0</v>
      </c>
      <c r="AF50" s="36">
        <v>0</v>
      </c>
      <c r="AG50" s="36">
        <v>0</v>
      </c>
      <c r="AH50" s="36">
        <v>0</v>
      </c>
      <c r="AI50" s="36">
        <v>0</v>
      </c>
      <c r="AJ50" s="36">
        <v>0</v>
      </c>
      <c r="AK50" s="36">
        <v>0</v>
      </c>
      <c r="AL50" s="36">
        <v>0</v>
      </c>
      <c r="AM50" s="36">
        <v>0</v>
      </c>
      <c r="AN50" s="36">
        <v>0</v>
      </c>
      <c r="AO50" s="36">
        <v>0</v>
      </c>
      <c r="AP50" s="36">
        <v>0</v>
      </c>
      <c r="AQ50" s="36">
        <v>0</v>
      </c>
      <c r="AR50" s="36">
        <v>0</v>
      </c>
      <c r="AS50" s="36">
        <v>0</v>
      </c>
      <c r="AT50" s="36">
        <v>0</v>
      </c>
      <c r="AU50" s="36">
        <v>0</v>
      </c>
      <c r="AV50" s="36">
        <v>0</v>
      </c>
      <c r="AW50" s="36">
        <v>0</v>
      </c>
      <c r="AX50" s="36"/>
      <c r="AY50" s="36"/>
      <c r="AZ50" s="37">
        <f t="shared" si="4"/>
        <v>10143</v>
      </c>
      <c r="BA50" s="38">
        <f t="shared" si="1"/>
        <v>0</v>
      </c>
      <c r="BB50" s="39">
        <f t="shared" si="5"/>
        <v>0</v>
      </c>
      <c r="BC50" s="40">
        <f t="shared" si="6"/>
        <v>10143</v>
      </c>
      <c r="BE50" s="24" t="b">
        <f t="shared" si="2"/>
        <v>1</v>
      </c>
      <c r="BF50" s="41"/>
    </row>
    <row r="51" spans="1:58" outlineLevel="1" x14ac:dyDescent="0.3">
      <c r="B51" s="42" t="s">
        <v>74</v>
      </c>
      <c r="C51" s="43"/>
      <c r="D51" s="44" t="s">
        <v>169</v>
      </c>
      <c r="E51" s="45"/>
      <c r="F51" s="46"/>
      <c r="G51" s="46"/>
      <c r="H51" s="46"/>
      <c r="I51" s="46"/>
      <c r="J51" s="47"/>
      <c r="K51" s="47"/>
      <c r="L51" s="47" t="s">
        <v>170</v>
      </c>
      <c r="M51" s="47"/>
      <c r="N51" s="48">
        <f t="shared" si="7"/>
        <v>4.0709999999999997</v>
      </c>
      <c r="O51" s="48">
        <v>4.0709999999999997</v>
      </c>
      <c r="P51" s="48">
        <f>$P$4</f>
        <v>0</v>
      </c>
      <c r="Q51" s="48" t="s">
        <v>33</v>
      </c>
      <c r="R51" s="49">
        <f>292.74</f>
        <v>292.74</v>
      </c>
      <c r="S51" s="49">
        <v>88.68</v>
      </c>
      <c r="T51" s="50">
        <f t="shared" si="3"/>
        <v>381.42</v>
      </c>
      <c r="U51" s="58">
        <f t="shared" si="0"/>
        <v>0.5</v>
      </c>
      <c r="V51" s="52">
        <f>292.74+88.68+0.5</f>
        <v>381.92</v>
      </c>
      <c r="W51" s="52">
        <f>SUM(W50:$AW50)*$N51/100</f>
        <v>334.26981000000001</v>
      </c>
      <c r="X51" s="52">
        <f>SUM(X50:$AW50)*$N51/100</f>
        <v>255.61808999999997</v>
      </c>
      <c r="Y51" s="52">
        <f>SUM(Y50:$AW50)*$N51/100</f>
        <v>176.96636999999998</v>
      </c>
      <c r="Z51" s="52">
        <f>SUM(Z50:$AW50)*$N51/100</f>
        <v>98.31465</v>
      </c>
      <c r="AA51" s="52">
        <f>SUM(AA50:$AW50)*$N51/100</f>
        <v>19.662929999999999</v>
      </c>
      <c r="AB51" s="52">
        <v>0</v>
      </c>
      <c r="AC51" s="52">
        <v>0</v>
      </c>
      <c r="AD51" s="52">
        <v>0</v>
      </c>
      <c r="AE51" s="52">
        <v>0</v>
      </c>
      <c r="AF51" s="52">
        <v>0</v>
      </c>
      <c r="AG51" s="52">
        <v>0</v>
      </c>
      <c r="AH51" s="52">
        <v>0</v>
      </c>
      <c r="AI51" s="52">
        <v>0</v>
      </c>
      <c r="AJ51" s="52">
        <v>0</v>
      </c>
      <c r="AK51" s="52">
        <v>0</v>
      </c>
      <c r="AL51" s="52">
        <v>0</v>
      </c>
      <c r="AM51" s="52">
        <v>0</v>
      </c>
      <c r="AN51" s="52">
        <v>0</v>
      </c>
      <c r="AO51" s="52">
        <v>0</v>
      </c>
      <c r="AP51" s="52">
        <v>0</v>
      </c>
      <c r="AQ51" s="52">
        <v>0</v>
      </c>
      <c r="AR51" s="52">
        <v>0</v>
      </c>
      <c r="AS51" s="52">
        <v>0</v>
      </c>
      <c r="AT51" s="52">
        <v>0</v>
      </c>
      <c r="AU51" s="52">
        <v>0</v>
      </c>
      <c r="AV51" s="52">
        <v>0</v>
      </c>
      <c r="AW51" s="52">
        <v>0</v>
      </c>
      <c r="AX51" s="52"/>
      <c r="AY51" s="52"/>
      <c r="AZ51" s="53">
        <f t="shared" si="4"/>
        <v>1266.7518499999999</v>
      </c>
      <c r="BA51" s="38">
        <f t="shared" si="1"/>
        <v>0</v>
      </c>
      <c r="BB51" s="54">
        <f t="shared" si="5"/>
        <v>0</v>
      </c>
      <c r="BC51" s="55">
        <f t="shared" si="6"/>
        <v>1266.7518499999999</v>
      </c>
      <c r="BE51" s="24" t="b">
        <f t="shared" si="2"/>
        <v>1</v>
      </c>
    </row>
    <row r="52" spans="1:58" s="24" customFormat="1" outlineLevel="1" x14ac:dyDescent="0.3">
      <c r="B52" s="25" t="s">
        <v>74</v>
      </c>
      <c r="C52" s="26">
        <v>24</v>
      </c>
      <c r="D52" s="27" t="s">
        <v>171</v>
      </c>
      <c r="E52" s="28" t="s">
        <v>172</v>
      </c>
      <c r="F52" s="29" t="s">
        <v>173</v>
      </c>
      <c r="G52" s="29" t="s">
        <v>174</v>
      </c>
      <c r="H52" s="29" t="s">
        <v>175</v>
      </c>
      <c r="I52" s="29" t="s">
        <v>29</v>
      </c>
      <c r="J52" s="30">
        <v>2227434</v>
      </c>
      <c r="K52" s="31">
        <v>1831440</v>
      </c>
      <c r="L52" s="31"/>
      <c r="M52" s="31"/>
      <c r="N52" s="32"/>
      <c r="O52" s="32"/>
      <c r="P52" s="32"/>
      <c r="Q52" s="32" t="s">
        <v>30</v>
      </c>
      <c r="R52" s="33">
        <v>17610</v>
      </c>
      <c r="S52" s="33">
        <v>52830</v>
      </c>
      <c r="T52" s="34">
        <f t="shared" si="3"/>
        <v>70440</v>
      </c>
      <c r="U52" s="60">
        <f t="shared" si="0"/>
        <v>0</v>
      </c>
      <c r="V52" s="36">
        <v>70440</v>
      </c>
      <c r="W52" s="36">
        <v>70440</v>
      </c>
      <c r="X52" s="36">
        <v>70440</v>
      </c>
      <c r="Y52" s="36">
        <v>70440</v>
      </c>
      <c r="Z52" s="36">
        <v>70440</v>
      </c>
      <c r="AA52" s="36">
        <v>70440</v>
      </c>
      <c r="AB52" s="36">
        <v>70440</v>
      </c>
      <c r="AC52" s="36">
        <v>70440</v>
      </c>
      <c r="AD52" s="36">
        <v>70440</v>
      </c>
      <c r="AE52" s="36">
        <v>70440</v>
      </c>
      <c r="AF52" s="36">
        <v>70440</v>
      </c>
      <c r="AG52" s="36">
        <v>70440</v>
      </c>
      <c r="AH52" s="36">
        <v>70440</v>
      </c>
      <c r="AI52" s="36">
        <v>70440</v>
      </c>
      <c r="AJ52" s="36">
        <v>70440</v>
      </c>
      <c r="AK52" s="36">
        <v>70440</v>
      </c>
      <c r="AL52" s="36">
        <v>70440</v>
      </c>
      <c r="AM52" s="36">
        <v>70440</v>
      </c>
      <c r="AN52" s="36">
        <v>70440</v>
      </c>
      <c r="AO52" s="36">
        <v>70440</v>
      </c>
      <c r="AP52" s="36">
        <v>70440</v>
      </c>
      <c r="AQ52" s="36">
        <v>70440</v>
      </c>
      <c r="AR52" s="36">
        <v>70440</v>
      </c>
      <c r="AS52" s="36">
        <v>70440</v>
      </c>
      <c r="AT52" s="36">
        <v>70440</v>
      </c>
      <c r="AU52" s="36">
        <v>35220</v>
      </c>
      <c r="AV52" s="36">
        <v>0</v>
      </c>
      <c r="AW52" s="36">
        <v>0</v>
      </c>
      <c r="AX52" s="36"/>
      <c r="AY52" s="36"/>
      <c r="AZ52" s="37">
        <f t="shared" si="4"/>
        <v>1796220</v>
      </c>
      <c r="BA52" s="38">
        <f t="shared" si="1"/>
        <v>0</v>
      </c>
      <c r="BB52" s="39">
        <f t="shared" si="5"/>
        <v>1303140</v>
      </c>
      <c r="BC52" s="40">
        <f t="shared" si="6"/>
        <v>1796220</v>
      </c>
      <c r="BE52" s="24" t="b">
        <f t="shared" si="2"/>
        <v>1</v>
      </c>
      <c r="BF52" s="41"/>
    </row>
    <row r="53" spans="1:58" outlineLevel="1" x14ac:dyDescent="0.3">
      <c r="B53" s="42" t="s">
        <v>74</v>
      </c>
      <c r="C53" s="43"/>
      <c r="D53" s="44" t="s">
        <v>176</v>
      </c>
      <c r="E53" s="45"/>
      <c r="F53" s="46"/>
      <c r="G53" s="46"/>
      <c r="H53" s="46"/>
      <c r="I53" s="46"/>
      <c r="J53" s="47"/>
      <c r="K53" s="47"/>
      <c r="L53" s="47" t="s">
        <v>177</v>
      </c>
      <c r="M53" s="47"/>
      <c r="N53" s="48">
        <f t="shared" si="7"/>
        <v>4.1890000000000001</v>
      </c>
      <c r="O53" s="48">
        <v>4.1890000000000001</v>
      </c>
      <c r="P53" s="48">
        <f>$P$4</f>
        <v>0</v>
      </c>
      <c r="Q53" s="48" t="s">
        <v>33</v>
      </c>
      <c r="R53" s="49">
        <f>53539.51</f>
        <v>53539.51</v>
      </c>
      <c r="S53" s="49">
        <v>16806.62</v>
      </c>
      <c r="T53" s="50">
        <f t="shared" si="3"/>
        <v>70346.13</v>
      </c>
      <c r="U53" s="58">
        <f t="shared" si="0"/>
        <v>0.5</v>
      </c>
      <c r="V53" s="52">
        <f>53539.51+16806.62+0.5</f>
        <v>70346.63</v>
      </c>
      <c r="W53" s="52">
        <f>SUM(W52:$AW52)*$N53/100</f>
        <v>72292.924199999994</v>
      </c>
      <c r="X53" s="52">
        <f>SUM(X52:$AW52)*$N53/100</f>
        <v>69342.192599999995</v>
      </c>
      <c r="Y53" s="52">
        <f>SUM(Y52:$AW52)*$N53/100</f>
        <v>66391.460999999996</v>
      </c>
      <c r="Z53" s="52">
        <f>SUM(Z52:$AW52)*$N53/100</f>
        <v>63440.729400000004</v>
      </c>
      <c r="AA53" s="52">
        <f>SUM(AA52:$AW52)*$N53/100</f>
        <v>60489.997800000005</v>
      </c>
      <c r="AB53" s="52">
        <f>SUM(AB52:$AW52)*$N53/100</f>
        <v>57539.266199999998</v>
      </c>
      <c r="AC53" s="52">
        <f>SUM(AC52:$AW52)*$N53/100</f>
        <v>54588.534599999999</v>
      </c>
      <c r="AD53" s="52">
        <f>SUM(AD52:$AW52)*$N53/100</f>
        <v>51637.803</v>
      </c>
      <c r="AE53" s="52">
        <f>SUM(AE52:$AW52)*$N53/100</f>
        <v>48687.071399999993</v>
      </c>
      <c r="AF53" s="52">
        <f>SUM(AF52:$AW52)*$N53/100</f>
        <v>45736.339800000002</v>
      </c>
      <c r="AG53" s="52">
        <f>SUM(AG52:$AW52)*$N53/100</f>
        <v>42785.608200000002</v>
      </c>
      <c r="AH53" s="52">
        <f>SUM(AH52:$AW52)*$N53/100</f>
        <v>39834.876600000003</v>
      </c>
      <c r="AI53" s="52">
        <f>SUM(AI52:$AW52)*$N53/100</f>
        <v>36884.144999999997</v>
      </c>
      <c r="AJ53" s="52">
        <f>SUM(AJ52:$AW52)*$N53/100</f>
        <v>33933.413399999998</v>
      </c>
      <c r="AK53" s="52">
        <f>SUM(AK52:$AW52)*$N53/100</f>
        <v>30982.681800000002</v>
      </c>
      <c r="AL53" s="52">
        <f>SUM(AL52:$AW52)*$N53/100</f>
        <v>28031.950199999999</v>
      </c>
      <c r="AM53" s="52">
        <f>SUM(AM52:$AW52)*$N53/100</f>
        <v>25081.2186</v>
      </c>
      <c r="AN53" s="52">
        <f>SUM(AN52:$AW52)*$N53/100</f>
        <v>22130.487000000001</v>
      </c>
      <c r="AO53" s="52">
        <f>SUM(AO52:$AW52)*$N53/100</f>
        <v>19179.755400000002</v>
      </c>
      <c r="AP53" s="52">
        <f>SUM(AP52:$AW52)*$N53/100</f>
        <v>16229.023800000001</v>
      </c>
      <c r="AQ53" s="52">
        <f>SUM(AQ52:$AW52)*$N53/100</f>
        <v>13278.2922</v>
      </c>
      <c r="AR53" s="52">
        <f>SUM(AR52:$AW52)*$N53/100</f>
        <v>10327.560600000001</v>
      </c>
      <c r="AS53" s="52">
        <f>SUM(AS52:$AW52)*$N53/100</f>
        <v>7376.8290000000006</v>
      </c>
      <c r="AT53" s="52">
        <f>SUM(AT52:$AW52)*$N53/100</f>
        <v>4426.0973999999997</v>
      </c>
      <c r="AU53" s="52">
        <f>SUM(AU52:$AW52)*$N53/100</f>
        <v>1475.3658000000003</v>
      </c>
      <c r="AV53" s="52">
        <v>0</v>
      </c>
      <c r="AW53" s="52">
        <v>0</v>
      </c>
      <c r="AX53" s="52"/>
      <c r="AY53" s="52"/>
      <c r="AZ53" s="53">
        <f t="shared" si="4"/>
        <v>992450.255</v>
      </c>
      <c r="BA53" s="38">
        <f t="shared" si="1"/>
        <v>0</v>
      </c>
      <c r="BB53" s="54">
        <f t="shared" si="5"/>
        <v>532607.05380000023</v>
      </c>
      <c r="BC53" s="55">
        <f t="shared" si="6"/>
        <v>992450.25500000035</v>
      </c>
      <c r="BE53" s="24" t="b">
        <f t="shared" si="2"/>
        <v>1</v>
      </c>
    </row>
    <row r="54" spans="1:58" s="24" customFormat="1" outlineLevel="1" x14ac:dyDescent="0.3">
      <c r="B54" s="25" t="s">
        <v>23</v>
      </c>
      <c r="C54" s="26">
        <v>25</v>
      </c>
      <c r="D54" s="27" t="s">
        <v>178</v>
      </c>
      <c r="E54" s="28" t="s">
        <v>179</v>
      </c>
      <c r="F54" s="29" t="s">
        <v>180</v>
      </c>
      <c r="G54" s="29" t="s">
        <v>181</v>
      </c>
      <c r="H54" s="29" t="s">
        <v>182</v>
      </c>
      <c r="I54" s="29" t="s">
        <v>29</v>
      </c>
      <c r="J54" s="30">
        <v>531484</v>
      </c>
      <c r="K54" s="31">
        <v>412380</v>
      </c>
      <c r="L54" s="31"/>
      <c r="M54" s="31"/>
      <c r="N54" s="32"/>
      <c r="O54" s="32">
        <v>2.4700000000000002</v>
      </c>
      <c r="P54" s="32"/>
      <c r="Q54" s="32" t="s">
        <v>30</v>
      </c>
      <c r="R54" s="33">
        <v>9164</v>
      </c>
      <c r="S54" s="33">
        <v>27492</v>
      </c>
      <c r="T54" s="34">
        <f t="shared" si="3"/>
        <v>36656</v>
      </c>
      <c r="U54" s="35">
        <f t="shared" si="0"/>
        <v>0</v>
      </c>
      <c r="V54" s="36">
        <v>36656</v>
      </c>
      <c r="W54" s="36">
        <v>36656</v>
      </c>
      <c r="X54" s="36">
        <v>36656</v>
      </c>
      <c r="Y54" s="36">
        <v>36656</v>
      </c>
      <c r="Z54" s="36">
        <v>36656</v>
      </c>
      <c r="AA54" s="36">
        <v>36656</v>
      </c>
      <c r="AB54" s="36">
        <v>36656</v>
      </c>
      <c r="AC54" s="36">
        <v>36656</v>
      </c>
      <c r="AD54" s="36">
        <v>36656</v>
      </c>
      <c r="AE54" s="36">
        <v>36656</v>
      </c>
      <c r="AF54" s="36">
        <v>27492</v>
      </c>
      <c r="AG54" s="36">
        <v>0</v>
      </c>
      <c r="AH54" s="36">
        <v>0</v>
      </c>
      <c r="AI54" s="36">
        <v>0</v>
      </c>
      <c r="AJ54" s="36">
        <v>0</v>
      </c>
      <c r="AK54" s="36">
        <v>0</v>
      </c>
      <c r="AL54" s="36">
        <v>0</v>
      </c>
      <c r="AM54" s="36">
        <v>0</v>
      </c>
      <c r="AN54" s="36">
        <v>0</v>
      </c>
      <c r="AO54" s="36">
        <v>0</v>
      </c>
      <c r="AP54" s="36">
        <v>0</v>
      </c>
      <c r="AQ54" s="36">
        <v>0</v>
      </c>
      <c r="AR54" s="36">
        <v>0</v>
      </c>
      <c r="AS54" s="36">
        <v>0</v>
      </c>
      <c r="AT54" s="36">
        <v>0</v>
      </c>
      <c r="AU54" s="36">
        <v>0</v>
      </c>
      <c r="AV54" s="36">
        <v>0</v>
      </c>
      <c r="AW54" s="36">
        <v>0</v>
      </c>
      <c r="AX54" s="36"/>
      <c r="AY54" s="36"/>
      <c r="AZ54" s="37">
        <f t="shared" si="4"/>
        <v>394052</v>
      </c>
      <c r="BA54" s="38">
        <f t="shared" si="1"/>
        <v>0</v>
      </c>
      <c r="BB54" s="39">
        <f t="shared" si="5"/>
        <v>137460</v>
      </c>
      <c r="BC54" s="40">
        <f t="shared" si="6"/>
        <v>394052</v>
      </c>
      <c r="BE54" s="24" t="b">
        <f t="shared" si="2"/>
        <v>1</v>
      </c>
      <c r="BF54" s="41"/>
    </row>
    <row r="55" spans="1:58" outlineLevel="1" x14ac:dyDescent="0.3">
      <c r="B55" s="42" t="s">
        <v>23</v>
      </c>
      <c r="C55" s="43"/>
      <c r="D55" s="44"/>
      <c r="E55" s="45"/>
      <c r="F55" s="46"/>
      <c r="G55" s="46"/>
      <c r="H55" s="46"/>
      <c r="I55" s="46"/>
      <c r="J55" s="47"/>
      <c r="K55" s="47"/>
      <c r="L55" s="47" t="s">
        <v>183</v>
      </c>
      <c r="M55" s="47"/>
      <c r="N55" s="48">
        <f t="shared" si="7"/>
        <v>4.1500000000000004</v>
      </c>
      <c r="O55" s="57">
        <v>4.1500000000000004</v>
      </c>
      <c r="P55" s="48">
        <f>$P$4</f>
        <v>0</v>
      </c>
      <c r="Q55" s="48" t="s">
        <v>33</v>
      </c>
      <c r="R55" s="49">
        <f>12447.84</f>
        <v>12447.84</v>
      </c>
      <c r="S55" s="49">
        <v>4028.66</v>
      </c>
      <c r="T55" s="50">
        <f t="shared" si="3"/>
        <v>16476.5</v>
      </c>
      <c r="U55" s="51">
        <f t="shared" si="0"/>
        <v>0</v>
      </c>
      <c r="V55" s="52">
        <f>12447.84+4028.66</f>
        <v>16476.5</v>
      </c>
      <c r="W55" s="52">
        <f>SUM(W54:$AW54)*$N55/100</f>
        <v>14831.934000000001</v>
      </c>
      <c r="X55" s="52">
        <f>SUM(X54:$AW54)*$N55/100</f>
        <v>13310.71</v>
      </c>
      <c r="Y55" s="52">
        <f>SUM(Y54:$AW54)*$N55/100</f>
        <v>11789.486000000001</v>
      </c>
      <c r="Z55" s="52">
        <f>SUM(Z54:$AW54)*$N55/100</f>
        <v>10268.262000000001</v>
      </c>
      <c r="AA55" s="52">
        <f>SUM(AA54:$AW54)*$N55/100</f>
        <v>8747.0380000000005</v>
      </c>
      <c r="AB55" s="52">
        <f>SUM(AB54:$AW54)*$N55/100</f>
        <v>7225.8140000000003</v>
      </c>
      <c r="AC55" s="52">
        <f>SUM(AC54:$AW54)*$N55/100</f>
        <v>5704.59</v>
      </c>
      <c r="AD55" s="52">
        <f>SUM(AD54:$AW54)*$N55/100</f>
        <v>4183.366</v>
      </c>
      <c r="AE55" s="52">
        <f>SUM(AE54:$AW54)*$N55/100</f>
        <v>2662.1420000000003</v>
      </c>
      <c r="AF55" s="52">
        <f>SUM(AF54:$AW54)*$N55/100</f>
        <v>1140.9180000000001</v>
      </c>
      <c r="AG55" s="52">
        <v>0</v>
      </c>
      <c r="AH55" s="52">
        <v>0</v>
      </c>
      <c r="AI55" s="52">
        <v>0</v>
      </c>
      <c r="AJ55" s="52">
        <v>0</v>
      </c>
      <c r="AK55" s="52">
        <v>0</v>
      </c>
      <c r="AL55" s="52">
        <v>0</v>
      </c>
      <c r="AM55" s="52">
        <v>0</v>
      </c>
      <c r="AN55" s="52">
        <v>0</v>
      </c>
      <c r="AO55" s="52">
        <v>0</v>
      </c>
      <c r="AP55" s="52">
        <v>0</v>
      </c>
      <c r="AQ55" s="52">
        <v>0</v>
      </c>
      <c r="AR55" s="52">
        <v>0</v>
      </c>
      <c r="AS55" s="52">
        <v>0</v>
      </c>
      <c r="AT55" s="52">
        <v>0</v>
      </c>
      <c r="AU55" s="52">
        <v>0</v>
      </c>
      <c r="AV55" s="52">
        <v>0</v>
      </c>
      <c r="AW55" s="52">
        <v>0</v>
      </c>
      <c r="AX55" s="52"/>
      <c r="AY55" s="52"/>
      <c r="AZ55" s="53">
        <f t="shared" si="4"/>
        <v>96340.760000000009</v>
      </c>
      <c r="BA55" s="38">
        <f t="shared" si="1"/>
        <v>0</v>
      </c>
      <c r="BB55" s="54">
        <f t="shared" si="5"/>
        <v>13691.016</v>
      </c>
      <c r="BC55" s="55">
        <f t="shared" si="6"/>
        <v>96340.760000000009</v>
      </c>
      <c r="BE55" s="24" t="b">
        <f t="shared" si="2"/>
        <v>1</v>
      </c>
    </row>
    <row r="56" spans="1:58" s="24" customFormat="1" outlineLevel="1" x14ac:dyDescent="0.3">
      <c r="B56" s="25" t="s">
        <v>74</v>
      </c>
      <c r="C56" s="26">
        <v>26</v>
      </c>
      <c r="D56" s="27" t="s">
        <v>184</v>
      </c>
      <c r="E56" s="28" t="s">
        <v>185</v>
      </c>
      <c r="F56" s="29" t="s">
        <v>186</v>
      </c>
      <c r="G56" s="29" t="s">
        <v>187</v>
      </c>
      <c r="H56" s="29" t="s">
        <v>188</v>
      </c>
      <c r="I56" s="29" t="s">
        <v>29</v>
      </c>
      <c r="J56" s="30">
        <v>583938.46</v>
      </c>
      <c r="K56" s="31">
        <v>520872</v>
      </c>
      <c r="L56" s="31"/>
      <c r="M56" s="31"/>
      <c r="N56" s="32"/>
      <c r="O56" s="32">
        <v>2.8109999999999999</v>
      </c>
      <c r="P56" s="32"/>
      <c r="Q56" s="32" t="s">
        <v>30</v>
      </c>
      <c r="R56" s="33">
        <v>7892</v>
      </c>
      <c r="S56" s="33">
        <v>23676</v>
      </c>
      <c r="T56" s="34">
        <f t="shared" si="3"/>
        <v>31568</v>
      </c>
      <c r="U56" s="35">
        <f t="shared" si="0"/>
        <v>0</v>
      </c>
      <c r="V56" s="36">
        <v>31568</v>
      </c>
      <c r="W56" s="36">
        <v>31568</v>
      </c>
      <c r="X56" s="36">
        <v>31568</v>
      </c>
      <c r="Y56" s="36">
        <v>31568</v>
      </c>
      <c r="Z56" s="36">
        <v>31568</v>
      </c>
      <c r="AA56" s="36">
        <v>31568</v>
      </c>
      <c r="AB56" s="36">
        <v>31568</v>
      </c>
      <c r="AC56" s="36">
        <v>31568</v>
      </c>
      <c r="AD56" s="36">
        <v>31568</v>
      </c>
      <c r="AE56" s="36">
        <v>31568</v>
      </c>
      <c r="AF56" s="36">
        <v>31568</v>
      </c>
      <c r="AG56" s="36">
        <v>31568</v>
      </c>
      <c r="AH56" s="36">
        <v>31568</v>
      </c>
      <c r="AI56" s="36">
        <v>31568</v>
      </c>
      <c r="AJ56" s="36">
        <v>31568</v>
      </c>
      <c r="AK56" s="36">
        <v>31568</v>
      </c>
      <c r="AL56" s="36">
        <v>0</v>
      </c>
      <c r="AM56" s="36">
        <v>0</v>
      </c>
      <c r="AN56" s="36">
        <v>0</v>
      </c>
      <c r="AO56" s="36">
        <v>0</v>
      </c>
      <c r="AP56" s="36">
        <v>0</v>
      </c>
      <c r="AQ56" s="36">
        <v>0</v>
      </c>
      <c r="AR56" s="36">
        <v>0</v>
      </c>
      <c r="AS56" s="36">
        <v>0</v>
      </c>
      <c r="AT56" s="36">
        <v>0</v>
      </c>
      <c r="AU56" s="36">
        <v>0</v>
      </c>
      <c r="AV56" s="36">
        <v>0</v>
      </c>
      <c r="AW56" s="36">
        <v>0</v>
      </c>
      <c r="AX56" s="36"/>
      <c r="AY56" s="36"/>
      <c r="AZ56" s="37">
        <f t="shared" si="4"/>
        <v>505088</v>
      </c>
      <c r="BA56" s="38">
        <f t="shared" si="1"/>
        <v>0</v>
      </c>
      <c r="BB56" s="39">
        <f t="shared" si="5"/>
        <v>284112</v>
      </c>
      <c r="BC56" s="40">
        <f t="shared" si="6"/>
        <v>505088</v>
      </c>
      <c r="BE56" s="24" t="b">
        <f t="shared" si="2"/>
        <v>1</v>
      </c>
      <c r="BF56" s="41"/>
    </row>
    <row r="57" spans="1:58" outlineLevel="1" x14ac:dyDescent="0.3">
      <c r="B57" s="42" t="s">
        <v>74</v>
      </c>
      <c r="C57" s="43"/>
      <c r="D57" s="44"/>
      <c r="E57" s="45"/>
      <c r="F57" s="46"/>
      <c r="G57" s="46"/>
      <c r="H57" s="46"/>
      <c r="I57" s="46"/>
      <c r="J57" s="47"/>
      <c r="K57" s="47"/>
      <c r="L57" s="47" t="s">
        <v>189</v>
      </c>
      <c r="M57" s="47"/>
      <c r="N57" s="48">
        <f t="shared" si="7"/>
        <v>4.1500000000000004</v>
      </c>
      <c r="O57" s="57">
        <v>4.1500000000000004</v>
      </c>
      <c r="P57" s="48">
        <f>$P$4</f>
        <v>0</v>
      </c>
      <c r="Q57" s="48" t="s">
        <v>33</v>
      </c>
      <c r="R57" s="49">
        <f>4833.79</f>
        <v>4833.79</v>
      </c>
      <c r="S57" s="49">
        <v>5109.4399999999996</v>
      </c>
      <c r="T57" s="50">
        <f t="shared" si="3"/>
        <v>9943.23</v>
      </c>
      <c r="U57" s="58">
        <f t="shared" si="0"/>
        <v>0.5</v>
      </c>
      <c r="V57" s="52">
        <f>4833.79+5109.44+0.5</f>
        <v>9943.73</v>
      </c>
      <c r="W57" s="52">
        <f>SUM(W56:$AW56)*$N57/100</f>
        <v>19651.080000000002</v>
      </c>
      <c r="X57" s="52">
        <f>SUM(X56:$AW56)*$N57/100</f>
        <v>18341.008000000002</v>
      </c>
      <c r="Y57" s="52">
        <f>SUM(Y56:$AW56)*$N57/100</f>
        <v>17030.936000000002</v>
      </c>
      <c r="Z57" s="52">
        <f>SUM(Z56:$AW56)*$N57/100</f>
        <v>15720.864000000001</v>
      </c>
      <c r="AA57" s="52">
        <f>SUM(AA56:$AW56)*$N57/100</f>
        <v>14410.792000000001</v>
      </c>
      <c r="AB57" s="52">
        <f>SUM(AB56:$AW56)*$N57/100</f>
        <v>13100.72</v>
      </c>
      <c r="AC57" s="52">
        <f>SUM(AC56:$AW56)*$N57/100</f>
        <v>11790.648000000001</v>
      </c>
      <c r="AD57" s="52">
        <f>SUM(AD56:$AW56)*$N57/100</f>
        <v>10480.576000000001</v>
      </c>
      <c r="AE57" s="52">
        <f>SUM(AE56:$AW56)*$N57/100</f>
        <v>9170.5040000000008</v>
      </c>
      <c r="AF57" s="52">
        <f>SUM(AF56:$AW56)*$N57/100</f>
        <v>7860.4320000000007</v>
      </c>
      <c r="AG57" s="52">
        <f>SUM(AG56:$AW56)*$N57/100</f>
        <v>6550.36</v>
      </c>
      <c r="AH57" s="52">
        <f>SUM(AH56:$AW56)*$N57/100</f>
        <v>5240.2880000000005</v>
      </c>
      <c r="AI57" s="52">
        <f>SUM(AI56:$AW56)*$N57/100</f>
        <v>3930.2160000000003</v>
      </c>
      <c r="AJ57" s="52">
        <f>SUM(AJ56:$AW56)*$N57/100</f>
        <v>2620.1440000000002</v>
      </c>
      <c r="AK57" s="52">
        <f>SUM(AK56:$AW56)*$N57/100</f>
        <v>1310.0720000000001</v>
      </c>
      <c r="AL57" s="52">
        <v>0</v>
      </c>
      <c r="AM57" s="52">
        <v>0</v>
      </c>
      <c r="AN57" s="52">
        <v>0</v>
      </c>
      <c r="AO57" s="52">
        <v>0</v>
      </c>
      <c r="AP57" s="52">
        <v>0</v>
      </c>
      <c r="AQ57" s="52">
        <v>0</v>
      </c>
      <c r="AR57" s="52">
        <v>0</v>
      </c>
      <c r="AS57" s="52">
        <v>0</v>
      </c>
      <c r="AT57" s="52">
        <v>0</v>
      </c>
      <c r="AU57" s="52">
        <v>0</v>
      </c>
      <c r="AV57" s="52">
        <v>0</v>
      </c>
      <c r="AW57" s="52">
        <v>0</v>
      </c>
      <c r="AX57" s="52"/>
      <c r="AY57" s="52"/>
      <c r="AZ57" s="53">
        <f t="shared" si="4"/>
        <v>167152.37</v>
      </c>
      <c r="BA57" s="38">
        <f t="shared" si="1"/>
        <v>0</v>
      </c>
      <c r="BB57" s="54">
        <f t="shared" si="5"/>
        <v>58953.240000000005</v>
      </c>
      <c r="BC57" s="55">
        <f t="shared" si="6"/>
        <v>167152.37</v>
      </c>
      <c r="BE57" s="24" t="b">
        <f t="shared" si="2"/>
        <v>1</v>
      </c>
    </row>
    <row r="58" spans="1:58" s="24" customFormat="1" outlineLevel="1" x14ac:dyDescent="0.3">
      <c r="B58" s="25" t="s">
        <v>23</v>
      </c>
      <c r="C58" s="26">
        <v>27</v>
      </c>
      <c r="D58" s="27" t="s">
        <v>190</v>
      </c>
      <c r="E58" s="28" t="s">
        <v>191</v>
      </c>
      <c r="F58" s="29" t="s">
        <v>192</v>
      </c>
      <c r="G58" s="29" t="s">
        <v>193</v>
      </c>
      <c r="H58" s="29" t="s">
        <v>194</v>
      </c>
      <c r="I58" s="29" t="s">
        <v>29</v>
      </c>
      <c r="J58" s="30">
        <v>2556845.52</v>
      </c>
      <c r="K58" s="31">
        <v>2388377.52</v>
      </c>
      <c r="L58" s="31"/>
      <c r="M58" s="31"/>
      <c r="N58" s="32"/>
      <c r="O58" s="32"/>
      <c r="P58" s="32"/>
      <c r="Q58" s="32" t="s">
        <v>30</v>
      </c>
      <c r="R58" s="33">
        <v>24079</v>
      </c>
      <c r="S58" s="33">
        <v>72237</v>
      </c>
      <c r="T58" s="34">
        <f>SUM(R58:S58)</f>
        <v>96316</v>
      </c>
      <c r="U58" s="35">
        <f t="shared" si="0"/>
        <v>0</v>
      </c>
      <c r="V58" s="36">
        <v>96316</v>
      </c>
      <c r="W58" s="36">
        <v>96316</v>
      </c>
      <c r="X58" s="36">
        <v>96316</v>
      </c>
      <c r="Y58" s="36">
        <v>96316</v>
      </c>
      <c r="Z58" s="36">
        <v>96316</v>
      </c>
      <c r="AA58" s="36">
        <v>96316</v>
      </c>
      <c r="AB58" s="36">
        <v>96316</v>
      </c>
      <c r="AC58" s="36">
        <v>96316</v>
      </c>
      <c r="AD58" s="36">
        <v>96316</v>
      </c>
      <c r="AE58" s="36">
        <v>96316</v>
      </c>
      <c r="AF58" s="36">
        <v>96316</v>
      </c>
      <c r="AG58" s="36">
        <v>96316</v>
      </c>
      <c r="AH58" s="36">
        <v>96316</v>
      </c>
      <c r="AI58" s="36">
        <v>96316</v>
      </c>
      <c r="AJ58" s="36">
        <v>96316</v>
      </c>
      <c r="AK58" s="36">
        <v>96316</v>
      </c>
      <c r="AL58" s="36">
        <v>96316</v>
      </c>
      <c r="AM58" s="36">
        <v>96316</v>
      </c>
      <c r="AN58" s="36">
        <v>96316</v>
      </c>
      <c r="AO58" s="36">
        <v>96316</v>
      </c>
      <c r="AP58" s="36">
        <v>96316</v>
      </c>
      <c r="AQ58" s="36">
        <v>96316</v>
      </c>
      <c r="AR58" s="36">
        <v>96316</v>
      </c>
      <c r="AS58" s="36">
        <v>96316</v>
      </c>
      <c r="AT58" s="36">
        <v>28635.52</v>
      </c>
      <c r="AU58" s="36">
        <v>0</v>
      </c>
      <c r="AV58" s="36">
        <v>0</v>
      </c>
      <c r="AW58" s="36">
        <v>0</v>
      </c>
      <c r="AX58" s="36"/>
      <c r="AY58" s="36"/>
      <c r="AZ58" s="37">
        <f t="shared" si="4"/>
        <v>2340219.52</v>
      </c>
      <c r="BA58" s="38">
        <f t="shared" si="1"/>
        <v>0</v>
      </c>
      <c r="BB58" s="39">
        <f t="shared" si="5"/>
        <v>1666007.52</v>
      </c>
      <c r="BC58" s="40">
        <f t="shared" si="6"/>
        <v>2340219.52</v>
      </c>
      <c r="BE58" s="24" t="b">
        <f t="shared" si="2"/>
        <v>1</v>
      </c>
      <c r="BF58" s="41"/>
    </row>
    <row r="59" spans="1:58" outlineLevel="1" x14ac:dyDescent="0.3">
      <c r="B59" s="42" t="s">
        <v>23</v>
      </c>
      <c r="C59" s="43"/>
      <c r="D59" s="44"/>
      <c r="E59" s="45"/>
      <c r="F59" s="46"/>
      <c r="G59" s="46"/>
      <c r="H59" s="46"/>
      <c r="I59" s="46"/>
      <c r="J59" s="47"/>
      <c r="K59" s="47"/>
      <c r="L59" s="47" t="s">
        <v>195</v>
      </c>
      <c r="M59" s="47"/>
      <c r="N59" s="48">
        <f t="shared" si="7"/>
        <v>6.0229999999999997</v>
      </c>
      <c r="O59" s="48">
        <v>6.0229999999999997</v>
      </c>
      <c r="P59" s="48">
        <f>$P$4</f>
        <v>0</v>
      </c>
      <c r="Q59" s="48" t="s">
        <v>33</v>
      </c>
      <c r="R59" s="49">
        <f>106511.57</f>
        <v>106511.57</v>
      </c>
      <c r="S59" s="49">
        <v>34322.730000000003</v>
      </c>
      <c r="T59" s="50">
        <f t="shared" si="3"/>
        <v>140834.30000000002</v>
      </c>
      <c r="U59" s="51">
        <f t="shared" si="0"/>
        <v>0.5</v>
      </c>
      <c r="V59" s="52">
        <f>106511.57+34322.73+0.5</f>
        <v>140834.80000000002</v>
      </c>
      <c r="W59" s="52">
        <f>SUM(W58:$AW58)*$N59/100</f>
        <v>135150.30900959999</v>
      </c>
      <c r="X59" s="52">
        <f>SUM(X58:$AW58)*$N59/100</f>
        <v>129349.19632959999</v>
      </c>
      <c r="Y59" s="52">
        <f>SUM(Y58:$AW58)*$N59/100</f>
        <v>123548.0836496</v>
      </c>
      <c r="Z59" s="52">
        <f>SUM(Z58:$AW58)*$N59/100</f>
        <v>117746.97096959999</v>
      </c>
      <c r="AA59" s="52">
        <f>SUM(AA58:$AW58)*$N59/100</f>
        <v>111945.8582896</v>
      </c>
      <c r="AB59" s="52">
        <f>SUM(AB58:$AW58)*$N59/100</f>
        <v>106144.74560960001</v>
      </c>
      <c r="AC59" s="52">
        <f>SUM(AC58:$AW58)*$N59/100</f>
        <v>100343.63292959999</v>
      </c>
      <c r="AD59" s="52">
        <f>SUM(AD58:$AW58)*$N59/100</f>
        <v>94542.520249599998</v>
      </c>
      <c r="AE59" s="52">
        <f>SUM(AE58:$AW58)*$N59/100</f>
        <v>88741.407569599993</v>
      </c>
      <c r="AF59" s="52">
        <f>SUM(AF58:$AW58)*$N59/100</f>
        <v>82940.294889600002</v>
      </c>
      <c r="AG59" s="52">
        <f>SUM(AG58:$AW58)*$N59/100</f>
        <v>77139.182209599996</v>
      </c>
      <c r="AH59" s="52">
        <f>SUM(AH58:$AW58)*$N59/100</f>
        <v>71338.06952959999</v>
      </c>
      <c r="AI59" s="52">
        <f>SUM(AI58:$AW58)*$N59/100</f>
        <v>65536.956849599999</v>
      </c>
      <c r="AJ59" s="52">
        <f>SUM(AJ58:$AW58)*$N59/100</f>
        <v>59735.844169600001</v>
      </c>
      <c r="AK59" s="52">
        <f>SUM(AK58:$AW58)*$N59/100</f>
        <v>53934.731489600003</v>
      </c>
      <c r="AL59" s="52">
        <f>SUM(AL58:$AW58)*$N59/100</f>
        <v>48133.618809599997</v>
      </c>
      <c r="AM59" s="52">
        <f>SUM(AM58:$AW58)*$N59/100</f>
        <v>42332.506129599999</v>
      </c>
      <c r="AN59" s="52">
        <f>SUM(AN58:$AW58)*$N59/100</f>
        <v>36531.3934496</v>
      </c>
      <c r="AO59" s="52">
        <f>SUM(AO58:$AW58)*$N59/100</f>
        <v>30730.280769599998</v>
      </c>
      <c r="AP59" s="52">
        <f>SUM(AP58:$AW58)*$N59/100</f>
        <v>24929.1680896</v>
      </c>
      <c r="AQ59" s="52">
        <f>SUM(AQ58:$AW58)*$N59/100</f>
        <v>19128.055409599998</v>
      </c>
      <c r="AR59" s="52">
        <f>SUM(AR58:$AW58)*$N59/100</f>
        <v>13326.942729599999</v>
      </c>
      <c r="AS59" s="52">
        <f>SUM(AS58:$AW58)*$N59/100</f>
        <v>7525.8300495999993</v>
      </c>
      <c r="AT59" s="52">
        <f>SUM(AT58:$AW58)*$N59/100</f>
        <v>1724.7173695999998</v>
      </c>
      <c r="AU59" s="52">
        <v>0</v>
      </c>
      <c r="AV59" s="52">
        <v>0</v>
      </c>
      <c r="AW59" s="52">
        <v>0</v>
      </c>
      <c r="AX59" s="52"/>
      <c r="AY59" s="52"/>
      <c r="AZ59" s="53">
        <f t="shared" si="4"/>
        <v>1783335.1165503999</v>
      </c>
      <c r="BA59" s="38">
        <f t="shared" si="1"/>
        <v>0</v>
      </c>
      <c r="BB59" s="54">
        <f t="shared" si="5"/>
        <v>918615.15269280004</v>
      </c>
      <c r="BC59" s="55">
        <f t="shared" si="6"/>
        <v>1783335.1165503999</v>
      </c>
      <c r="BE59" s="24" t="b">
        <f t="shared" si="2"/>
        <v>1</v>
      </c>
    </row>
    <row r="60" spans="1:58" s="24" customFormat="1" outlineLevel="1" x14ac:dyDescent="0.3">
      <c r="B60" s="25" t="s">
        <v>23</v>
      </c>
      <c r="C60" s="26">
        <v>28</v>
      </c>
      <c r="D60" s="27" t="s">
        <v>196</v>
      </c>
      <c r="E60" s="28" t="s">
        <v>197</v>
      </c>
      <c r="F60" s="29" t="s">
        <v>198</v>
      </c>
      <c r="G60" s="29" t="s">
        <v>199</v>
      </c>
      <c r="H60" s="29" t="s">
        <v>200</v>
      </c>
      <c r="I60" s="29" t="s">
        <v>29</v>
      </c>
      <c r="J60" s="30">
        <v>1410783</v>
      </c>
      <c r="K60" s="31">
        <v>1059408</v>
      </c>
      <c r="L60" s="31"/>
      <c r="M60" s="31"/>
      <c r="N60" s="32"/>
      <c r="O60" s="32">
        <v>1.589</v>
      </c>
      <c r="P60" s="32"/>
      <c r="Q60" s="32" t="s">
        <v>30</v>
      </c>
      <c r="R60" s="33">
        <v>22071</v>
      </c>
      <c r="S60" s="33">
        <v>66213</v>
      </c>
      <c r="T60" s="34">
        <f t="shared" si="3"/>
        <v>88284</v>
      </c>
      <c r="U60" s="35">
        <f t="shared" si="0"/>
        <v>0</v>
      </c>
      <c r="V60" s="36">
        <v>88284</v>
      </c>
      <c r="W60" s="36">
        <v>88284</v>
      </c>
      <c r="X60" s="36">
        <v>88284</v>
      </c>
      <c r="Y60" s="36">
        <v>88284</v>
      </c>
      <c r="Z60" s="36">
        <v>88284</v>
      </c>
      <c r="AA60" s="36">
        <v>88284</v>
      </c>
      <c r="AB60" s="36">
        <v>88284</v>
      </c>
      <c r="AC60" s="36">
        <v>88284</v>
      </c>
      <c r="AD60" s="36">
        <v>88284</v>
      </c>
      <c r="AE60" s="36">
        <v>88284</v>
      </c>
      <c r="AF60" s="36">
        <v>88284</v>
      </c>
      <c r="AG60" s="36">
        <v>44142</v>
      </c>
      <c r="AH60" s="36">
        <v>0</v>
      </c>
      <c r="AI60" s="36">
        <v>0</v>
      </c>
      <c r="AJ60" s="36">
        <v>0</v>
      </c>
      <c r="AK60" s="36">
        <v>0</v>
      </c>
      <c r="AL60" s="36">
        <v>0</v>
      </c>
      <c r="AM60" s="36">
        <v>0</v>
      </c>
      <c r="AN60" s="36">
        <v>0</v>
      </c>
      <c r="AO60" s="36">
        <v>0</v>
      </c>
      <c r="AP60" s="36">
        <v>0</v>
      </c>
      <c r="AQ60" s="36">
        <v>0</v>
      </c>
      <c r="AR60" s="36">
        <v>0</v>
      </c>
      <c r="AS60" s="36">
        <v>0</v>
      </c>
      <c r="AT60" s="36">
        <v>0</v>
      </c>
      <c r="AU60" s="36">
        <v>0</v>
      </c>
      <c r="AV60" s="36">
        <v>0</v>
      </c>
      <c r="AW60" s="36">
        <v>0</v>
      </c>
      <c r="AX60" s="36"/>
      <c r="AY60" s="36"/>
      <c r="AZ60" s="37">
        <f t="shared" si="4"/>
        <v>1015266</v>
      </c>
      <c r="BA60" s="38">
        <f t="shared" si="1"/>
        <v>0</v>
      </c>
      <c r="BB60" s="39">
        <f t="shared" si="5"/>
        <v>397278</v>
      </c>
      <c r="BC60" s="40">
        <f t="shared" si="6"/>
        <v>1015266</v>
      </c>
      <c r="BE60" s="24" t="b">
        <f t="shared" si="2"/>
        <v>1</v>
      </c>
      <c r="BF60" s="41"/>
    </row>
    <row r="61" spans="1:58" outlineLevel="1" x14ac:dyDescent="0.3">
      <c r="B61" s="42" t="s">
        <v>23</v>
      </c>
      <c r="C61" s="43"/>
      <c r="D61" s="44"/>
      <c r="E61" s="45"/>
      <c r="F61" s="46"/>
      <c r="G61" s="46"/>
      <c r="H61" s="46"/>
      <c r="I61" s="46"/>
      <c r="J61" s="47"/>
      <c r="K61" s="47"/>
      <c r="L61" s="47" t="s">
        <v>201</v>
      </c>
      <c r="M61" s="47"/>
      <c r="N61" s="48">
        <f t="shared" si="7"/>
        <v>5</v>
      </c>
      <c r="O61" s="57">
        <v>5</v>
      </c>
      <c r="P61" s="48">
        <f>$P$4</f>
        <v>0</v>
      </c>
      <c r="Q61" s="48" t="s">
        <v>33</v>
      </c>
      <c r="R61" s="49">
        <f>38231.72</f>
        <v>38231.72</v>
      </c>
      <c r="S61" s="49">
        <v>10895.41</v>
      </c>
      <c r="T61" s="50">
        <f t="shared" si="3"/>
        <v>49127.130000000005</v>
      </c>
      <c r="U61" s="58">
        <f t="shared" si="0"/>
        <v>0.5</v>
      </c>
      <c r="V61" s="52">
        <f>38231.72+10895.41+0.5</f>
        <v>49127.630000000005</v>
      </c>
      <c r="W61" s="52">
        <f>SUM(W60:$AW60)*$N61/100</f>
        <v>46349.1</v>
      </c>
      <c r="X61" s="52">
        <f>SUM(X60:$AW60)*$N61/100</f>
        <v>41934.9</v>
      </c>
      <c r="Y61" s="52">
        <f>SUM(Y60:$AW60)*$N61/100</f>
        <v>37520.699999999997</v>
      </c>
      <c r="Z61" s="52">
        <f>SUM(Z60:$AW60)*$N61/100</f>
        <v>33106.5</v>
      </c>
      <c r="AA61" s="52">
        <f>SUM(AA60:$AW60)*$N61/100</f>
        <v>28692.3</v>
      </c>
      <c r="AB61" s="52">
        <f>SUM(AB60:$AW60)*$N61/100</f>
        <v>24278.1</v>
      </c>
      <c r="AC61" s="52">
        <f>SUM(AC60:$AW60)*$N61/100</f>
        <v>19863.900000000001</v>
      </c>
      <c r="AD61" s="52">
        <f>SUM(AD60:$AW60)*$N61/100</f>
        <v>15449.7</v>
      </c>
      <c r="AE61" s="52">
        <f>SUM(AE60:$AW60)*$N61/100</f>
        <v>11035.5</v>
      </c>
      <c r="AF61" s="52">
        <f>SUM(AF60:$AW60)*$N61/100</f>
        <v>6621.3</v>
      </c>
      <c r="AG61" s="52">
        <f>SUM(AG60:$AW60)*$N61/100</f>
        <v>2207.1</v>
      </c>
      <c r="AH61" s="52">
        <v>0</v>
      </c>
      <c r="AI61" s="52">
        <v>0</v>
      </c>
      <c r="AJ61" s="52">
        <v>0</v>
      </c>
      <c r="AK61" s="52">
        <v>0</v>
      </c>
      <c r="AL61" s="52">
        <v>0</v>
      </c>
      <c r="AM61" s="52">
        <v>0</v>
      </c>
      <c r="AN61" s="52">
        <v>0</v>
      </c>
      <c r="AO61" s="52">
        <v>0</v>
      </c>
      <c r="AP61" s="52">
        <v>0</v>
      </c>
      <c r="AQ61" s="52">
        <v>0</v>
      </c>
      <c r="AR61" s="52">
        <v>0</v>
      </c>
      <c r="AS61" s="52">
        <v>0</v>
      </c>
      <c r="AT61" s="52">
        <v>0</v>
      </c>
      <c r="AU61" s="52">
        <v>0</v>
      </c>
      <c r="AV61" s="52">
        <v>0</v>
      </c>
      <c r="AW61" s="52">
        <v>0</v>
      </c>
      <c r="AX61" s="52"/>
      <c r="AY61" s="52"/>
      <c r="AZ61" s="53">
        <f t="shared" si="4"/>
        <v>316186.73</v>
      </c>
      <c r="BA61" s="38">
        <f t="shared" si="1"/>
        <v>0</v>
      </c>
      <c r="BB61" s="54">
        <f t="shared" si="5"/>
        <v>55177.500000000007</v>
      </c>
      <c r="BC61" s="55">
        <f t="shared" si="6"/>
        <v>316186.73000000004</v>
      </c>
      <c r="BE61" s="24" t="b">
        <f t="shared" si="2"/>
        <v>1</v>
      </c>
    </row>
    <row r="62" spans="1:58" s="24" customFormat="1" outlineLevel="1" x14ac:dyDescent="0.3">
      <c r="A62" s="24" t="s">
        <v>40</v>
      </c>
      <c r="B62" s="25" t="s">
        <v>74</v>
      </c>
      <c r="C62" s="26">
        <v>29</v>
      </c>
      <c r="D62" s="27" t="s">
        <v>202</v>
      </c>
      <c r="E62" s="28" t="s">
        <v>203</v>
      </c>
      <c r="F62" s="29" t="s">
        <v>204</v>
      </c>
      <c r="G62" s="29" t="s">
        <v>205</v>
      </c>
      <c r="H62" s="29" t="s">
        <v>206</v>
      </c>
      <c r="I62" s="29" t="s">
        <v>29</v>
      </c>
      <c r="J62" s="30">
        <v>824810</v>
      </c>
      <c r="K62" s="31">
        <v>809979</v>
      </c>
      <c r="L62" s="31"/>
      <c r="M62" s="31"/>
      <c r="N62" s="32"/>
      <c r="O62" s="32">
        <v>3.4710000000000001</v>
      </c>
      <c r="P62" s="32"/>
      <c r="Q62" s="32" t="s">
        <v>30</v>
      </c>
      <c r="R62" s="33">
        <v>7431</v>
      </c>
      <c r="S62" s="33">
        <v>22293</v>
      </c>
      <c r="T62" s="34">
        <f t="shared" si="3"/>
        <v>29724</v>
      </c>
      <c r="U62" s="35">
        <f t="shared" si="0"/>
        <v>0</v>
      </c>
      <c r="V62" s="36">
        <v>29724</v>
      </c>
      <c r="W62" s="36">
        <v>29724</v>
      </c>
      <c r="X62" s="36">
        <v>29724</v>
      </c>
      <c r="Y62" s="36">
        <v>29724</v>
      </c>
      <c r="Z62" s="36">
        <v>29724</v>
      </c>
      <c r="AA62" s="36">
        <v>29724</v>
      </c>
      <c r="AB62" s="36">
        <v>29724</v>
      </c>
      <c r="AC62" s="36">
        <v>29724</v>
      </c>
      <c r="AD62" s="36">
        <v>29724</v>
      </c>
      <c r="AE62" s="36">
        <v>29724</v>
      </c>
      <c r="AF62" s="36">
        <v>29724</v>
      </c>
      <c r="AG62" s="36">
        <v>29724</v>
      </c>
      <c r="AH62" s="36">
        <v>29724</v>
      </c>
      <c r="AI62" s="36">
        <v>29724</v>
      </c>
      <c r="AJ62" s="36">
        <v>29724</v>
      </c>
      <c r="AK62" s="36">
        <v>29724</v>
      </c>
      <c r="AL62" s="36">
        <v>29724</v>
      </c>
      <c r="AM62" s="36">
        <v>29724</v>
      </c>
      <c r="AN62" s="36">
        <v>29724</v>
      </c>
      <c r="AO62" s="36">
        <v>29724</v>
      </c>
      <c r="AP62" s="36">
        <v>29724</v>
      </c>
      <c r="AQ62" s="36">
        <v>29724</v>
      </c>
      <c r="AR62" s="36">
        <v>29724</v>
      </c>
      <c r="AS62" s="36">
        <v>29724</v>
      </c>
      <c r="AT62" s="36">
        <v>29724</v>
      </c>
      <c r="AU62" s="36">
        <v>29724</v>
      </c>
      <c r="AV62" s="36">
        <v>22293</v>
      </c>
      <c r="AW62" s="36">
        <v>0</v>
      </c>
      <c r="AX62" s="36"/>
      <c r="AY62" s="36"/>
      <c r="AZ62" s="37">
        <f t="shared" si="4"/>
        <v>795117</v>
      </c>
      <c r="BA62" s="38">
        <f t="shared" si="1"/>
        <v>0</v>
      </c>
      <c r="BB62" s="39">
        <f t="shared" si="5"/>
        <v>587049</v>
      </c>
      <c r="BC62" s="40">
        <f t="shared" si="6"/>
        <v>795117</v>
      </c>
      <c r="BE62" s="24" t="b">
        <f t="shared" si="2"/>
        <v>1</v>
      </c>
      <c r="BF62" s="41"/>
    </row>
    <row r="63" spans="1:58" outlineLevel="1" x14ac:dyDescent="0.3">
      <c r="A63" s="24" t="s">
        <v>40</v>
      </c>
      <c r="B63" s="42" t="s">
        <v>74</v>
      </c>
      <c r="C63" s="43"/>
      <c r="D63" s="44" t="s">
        <v>207</v>
      </c>
      <c r="E63" s="45"/>
      <c r="F63" s="46"/>
      <c r="G63" s="46"/>
      <c r="H63" s="46"/>
      <c r="I63" s="46"/>
      <c r="J63" s="47"/>
      <c r="K63" s="47"/>
      <c r="L63" s="47" t="s">
        <v>208</v>
      </c>
      <c r="M63" s="47"/>
      <c r="N63" s="48">
        <f t="shared" si="7"/>
        <v>5.0999999999999996</v>
      </c>
      <c r="O63" s="57">
        <v>5.0999999999999996</v>
      </c>
      <c r="P63" s="48">
        <f>$P$4</f>
        <v>0</v>
      </c>
      <c r="Q63" s="48" t="s">
        <v>33</v>
      </c>
      <c r="R63" s="49">
        <f>31087.93</f>
        <v>31087.93</v>
      </c>
      <c r="S63" s="49">
        <v>10243.39</v>
      </c>
      <c r="T63" s="50">
        <f t="shared" si="3"/>
        <v>41331.32</v>
      </c>
      <c r="U63" s="58">
        <f t="shared" si="0"/>
        <v>0.5</v>
      </c>
      <c r="V63" s="52">
        <f>31087.93+10243.39+0.5</f>
        <v>41331.82</v>
      </c>
      <c r="W63" s="52">
        <f>SUM(W62:$AW62)*$N63/100</f>
        <v>39035.042999999998</v>
      </c>
      <c r="X63" s="52">
        <f>SUM(X62:$AW62)*$N63/100</f>
        <v>37519.118999999999</v>
      </c>
      <c r="Y63" s="52">
        <f>SUM(Y62:$AW62)*$N63/100</f>
        <v>36003.194999999992</v>
      </c>
      <c r="Z63" s="52">
        <f>SUM(Z62:$AW62)*$N63/100</f>
        <v>34487.270999999993</v>
      </c>
      <c r="AA63" s="52">
        <f>SUM(AA62:$AW62)*$N63/100</f>
        <v>32971.346999999994</v>
      </c>
      <c r="AB63" s="52">
        <f>SUM(AB62:$AW62)*$N63/100</f>
        <v>31455.422999999999</v>
      </c>
      <c r="AC63" s="52">
        <f>SUM(AC62:$AW62)*$N63/100</f>
        <v>29939.499</v>
      </c>
      <c r="AD63" s="52">
        <f>SUM(AD62:$AW62)*$N63/100</f>
        <v>28423.575000000001</v>
      </c>
      <c r="AE63" s="52">
        <f>SUM(AE62:$AW62)*$N63/100</f>
        <v>26907.650999999998</v>
      </c>
      <c r="AF63" s="52">
        <f>SUM(AF62:$AW62)*$N63/100</f>
        <v>25391.726999999999</v>
      </c>
      <c r="AG63" s="52">
        <f>SUM(AG62:$AW62)*$N63/100</f>
        <v>23875.803</v>
      </c>
      <c r="AH63" s="52">
        <f>SUM(AH62:$AW62)*$N63/100</f>
        <v>22359.879000000001</v>
      </c>
      <c r="AI63" s="52">
        <f>SUM(AI62:$AW62)*$N63/100</f>
        <v>20843.954999999998</v>
      </c>
      <c r="AJ63" s="52">
        <f>SUM(AJ62:$AW62)*$N63/100</f>
        <v>19328.030999999999</v>
      </c>
      <c r="AK63" s="52">
        <f>SUM(AK62:$AW62)*$N63/100</f>
        <v>17812.107</v>
      </c>
      <c r="AL63" s="52">
        <f>SUM(AL62:$AW62)*$N63/100</f>
        <v>16296.182999999997</v>
      </c>
      <c r="AM63" s="52">
        <f>SUM(AM62:$AW62)*$N63/100</f>
        <v>14780.258999999998</v>
      </c>
      <c r="AN63" s="52">
        <f>SUM(AN62:$AW62)*$N63/100</f>
        <v>13264.334999999999</v>
      </c>
      <c r="AO63" s="52">
        <f>SUM(AO62:$AW62)*$N63/100</f>
        <v>11748.410999999998</v>
      </c>
      <c r="AP63" s="52">
        <f>SUM(AP62:$AW62)*$N63/100</f>
        <v>10232.486999999999</v>
      </c>
      <c r="AQ63" s="52">
        <f>SUM(AQ62:$AW62)*$N63/100</f>
        <v>8716.5630000000001</v>
      </c>
      <c r="AR63" s="52">
        <f>SUM(AR62:$AW62)*$N63/100</f>
        <v>7200.6389999999992</v>
      </c>
      <c r="AS63" s="52">
        <f>SUM(AS62:$AW62)*$N63/100</f>
        <v>5684.7150000000001</v>
      </c>
      <c r="AT63" s="52">
        <f>SUM(AT62:$AW62)*$N63/100</f>
        <v>4168.7910000000002</v>
      </c>
      <c r="AU63" s="52">
        <f>SUM(AU62:$AW62)*$N63/100</f>
        <v>2652.8669999999997</v>
      </c>
      <c r="AV63" s="52">
        <f>SUM(AV62:$AW62)*$N63/100</f>
        <v>1136.943</v>
      </c>
      <c r="AW63" s="52">
        <v>0</v>
      </c>
      <c r="AX63" s="52"/>
      <c r="AY63" s="52"/>
      <c r="AZ63" s="53">
        <f t="shared" si="4"/>
        <v>563567.63800000004</v>
      </c>
      <c r="BA63" s="38">
        <f t="shared" si="1"/>
        <v>0</v>
      </c>
      <c r="BB63" s="54">
        <f t="shared" si="5"/>
        <v>310764.42000000016</v>
      </c>
      <c r="BC63" s="55">
        <f t="shared" si="6"/>
        <v>563567.63800000015</v>
      </c>
      <c r="BE63" s="24" t="b">
        <f t="shared" si="2"/>
        <v>1</v>
      </c>
    </row>
    <row r="64" spans="1:58" s="24" customFormat="1" outlineLevel="1" x14ac:dyDescent="0.3">
      <c r="B64" s="25" t="s">
        <v>74</v>
      </c>
      <c r="C64" s="26">
        <v>30</v>
      </c>
      <c r="D64" s="27" t="s">
        <v>209</v>
      </c>
      <c r="E64" s="28" t="s">
        <v>210</v>
      </c>
      <c r="F64" s="29" t="s">
        <v>211</v>
      </c>
      <c r="G64" s="29" t="s">
        <v>205</v>
      </c>
      <c r="H64" s="29" t="s">
        <v>212</v>
      </c>
      <c r="I64" s="29" t="s">
        <v>29</v>
      </c>
      <c r="J64" s="30">
        <v>347420.04</v>
      </c>
      <c r="K64" s="31">
        <v>319308.03999999998</v>
      </c>
      <c r="L64" s="31"/>
      <c r="M64" s="31"/>
      <c r="N64" s="32"/>
      <c r="O64" s="32">
        <v>3.2429999999999999</v>
      </c>
      <c r="P64" s="32"/>
      <c r="Q64" s="32" t="s">
        <v>30</v>
      </c>
      <c r="R64" s="33">
        <v>4697</v>
      </c>
      <c r="S64" s="33">
        <v>14091</v>
      </c>
      <c r="T64" s="34">
        <f t="shared" si="3"/>
        <v>18788</v>
      </c>
      <c r="U64" s="35">
        <f t="shared" si="0"/>
        <v>0</v>
      </c>
      <c r="V64" s="36">
        <v>18788</v>
      </c>
      <c r="W64" s="36">
        <v>18788</v>
      </c>
      <c r="X64" s="36">
        <v>18788</v>
      </c>
      <c r="Y64" s="36">
        <v>18788</v>
      </c>
      <c r="Z64" s="36">
        <v>18788</v>
      </c>
      <c r="AA64" s="36">
        <v>18788</v>
      </c>
      <c r="AB64" s="36">
        <v>18788</v>
      </c>
      <c r="AC64" s="36">
        <v>18788</v>
      </c>
      <c r="AD64" s="36">
        <v>18788</v>
      </c>
      <c r="AE64" s="36">
        <v>18788</v>
      </c>
      <c r="AF64" s="36">
        <v>18788</v>
      </c>
      <c r="AG64" s="36">
        <v>18788</v>
      </c>
      <c r="AH64" s="36">
        <v>18788</v>
      </c>
      <c r="AI64" s="36">
        <v>18788</v>
      </c>
      <c r="AJ64" s="36">
        <v>18788</v>
      </c>
      <c r="AK64" s="36">
        <v>18788</v>
      </c>
      <c r="AL64" s="36">
        <v>9306.0400000000009</v>
      </c>
      <c r="AM64" s="36">
        <v>0</v>
      </c>
      <c r="AN64" s="36">
        <v>0</v>
      </c>
      <c r="AO64" s="36">
        <v>0</v>
      </c>
      <c r="AP64" s="36">
        <v>0</v>
      </c>
      <c r="AQ64" s="36">
        <v>0</v>
      </c>
      <c r="AR64" s="36">
        <v>0</v>
      </c>
      <c r="AS64" s="36">
        <v>0</v>
      </c>
      <c r="AT64" s="36">
        <v>0</v>
      </c>
      <c r="AU64" s="36">
        <v>0</v>
      </c>
      <c r="AV64" s="36">
        <v>0</v>
      </c>
      <c r="AW64" s="36">
        <v>0</v>
      </c>
      <c r="AX64" s="36"/>
      <c r="AY64" s="36"/>
      <c r="AZ64" s="37">
        <f t="shared" si="4"/>
        <v>309914.03999999998</v>
      </c>
      <c r="BA64" s="38">
        <f t="shared" si="1"/>
        <v>0</v>
      </c>
      <c r="BB64" s="39">
        <f t="shared" si="5"/>
        <v>178398.04</v>
      </c>
      <c r="BC64" s="40">
        <f t="shared" si="6"/>
        <v>309914.04000000004</v>
      </c>
      <c r="BE64" s="24" t="b">
        <f t="shared" si="2"/>
        <v>1</v>
      </c>
      <c r="BF64" s="41"/>
    </row>
    <row r="65" spans="2:58" outlineLevel="1" x14ac:dyDescent="0.3">
      <c r="B65" s="42" t="s">
        <v>74</v>
      </c>
      <c r="C65" s="43"/>
      <c r="D65" s="44" t="s">
        <v>213</v>
      </c>
      <c r="E65" s="45"/>
      <c r="F65" s="46"/>
      <c r="G65" s="46"/>
      <c r="H65" s="46"/>
      <c r="I65" s="46"/>
      <c r="J65" s="47"/>
      <c r="K65" s="47"/>
      <c r="L65" s="47" t="s">
        <v>208</v>
      </c>
      <c r="M65" s="47"/>
      <c r="N65" s="48">
        <f t="shared" si="7"/>
        <v>5</v>
      </c>
      <c r="O65" s="57">
        <v>5</v>
      </c>
      <c r="P65" s="48">
        <f>$P$4</f>
        <v>0</v>
      </c>
      <c r="Q65" s="48" t="s">
        <v>33</v>
      </c>
      <c r="R65" s="49">
        <f>11571.65</f>
        <v>11571.65</v>
      </c>
      <c r="S65" s="49">
        <v>3767.65</v>
      </c>
      <c r="T65" s="50">
        <f t="shared" si="3"/>
        <v>15339.3</v>
      </c>
      <c r="U65" s="51">
        <f t="shared" si="0"/>
        <v>0.5</v>
      </c>
      <c r="V65" s="52">
        <f>11571.65+3767.65+0.5</f>
        <v>15339.8</v>
      </c>
      <c r="W65" s="52">
        <f>SUM(W64:$AW64)*$N65/100</f>
        <v>14556.302</v>
      </c>
      <c r="X65" s="52">
        <f>SUM(X64:$AW64)*$N65/100</f>
        <v>13616.902</v>
      </c>
      <c r="Y65" s="52">
        <f>SUM(Y64:$AW64)*$N65/100</f>
        <v>12677.502</v>
      </c>
      <c r="Z65" s="52">
        <f>SUM(Z64:$AW64)*$N65/100</f>
        <v>11738.101999999999</v>
      </c>
      <c r="AA65" s="52">
        <f>SUM(AA64:$AW64)*$N65/100</f>
        <v>10798.701999999999</v>
      </c>
      <c r="AB65" s="52">
        <f>SUM(AB64:$AW64)*$N65/100</f>
        <v>9859.3020000000015</v>
      </c>
      <c r="AC65" s="52">
        <f>SUM(AC64:$AW64)*$N65/100</f>
        <v>8919.902</v>
      </c>
      <c r="AD65" s="52">
        <f>SUM(AD64:$AW64)*$N65/100</f>
        <v>7980.5020000000004</v>
      </c>
      <c r="AE65" s="52">
        <f>SUM(AE64:$AW64)*$N65/100</f>
        <v>7041.1020000000008</v>
      </c>
      <c r="AF65" s="52">
        <f>SUM(AF64:$AW64)*$N65/100</f>
        <v>6101.7020000000011</v>
      </c>
      <c r="AG65" s="52">
        <f>SUM(AG64:$AW64)*$N65/100</f>
        <v>5162.3020000000006</v>
      </c>
      <c r="AH65" s="52">
        <f>SUM(AH64:$AW64)*$N65/100</f>
        <v>4222.902000000001</v>
      </c>
      <c r="AI65" s="52">
        <f>SUM(AI64:$AW64)*$N65/100</f>
        <v>3283.5020000000009</v>
      </c>
      <c r="AJ65" s="52">
        <f>SUM(AJ64:$AW64)*$N65/100</f>
        <v>2344.1020000000003</v>
      </c>
      <c r="AK65" s="52">
        <f>SUM(AK64:$AW64)*$N65/100</f>
        <v>1404.7020000000002</v>
      </c>
      <c r="AL65" s="52">
        <f>SUM(AL64:$AW64)*$N65/100</f>
        <v>465.30200000000002</v>
      </c>
      <c r="AM65" s="52">
        <v>0</v>
      </c>
      <c r="AN65" s="52">
        <v>0</v>
      </c>
      <c r="AO65" s="52">
        <v>0</v>
      </c>
      <c r="AP65" s="52">
        <v>0</v>
      </c>
      <c r="AQ65" s="52">
        <v>0</v>
      </c>
      <c r="AR65" s="52">
        <v>0</v>
      </c>
      <c r="AS65" s="52">
        <v>0</v>
      </c>
      <c r="AT65" s="52">
        <v>0</v>
      </c>
      <c r="AU65" s="52">
        <v>0</v>
      </c>
      <c r="AV65" s="52">
        <v>0</v>
      </c>
      <c r="AW65" s="52">
        <v>0</v>
      </c>
      <c r="AX65" s="52"/>
      <c r="AY65" s="52"/>
      <c r="AZ65" s="53">
        <f t="shared" si="4"/>
        <v>135512.63200000001</v>
      </c>
      <c r="BA65" s="38">
        <f t="shared" si="1"/>
        <v>0</v>
      </c>
      <c r="BB65" s="54">
        <f t="shared" si="5"/>
        <v>46926.020000000004</v>
      </c>
      <c r="BC65" s="55">
        <f t="shared" si="6"/>
        <v>135512.63200000001</v>
      </c>
      <c r="BE65" s="24" t="b">
        <f t="shared" si="2"/>
        <v>1</v>
      </c>
    </row>
    <row r="66" spans="2:58" s="24" customFormat="1" outlineLevel="1" x14ac:dyDescent="0.3">
      <c r="B66" s="25" t="s">
        <v>23</v>
      </c>
      <c r="C66" s="26">
        <v>31</v>
      </c>
      <c r="D66" s="27" t="s">
        <v>214</v>
      </c>
      <c r="E66" s="28" t="s">
        <v>215</v>
      </c>
      <c r="F66" s="29" t="s">
        <v>216</v>
      </c>
      <c r="G66" s="29" t="s">
        <v>217</v>
      </c>
      <c r="H66" s="29" t="s">
        <v>218</v>
      </c>
      <c r="I66" s="29" t="s">
        <v>29</v>
      </c>
      <c r="J66" s="30">
        <v>53218</v>
      </c>
      <c r="K66" s="31">
        <v>25209</v>
      </c>
      <c r="L66" s="31"/>
      <c r="M66" s="31"/>
      <c r="N66" s="32"/>
      <c r="O66" s="32"/>
      <c r="P66" s="32"/>
      <c r="Q66" s="32" t="s">
        <v>30</v>
      </c>
      <c r="R66" s="33">
        <v>2801</v>
      </c>
      <c r="S66" s="33">
        <v>8403</v>
      </c>
      <c r="T66" s="34">
        <f t="shared" si="3"/>
        <v>11204</v>
      </c>
      <c r="U66" s="35">
        <f t="shared" si="0"/>
        <v>0</v>
      </c>
      <c r="V66" s="36">
        <v>11204</v>
      </c>
      <c r="W66" s="36">
        <v>8403</v>
      </c>
      <c r="X66" s="36">
        <v>0</v>
      </c>
      <c r="Y66" s="36">
        <v>0</v>
      </c>
      <c r="Z66" s="36">
        <v>0</v>
      </c>
      <c r="AA66" s="36">
        <v>0</v>
      </c>
      <c r="AB66" s="36">
        <v>0</v>
      </c>
      <c r="AC66" s="36">
        <v>0</v>
      </c>
      <c r="AD66" s="36">
        <v>0</v>
      </c>
      <c r="AE66" s="36">
        <v>0</v>
      </c>
      <c r="AF66" s="36">
        <v>0</v>
      </c>
      <c r="AG66" s="36">
        <v>0</v>
      </c>
      <c r="AH66" s="36">
        <v>0</v>
      </c>
      <c r="AI66" s="36">
        <v>0</v>
      </c>
      <c r="AJ66" s="36">
        <v>0</v>
      </c>
      <c r="AK66" s="36">
        <v>0</v>
      </c>
      <c r="AL66" s="36">
        <v>0</v>
      </c>
      <c r="AM66" s="36">
        <v>0</v>
      </c>
      <c r="AN66" s="36">
        <v>0</v>
      </c>
      <c r="AO66" s="36">
        <v>0</v>
      </c>
      <c r="AP66" s="36">
        <v>0</v>
      </c>
      <c r="AQ66" s="36">
        <v>0</v>
      </c>
      <c r="AR66" s="36">
        <v>0</v>
      </c>
      <c r="AS66" s="36">
        <v>0</v>
      </c>
      <c r="AT66" s="36">
        <v>0</v>
      </c>
      <c r="AU66" s="36">
        <v>0</v>
      </c>
      <c r="AV66" s="36">
        <v>0</v>
      </c>
      <c r="AW66" s="36">
        <v>0</v>
      </c>
      <c r="AX66" s="36"/>
      <c r="AY66" s="36"/>
      <c r="AZ66" s="37">
        <f t="shared" si="4"/>
        <v>19607</v>
      </c>
      <c r="BA66" s="38">
        <f t="shared" si="1"/>
        <v>0</v>
      </c>
      <c r="BB66" s="39">
        <f t="shared" si="5"/>
        <v>0</v>
      </c>
      <c r="BC66" s="40">
        <f t="shared" si="6"/>
        <v>19607</v>
      </c>
      <c r="BE66" s="24" t="b">
        <f t="shared" si="2"/>
        <v>1</v>
      </c>
      <c r="BF66" s="41"/>
    </row>
    <row r="67" spans="2:58" outlineLevel="1" x14ac:dyDescent="0.3">
      <c r="B67" s="42" t="s">
        <v>23</v>
      </c>
      <c r="C67" s="43"/>
      <c r="D67" s="44"/>
      <c r="E67" s="45"/>
      <c r="F67" s="46"/>
      <c r="G67" s="46"/>
      <c r="H67" s="46"/>
      <c r="I67" s="46"/>
      <c r="J67" s="47"/>
      <c r="K67" s="47"/>
      <c r="L67" s="47">
        <v>0</v>
      </c>
      <c r="M67" s="47" t="s">
        <v>219</v>
      </c>
      <c r="N67" s="48">
        <f t="shared" si="7"/>
        <v>0.25</v>
      </c>
      <c r="O67" s="48">
        <v>0.25</v>
      </c>
      <c r="P67" s="48">
        <f>$P$4</f>
        <v>0</v>
      </c>
      <c r="Q67" s="48" t="s">
        <v>33</v>
      </c>
      <c r="R67" s="49">
        <v>26.240000000000002</v>
      </c>
      <c r="S67" s="49">
        <v>19.149999999999999</v>
      </c>
      <c r="T67" s="50">
        <f t="shared" si="3"/>
        <v>45.39</v>
      </c>
      <c r="U67" s="51">
        <f t="shared" si="0"/>
        <v>0.5</v>
      </c>
      <c r="V67" s="52">
        <f>36.65+8.74+0.5</f>
        <v>45.89</v>
      </c>
      <c r="W67" s="52">
        <f>SUM(W66:$AW66)*$N67/100</f>
        <v>21.0075</v>
      </c>
      <c r="X67" s="52">
        <v>0</v>
      </c>
      <c r="Y67" s="52">
        <v>0</v>
      </c>
      <c r="Z67" s="52">
        <v>0</v>
      </c>
      <c r="AA67" s="52">
        <v>0</v>
      </c>
      <c r="AB67" s="52">
        <v>0</v>
      </c>
      <c r="AC67" s="52">
        <v>0</v>
      </c>
      <c r="AD67" s="52">
        <v>0</v>
      </c>
      <c r="AE67" s="52">
        <v>0</v>
      </c>
      <c r="AF67" s="52">
        <v>0</v>
      </c>
      <c r="AG67" s="52">
        <v>0</v>
      </c>
      <c r="AH67" s="52">
        <v>0</v>
      </c>
      <c r="AI67" s="52">
        <v>0</v>
      </c>
      <c r="AJ67" s="52">
        <v>0</v>
      </c>
      <c r="AK67" s="52">
        <v>0</v>
      </c>
      <c r="AL67" s="52">
        <v>0</v>
      </c>
      <c r="AM67" s="52">
        <v>0</v>
      </c>
      <c r="AN67" s="52">
        <v>0</v>
      </c>
      <c r="AO67" s="52">
        <v>0</v>
      </c>
      <c r="AP67" s="52">
        <v>0</v>
      </c>
      <c r="AQ67" s="52">
        <v>0</v>
      </c>
      <c r="AR67" s="52">
        <v>0</v>
      </c>
      <c r="AS67" s="52">
        <v>0</v>
      </c>
      <c r="AT67" s="52">
        <v>0</v>
      </c>
      <c r="AU67" s="52">
        <v>0</v>
      </c>
      <c r="AV67" s="52">
        <v>0</v>
      </c>
      <c r="AW67" s="52">
        <v>0</v>
      </c>
      <c r="AX67" s="52"/>
      <c r="AY67" s="52"/>
      <c r="AZ67" s="53">
        <f t="shared" si="4"/>
        <v>66.897500000000008</v>
      </c>
      <c r="BA67" s="38">
        <f t="shared" si="1"/>
        <v>0</v>
      </c>
      <c r="BB67" s="54">
        <f t="shared" si="5"/>
        <v>0</v>
      </c>
      <c r="BC67" s="55">
        <f t="shared" si="6"/>
        <v>66.897500000000008</v>
      </c>
      <c r="BE67" s="24" t="b">
        <f t="shared" si="2"/>
        <v>1</v>
      </c>
    </row>
    <row r="68" spans="2:58" s="24" customFormat="1" outlineLevel="1" x14ac:dyDescent="0.3">
      <c r="B68" s="25" t="s">
        <v>23</v>
      </c>
      <c r="C68" s="26">
        <v>32</v>
      </c>
      <c r="D68" s="27" t="s">
        <v>220</v>
      </c>
      <c r="E68" s="28" t="s">
        <v>221</v>
      </c>
      <c r="F68" s="29" t="s">
        <v>222</v>
      </c>
      <c r="G68" s="29" t="s">
        <v>217</v>
      </c>
      <c r="H68" s="29" t="s">
        <v>218</v>
      </c>
      <c r="I68" s="29" t="s">
        <v>29</v>
      </c>
      <c r="J68" s="30">
        <v>46991.33</v>
      </c>
      <c r="K68" s="31">
        <v>22264.33</v>
      </c>
      <c r="L68" s="31"/>
      <c r="M68" s="31"/>
      <c r="N68" s="32"/>
      <c r="O68" s="32"/>
      <c r="P68" s="32"/>
      <c r="Q68" s="32" t="s">
        <v>30</v>
      </c>
      <c r="R68" s="33">
        <v>2474</v>
      </c>
      <c r="S68" s="33">
        <v>7422</v>
      </c>
      <c r="T68" s="34">
        <f t="shared" si="3"/>
        <v>9896</v>
      </c>
      <c r="U68" s="35">
        <f t="shared" si="0"/>
        <v>0</v>
      </c>
      <c r="V68" s="36">
        <v>9896</v>
      </c>
      <c r="W68" s="36">
        <v>7420.33</v>
      </c>
      <c r="X68" s="36">
        <v>0</v>
      </c>
      <c r="Y68" s="36">
        <v>0</v>
      </c>
      <c r="Z68" s="36">
        <v>0</v>
      </c>
      <c r="AA68" s="36">
        <v>0</v>
      </c>
      <c r="AB68" s="36">
        <v>0</v>
      </c>
      <c r="AC68" s="36">
        <v>0</v>
      </c>
      <c r="AD68" s="36">
        <v>0</v>
      </c>
      <c r="AE68" s="36">
        <v>0</v>
      </c>
      <c r="AF68" s="36">
        <v>0</v>
      </c>
      <c r="AG68" s="36">
        <v>0</v>
      </c>
      <c r="AH68" s="36">
        <v>0</v>
      </c>
      <c r="AI68" s="36">
        <v>0</v>
      </c>
      <c r="AJ68" s="36">
        <v>0</v>
      </c>
      <c r="AK68" s="36">
        <v>0</v>
      </c>
      <c r="AL68" s="36">
        <v>0</v>
      </c>
      <c r="AM68" s="36">
        <v>0</v>
      </c>
      <c r="AN68" s="36">
        <v>0</v>
      </c>
      <c r="AO68" s="36">
        <v>0</v>
      </c>
      <c r="AP68" s="36">
        <v>0</v>
      </c>
      <c r="AQ68" s="36">
        <v>0</v>
      </c>
      <c r="AR68" s="36">
        <v>0</v>
      </c>
      <c r="AS68" s="36">
        <v>0</v>
      </c>
      <c r="AT68" s="36">
        <v>0</v>
      </c>
      <c r="AU68" s="36">
        <v>0</v>
      </c>
      <c r="AV68" s="36">
        <v>0</v>
      </c>
      <c r="AW68" s="36">
        <v>0</v>
      </c>
      <c r="AX68" s="36"/>
      <c r="AY68" s="36"/>
      <c r="AZ68" s="37">
        <f t="shared" si="4"/>
        <v>17316.330000000002</v>
      </c>
      <c r="BA68" s="38">
        <f t="shared" si="1"/>
        <v>0</v>
      </c>
      <c r="BB68" s="39">
        <f t="shared" si="5"/>
        <v>0</v>
      </c>
      <c r="BC68" s="40">
        <f t="shared" si="6"/>
        <v>17316.330000000002</v>
      </c>
      <c r="BE68" s="24" t="b">
        <f t="shared" si="2"/>
        <v>1</v>
      </c>
      <c r="BF68" s="41"/>
    </row>
    <row r="69" spans="2:58" outlineLevel="1" x14ac:dyDescent="0.3">
      <c r="B69" s="42" t="s">
        <v>23</v>
      </c>
      <c r="C69" s="43"/>
      <c r="D69" s="44"/>
      <c r="E69" s="45"/>
      <c r="F69" s="46"/>
      <c r="G69" s="46"/>
      <c r="H69" s="46"/>
      <c r="I69" s="46"/>
      <c r="J69" s="47"/>
      <c r="K69" s="47"/>
      <c r="L69" s="47">
        <v>0</v>
      </c>
      <c r="M69" s="47" t="s">
        <v>219</v>
      </c>
      <c r="N69" s="48">
        <f t="shared" si="7"/>
        <v>0.25</v>
      </c>
      <c r="O69" s="48">
        <v>0.25</v>
      </c>
      <c r="P69" s="48">
        <f>$P$4</f>
        <v>0</v>
      </c>
      <c r="Q69" s="48" t="s">
        <v>33</v>
      </c>
      <c r="R69" s="49">
        <v>23.17</v>
      </c>
      <c r="S69" s="49">
        <v>16.91</v>
      </c>
      <c r="T69" s="50">
        <f t="shared" si="3"/>
        <v>40.08</v>
      </c>
      <c r="U69" s="51">
        <f t="shared" si="0"/>
        <v>0</v>
      </c>
      <c r="V69" s="52">
        <f>32.36+7.72</f>
        <v>40.08</v>
      </c>
      <c r="W69" s="52">
        <f>SUM(W68:$AW68)*$N69/100</f>
        <v>18.550825</v>
      </c>
      <c r="X69" s="52">
        <v>0</v>
      </c>
      <c r="Y69" s="52">
        <v>0</v>
      </c>
      <c r="Z69" s="52">
        <v>0</v>
      </c>
      <c r="AA69" s="52">
        <v>0</v>
      </c>
      <c r="AB69" s="52">
        <v>0</v>
      </c>
      <c r="AC69" s="52">
        <v>0</v>
      </c>
      <c r="AD69" s="52">
        <v>0</v>
      </c>
      <c r="AE69" s="52">
        <v>0</v>
      </c>
      <c r="AF69" s="52">
        <v>0</v>
      </c>
      <c r="AG69" s="52">
        <v>0</v>
      </c>
      <c r="AH69" s="52">
        <v>0</v>
      </c>
      <c r="AI69" s="52">
        <v>0</v>
      </c>
      <c r="AJ69" s="52">
        <v>0</v>
      </c>
      <c r="AK69" s="52">
        <v>0</v>
      </c>
      <c r="AL69" s="52">
        <v>0</v>
      </c>
      <c r="AM69" s="52">
        <v>0</v>
      </c>
      <c r="AN69" s="52">
        <v>0</v>
      </c>
      <c r="AO69" s="52">
        <v>0</v>
      </c>
      <c r="AP69" s="52">
        <v>0</v>
      </c>
      <c r="AQ69" s="52">
        <v>0</v>
      </c>
      <c r="AR69" s="52">
        <v>0</v>
      </c>
      <c r="AS69" s="52">
        <v>0</v>
      </c>
      <c r="AT69" s="52">
        <v>0</v>
      </c>
      <c r="AU69" s="52">
        <v>0</v>
      </c>
      <c r="AV69" s="52">
        <v>0</v>
      </c>
      <c r="AW69" s="52">
        <v>0</v>
      </c>
      <c r="AX69" s="52"/>
      <c r="AY69" s="52"/>
      <c r="AZ69" s="53">
        <f t="shared" si="4"/>
        <v>58.630825000000002</v>
      </c>
      <c r="BA69" s="38">
        <f t="shared" si="1"/>
        <v>0</v>
      </c>
      <c r="BB69" s="54">
        <f t="shared" si="5"/>
        <v>0</v>
      </c>
      <c r="BC69" s="55">
        <f t="shared" si="6"/>
        <v>58.630825000000002</v>
      </c>
      <c r="BE69" s="24" t="b">
        <f t="shared" si="2"/>
        <v>1</v>
      </c>
    </row>
    <row r="70" spans="2:58" s="24" customFormat="1" outlineLevel="1" x14ac:dyDescent="0.3">
      <c r="B70" s="25" t="s">
        <v>74</v>
      </c>
      <c r="C70" s="26">
        <v>33</v>
      </c>
      <c r="D70" s="27" t="s">
        <v>223</v>
      </c>
      <c r="E70" s="28" t="s">
        <v>224</v>
      </c>
      <c r="F70" s="29" t="s">
        <v>225</v>
      </c>
      <c r="G70" s="29" t="s">
        <v>226</v>
      </c>
      <c r="H70" s="29" t="s">
        <v>227</v>
      </c>
      <c r="I70" s="29" t="s">
        <v>29</v>
      </c>
      <c r="J70" s="30">
        <v>9703992</v>
      </c>
      <c r="K70" s="31">
        <v>9485777.9199999999</v>
      </c>
      <c r="L70" s="31"/>
      <c r="M70" s="31"/>
      <c r="N70" s="32"/>
      <c r="O70" s="32">
        <v>4.1559999999999997</v>
      </c>
      <c r="P70" s="32"/>
      <c r="Q70" s="32" t="s">
        <v>30</v>
      </c>
      <c r="R70" s="33">
        <v>85877</v>
      </c>
      <c r="S70" s="33">
        <v>257631</v>
      </c>
      <c r="T70" s="34">
        <f t="shared" si="3"/>
        <v>343508</v>
      </c>
      <c r="U70" s="35">
        <f t="shared" si="0"/>
        <v>0</v>
      </c>
      <c r="V70" s="36">
        <v>343508</v>
      </c>
      <c r="W70" s="36">
        <v>343508</v>
      </c>
      <c r="X70" s="36">
        <v>343508</v>
      </c>
      <c r="Y70" s="36">
        <v>343508</v>
      </c>
      <c r="Z70" s="36">
        <v>343508</v>
      </c>
      <c r="AA70" s="36">
        <v>343508</v>
      </c>
      <c r="AB70" s="36">
        <v>343508</v>
      </c>
      <c r="AC70" s="36">
        <v>343508</v>
      </c>
      <c r="AD70" s="36">
        <v>343508</v>
      </c>
      <c r="AE70" s="36">
        <v>343508</v>
      </c>
      <c r="AF70" s="36">
        <v>343508</v>
      </c>
      <c r="AG70" s="36">
        <v>343508</v>
      </c>
      <c r="AH70" s="36">
        <v>343508</v>
      </c>
      <c r="AI70" s="36">
        <v>343508</v>
      </c>
      <c r="AJ70" s="36">
        <v>343508</v>
      </c>
      <c r="AK70" s="36">
        <v>343508</v>
      </c>
      <c r="AL70" s="36">
        <v>343508</v>
      </c>
      <c r="AM70" s="36">
        <v>343508</v>
      </c>
      <c r="AN70" s="36">
        <v>343508</v>
      </c>
      <c r="AO70" s="36">
        <v>343508</v>
      </c>
      <c r="AP70" s="36">
        <v>343508</v>
      </c>
      <c r="AQ70" s="36">
        <v>343508</v>
      </c>
      <c r="AR70" s="36">
        <v>343508</v>
      </c>
      <c r="AS70" s="36">
        <v>343508</v>
      </c>
      <c r="AT70" s="36">
        <v>343508</v>
      </c>
      <c r="AU70" s="36">
        <v>343508</v>
      </c>
      <c r="AV70" s="36">
        <v>343508</v>
      </c>
      <c r="AW70" s="36">
        <v>39307.919999999998</v>
      </c>
      <c r="AX70" s="36"/>
      <c r="AY70" s="36"/>
      <c r="AZ70" s="37">
        <f t="shared" si="4"/>
        <v>9314023.9199999999</v>
      </c>
      <c r="BA70" s="38">
        <f t="shared" si="1"/>
        <v>0</v>
      </c>
      <c r="BB70" s="39">
        <f t="shared" si="5"/>
        <v>6909467.9199999999</v>
      </c>
      <c r="BC70" s="40">
        <f t="shared" si="6"/>
        <v>9314023.9199999999</v>
      </c>
      <c r="BE70" s="24" t="b">
        <f t="shared" si="2"/>
        <v>1</v>
      </c>
      <c r="BF70" s="41"/>
    </row>
    <row r="71" spans="2:58" outlineLevel="1" x14ac:dyDescent="0.3">
      <c r="B71" s="42" t="s">
        <v>74</v>
      </c>
      <c r="C71" s="43"/>
      <c r="D71" s="44"/>
      <c r="E71" s="45"/>
      <c r="F71" s="46"/>
      <c r="G71" s="46"/>
      <c r="H71" s="46"/>
      <c r="I71" s="46"/>
      <c r="J71" s="47"/>
      <c r="K71" s="47"/>
      <c r="L71" s="47" t="s">
        <v>228</v>
      </c>
      <c r="M71" s="47"/>
      <c r="N71" s="48">
        <f t="shared" si="7"/>
        <v>4.75</v>
      </c>
      <c r="O71" s="57">
        <v>4.75</v>
      </c>
      <c r="P71" s="48">
        <f>$P$4</f>
        <v>0</v>
      </c>
      <c r="Q71" s="48" t="s">
        <v>33</v>
      </c>
      <c r="R71" s="49">
        <f>306345.97</f>
        <v>306345.96999999997</v>
      </c>
      <c r="S71" s="49">
        <v>103967.84</v>
      </c>
      <c r="T71" s="50">
        <f t="shared" si="3"/>
        <v>410313.80999999994</v>
      </c>
      <c r="U71" s="61">
        <f t="shared" ref="U71:U134" si="8">V71-T71</f>
        <v>11000</v>
      </c>
      <c r="V71" s="52">
        <f>306345.97+103967.84+11000</f>
        <v>421313.80999999994</v>
      </c>
      <c r="W71" s="52">
        <f>SUM(W70:$AW70)*$N71/100</f>
        <v>426099.50619999995</v>
      </c>
      <c r="X71" s="52">
        <f>SUM(X70:$AW70)*$N71/100</f>
        <v>409782.8762</v>
      </c>
      <c r="Y71" s="52">
        <f>SUM(Y70:$AW70)*$N71/100</f>
        <v>393466.24619999999</v>
      </c>
      <c r="Z71" s="52">
        <f>SUM(Z70:$AW70)*$N71/100</f>
        <v>377149.61619999999</v>
      </c>
      <c r="AA71" s="52">
        <f>SUM(AA70:$AW70)*$N71/100</f>
        <v>360832.98619999998</v>
      </c>
      <c r="AB71" s="52">
        <f>SUM(AB70:$AW70)*$N71/100</f>
        <v>344516.35619999998</v>
      </c>
      <c r="AC71" s="52">
        <f>SUM(AC70:$AW70)*$N71/100</f>
        <v>328199.72620000003</v>
      </c>
      <c r="AD71" s="52">
        <f>SUM(AD70:$AW70)*$N71/100</f>
        <v>311883.09620000003</v>
      </c>
      <c r="AE71" s="52">
        <f>SUM(AE70:$AW70)*$N71/100</f>
        <v>295566.46620000002</v>
      </c>
      <c r="AF71" s="52">
        <f>SUM(AF70:$AW70)*$N71/100</f>
        <v>279249.83620000002</v>
      </c>
      <c r="AG71" s="52">
        <f>SUM(AG70:$AW70)*$N71/100</f>
        <v>262933.20620000002</v>
      </c>
      <c r="AH71" s="52">
        <f>SUM(AH70:$AW70)*$N71/100</f>
        <v>246616.57620000001</v>
      </c>
      <c r="AI71" s="52">
        <f>SUM(AI70:$AW70)*$N71/100</f>
        <v>230299.94620000001</v>
      </c>
      <c r="AJ71" s="52">
        <f>SUM(AJ70:$AW70)*$N71/100</f>
        <v>213983.3162</v>
      </c>
      <c r="AK71" s="52">
        <f>SUM(AK70:$AW70)*$N71/100</f>
        <v>197666.6862</v>
      </c>
      <c r="AL71" s="52">
        <f>SUM(AL70:$AW70)*$N71/100</f>
        <v>181350.05620000002</v>
      </c>
      <c r="AM71" s="52">
        <f>SUM(AM70:$AW70)*$N71/100</f>
        <v>165033.42619999999</v>
      </c>
      <c r="AN71" s="52">
        <f>SUM(AN70:$AW70)*$N71/100</f>
        <v>148716.79619999998</v>
      </c>
      <c r="AO71" s="52">
        <f>SUM(AO70:$AW70)*$N71/100</f>
        <v>132400.16619999998</v>
      </c>
      <c r="AP71" s="52">
        <f>SUM(AP70:$AW70)*$N71/100</f>
        <v>116083.53619999999</v>
      </c>
      <c r="AQ71" s="52">
        <f>SUM(AQ70:$AW70)*$N71/100</f>
        <v>99766.906199999998</v>
      </c>
      <c r="AR71" s="52">
        <f>SUM(AR70:$AW70)*$N71/100</f>
        <v>83450.276199999993</v>
      </c>
      <c r="AS71" s="52">
        <f>SUM(AS70:$AW70)*$N71/100</f>
        <v>67133.646199999988</v>
      </c>
      <c r="AT71" s="52">
        <f>SUM(AT70:$AW70)*$N71/100</f>
        <v>50817.016199999991</v>
      </c>
      <c r="AU71" s="52">
        <f>SUM(AU70:$AW70)*$N71/100</f>
        <v>34500.386200000001</v>
      </c>
      <c r="AV71" s="52">
        <f>SUM(AV70:$AW70)*$N71/100</f>
        <v>18183.7562</v>
      </c>
      <c r="AW71" s="52">
        <f>SUM(AW70:$AW70)*$N71/100</f>
        <v>1867.1261999999999</v>
      </c>
      <c r="AX71" s="52"/>
      <c r="AY71" s="52"/>
      <c r="AZ71" s="53">
        <f t="shared" si="4"/>
        <v>6198863.3474000003</v>
      </c>
      <c r="BA71" s="38">
        <f t="shared" si="1"/>
        <v>0</v>
      </c>
      <c r="BB71" s="54">
        <f t="shared" si="5"/>
        <v>3465701.9502000008</v>
      </c>
      <c r="BC71" s="55">
        <f t="shared" si="6"/>
        <v>6198863.3474000003</v>
      </c>
      <c r="BE71" s="24" t="b">
        <f t="shared" si="2"/>
        <v>1</v>
      </c>
    </row>
    <row r="72" spans="2:58" s="24" customFormat="1" outlineLevel="1" x14ac:dyDescent="0.3">
      <c r="B72" s="25" t="s">
        <v>74</v>
      </c>
      <c r="C72" s="26">
        <v>34</v>
      </c>
      <c r="D72" s="27" t="s">
        <v>229</v>
      </c>
      <c r="E72" s="28" t="s">
        <v>230</v>
      </c>
      <c r="F72" s="29" t="s">
        <v>231</v>
      </c>
      <c r="G72" s="29" t="s">
        <v>226</v>
      </c>
      <c r="H72" s="29" t="s">
        <v>232</v>
      </c>
      <c r="I72" s="29" t="s">
        <v>29</v>
      </c>
      <c r="J72" s="30">
        <v>43430</v>
      </c>
      <c r="K72" s="31">
        <v>6572</v>
      </c>
      <c r="L72" s="31"/>
      <c r="M72" s="31"/>
      <c r="N72" s="32"/>
      <c r="O72" s="32"/>
      <c r="P72" s="32"/>
      <c r="Q72" s="32" t="s">
        <v>30</v>
      </c>
      <c r="R72" s="33">
        <v>212</v>
      </c>
      <c r="S72" s="33">
        <v>636</v>
      </c>
      <c r="T72" s="34">
        <f t="shared" ref="T72:T125" si="9">SUM(R72:S72)</f>
        <v>848</v>
      </c>
      <c r="U72" s="35">
        <f t="shared" si="8"/>
        <v>0</v>
      </c>
      <c r="V72" s="36">
        <v>848</v>
      </c>
      <c r="W72" s="36">
        <v>848</v>
      </c>
      <c r="X72" s="36">
        <v>848</v>
      </c>
      <c r="Y72" s="36">
        <v>848</v>
      </c>
      <c r="Z72" s="36">
        <v>848</v>
      </c>
      <c r="AA72" s="36">
        <v>848</v>
      </c>
      <c r="AB72" s="36">
        <v>848</v>
      </c>
      <c r="AC72" s="36">
        <v>212</v>
      </c>
      <c r="AD72" s="36">
        <v>0</v>
      </c>
      <c r="AE72" s="36">
        <v>0</v>
      </c>
      <c r="AF72" s="36">
        <v>0</v>
      </c>
      <c r="AG72" s="36">
        <v>0</v>
      </c>
      <c r="AH72" s="36">
        <v>0</v>
      </c>
      <c r="AI72" s="36">
        <v>0</v>
      </c>
      <c r="AJ72" s="36">
        <v>0</v>
      </c>
      <c r="AK72" s="36">
        <v>0</v>
      </c>
      <c r="AL72" s="36">
        <v>0</v>
      </c>
      <c r="AM72" s="36">
        <v>0</v>
      </c>
      <c r="AN72" s="36">
        <v>0</v>
      </c>
      <c r="AO72" s="36">
        <v>0</v>
      </c>
      <c r="AP72" s="36">
        <v>0</v>
      </c>
      <c r="AQ72" s="36">
        <v>0</v>
      </c>
      <c r="AR72" s="36">
        <v>0</v>
      </c>
      <c r="AS72" s="36">
        <v>0</v>
      </c>
      <c r="AT72" s="36">
        <v>0</v>
      </c>
      <c r="AU72" s="36">
        <v>0</v>
      </c>
      <c r="AV72" s="36">
        <v>0</v>
      </c>
      <c r="AW72" s="36">
        <v>0</v>
      </c>
      <c r="AX72" s="36"/>
      <c r="AY72" s="36"/>
      <c r="AZ72" s="37">
        <f t="shared" ref="AZ72:AZ135" si="10">SUM(V72:AY72)</f>
        <v>6148</v>
      </c>
      <c r="BA72" s="38">
        <f t="shared" si="1"/>
        <v>0</v>
      </c>
      <c r="BB72" s="39">
        <f t="shared" ref="BB72:BB135" si="11">SUM(AC72:AY72)</f>
        <v>212</v>
      </c>
      <c r="BC72" s="40">
        <f t="shared" si="6"/>
        <v>6148</v>
      </c>
      <c r="BE72" s="24" t="b">
        <f t="shared" si="2"/>
        <v>1</v>
      </c>
      <c r="BF72" s="41"/>
    </row>
    <row r="73" spans="2:58" outlineLevel="1" x14ac:dyDescent="0.3">
      <c r="B73" s="42" t="s">
        <v>74</v>
      </c>
      <c r="C73" s="43"/>
      <c r="D73" s="44"/>
      <c r="E73" s="45"/>
      <c r="F73" s="46"/>
      <c r="G73" s="46"/>
      <c r="H73" s="46"/>
      <c r="I73" s="46"/>
      <c r="J73" s="47"/>
      <c r="K73" s="47"/>
      <c r="L73" s="47">
        <v>0</v>
      </c>
      <c r="M73" s="47" t="s">
        <v>219</v>
      </c>
      <c r="N73" s="48">
        <f>SUM(O73:P73)</f>
        <v>0.25</v>
      </c>
      <c r="O73" s="48">
        <v>0.25</v>
      </c>
      <c r="P73" s="48">
        <f>$P$4</f>
        <v>0</v>
      </c>
      <c r="Q73" s="48" t="s">
        <v>33</v>
      </c>
      <c r="R73" s="49">
        <f>11.64</f>
        <v>11.64</v>
      </c>
      <c r="S73" s="49">
        <v>3.64</v>
      </c>
      <c r="T73" s="50">
        <f t="shared" si="9"/>
        <v>15.280000000000001</v>
      </c>
      <c r="U73" s="51">
        <f t="shared" si="8"/>
        <v>0.5</v>
      </c>
      <c r="V73" s="52">
        <f>11.64+3.64+0.5</f>
        <v>15.780000000000001</v>
      </c>
      <c r="W73" s="52">
        <f>SUM(W72:$AW72)*$N73/100</f>
        <v>13.25</v>
      </c>
      <c r="X73" s="52">
        <f>SUM(X72:$AW72)*$N73/100</f>
        <v>11.13</v>
      </c>
      <c r="Y73" s="52">
        <f>SUM(Y72:$AW72)*$N73/100</f>
        <v>9.01</v>
      </c>
      <c r="Z73" s="52">
        <f>SUM(Z72:$AW72)*$N73/100</f>
        <v>6.89</v>
      </c>
      <c r="AA73" s="52">
        <f>SUM(AA72:$AW72)*$N73/100</f>
        <v>4.7699999999999996</v>
      </c>
      <c r="AB73" s="52">
        <f>SUM(AB72:$AW72)*$N73/100</f>
        <v>2.65</v>
      </c>
      <c r="AC73" s="52">
        <f>SUM(AC72:$AW72)*$N73/100</f>
        <v>0.53</v>
      </c>
      <c r="AD73" s="52">
        <v>0</v>
      </c>
      <c r="AE73" s="52">
        <v>0</v>
      </c>
      <c r="AF73" s="52">
        <v>0</v>
      </c>
      <c r="AG73" s="52">
        <v>0</v>
      </c>
      <c r="AH73" s="52">
        <v>0</v>
      </c>
      <c r="AI73" s="52">
        <v>0</v>
      </c>
      <c r="AJ73" s="52">
        <v>0</v>
      </c>
      <c r="AK73" s="52">
        <v>0</v>
      </c>
      <c r="AL73" s="52">
        <v>0</v>
      </c>
      <c r="AM73" s="52">
        <v>0</v>
      </c>
      <c r="AN73" s="52">
        <v>0</v>
      </c>
      <c r="AO73" s="52">
        <v>0</v>
      </c>
      <c r="AP73" s="52">
        <v>0</v>
      </c>
      <c r="AQ73" s="52">
        <v>0</v>
      </c>
      <c r="AR73" s="52">
        <v>0</v>
      </c>
      <c r="AS73" s="52">
        <v>0</v>
      </c>
      <c r="AT73" s="52">
        <v>0</v>
      </c>
      <c r="AU73" s="52">
        <v>0</v>
      </c>
      <c r="AV73" s="52">
        <v>0</v>
      </c>
      <c r="AW73" s="52">
        <v>0</v>
      </c>
      <c r="AX73" s="52"/>
      <c r="AY73" s="52"/>
      <c r="AZ73" s="53">
        <f t="shared" si="10"/>
        <v>64.009999999999991</v>
      </c>
      <c r="BA73" s="38">
        <f t="shared" ref="BA73:BA138" si="12">AZ73-SUM(V73:AY73)</f>
        <v>0</v>
      </c>
      <c r="BB73" s="54">
        <f t="shared" si="11"/>
        <v>0.53</v>
      </c>
      <c r="BC73" s="55">
        <f t="shared" si="6"/>
        <v>64.009999999999991</v>
      </c>
      <c r="BE73" s="24" t="b">
        <f t="shared" ref="BE73:BE139" si="13">AZ73=BC73</f>
        <v>1</v>
      </c>
    </row>
    <row r="74" spans="2:58" s="24" customFormat="1" outlineLevel="1" x14ac:dyDescent="0.3">
      <c r="B74" s="25" t="s">
        <v>74</v>
      </c>
      <c r="C74" s="26">
        <v>35</v>
      </c>
      <c r="D74" s="27" t="s">
        <v>233</v>
      </c>
      <c r="E74" s="28" t="s">
        <v>234</v>
      </c>
      <c r="F74" s="29" t="s">
        <v>235</v>
      </c>
      <c r="G74" s="29" t="s">
        <v>236</v>
      </c>
      <c r="H74" s="29" t="s">
        <v>237</v>
      </c>
      <c r="I74" s="29" t="s">
        <v>29</v>
      </c>
      <c r="J74" s="30">
        <v>400000</v>
      </c>
      <c r="K74" s="31">
        <v>379509</v>
      </c>
      <c r="L74" s="31"/>
      <c r="M74" s="31"/>
      <c r="N74" s="32"/>
      <c r="O74" s="32">
        <v>4.242</v>
      </c>
      <c r="P74" s="32"/>
      <c r="Q74" s="32" t="s">
        <v>30</v>
      </c>
      <c r="R74" s="33">
        <v>3419</v>
      </c>
      <c r="S74" s="33">
        <v>10257</v>
      </c>
      <c r="T74" s="34">
        <f t="shared" si="9"/>
        <v>13676</v>
      </c>
      <c r="U74" s="35">
        <f t="shared" si="8"/>
        <v>0</v>
      </c>
      <c r="V74" s="36">
        <v>13676</v>
      </c>
      <c r="W74" s="36">
        <v>13676</v>
      </c>
      <c r="X74" s="36">
        <v>13676</v>
      </c>
      <c r="Y74" s="36">
        <v>13676</v>
      </c>
      <c r="Z74" s="36">
        <v>13676</v>
      </c>
      <c r="AA74" s="36">
        <v>13676</v>
      </c>
      <c r="AB74" s="36">
        <v>13676</v>
      </c>
      <c r="AC74" s="36">
        <v>13676</v>
      </c>
      <c r="AD74" s="36">
        <v>13676</v>
      </c>
      <c r="AE74" s="36">
        <v>13676</v>
      </c>
      <c r="AF74" s="36">
        <v>13676</v>
      </c>
      <c r="AG74" s="36">
        <v>13676</v>
      </c>
      <c r="AH74" s="36">
        <v>13676</v>
      </c>
      <c r="AI74" s="36">
        <v>13676</v>
      </c>
      <c r="AJ74" s="36">
        <v>13676</v>
      </c>
      <c r="AK74" s="36">
        <v>13676</v>
      </c>
      <c r="AL74" s="36">
        <v>13676</v>
      </c>
      <c r="AM74" s="36">
        <v>13676</v>
      </c>
      <c r="AN74" s="36">
        <v>13676</v>
      </c>
      <c r="AO74" s="36">
        <v>13676</v>
      </c>
      <c r="AP74" s="36">
        <v>13676</v>
      </c>
      <c r="AQ74" s="36">
        <v>13676</v>
      </c>
      <c r="AR74" s="36">
        <v>13676</v>
      </c>
      <c r="AS74" s="36">
        <v>13676</v>
      </c>
      <c r="AT74" s="36">
        <v>13676</v>
      </c>
      <c r="AU74" s="36">
        <v>13676</v>
      </c>
      <c r="AV74" s="36">
        <v>13676</v>
      </c>
      <c r="AW74" s="36">
        <v>3419</v>
      </c>
      <c r="AX74" s="36"/>
      <c r="AY74" s="36"/>
      <c r="AZ74" s="37">
        <f t="shared" si="10"/>
        <v>372671</v>
      </c>
      <c r="BA74" s="38">
        <f t="shared" si="12"/>
        <v>0</v>
      </c>
      <c r="BB74" s="39">
        <f t="shared" si="11"/>
        <v>276939</v>
      </c>
      <c r="BC74" s="40">
        <f t="shared" ref="BC74:BC135" si="14">SUM(V74:AB74,BB74)</f>
        <v>372671</v>
      </c>
      <c r="BE74" s="24" t="b">
        <f t="shared" si="13"/>
        <v>1</v>
      </c>
      <c r="BF74" s="41"/>
    </row>
    <row r="75" spans="2:58" outlineLevel="1" x14ac:dyDescent="0.3">
      <c r="B75" s="42" t="s">
        <v>74</v>
      </c>
      <c r="C75" s="43"/>
      <c r="D75" s="44" t="s">
        <v>238</v>
      </c>
      <c r="E75" s="45"/>
      <c r="F75" s="46"/>
      <c r="G75" s="46"/>
      <c r="H75" s="46"/>
      <c r="I75" s="46"/>
      <c r="J75" s="47"/>
      <c r="K75" s="47"/>
      <c r="L75" s="47" t="s">
        <v>239</v>
      </c>
      <c r="M75" s="47"/>
      <c r="N75" s="48">
        <f>SUM(O75:P75)</f>
        <v>4.5999999999999996</v>
      </c>
      <c r="O75" s="57">
        <v>4.5999999999999996</v>
      </c>
      <c r="P75" s="48">
        <f>$P$4</f>
        <v>0</v>
      </c>
      <c r="Q75" s="48" t="s">
        <v>33</v>
      </c>
      <c r="R75" s="49">
        <f>12144.66</f>
        <v>12144.66</v>
      </c>
      <c r="S75" s="49">
        <v>4051.09</v>
      </c>
      <c r="T75" s="50">
        <f t="shared" si="9"/>
        <v>16195.75</v>
      </c>
      <c r="U75" s="51">
        <f t="shared" si="8"/>
        <v>0</v>
      </c>
      <c r="V75" s="52">
        <f>12144.66+4051.09</f>
        <v>16195.75</v>
      </c>
      <c r="W75" s="52">
        <f>SUM(W74:$AW74)*$N75/100</f>
        <v>16513.769999999997</v>
      </c>
      <c r="X75" s="52">
        <f>SUM(X74:$AW74)*$N75/100</f>
        <v>15884.673999999999</v>
      </c>
      <c r="Y75" s="52">
        <f>SUM(Y74:$AW74)*$N75/100</f>
        <v>15255.577999999998</v>
      </c>
      <c r="Z75" s="52">
        <f>SUM(Z74:$AW74)*$N75/100</f>
        <v>14626.482</v>
      </c>
      <c r="AA75" s="52">
        <f>SUM(AA74:$AW74)*$N75/100</f>
        <v>13997.385999999999</v>
      </c>
      <c r="AB75" s="52">
        <f>SUM(AB74:$AW74)*$N75/100</f>
        <v>13368.29</v>
      </c>
      <c r="AC75" s="52">
        <f>SUM(AC74:$AW74)*$N75/100</f>
        <v>12739.194</v>
      </c>
      <c r="AD75" s="52">
        <f>SUM(AD74:$AW74)*$N75/100</f>
        <v>12110.097999999998</v>
      </c>
      <c r="AE75" s="52">
        <f>SUM(AE74:$AW74)*$N75/100</f>
        <v>11481.002</v>
      </c>
      <c r="AF75" s="52">
        <f>SUM(AF74:$AW74)*$N75/100</f>
        <v>10851.905999999999</v>
      </c>
      <c r="AG75" s="52">
        <f>SUM(AG74:$AW74)*$N75/100</f>
        <v>10222.81</v>
      </c>
      <c r="AH75" s="52">
        <f>SUM(AH74:$AW74)*$N75/100</f>
        <v>9593.7139999999999</v>
      </c>
      <c r="AI75" s="52">
        <f>SUM(AI74:$AW74)*$N75/100</f>
        <v>8964.6179999999986</v>
      </c>
      <c r="AJ75" s="52">
        <f>SUM(AJ74:$AW74)*$N75/100</f>
        <v>8335.521999999999</v>
      </c>
      <c r="AK75" s="52">
        <f>SUM(AK74:$AW74)*$N75/100</f>
        <v>7706.4259999999995</v>
      </c>
      <c r="AL75" s="52">
        <f>SUM(AL74:$AW74)*$N75/100</f>
        <v>7077.33</v>
      </c>
      <c r="AM75" s="52">
        <f>SUM(AM74:$AW74)*$N75/100</f>
        <v>6448.2339999999995</v>
      </c>
      <c r="AN75" s="52">
        <f>SUM(AN74:$AW74)*$N75/100</f>
        <v>5819.137999999999</v>
      </c>
      <c r="AO75" s="52">
        <f>SUM(AO74:$AW74)*$N75/100</f>
        <v>5190.0419999999995</v>
      </c>
      <c r="AP75" s="52">
        <f>SUM(AP74:$AW74)*$N75/100</f>
        <v>4560.9459999999999</v>
      </c>
      <c r="AQ75" s="52">
        <f>SUM(AQ74:$AW74)*$N75/100</f>
        <v>3931.8499999999995</v>
      </c>
      <c r="AR75" s="52">
        <f>SUM(AR74:$AW74)*$N75/100</f>
        <v>3302.7539999999995</v>
      </c>
      <c r="AS75" s="52">
        <f>SUM(AS74:$AW74)*$N75/100</f>
        <v>2673.6579999999999</v>
      </c>
      <c r="AT75" s="52">
        <f>SUM(AT74:$AW74)*$N75/100</f>
        <v>2044.5619999999999</v>
      </c>
      <c r="AU75" s="52">
        <f>SUM(AU74:$AW74)*$N75/100</f>
        <v>1415.4659999999997</v>
      </c>
      <c r="AV75" s="52">
        <f>SUM(AV74:$AW74)*$N75/100</f>
        <v>786.37</v>
      </c>
      <c r="AW75" s="52">
        <f>SUM(AW74:$AW74)*$N75/100</f>
        <v>157.274</v>
      </c>
      <c r="AX75" s="52"/>
      <c r="AY75" s="52"/>
      <c r="AZ75" s="53">
        <f t="shared" si="10"/>
        <v>241254.84399999992</v>
      </c>
      <c r="BA75" s="38">
        <f t="shared" si="12"/>
        <v>0</v>
      </c>
      <c r="BB75" s="54">
        <f t="shared" si="11"/>
        <v>135412.91399999996</v>
      </c>
      <c r="BC75" s="55">
        <f t="shared" si="14"/>
        <v>241254.84399999995</v>
      </c>
      <c r="BE75" s="24" t="b">
        <f t="shared" si="13"/>
        <v>1</v>
      </c>
    </row>
    <row r="76" spans="2:58" s="24" customFormat="1" outlineLevel="1" x14ac:dyDescent="0.3">
      <c r="B76" s="25" t="s">
        <v>74</v>
      </c>
      <c r="C76" s="26">
        <v>36</v>
      </c>
      <c r="D76" s="27" t="s">
        <v>240</v>
      </c>
      <c r="E76" s="28" t="s">
        <v>241</v>
      </c>
      <c r="F76" s="29" t="s">
        <v>242</v>
      </c>
      <c r="G76" s="29" t="s">
        <v>243</v>
      </c>
      <c r="H76" s="29" t="s">
        <v>244</v>
      </c>
      <c r="I76" s="29" t="s">
        <v>29</v>
      </c>
      <c r="J76" s="30">
        <v>192902.34</v>
      </c>
      <c r="K76" s="31">
        <v>62660.34</v>
      </c>
      <c r="L76" s="31"/>
      <c r="M76" s="31"/>
      <c r="N76" s="32"/>
      <c r="O76" s="32"/>
      <c r="P76" s="32"/>
      <c r="Q76" s="32" t="s">
        <v>30</v>
      </c>
      <c r="R76" s="33">
        <v>19244</v>
      </c>
      <c r="S76" s="33">
        <v>0</v>
      </c>
      <c r="T76" s="34">
        <f t="shared" si="9"/>
        <v>19244</v>
      </c>
      <c r="U76" s="35">
        <f t="shared" si="8"/>
        <v>0.34000000000014552</v>
      </c>
      <c r="V76" s="36">
        <v>19244.34</v>
      </c>
      <c r="W76" s="36">
        <v>0</v>
      </c>
      <c r="X76" s="36">
        <v>0</v>
      </c>
      <c r="Y76" s="36">
        <v>0</v>
      </c>
      <c r="Z76" s="36">
        <v>0</v>
      </c>
      <c r="AA76" s="36">
        <v>0</v>
      </c>
      <c r="AB76" s="36">
        <v>0</v>
      </c>
      <c r="AC76" s="36">
        <v>0</v>
      </c>
      <c r="AD76" s="36">
        <v>0</v>
      </c>
      <c r="AE76" s="36">
        <v>0</v>
      </c>
      <c r="AF76" s="36">
        <v>0</v>
      </c>
      <c r="AG76" s="36">
        <v>0</v>
      </c>
      <c r="AH76" s="36">
        <v>0</v>
      </c>
      <c r="AI76" s="36">
        <v>0</v>
      </c>
      <c r="AJ76" s="36">
        <v>0</v>
      </c>
      <c r="AK76" s="36">
        <v>0</v>
      </c>
      <c r="AL76" s="36">
        <v>0</v>
      </c>
      <c r="AM76" s="36">
        <v>0</v>
      </c>
      <c r="AN76" s="36">
        <v>0</v>
      </c>
      <c r="AO76" s="36">
        <v>0</v>
      </c>
      <c r="AP76" s="36">
        <v>0</v>
      </c>
      <c r="AQ76" s="36">
        <v>0</v>
      </c>
      <c r="AR76" s="36">
        <v>0</v>
      </c>
      <c r="AS76" s="36">
        <v>0</v>
      </c>
      <c r="AT76" s="36">
        <v>0</v>
      </c>
      <c r="AU76" s="36">
        <v>0</v>
      </c>
      <c r="AV76" s="36">
        <v>0</v>
      </c>
      <c r="AW76" s="36">
        <v>0</v>
      </c>
      <c r="AX76" s="36"/>
      <c r="AY76" s="36"/>
      <c r="AZ76" s="37">
        <f t="shared" si="10"/>
        <v>19244.34</v>
      </c>
      <c r="BA76" s="38">
        <f t="shared" si="12"/>
        <v>0</v>
      </c>
      <c r="BB76" s="39">
        <f t="shared" si="11"/>
        <v>0</v>
      </c>
      <c r="BC76" s="40">
        <f t="shared" si="14"/>
        <v>19244.34</v>
      </c>
      <c r="BE76" s="24" t="b">
        <f t="shared" si="13"/>
        <v>1</v>
      </c>
      <c r="BF76" s="41"/>
    </row>
    <row r="77" spans="2:58" outlineLevel="1" x14ac:dyDescent="0.3">
      <c r="B77" s="42" t="s">
        <v>74</v>
      </c>
      <c r="C77" s="43"/>
      <c r="D77" s="44" t="s">
        <v>245</v>
      </c>
      <c r="E77" s="45"/>
      <c r="F77" s="46"/>
      <c r="G77" s="46"/>
      <c r="H77" s="46"/>
      <c r="I77" s="46"/>
      <c r="J77" s="47"/>
      <c r="K77" s="47"/>
      <c r="L77" s="47">
        <v>0</v>
      </c>
      <c r="M77" s="47" t="s">
        <v>219</v>
      </c>
      <c r="N77" s="48">
        <f>SUM(O77:P77)</f>
        <v>0.25</v>
      </c>
      <c r="O77" s="48">
        <v>0.25</v>
      </c>
      <c r="P77" s="48">
        <f>$P$4</f>
        <v>0</v>
      </c>
      <c r="Q77" s="48" t="s">
        <v>33</v>
      </c>
      <c r="R77" s="49">
        <v>34.910000000000004</v>
      </c>
      <c r="S77" s="49">
        <v>0</v>
      </c>
      <c r="T77" s="50">
        <f t="shared" si="9"/>
        <v>34.910000000000004</v>
      </c>
      <c r="U77" s="51">
        <f t="shared" si="8"/>
        <v>0</v>
      </c>
      <c r="V77" s="52">
        <v>34.909999999999997</v>
      </c>
      <c r="W77" s="52">
        <v>0</v>
      </c>
      <c r="X77" s="52">
        <v>0</v>
      </c>
      <c r="Y77" s="52">
        <v>0</v>
      </c>
      <c r="Z77" s="52">
        <v>0</v>
      </c>
      <c r="AA77" s="52">
        <v>0</v>
      </c>
      <c r="AB77" s="52">
        <v>0</v>
      </c>
      <c r="AC77" s="52">
        <v>0</v>
      </c>
      <c r="AD77" s="52">
        <v>0</v>
      </c>
      <c r="AE77" s="52">
        <v>0</v>
      </c>
      <c r="AF77" s="52">
        <v>0</v>
      </c>
      <c r="AG77" s="52">
        <v>0</v>
      </c>
      <c r="AH77" s="52">
        <v>0</v>
      </c>
      <c r="AI77" s="52">
        <v>0</v>
      </c>
      <c r="AJ77" s="52">
        <v>0</v>
      </c>
      <c r="AK77" s="52">
        <v>0</v>
      </c>
      <c r="AL77" s="52">
        <v>0</v>
      </c>
      <c r="AM77" s="52">
        <v>0</v>
      </c>
      <c r="AN77" s="52">
        <v>0</v>
      </c>
      <c r="AO77" s="52">
        <v>0</v>
      </c>
      <c r="AP77" s="52">
        <v>0</v>
      </c>
      <c r="AQ77" s="52">
        <v>0</v>
      </c>
      <c r="AR77" s="52">
        <v>0</v>
      </c>
      <c r="AS77" s="52">
        <v>0</v>
      </c>
      <c r="AT77" s="52">
        <v>0</v>
      </c>
      <c r="AU77" s="52">
        <v>0</v>
      </c>
      <c r="AV77" s="52">
        <v>0</v>
      </c>
      <c r="AW77" s="52">
        <v>0</v>
      </c>
      <c r="AX77" s="52"/>
      <c r="AY77" s="52"/>
      <c r="AZ77" s="53">
        <f t="shared" si="10"/>
        <v>34.909999999999997</v>
      </c>
      <c r="BA77" s="38">
        <f t="shared" si="12"/>
        <v>0</v>
      </c>
      <c r="BB77" s="54">
        <f t="shared" si="11"/>
        <v>0</v>
      </c>
      <c r="BC77" s="55">
        <f t="shared" si="14"/>
        <v>34.909999999999997</v>
      </c>
      <c r="BE77" s="24" t="b">
        <f t="shared" si="13"/>
        <v>1</v>
      </c>
    </row>
    <row r="78" spans="2:58" s="24" customFormat="1" outlineLevel="1" collapsed="1" x14ac:dyDescent="0.3">
      <c r="B78" s="25" t="s">
        <v>74</v>
      </c>
      <c r="C78" s="26">
        <v>37</v>
      </c>
      <c r="D78" s="27" t="s">
        <v>246</v>
      </c>
      <c r="E78" s="28" t="s">
        <v>247</v>
      </c>
      <c r="F78" s="29" t="s">
        <v>248</v>
      </c>
      <c r="G78" s="29" t="s">
        <v>249</v>
      </c>
      <c r="H78" s="29" t="s">
        <v>250</v>
      </c>
      <c r="I78" s="29" t="s">
        <v>29</v>
      </c>
      <c r="J78" s="30">
        <v>279650</v>
      </c>
      <c r="K78" s="31">
        <v>265401</v>
      </c>
      <c r="L78" s="31"/>
      <c r="M78" s="31"/>
      <c r="N78" s="32"/>
      <c r="O78" s="32"/>
      <c r="P78" s="32"/>
      <c r="Q78" s="32" t="s">
        <v>30</v>
      </c>
      <c r="R78" s="33">
        <v>2391</v>
      </c>
      <c r="S78" s="33">
        <v>7173</v>
      </c>
      <c r="T78" s="34">
        <f t="shared" si="9"/>
        <v>9564</v>
      </c>
      <c r="U78" s="35">
        <f t="shared" si="8"/>
        <v>0</v>
      </c>
      <c r="V78" s="36">
        <v>9564</v>
      </c>
      <c r="W78" s="36">
        <v>9564</v>
      </c>
      <c r="X78" s="36">
        <v>9564</v>
      </c>
      <c r="Y78" s="36">
        <v>9564</v>
      </c>
      <c r="Z78" s="36">
        <v>9564</v>
      </c>
      <c r="AA78" s="36">
        <v>9564</v>
      </c>
      <c r="AB78" s="36">
        <v>9564</v>
      </c>
      <c r="AC78" s="36">
        <v>9564</v>
      </c>
      <c r="AD78" s="36">
        <v>9564</v>
      </c>
      <c r="AE78" s="36">
        <v>9564</v>
      </c>
      <c r="AF78" s="36">
        <v>9564</v>
      </c>
      <c r="AG78" s="36">
        <v>9564</v>
      </c>
      <c r="AH78" s="36">
        <v>9564</v>
      </c>
      <c r="AI78" s="36">
        <v>9564</v>
      </c>
      <c r="AJ78" s="36">
        <v>9564</v>
      </c>
      <c r="AK78" s="36">
        <v>9564</v>
      </c>
      <c r="AL78" s="36">
        <v>9564</v>
      </c>
      <c r="AM78" s="36">
        <v>9564</v>
      </c>
      <c r="AN78" s="36">
        <v>9564</v>
      </c>
      <c r="AO78" s="36">
        <v>9564</v>
      </c>
      <c r="AP78" s="36">
        <v>9564</v>
      </c>
      <c r="AQ78" s="36">
        <v>9564</v>
      </c>
      <c r="AR78" s="36">
        <v>9564</v>
      </c>
      <c r="AS78" s="36">
        <v>9564</v>
      </c>
      <c r="AT78" s="36">
        <v>9564</v>
      </c>
      <c r="AU78" s="36">
        <v>9564</v>
      </c>
      <c r="AV78" s="36">
        <v>9564</v>
      </c>
      <c r="AW78" s="36">
        <v>2391</v>
      </c>
      <c r="AX78" s="36"/>
      <c r="AY78" s="36"/>
      <c r="AZ78" s="37">
        <f t="shared" si="10"/>
        <v>260619</v>
      </c>
      <c r="BA78" s="38">
        <f t="shared" si="12"/>
        <v>0</v>
      </c>
      <c r="BB78" s="39">
        <f t="shared" si="11"/>
        <v>193671</v>
      </c>
      <c r="BC78" s="40">
        <f t="shared" si="14"/>
        <v>260619</v>
      </c>
      <c r="BE78" s="24" t="b">
        <f t="shared" si="13"/>
        <v>1</v>
      </c>
      <c r="BF78" s="41"/>
    </row>
    <row r="79" spans="2:58" outlineLevel="1" x14ac:dyDescent="0.3">
      <c r="B79" s="42" t="s">
        <v>74</v>
      </c>
      <c r="C79" s="43"/>
      <c r="D79" s="44"/>
      <c r="E79" s="45"/>
      <c r="F79" s="46"/>
      <c r="G79" s="46"/>
      <c r="H79" s="46"/>
      <c r="I79" s="46"/>
      <c r="J79" s="47"/>
      <c r="K79" s="47"/>
      <c r="L79" s="47" t="s">
        <v>251</v>
      </c>
      <c r="M79" s="47"/>
      <c r="N79" s="48">
        <f>SUM(O79:P79)</f>
        <v>4.2030000000000003</v>
      </c>
      <c r="O79" s="48">
        <v>4.2030000000000003</v>
      </c>
      <c r="P79" s="48">
        <f>$P$4</f>
        <v>0</v>
      </c>
      <c r="Q79" s="48" t="s">
        <v>33</v>
      </c>
      <c r="R79" s="49">
        <f>8374.53</f>
        <v>8374.5300000000007</v>
      </c>
      <c r="S79" s="49">
        <v>2795.82</v>
      </c>
      <c r="T79" s="50">
        <f t="shared" si="9"/>
        <v>11170.35</v>
      </c>
      <c r="U79" s="51">
        <f t="shared" si="8"/>
        <v>0.5</v>
      </c>
      <c r="V79" s="52">
        <f>8374.53+2795.82+0.5</f>
        <v>11170.85</v>
      </c>
      <c r="W79" s="52">
        <f>SUM(W78:$AW78)*$N79/100</f>
        <v>10551.84165</v>
      </c>
      <c r="X79" s="52">
        <f>SUM(X78:$AW78)*$N79/100</f>
        <v>10149.866730000002</v>
      </c>
      <c r="Y79" s="52">
        <f>SUM(Y78:$AW78)*$N79/100</f>
        <v>9747.891810000001</v>
      </c>
      <c r="Z79" s="52">
        <f>SUM(Z78:$AW78)*$N79/100</f>
        <v>9345.9168900000004</v>
      </c>
      <c r="AA79" s="52">
        <f>SUM(AA78:$AW78)*$N79/100</f>
        <v>8943.9419699999999</v>
      </c>
      <c r="AB79" s="52">
        <f>SUM(AB78:$AW78)*$N79/100</f>
        <v>8541.9670500000011</v>
      </c>
      <c r="AC79" s="52">
        <f>SUM(AC78:$AW78)*$N79/100</f>
        <v>8139.9921300000015</v>
      </c>
      <c r="AD79" s="52">
        <f>SUM(AD78:$AW78)*$N79/100</f>
        <v>7738.01721</v>
      </c>
      <c r="AE79" s="52">
        <f>SUM(AE78:$AW78)*$N79/100</f>
        <v>7336.0422900000003</v>
      </c>
      <c r="AF79" s="52">
        <f>SUM(AF78:$AW78)*$N79/100</f>
        <v>6934.0673700000007</v>
      </c>
      <c r="AG79" s="52">
        <f>SUM(AG78:$AW78)*$N79/100</f>
        <v>6532.0924500000001</v>
      </c>
      <c r="AH79" s="52">
        <f>SUM(AH78:$AW78)*$N79/100</f>
        <v>6130.1175300000004</v>
      </c>
      <c r="AI79" s="52">
        <f>SUM(AI78:$AW78)*$N79/100</f>
        <v>5728.1426100000008</v>
      </c>
      <c r="AJ79" s="52">
        <f>SUM(AJ78:$AW78)*$N79/100</f>
        <v>5326.1676900000011</v>
      </c>
      <c r="AK79" s="52">
        <f>SUM(AK78:$AW78)*$N79/100</f>
        <v>4924.1927700000006</v>
      </c>
      <c r="AL79" s="52">
        <f>SUM(AL78:$AW78)*$N79/100</f>
        <v>4522.21785</v>
      </c>
      <c r="AM79" s="52">
        <f>SUM(AM78:$AW78)*$N79/100</f>
        <v>4120.2429300000003</v>
      </c>
      <c r="AN79" s="52">
        <f>SUM(AN78:$AW78)*$N79/100</f>
        <v>3718.2680100000002</v>
      </c>
      <c r="AO79" s="52">
        <f>SUM(AO78:$AW78)*$N79/100</f>
        <v>3316.2930900000001</v>
      </c>
      <c r="AP79" s="52">
        <f>SUM(AP78:$AW78)*$N79/100</f>
        <v>2914.3181700000005</v>
      </c>
      <c r="AQ79" s="52">
        <f>SUM(AQ78:$AW78)*$N79/100</f>
        <v>2512.3432499999999</v>
      </c>
      <c r="AR79" s="52">
        <f>SUM(AR78:$AW78)*$N79/100</f>
        <v>2110.3683300000002</v>
      </c>
      <c r="AS79" s="52">
        <f>SUM(AS78:$AW78)*$N79/100</f>
        <v>1708.3934100000001</v>
      </c>
      <c r="AT79" s="52">
        <f>SUM(AT78:$AW78)*$N79/100</f>
        <v>1306.41849</v>
      </c>
      <c r="AU79" s="52">
        <f>SUM(AU78:$AW78)*$N79/100</f>
        <v>904.44357000000002</v>
      </c>
      <c r="AV79" s="52">
        <f>SUM(AV78:$AW78)*$N79/100</f>
        <v>502.46865000000003</v>
      </c>
      <c r="AW79" s="52">
        <f>SUM(AW78:$AW78)*$N79/100</f>
        <v>100.49373000000001</v>
      </c>
      <c r="AX79" s="52"/>
      <c r="AY79" s="52"/>
      <c r="AZ79" s="53">
        <f t="shared" si="10"/>
        <v>154977.37763</v>
      </c>
      <c r="BA79" s="38">
        <f t="shared" si="12"/>
        <v>0</v>
      </c>
      <c r="BB79" s="54">
        <f t="shared" si="11"/>
        <v>86525.101530000029</v>
      </c>
      <c r="BC79" s="55">
        <f t="shared" si="14"/>
        <v>154977.37763000003</v>
      </c>
      <c r="BE79" s="24" t="b">
        <f t="shared" si="13"/>
        <v>1</v>
      </c>
    </row>
    <row r="80" spans="2:58" s="24" customFormat="1" outlineLevel="1" x14ac:dyDescent="0.3">
      <c r="B80" s="25" t="s">
        <v>74</v>
      </c>
      <c r="C80" s="26">
        <v>38</v>
      </c>
      <c r="D80" s="27" t="s">
        <v>252</v>
      </c>
      <c r="E80" s="28" t="s">
        <v>253</v>
      </c>
      <c r="F80" s="29" t="s">
        <v>254</v>
      </c>
      <c r="G80" s="29" t="s">
        <v>255</v>
      </c>
      <c r="H80" s="29" t="s">
        <v>256</v>
      </c>
      <c r="I80" s="29" t="s">
        <v>29</v>
      </c>
      <c r="J80" s="30">
        <v>2075409</v>
      </c>
      <c r="K80" s="31">
        <v>1486222</v>
      </c>
      <c r="L80" s="31"/>
      <c r="M80" s="31"/>
      <c r="N80" s="32"/>
      <c r="O80" s="32"/>
      <c r="P80" s="32"/>
      <c r="Q80" s="32" t="s">
        <v>30</v>
      </c>
      <c r="R80" s="33">
        <v>32063</v>
      </c>
      <c r="S80" s="33">
        <v>96189</v>
      </c>
      <c r="T80" s="34">
        <f t="shared" si="9"/>
        <v>128252</v>
      </c>
      <c r="U80" s="35">
        <f t="shared" si="8"/>
        <v>0</v>
      </c>
      <c r="V80" s="36">
        <v>128252</v>
      </c>
      <c r="W80" s="36">
        <v>123200</v>
      </c>
      <c r="X80" s="36">
        <v>121648</v>
      </c>
      <c r="Y80" s="36">
        <v>117000</v>
      </c>
      <c r="Z80" s="36">
        <v>117000</v>
      </c>
      <c r="AA80" s="36">
        <v>117000</v>
      </c>
      <c r="AB80" s="36">
        <v>117000</v>
      </c>
      <c r="AC80" s="36">
        <v>110320</v>
      </c>
      <c r="AD80" s="36">
        <v>91212</v>
      </c>
      <c r="AE80" s="36">
        <v>82616</v>
      </c>
      <c r="AF80" s="36">
        <v>82616</v>
      </c>
      <c r="AG80" s="36">
        <v>82616</v>
      </c>
      <c r="AH80" s="36">
        <v>75860</v>
      </c>
      <c r="AI80" s="36">
        <v>36908</v>
      </c>
      <c r="AJ80" s="36">
        <v>7954</v>
      </c>
      <c r="AK80" s="36">
        <v>0</v>
      </c>
      <c r="AL80" s="36">
        <v>0</v>
      </c>
      <c r="AM80" s="36">
        <v>0</v>
      </c>
      <c r="AN80" s="36">
        <v>0</v>
      </c>
      <c r="AO80" s="36">
        <v>0</v>
      </c>
      <c r="AP80" s="36">
        <v>0</v>
      </c>
      <c r="AQ80" s="36">
        <v>0</v>
      </c>
      <c r="AR80" s="36">
        <v>0</v>
      </c>
      <c r="AS80" s="36">
        <v>0</v>
      </c>
      <c r="AT80" s="36">
        <v>0</v>
      </c>
      <c r="AU80" s="36">
        <v>0</v>
      </c>
      <c r="AV80" s="36">
        <v>0</v>
      </c>
      <c r="AW80" s="36">
        <v>0</v>
      </c>
      <c r="AX80" s="36"/>
      <c r="AY80" s="36"/>
      <c r="AZ80" s="37">
        <f t="shared" si="10"/>
        <v>1411202</v>
      </c>
      <c r="BA80" s="38">
        <f t="shared" si="12"/>
        <v>0</v>
      </c>
      <c r="BB80" s="39">
        <f t="shared" si="11"/>
        <v>570102</v>
      </c>
      <c r="BC80" s="40">
        <f t="shared" si="14"/>
        <v>1411202</v>
      </c>
      <c r="BE80" s="24" t="b">
        <f t="shared" si="13"/>
        <v>1</v>
      </c>
      <c r="BF80" s="41"/>
    </row>
    <row r="81" spans="2:58" outlineLevel="1" x14ac:dyDescent="0.3">
      <c r="B81" s="42" t="s">
        <v>74</v>
      </c>
      <c r="C81" s="43"/>
      <c r="D81" s="44" t="s">
        <v>257</v>
      </c>
      <c r="E81" s="45"/>
      <c r="F81" s="46"/>
      <c r="G81" s="46"/>
      <c r="H81" s="46"/>
      <c r="I81" s="46"/>
      <c r="J81" s="47"/>
      <c r="K81" s="47"/>
      <c r="L81" s="47" t="s">
        <v>258</v>
      </c>
      <c r="M81" s="47"/>
      <c r="N81" s="48">
        <f>SUM(O81:P81)</f>
        <v>4.0750000000000002</v>
      </c>
      <c r="O81" s="48">
        <v>4.0750000000000002</v>
      </c>
      <c r="P81" s="48">
        <f>$P$4</f>
        <v>0</v>
      </c>
      <c r="Q81" s="48" t="s">
        <v>33</v>
      </c>
      <c r="R81" s="49">
        <f>40875.14</f>
        <v>40875.14</v>
      </c>
      <c r="S81" s="49">
        <v>12951.69</v>
      </c>
      <c r="T81" s="50">
        <f t="shared" si="9"/>
        <v>53826.83</v>
      </c>
      <c r="U81" s="51">
        <f t="shared" si="8"/>
        <v>0</v>
      </c>
      <c r="V81" s="52">
        <f>40875.14+12951.69</f>
        <v>53826.83</v>
      </c>
      <c r="W81" s="52">
        <f>SUM(W80:$AW80)*$N81/100</f>
        <v>52280.212500000001</v>
      </c>
      <c r="X81" s="52">
        <f>SUM(X80:$AW80)*$N81/100</f>
        <v>47259.8125</v>
      </c>
      <c r="Y81" s="52">
        <f>SUM(Y80:$AW80)*$N81/100</f>
        <v>42302.656500000005</v>
      </c>
      <c r="Z81" s="52">
        <f>SUM(Z80:$AW80)*$N81/100</f>
        <v>37534.906500000005</v>
      </c>
      <c r="AA81" s="52">
        <f>SUM(AA80:$AW80)*$N81/100</f>
        <v>32767.156500000005</v>
      </c>
      <c r="AB81" s="52">
        <f>SUM(AB80:$AW80)*$N81/100</f>
        <v>27999.406499999997</v>
      </c>
      <c r="AC81" s="52">
        <f>SUM(AC80:$AW80)*$N81/100</f>
        <v>23231.656499999997</v>
      </c>
      <c r="AD81" s="52">
        <f>SUM(AD80:$AW80)*$N81/100</f>
        <v>18736.1165</v>
      </c>
      <c r="AE81" s="52">
        <f>SUM(AE80:$AW80)*$N81/100</f>
        <v>15019.227500000001</v>
      </c>
      <c r="AF81" s="52">
        <f>SUM(AF80:$AW80)*$N81/100</f>
        <v>11652.6255</v>
      </c>
      <c r="AG81" s="52">
        <f>SUM(AG80:$AW80)*$N81/100</f>
        <v>8286.0235000000011</v>
      </c>
      <c r="AH81" s="52">
        <f>SUM(AH80:$AW80)*$N81/100</f>
        <v>4919.4215000000004</v>
      </c>
      <c r="AI81" s="52">
        <f>SUM(AI80:$AW80)*$N81/100</f>
        <v>1828.1264999999999</v>
      </c>
      <c r="AJ81" s="52">
        <f>SUM(AJ80:$AW80)*$N81/100</f>
        <v>324.12550000000005</v>
      </c>
      <c r="AK81" s="52">
        <v>0</v>
      </c>
      <c r="AL81" s="52">
        <v>0</v>
      </c>
      <c r="AM81" s="52">
        <v>0</v>
      </c>
      <c r="AN81" s="52">
        <v>0</v>
      </c>
      <c r="AO81" s="52">
        <v>0</v>
      </c>
      <c r="AP81" s="52">
        <v>0</v>
      </c>
      <c r="AQ81" s="52">
        <v>0</v>
      </c>
      <c r="AR81" s="52">
        <v>0</v>
      </c>
      <c r="AS81" s="52">
        <v>0</v>
      </c>
      <c r="AT81" s="52">
        <v>0</v>
      </c>
      <c r="AU81" s="52">
        <v>0</v>
      </c>
      <c r="AV81" s="52">
        <v>0</v>
      </c>
      <c r="AW81" s="52">
        <v>0</v>
      </c>
      <c r="AX81" s="52"/>
      <c r="AY81" s="52"/>
      <c r="AZ81" s="53">
        <f t="shared" si="10"/>
        <v>377968.30400000006</v>
      </c>
      <c r="BA81" s="38">
        <f t="shared" si="12"/>
        <v>0</v>
      </c>
      <c r="BB81" s="54">
        <f t="shared" si="11"/>
        <v>83997.322999999989</v>
      </c>
      <c r="BC81" s="55">
        <f t="shared" si="14"/>
        <v>377968.304</v>
      </c>
      <c r="BE81" s="24" t="b">
        <f t="shared" si="13"/>
        <v>1</v>
      </c>
    </row>
    <row r="82" spans="2:58" s="24" customFormat="1" outlineLevel="1" x14ac:dyDescent="0.3">
      <c r="B82" s="25" t="s">
        <v>74</v>
      </c>
      <c r="C82" s="26">
        <v>39</v>
      </c>
      <c r="D82" s="27" t="s">
        <v>259</v>
      </c>
      <c r="E82" s="28" t="s">
        <v>260</v>
      </c>
      <c r="F82" s="29" t="s">
        <v>261</v>
      </c>
      <c r="G82" s="29" t="s">
        <v>262</v>
      </c>
      <c r="H82" s="29" t="s">
        <v>263</v>
      </c>
      <c r="I82" s="29" t="s">
        <v>29</v>
      </c>
      <c r="J82" s="30">
        <v>617703</v>
      </c>
      <c r="K82" s="31">
        <v>586320</v>
      </c>
      <c r="L82" s="31"/>
      <c r="M82" s="31"/>
      <c r="N82" s="32"/>
      <c r="O82" s="32"/>
      <c r="P82" s="32"/>
      <c r="Q82" s="32" t="s">
        <v>30</v>
      </c>
      <c r="R82" s="33">
        <v>5235</v>
      </c>
      <c r="S82" s="33">
        <v>15705</v>
      </c>
      <c r="T82" s="34">
        <f t="shared" si="9"/>
        <v>20940</v>
      </c>
      <c r="U82" s="35">
        <f t="shared" si="8"/>
        <v>0</v>
      </c>
      <c r="V82" s="36">
        <v>20940</v>
      </c>
      <c r="W82" s="36">
        <v>20940</v>
      </c>
      <c r="X82" s="36">
        <v>20940</v>
      </c>
      <c r="Y82" s="36">
        <v>20940</v>
      </c>
      <c r="Z82" s="36">
        <v>20940</v>
      </c>
      <c r="AA82" s="36">
        <v>20940</v>
      </c>
      <c r="AB82" s="36">
        <v>20940</v>
      </c>
      <c r="AC82" s="36">
        <v>20940</v>
      </c>
      <c r="AD82" s="36">
        <v>20940</v>
      </c>
      <c r="AE82" s="36">
        <v>20940</v>
      </c>
      <c r="AF82" s="36">
        <v>20940</v>
      </c>
      <c r="AG82" s="36">
        <v>20940</v>
      </c>
      <c r="AH82" s="36">
        <v>20940</v>
      </c>
      <c r="AI82" s="36">
        <v>20940</v>
      </c>
      <c r="AJ82" s="36">
        <v>20940</v>
      </c>
      <c r="AK82" s="36">
        <v>20940</v>
      </c>
      <c r="AL82" s="36">
        <v>20940</v>
      </c>
      <c r="AM82" s="36">
        <v>20940</v>
      </c>
      <c r="AN82" s="36">
        <v>20940</v>
      </c>
      <c r="AO82" s="36">
        <v>20940</v>
      </c>
      <c r="AP82" s="36">
        <v>20940</v>
      </c>
      <c r="AQ82" s="36">
        <v>20940</v>
      </c>
      <c r="AR82" s="36">
        <v>20940</v>
      </c>
      <c r="AS82" s="36">
        <v>20940</v>
      </c>
      <c r="AT82" s="36">
        <v>20940</v>
      </c>
      <c r="AU82" s="36">
        <v>20940</v>
      </c>
      <c r="AV82" s="36">
        <v>20940</v>
      </c>
      <c r="AW82" s="36">
        <v>10470</v>
      </c>
      <c r="AX82" s="36"/>
      <c r="AY82" s="36"/>
      <c r="AZ82" s="37">
        <f t="shared" si="10"/>
        <v>575850</v>
      </c>
      <c r="BA82" s="38">
        <f t="shared" si="12"/>
        <v>0</v>
      </c>
      <c r="BB82" s="39">
        <f t="shared" si="11"/>
        <v>429270</v>
      </c>
      <c r="BC82" s="40">
        <f t="shared" si="14"/>
        <v>575850</v>
      </c>
      <c r="BE82" s="24" t="b">
        <f t="shared" si="13"/>
        <v>1</v>
      </c>
      <c r="BF82" s="41"/>
    </row>
    <row r="83" spans="2:58" outlineLevel="1" x14ac:dyDescent="0.3">
      <c r="B83" s="42" t="s">
        <v>74</v>
      </c>
      <c r="C83" s="43"/>
      <c r="D83" s="44"/>
      <c r="E83" s="45"/>
      <c r="F83" s="46"/>
      <c r="G83" s="46"/>
      <c r="H83" s="46"/>
      <c r="I83" s="46"/>
      <c r="J83" s="47"/>
      <c r="K83" s="47"/>
      <c r="L83" s="47" t="s">
        <v>264</v>
      </c>
      <c r="M83" s="47"/>
      <c r="N83" s="48">
        <f>SUM(O83:P83)</f>
        <v>4.5049999999999999</v>
      </c>
      <c r="O83" s="48">
        <v>4.5049999999999999</v>
      </c>
      <c r="P83" s="48">
        <f>$P$4</f>
        <v>0</v>
      </c>
      <c r="Q83" s="48" t="s">
        <v>33</v>
      </c>
      <c r="R83" s="49">
        <f>19571.41</f>
        <v>19571.41</v>
      </c>
      <c r="S83" s="49">
        <v>6279.63</v>
      </c>
      <c r="T83" s="50">
        <f t="shared" si="9"/>
        <v>25851.040000000001</v>
      </c>
      <c r="U83" s="51">
        <f t="shared" si="8"/>
        <v>0</v>
      </c>
      <c r="V83" s="52">
        <f>19571.41+6279.63</f>
        <v>25851.040000000001</v>
      </c>
      <c r="W83" s="52">
        <f>SUM(W82:$AW82)*$N83/100</f>
        <v>24998.695499999998</v>
      </c>
      <c r="X83" s="52">
        <f>SUM(X82:$AW82)*$N83/100</f>
        <v>24055.3485</v>
      </c>
      <c r="Y83" s="52">
        <f>SUM(Y82:$AW82)*$N83/100</f>
        <v>23112.001499999998</v>
      </c>
      <c r="Z83" s="52">
        <f>SUM(Z82:$AW82)*$N83/100</f>
        <v>22168.654499999997</v>
      </c>
      <c r="AA83" s="52">
        <f>SUM(AA82:$AW82)*$N83/100</f>
        <v>21225.307499999999</v>
      </c>
      <c r="AB83" s="52">
        <f>SUM(AB82:$AW82)*$N83/100</f>
        <v>20281.960500000001</v>
      </c>
      <c r="AC83" s="52">
        <f>SUM(AC82:$AW82)*$N83/100</f>
        <v>19338.613499999999</v>
      </c>
      <c r="AD83" s="52">
        <f>SUM(AD82:$AW82)*$N83/100</f>
        <v>18395.266499999998</v>
      </c>
      <c r="AE83" s="52">
        <f>SUM(AE82:$AW82)*$N83/100</f>
        <v>17451.9195</v>
      </c>
      <c r="AF83" s="52">
        <f>SUM(AF82:$AW82)*$N83/100</f>
        <v>16508.572499999998</v>
      </c>
      <c r="AG83" s="52">
        <f>SUM(AG82:$AW82)*$N83/100</f>
        <v>15565.2255</v>
      </c>
      <c r="AH83" s="52">
        <f>SUM(AH82:$AW82)*$N83/100</f>
        <v>14621.878499999999</v>
      </c>
      <c r="AI83" s="52">
        <f>SUM(AI82:$AW82)*$N83/100</f>
        <v>13678.531499999999</v>
      </c>
      <c r="AJ83" s="52">
        <f>SUM(AJ82:$AW82)*$N83/100</f>
        <v>12735.184499999999</v>
      </c>
      <c r="AK83" s="52">
        <f>SUM(AK82:$AW82)*$N83/100</f>
        <v>11791.8375</v>
      </c>
      <c r="AL83" s="52">
        <f>SUM(AL82:$AW82)*$N83/100</f>
        <v>10848.4905</v>
      </c>
      <c r="AM83" s="52">
        <f>SUM(AM82:$AW82)*$N83/100</f>
        <v>9905.1435000000001</v>
      </c>
      <c r="AN83" s="52">
        <f>SUM(AN82:$AW82)*$N83/100</f>
        <v>8961.7965000000004</v>
      </c>
      <c r="AO83" s="52">
        <f>SUM(AO82:$AW82)*$N83/100</f>
        <v>8018.4494999999997</v>
      </c>
      <c r="AP83" s="52">
        <f>SUM(AP82:$AW82)*$N83/100</f>
        <v>7075.1025</v>
      </c>
      <c r="AQ83" s="52">
        <f>SUM(AQ82:$AW82)*$N83/100</f>
        <v>6131.7554999999993</v>
      </c>
      <c r="AR83" s="52">
        <f>SUM(AR82:$AW82)*$N83/100</f>
        <v>5188.4084999999995</v>
      </c>
      <c r="AS83" s="52">
        <f>SUM(AS82:$AW82)*$N83/100</f>
        <v>4245.0614999999998</v>
      </c>
      <c r="AT83" s="52">
        <f>SUM(AT82:$AW82)*$N83/100</f>
        <v>3301.7145</v>
      </c>
      <c r="AU83" s="52">
        <f>SUM(AU82:$AW82)*$N83/100</f>
        <v>2358.3674999999998</v>
      </c>
      <c r="AV83" s="52">
        <f>SUM(AV82:$AW82)*$N83/100</f>
        <v>1415.0204999999999</v>
      </c>
      <c r="AW83" s="52">
        <f>SUM(AW82:$AW82)*$N83/100</f>
        <v>471.67349999999999</v>
      </c>
      <c r="AX83" s="52"/>
      <c r="AY83" s="52"/>
      <c r="AZ83" s="53">
        <f t="shared" si="10"/>
        <v>369701.02149999997</v>
      </c>
      <c r="BA83" s="38">
        <f t="shared" si="12"/>
        <v>0</v>
      </c>
      <c r="BB83" s="54">
        <f t="shared" si="11"/>
        <v>208008.01350000003</v>
      </c>
      <c r="BC83" s="55">
        <f t="shared" si="14"/>
        <v>369701.02150000003</v>
      </c>
      <c r="BE83" s="24" t="b">
        <f t="shared" si="13"/>
        <v>1</v>
      </c>
    </row>
    <row r="84" spans="2:58" s="24" customFormat="1" outlineLevel="1" x14ac:dyDescent="0.3">
      <c r="B84" s="25" t="s">
        <v>74</v>
      </c>
      <c r="C84" s="26">
        <v>40</v>
      </c>
      <c r="D84" s="27" t="s">
        <v>265</v>
      </c>
      <c r="E84" s="28" t="s">
        <v>266</v>
      </c>
      <c r="F84" s="29" t="s">
        <v>267</v>
      </c>
      <c r="G84" s="29" t="s">
        <v>268</v>
      </c>
      <c r="H84" s="29" t="s">
        <v>269</v>
      </c>
      <c r="I84" s="29" t="s">
        <v>29</v>
      </c>
      <c r="J84" s="30">
        <v>131926.07</v>
      </c>
      <c r="K84" s="31">
        <v>121795.07</v>
      </c>
      <c r="L84" s="31"/>
      <c r="M84" s="31"/>
      <c r="N84" s="32"/>
      <c r="O84" s="32"/>
      <c r="P84" s="32"/>
      <c r="Q84" s="32" t="s">
        <v>30</v>
      </c>
      <c r="R84" s="33">
        <v>1693</v>
      </c>
      <c r="S84" s="33">
        <v>5079</v>
      </c>
      <c r="T84" s="34">
        <f t="shared" si="9"/>
        <v>6772</v>
      </c>
      <c r="U84" s="35">
        <f t="shared" si="8"/>
        <v>0</v>
      </c>
      <c r="V84" s="36">
        <v>6772</v>
      </c>
      <c r="W84" s="36">
        <v>6772</v>
      </c>
      <c r="X84" s="36">
        <v>6772</v>
      </c>
      <c r="Y84" s="36">
        <v>6772</v>
      </c>
      <c r="Z84" s="36">
        <v>6772</v>
      </c>
      <c r="AA84" s="36">
        <v>6772</v>
      </c>
      <c r="AB84" s="36">
        <v>6772</v>
      </c>
      <c r="AC84" s="36">
        <v>6772</v>
      </c>
      <c r="AD84" s="36">
        <v>6772</v>
      </c>
      <c r="AE84" s="36">
        <v>6772</v>
      </c>
      <c r="AF84" s="36">
        <v>6772</v>
      </c>
      <c r="AG84" s="36">
        <v>6772</v>
      </c>
      <c r="AH84" s="36">
        <v>6772</v>
      </c>
      <c r="AI84" s="36">
        <v>6772</v>
      </c>
      <c r="AJ84" s="36">
        <v>6772</v>
      </c>
      <c r="AK84" s="36">
        <v>6772</v>
      </c>
      <c r="AL84" s="36">
        <v>6772</v>
      </c>
      <c r="AM84" s="36">
        <v>3285.0699999999997</v>
      </c>
      <c r="AN84" s="36">
        <v>0</v>
      </c>
      <c r="AO84" s="36">
        <v>0</v>
      </c>
      <c r="AP84" s="36">
        <v>0</v>
      </c>
      <c r="AQ84" s="36">
        <v>0</v>
      </c>
      <c r="AR84" s="36">
        <v>0</v>
      </c>
      <c r="AS84" s="36">
        <v>0</v>
      </c>
      <c r="AT84" s="36">
        <v>0</v>
      </c>
      <c r="AU84" s="36">
        <v>0</v>
      </c>
      <c r="AV84" s="36">
        <v>0</v>
      </c>
      <c r="AW84" s="36">
        <v>0</v>
      </c>
      <c r="AX84" s="36"/>
      <c r="AY84" s="36"/>
      <c r="AZ84" s="37">
        <f t="shared" si="10"/>
        <v>118409.07</v>
      </c>
      <c r="BA84" s="38">
        <f t="shared" si="12"/>
        <v>0</v>
      </c>
      <c r="BB84" s="39">
        <f t="shared" si="11"/>
        <v>71005.070000000007</v>
      </c>
      <c r="BC84" s="40">
        <f t="shared" si="14"/>
        <v>118409.07</v>
      </c>
      <c r="BE84" s="24" t="b">
        <f t="shared" si="13"/>
        <v>1</v>
      </c>
      <c r="BF84" s="41"/>
    </row>
    <row r="85" spans="2:58" outlineLevel="1" x14ac:dyDescent="0.3">
      <c r="B85" s="42" t="s">
        <v>74</v>
      </c>
      <c r="C85" s="43"/>
      <c r="D85" s="44"/>
      <c r="E85" s="45"/>
      <c r="F85" s="46"/>
      <c r="G85" s="46"/>
      <c r="H85" s="46"/>
      <c r="I85" s="46"/>
      <c r="J85" s="47"/>
      <c r="K85" s="47"/>
      <c r="L85" s="47" t="s">
        <v>270</v>
      </c>
      <c r="M85" s="47"/>
      <c r="N85" s="48">
        <f>SUM(O85:P85)</f>
        <v>4.41</v>
      </c>
      <c r="O85" s="48">
        <v>4.41</v>
      </c>
      <c r="P85" s="48">
        <f>$P$4</f>
        <v>0</v>
      </c>
      <c r="Q85" s="48" t="s">
        <v>33</v>
      </c>
      <c r="R85" s="49">
        <f>3941.81</f>
        <v>3941.81</v>
      </c>
      <c r="S85" s="49">
        <v>1227.72</v>
      </c>
      <c r="T85" s="50">
        <f t="shared" si="9"/>
        <v>5169.53</v>
      </c>
      <c r="U85" s="51">
        <f t="shared" si="8"/>
        <v>0</v>
      </c>
      <c r="V85" s="52">
        <f>3941.81+1227.72</f>
        <v>5169.53</v>
      </c>
      <c r="W85" s="52">
        <f>SUM(W84:$AW84)*$N85/100</f>
        <v>4923.1947870000004</v>
      </c>
      <c r="X85" s="52">
        <f>SUM(X84:$AW84)*$N85/100</f>
        <v>4624.5495870000004</v>
      </c>
      <c r="Y85" s="52">
        <f>SUM(Y84:$AW84)*$N85/100</f>
        <v>4325.9043870000005</v>
      </c>
      <c r="Z85" s="52">
        <f>SUM(Z84:$AW84)*$N85/100</f>
        <v>4027.2591870000006</v>
      </c>
      <c r="AA85" s="52">
        <f>SUM(AA84:$AW84)*$N85/100</f>
        <v>3728.6139870000002</v>
      </c>
      <c r="AB85" s="52">
        <f>SUM(AB84:$AW84)*$N85/100</f>
        <v>3429.9687870000007</v>
      </c>
      <c r="AC85" s="52">
        <f>SUM(AC84:$AW84)*$N85/100</f>
        <v>3131.3235870000003</v>
      </c>
      <c r="AD85" s="52">
        <f>SUM(AD84:$AW84)*$N85/100</f>
        <v>2832.6783870000004</v>
      </c>
      <c r="AE85" s="52">
        <f>SUM(AE84:$AW84)*$N85/100</f>
        <v>2534.033187</v>
      </c>
      <c r="AF85" s="52">
        <f>SUM(AF84:$AW84)*$N85/100</f>
        <v>2235.3879870000001</v>
      </c>
      <c r="AG85" s="52">
        <f>SUM(AG84:$AW84)*$N85/100</f>
        <v>1936.7427869999999</v>
      </c>
      <c r="AH85" s="52">
        <f>SUM(AH84:$AW84)*$N85/100</f>
        <v>1638.097587</v>
      </c>
      <c r="AI85" s="52">
        <f>SUM(AI84:$AW84)*$N85/100</f>
        <v>1339.4523870000003</v>
      </c>
      <c r="AJ85" s="52">
        <f>SUM(AJ84:$AW84)*$N85/100</f>
        <v>1040.8071869999999</v>
      </c>
      <c r="AK85" s="52">
        <f>SUM(AK84:$AW84)*$N85/100</f>
        <v>742.16198700000007</v>
      </c>
      <c r="AL85" s="52">
        <f>SUM(AL84:$AW84)*$N85/100</f>
        <v>443.51678699999997</v>
      </c>
      <c r="AM85" s="52">
        <f>SUM(AM84:$AW84)*$N85/100</f>
        <v>144.87158700000001</v>
      </c>
      <c r="AN85" s="52">
        <v>0</v>
      </c>
      <c r="AO85" s="52">
        <v>0</v>
      </c>
      <c r="AP85" s="52">
        <v>0</v>
      </c>
      <c r="AQ85" s="52">
        <v>0</v>
      </c>
      <c r="AR85" s="52">
        <v>0</v>
      </c>
      <c r="AS85" s="52">
        <v>0</v>
      </c>
      <c r="AT85" s="52">
        <v>0</v>
      </c>
      <c r="AU85" s="52">
        <v>0</v>
      </c>
      <c r="AV85" s="52">
        <v>0</v>
      </c>
      <c r="AW85" s="52">
        <v>0</v>
      </c>
      <c r="AX85" s="52"/>
      <c r="AY85" s="52"/>
      <c r="AZ85" s="53">
        <f t="shared" si="10"/>
        <v>48248.094179000007</v>
      </c>
      <c r="BA85" s="38">
        <f t="shared" si="12"/>
        <v>0</v>
      </c>
      <c r="BB85" s="54">
        <f t="shared" si="11"/>
        <v>18019.073456999999</v>
      </c>
      <c r="BC85" s="55">
        <f t="shared" si="14"/>
        <v>48248.094179000007</v>
      </c>
      <c r="BE85" s="24" t="b">
        <f t="shared" si="13"/>
        <v>1</v>
      </c>
    </row>
    <row r="86" spans="2:58" s="24" customFormat="1" outlineLevel="1" x14ac:dyDescent="0.3">
      <c r="B86" s="25" t="s">
        <v>74</v>
      </c>
      <c r="C86" s="26">
        <v>41</v>
      </c>
      <c r="D86" s="27" t="s">
        <v>271</v>
      </c>
      <c r="E86" s="28" t="s">
        <v>272</v>
      </c>
      <c r="F86" s="29" t="s">
        <v>273</v>
      </c>
      <c r="G86" s="29" t="s">
        <v>268</v>
      </c>
      <c r="H86" s="29" t="s">
        <v>269</v>
      </c>
      <c r="I86" s="29" t="s">
        <v>29</v>
      </c>
      <c r="J86" s="30">
        <v>145332</v>
      </c>
      <c r="K86" s="31">
        <v>134208</v>
      </c>
      <c r="L86" s="31"/>
      <c r="M86" s="31"/>
      <c r="N86" s="32"/>
      <c r="O86" s="32"/>
      <c r="P86" s="32"/>
      <c r="Q86" s="32" t="s">
        <v>30</v>
      </c>
      <c r="R86" s="33">
        <v>1864</v>
      </c>
      <c r="S86" s="33">
        <v>5592</v>
      </c>
      <c r="T86" s="34">
        <f t="shared" si="9"/>
        <v>7456</v>
      </c>
      <c r="U86" s="35">
        <f t="shared" si="8"/>
        <v>0</v>
      </c>
      <c r="V86" s="36">
        <v>7456</v>
      </c>
      <c r="W86" s="36">
        <v>7456</v>
      </c>
      <c r="X86" s="36">
        <v>7456</v>
      </c>
      <c r="Y86" s="36">
        <v>7456</v>
      </c>
      <c r="Z86" s="36">
        <v>7456</v>
      </c>
      <c r="AA86" s="36">
        <v>7456</v>
      </c>
      <c r="AB86" s="36">
        <v>7456</v>
      </c>
      <c r="AC86" s="36">
        <v>7456</v>
      </c>
      <c r="AD86" s="36">
        <v>7456</v>
      </c>
      <c r="AE86" s="36">
        <v>7456</v>
      </c>
      <c r="AF86" s="36">
        <v>7456</v>
      </c>
      <c r="AG86" s="36">
        <v>7456</v>
      </c>
      <c r="AH86" s="36">
        <v>7456</v>
      </c>
      <c r="AI86" s="36">
        <v>7456</v>
      </c>
      <c r="AJ86" s="36">
        <v>7456</v>
      </c>
      <c r="AK86" s="36">
        <v>7456</v>
      </c>
      <c r="AL86" s="36">
        <v>7456</v>
      </c>
      <c r="AM86" s="36">
        <v>3728</v>
      </c>
      <c r="AN86" s="36">
        <v>0</v>
      </c>
      <c r="AO86" s="36">
        <v>0</v>
      </c>
      <c r="AP86" s="36">
        <v>0</v>
      </c>
      <c r="AQ86" s="36">
        <v>0</v>
      </c>
      <c r="AR86" s="36">
        <v>0</v>
      </c>
      <c r="AS86" s="36">
        <v>0</v>
      </c>
      <c r="AT86" s="36">
        <v>0</v>
      </c>
      <c r="AU86" s="36">
        <v>0</v>
      </c>
      <c r="AV86" s="36">
        <v>0</v>
      </c>
      <c r="AW86" s="36">
        <v>0</v>
      </c>
      <c r="AX86" s="36"/>
      <c r="AY86" s="36"/>
      <c r="AZ86" s="37">
        <f t="shared" si="10"/>
        <v>130480</v>
      </c>
      <c r="BA86" s="38">
        <f t="shared" si="12"/>
        <v>0</v>
      </c>
      <c r="BB86" s="39">
        <f t="shared" si="11"/>
        <v>78288</v>
      </c>
      <c r="BC86" s="40">
        <f t="shared" si="14"/>
        <v>130480</v>
      </c>
      <c r="BE86" s="24" t="b">
        <f t="shared" si="13"/>
        <v>1</v>
      </c>
      <c r="BF86" s="41"/>
    </row>
    <row r="87" spans="2:58" outlineLevel="1" x14ac:dyDescent="0.3">
      <c r="B87" s="42" t="s">
        <v>74</v>
      </c>
      <c r="C87" s="43"/>
      <c r="D87" s="44" t="s">
        <v>274</v>
      </c>
      <c r="E87" s="45"/>
      <c r="F87" s="46"/>
      <c r="G87" s="46"/>
      <c r="H87" s="46"/>
      <c r="I87" s="46"/>
      <c r="J87" s="47"/>
      <c r="K87" s="47"/>
      <c r="L87" s="47" t="s">
        <v>270</v>
      </c>
      <c r="M87" s="47"/>
      <c r="N87" s="48">
        <f>SUM(O87:P87)</f>
        <v>4.41</v>
      </c>
      <c r="O87" s="48">
        <v>4.41</v>
      </c>
      <c r="P87" s="48">
        <f>$P$4</f>
        <v>0</v>
      </c>
      <c r="Q87" s="48" t="s">
        <v>33</v>
      </c>
      <c r="R87" s="49">
        <f>4343.68</f>
        <v>4343.68</v>
      </c>
      <c r="S87" s="49">
        <v>1352.9</v>
      </c>
      <c r="T87" s="50">
        <f t="shared" si="9"/>
        <v>5696.58</v>
      </c>
      <c r="U87" s="51">
        <f t="shared" si="8"/>
        <v>0</v>
      </c>
      <c r="V87" s="52">
        <f>4343.68+1352.9</f>
        <v>5696.58</v>
      </c>
      <c r="W87" s="52">
        <f>SUM(W86:$AW86)*$N87/100</f>
        <v>5425.3584000000001</v>
      </c>
      <c r="X87" s="52">
        <f>SUM(X86:$AW86)*$N87/100</f>
        <v>5096.5488000000005</v>
      </c>
      <c r="Y87" s="52">
        <f>SUM(Y86:$AW86)*$N87/100</f>
        <v>4767.7392</v>
      </c>
      <c r="Z87" s="52">
        <f>SUM(Z86:$AW86)*$N87/100</f>
        <v>4438.9296000000004</v>
      </c>
      <c r="AA87" s="52">
        <f>SUM(AA86:$AW86)*$N87/100</f>
        <v>4110.12</v>
      </c>
      <c r="AB87" s="52">
        <f>SUM(AB86:$AW86)*$N87/100</f>
        <v>3781.3104000000003</v>
      </c>
      <c r="AC87" s="52">
        <f>SUM(AC86:$AW86)*$N87/100</f>
        <v>3452.5008000000003</v>
      </c>
      <c r="AD87" s="52">
        <f>SUM(AD86:$AW86)*$N87/100</f>
        <v>3123.6911999999998</v>
      </c>
      <c r="AE87" s="52">
        <f>SUM(AE86:$AW86)*$N87/100</f>
        <v>2794.8816000000002</v>
      </c>
      <c r="AF87" s="52">
        <f>SUM(AF86:$AW86)*$N87/100</f>
        <v>2466.0720000000001</v>
      </c>
      <c r="AG87" s="52">
        <f>SUM(AG86:$AW86)*$N87/100</f>
        <v>2137.2624000000001</v>
      </c>
      <c r="AH87" s="52">
        <f>SUM(AH86:$AW86)*$N87/100</f>
        <v>1808.4528</v>
      </c>
      <c r="AI87" s="52">
        <f>SUM(AI86:$AW86)*$N87/100</f>
        <v>1479.6432</v>
      </c>
      <c r="AJ87" s="52">
        <f>SUM(AJ86:$AW86)*$N87/100</f>
        <v>1150.8335999999999</v>
      </c>
      <c r="AK87" s="52">
        <f>SUM(AK86:$AW86)*$N87/100</f>
        <v>822.02400000000011</v>
      </c>
      <c r="AL87" s="52">
        <f>SUM(AL86:$AW86)*$N87/100</f>
        <v>493.21440000000001</v>
      </c>
      <c r="AM87" s="52">
        <f>SUM(AM86:$AW86)*$N87/100</f>
        <v>164.40479999999999</v>
      </c>
      <c r="AN87" s="52">
        <v>0</v>
      </c>
      <c r="AO87" s="52">
        <v>0</v>
      </c>
      <c r="AP87" s="52">
        <v>0</v>
      </c>
      <c r="AQ87" s="52">
        <v>0</v>
      </c>
      <c r="AR87" s="52">
        <v>0</v>
      </c>
      <c r="AS87" s="52">
        <v>0</v>
      </c>
      <c r="AT87" s="52">
        <v>0</v>
      </c>
      <c r="AU87" s="52">
        <v>0</v>
      </c>
      <c r="AV87" s="52">
        <v>0</v>
      </c>
      <c r="AW87" s="52">
        <v>0</v>
      </c>
      <c r="AX87" s="52"/>
      <c r="AY87" s="52"/>
      <c r="AZ87" s="53">
        <f t="shared" si="10"/>
        <v>53209.56719999999</v>
      </c>
      <c r="BA87" s="38">
        <f t="shared" si="12"/>
        <v>0</v>
      </c>
      <c r="BB87" s="54">
        <f t="shared" si="11"/>
        <v>19892.980800000001</v>
      </c>
      <c r="BC87" s="55">
        <f t="shared" si="14"/>
        <v>53209.567200000005</v>
      </c>
      <c r="BE87" s="24" t="b">
        <f t="shared" si="13"/>
        <v>1</v>
      </c>
    </row>
    <row r="88" spans="2:58" s="24" customFormat="1" outlineLevel="1" x14ac:dyDescent="0.3">
      <c r="B88" s="25" t="s">
        <v>23</v>
      </c>
      <c r="C88" s="26">
        <v>42</v>
      </c>
      <c r="D88" s="27" t="s">
        <v>275</v>
      </c>
      <c r="E88" s="28" t="s">
        <v>276</v>
      </c>
      <c r="F88" s="29" t="s">
        <v>277</v>
      </c>
      <c r="G88" s="29" t="s">
        <v>278</v>
      </c>
      <c r="H88" s="29" t="s">
        <v>279</v>
      </c>
      <c r="I88" s="29" t="s">
        <v>29</v>
      </c>
      <c r="J88" s="30">
        <v>141294</v>
      </c>
      <c r="K88" s="31">
        <v>96681</v>
      </c>
      <c r="L88" s="31"/>
      <c r="M88" s="31"/>
      <c r="N88" s="32"/>
      <c r="O88" s="32"/>
      <c r="P88" s="32"/>
      <c r="Q88" s="32" t="s">
        <v>30</v>
      </c>
      <c r="R88" s="33">
        <v>7437</v>
      </c>
      <c r="S88" s="33">
        <v>22311</v>
      </c>
      <c r="T88" s="34">
        <f t="shared" si="9"/>
        <v>29748</v>
      </c>
      <c r="U88" s="35">
        <f t="shared" si="8"/>
        <v>0</v>
      </c>
      <c r="V88" s="36">
        <v>29748</v>
      </c>
      <c r="W88" s="36">
        <v>29748</v>
      </c>
      <c r="X88" s="36">
        <v>22311</v>
      </c>
      <c r="Y88" s="36">
        <v>0</v>
      </c>
      <c r="Z88" s="36">
        <v>0</v>
      </c>
      <c r="AA88" s="36">
        <v>0</v>
      </c>
      <c r="AB88" s="36">
        <v>0</v>
      </c>
      <c r="AC88" s="36">
        <v>0</v>
      </c>
      <c r="AD88" s="36">
        <v>0</v>
      </c>
      <c r="AE88" s="36">
        <v>0</v>
      </c>
      <c r="AF88" s="36">
        <v>0</v>
      </c>
      <c r="AG88" s="36">
        <v>0</v>
      </c>
      <c r="AH88" s="36">
        <v>0</v>
      </c>
      <c r="AI88" s="36">
        <v>0</v>
      </c>
      <c r="AJ88" s="36">
        <v>0</v>
      </c>
      <c r="AK88" s="36">
        <v>0</v>
      </c>
      <c r="AL88" s="36">
        <v>0</v>
      </c>
      <c r="AM88" s="36">
        <v>0</v>
      </c>
      <c r="AN88" s="36">
        <v>0</v>
      </c>
      <c r="AO88" s="36">
        <v>0</v>
      </c>
      <c r="AP88" s="36">
        <v>0</v>
      </c>
      <c r="AQ88" s="36">
        <v>0</v>
      </c>
      <c r="AR88" s="36">
        <v>0</v>
      </c>
      <c r="AS88" s="36">
        <v>0</v>
      </c>
      <c r="AT88" s="36">
        <v>0</v>
      </c>
      <c r="AU88" s="36">
        <v>0</v>
      </c>
      <c r="AV88" s="36">
        <v>0</v>
      </c>
      <c r="AW88" s="36">
        <v>0</v>
      </c>
      <c r="AX88" s="36"/>
      <c r="AY88" s="36"/>
      <c r="AZ88" s="37">
        <f t="shared" si="10"/>
        <v>81807</v>
      </c>
      <c r="BA88" s="38">
        <f t="shared" si="12"/>
        <v>0</v>
      </c>
      <c r="BB88" s="39">
        <f t="shared" si="11"/>
        <v>0</v>
      </c>
      <c r="BC88" s="40">
        <f t="shared" si="14"/>
        <v>81807</v>
      </c>
      <c r="BE88" s="24" t="b">
        <f t="shared" si="13"/>
        <v>1</v>
      </c>
      <c r="BF88" s="41"/>
    </row>
    <row r="89" spans="2:58" outlineLevel="1" x14ac:dyDescent="0.3">
      <c r="B89" s="42" t="s">
        <v>23</v>
      </c>
      <c r="C89" s="43"/>
      <c r="D89" s="44"/>
      <c r="E89" s="45"/>
      <c r="F89" s="46"/>
      <c r="G89" s="46"/>
      <c r="H89" s="46"/>
      <c r="I89" s="46"/>
      <c r="J89" s="47"/>
      <c r="K89" s="47"/>
      <c r="L89" s="47">
        <v>0</v>
      </c>
      <c r="M89" s="47" t="s">
        <v>219</v>
      </c>
      <c r="N89" s="48">
        <f>SUM(O89:P89)</f>
        <v>0.25</v>
      </c>
      <c r="O89" s="48">
        <v>0.25</v>
      </c>
      <c r="P89" s="48">
        <f>$P$4</f>
        <v>0</v>
      </c>
      <c r="Q89" s="48" t="s">
        <v>33</v>
      </c>
      <c r="R89" s="49">
        <f>153.91</f>
        <v>153.91</v>
      </c>
      <c r="S89" s="49">
        <v>42.19</v>
      </c>
      <c r="T89" s="50">
        <f t="shared" si="9"/>
        <v>196.1</v>
      </c>
      <c r="U89" s="51">
        <f t="shared" si="8"/>
        <v>0.5</v>
      </c>
      <c r="V89" s="52">
        <f>153.91+42.19+0.5</f>
        <v>196.6</v>
      </c>
      <c r="W89" s="52">
        <f>SUM(W88:$AW88)*$N89/100</f>
        <v>130.14750000000001</v>
      </c>
      <c r="X89" s="52">
        <f>SUM(X88:$AW88)*$N89/100</f>
        <v>55.777500000000003</v>
      </c>
      <c r="Y89" s="52">
        <v>0</v>
      </c>
      <c r="Z89" s="52">
        <v>0</v>
      </c>
      <c r="AA89" s="52">
        <v>0</v>
      </c>
      <c r="AB89" s="52">
        <v>0</v>
      </c>
      <c r="AC89" s="52">
        <v>0</v>
      </c>
      <c r="AD89" s="52">
        <v>0</v>
      </c>
      <c r="AE89" s="52">
        <v>0</v>
      </c>
      <c r="AF89" s="52">
        <v>0</v>
      </c>
      <c r="AG89" s="52">
        <v>0</v>
      </c>
      <c r="AH89" s="52">
        <v>0</v>
      </c>
      <c r="AI89" s="52">
        <v>0</v>
      </c>
      <c r="AJ89" s="52">
        <v>0</v>
      </c>
      <c r="AK89" s="52">
        <v>0</v>
      </c>
      <c r="AL89" s="52">
        <v>0</v>
      </c>
      <c r="AM89" s="52">
        <v>0</v>
      </c>
      <c r="AN89" s="52">
        <v>0</v>
      </c>
      <c r="AO89" s="52">
        <v>0</v>
      </c>
      <c r="AP89" s="52">
        <v>0</v>
      </c>
      <c r="AQ89" s="52">
        <v>0</v>
      </c>
      <c r="AR89" s="52">
        <v>0</v>
      </c>
      <c r="AS89" s="52">
        <v>0</v>
      </c>
      <c r="AT89" s="52">
        <v>0</v>
      </c>
      <c r="AU89" s="52">
        <v>0</v>
      </c>
      <c r="AV89" s="52">
        <v>0</v>
      </c>
      <c r="AW89" s="52">
        <v>0</v>
      </c>
      <c r="AX89" s="52"/>
      <c r="AY89" s="52"/>
      <c r="AZ89" s="53">
        <f t="shared" si="10"/>
        <v>382.52499999999998</v>
      </c>
      <c r="BA89" s="38">
        <f t="shared" si="12"/>
        <v>0</v>
      </c>
      <c r="BB89" s="54">
        <f t="shared" si="11"/>
        <v>0</v>
      </c>
      <c r="BC89" s="55">
        <f t="shared" si="14"/>
        <v>382.52499999999998</v>
      </c>
      <c r="BE89" s="24" t="b">
        <f t="shared" si="13"/>
        <v>1</v>
      </c>
    </row>
    <row r="90" spans="2:58" s="24" customFormat="1" outlineLevel="1" x14ac:dyDescent="0.3">
      <c r="B90" s="25" t="s">
        <v>23</v>
      </c>
      <c r="C90" s="26">
        <v>43</v>
      </c>
      <c r="D90" s="27" t="s">
        <v>280</v>
      </c>
      <c r="E90" s="28" t="s">
        <v>281</v>
      </c>
      <c r="F90" s="29" t="s">
        <v>282</v>
      </c>
      <c r="G90" s="29" t="s">
        <v>283</v>
      </c>
      <c r="H90" s="29" t="s">
        <v>284</v>
      </c>
      <c r="I90" s="29" t="s">
        <v>29</v>
      </c>
      <c r="J90" s="30">
        <v>186392</v>
      </c>
      <c r="K90" s="31">
        <v>164720</v>
      </c>
      <c r="L90" s="31"/>
      <c r="M90" s="31"/>
      <c r="N90" s="32"/>
      <c r="O90" s="32">
        <v>3.4460000000000002</v>
      </c>
      <c r="P90" s="32"/>
      <c r="Q90" s="32" t="s">
        <v>30</v>
      </c>
      <c r="R90" s="33">
        <v>4340</v>
      </c>
      <c r="S90" s="33">
        <v>13020</v>
      </c>
      <c r="T90" s="34">
        <f t="shared" si="9"/>
        <v>17360</v>
      </c>
      <c r="U90" s="35">
        <f t="shared" si="8"/>
        <v>0</v>
      </c>
      <c r="V90" s="36">
        <v>17360</v>
      </c>
      <c r="W90" s="36">
        <v>15080</v>
      </c>
      <c r="X90" s="36">
        <v>8240</v>
      </c>
      <c r="Y90" s="36">
        <v>8240</v>
      </c>
      <c r="Z90" s="36">
        <v>8240</v>
      </c>
      <c r="AA90" s="36">
        <v>8240</v>
      </c>
      <c r="AB90" s="36">
        <v>8240</v>
      </c>
      <c r="AC90" s="36">
        <v>8240</v>
      </c>
      <c r="AD90" s="36">
        <v>8240</v>
      </c>
      <c r="AE90" s="36">
        <v>8240</v>
      </c>
      <c r="AF90" s="36">
        <v>8240</v>
      </c>
      <c r="AG90" s="36">
        <v>8240</v>
      </c>
      <c r="AH90" s="36">
        <v>8240</v>
      </c>
      <c r="AI90" s="36">
        <v>8240</v>
      </c>
      <c r="AJ90" s="36">
        <v>8240</v>
      </c>
      <c r="AK90" s="36">
        <v>8240</v>
      </c>
      <c r="AL90" s="36">
        <v>8240</v>
      </c>
      <c r="AM90" s="36">
        <v>0</v>
      </c>
      <c r="AN90" s="36">
        <v>0</v>
      </c>
      <c r="AO90" s="36">
        <v>0</v>
      </c>
      <c r="AP90" s="36">
        <v>0</v>
      </c>
      <c r="AQ90" s="36">
        <v>0</v>
      </c>
      <c r="AR90" s="36">
        <v>0</v>
      </c>
      <c r="AS90" s="36">
        <v>0</v>
      </c>
      <c r="AT90" s="36">
        <v>0</v>
      </c>
      <c r="AU90" s="36">
        <v>0</v>
      </c>
      <c r="AV90" s="36">
        <v>0</v>
      </c>
      <c r="AW90" s="36">
        <v>0</v>
      </c>
      <c r="AX90" s="36"/>
      <c r="AY90" s="36"/>
      <c r="AZ90" s="37">
        <f t="shared" si="10"/>
        <v>156040</v>
      </c>
      <c r="BA90" s="38">
        <f t="shared" si="12"/>
        <v>0</v>
      </c>
      <c r="BB90" s="39">
        <f t="shared" si="11"/>
        <v>82400</v>
      </c>
      <c r="BC90" s="40">
        <f t="shared" si="14"/>
        <v>156040</v>
      </c>
      <c r="BE90" s="24" t="b">
        <f t="shared" si="13"/>
        <v>1</v>
      </c>
      <c r="BF90" s="41"/>
    </row>
    <row r="91" spans="2:58" outlineLevel="1" x14ac:dyDescent="0.3">
      <c r="B91" s="42" t="s">
        <v>23</v>
      </c>
      <c r="C91" s="43"/>
      <c r="D91" s="44" t="s">
        <v>285</v>
      </c>
      <c r="E91" s="45"/>
      <c r="F91" s="46"/>
      <c r="G91" s="46"/>
      <c r="H91" s="46"/>
      <c r="I91" s="46"/>
      <c r="J91" s="47"/>
      <c r="K91" s="47"/>
      <c r="L91" s="47" t="s">
        <v>286</v>
      </c>
      <c r="M91" s="47"/>
      <c r="N91" s="48">
        <f>SUM(O91:P91)</f>
        <v>4.5999999999999996</v>
      </c>
      <c r="O91" s="57">
        <v>4.5999999999999996</v>
      </c>
      <c r="P91" s="48">
        <f>$P$4</f>
        <v>0</v>
      </c>
      <c r="Q91" s="48" t="s">
        <v>33</v>
      </c>
      <c r="R91" s="49">
        <f>5040.24</f>
        <v>5040.24</v>
      </c>
      <c r="S91" s="49">
        <v>1690.92</v>
      </c>
      <c r="T91" s="50">
        <f t="shared" si="9"/>
        <v>6731.16</v>
      </c>
      <c r="U91" s="51">
        <f t="shared" si="8"/>
        <v>0.5</v>
      </c>
      <c r="V91" s="52">
        <f>5040.24+1690.92+0.5</f>
        <v>6731.66</v>
      </c>
      <c r="W91" s="52">
        <f>SUM(W90:$AW90)*$N91/100</f>
        <v>6379.28</v>
      </c>
      <c r="X91" s="52">
        <f>SUM(X90:$AW90)*$N91/100</f>
        <v>5685.6</v>
      </c>
      <c r="Y91" s="52">
        <f>SUM(Y90:$AW90)*$N91/100</f>
        <v>5306.56</v>
      </c>
      <c r="Z91" s="52">
        <f>SUM(Z90:$AW90)*$N91/100</f>
        <v>4927.5199999999995</v>
      </c>
      <c r="AA91" s="52">
        <f>SUM(AA90:$AW90)*$N91/100</f>
        <v>4548.4799999999996</v>
      </c>
      <c r="AB91" s="52">
        <f>SUM(AB90:$AW90)*$N91/100</f>
        <v>4169.4399999999996</v>
      </c>
      <c r="AC91" s="52">
        <f>SUM(AC90:$AW90)*$N91/100</f>
        <v>3790.3999999999996</v>
      </c>
      <c r="AD91" s="52">
        <f>SUM(AD90:$AW90)*$N91/100</f>
        <v>3411.36</v>
      </c>
      <c r="AE91" s="52">
        <f>SUM(AE90:$AW90)*$N91/100</f>
        <v>3032.32</v>
      </c>
      <c r="AF91" s="52">
        <f>SUM(AF90:$AW90)*$N91/100</f>
        <v>2653.28</v>
      </c>
      <c r="AG91" s="52">
        <f>SUM(AG90:$AW90)*$N91/100</f>
        <v>2274.2399999999998</v>
      </c>
      <c r="AH91" s="52">
        <f>SUM(AH90:$AW90)*$N91/100</f>
        <v>1895.1999999999998</v>
      </c>
      <c r="AI91" s="52">
        <f>SUM(AI90:$AW90)*$N91/100</f>
        <v>1516.16</v>
      </c>
      <c r="AJ91" s="52">
        <f>SUM(AJ90:$AW90)*$N91/100</f>
        <v>1137.1199999999999</v>
      </c>
      <c r="AK91" s="52">
        <f>SUM(AK90:$AW90)*$N91/100</f>
        <v>758.08</v>
      </c>
      <c r="AL91" s="52">
        <f>SUM(AL90:$AW90)*$N91/100</f>
        <v>379.04</v>
      </c>
      <c r="AM91" s="52">
        <v>0</v>
      </c>
      <c r="AN91" s="52">
        <v>0</v>
      </c>
      <c r="AO91" s="52">
        <v>0</v>
      </c>
      <c r="AP91" s="52">
        <v>0</v>
      </c>
      <c r="AQ91" s="52">
        <v>0</v>
      </c>
      <c r="AR91" s="52">
        <v>0</v>
      </c>
      <c r="AS91" s="52">
        <v>0</v>
      </c>
      <c r="AT91" s="52">
        <v>0</v>
      </c>
      <c r="AU91" s="52">
        <v>0</v>
      </c>
      <c r="AV91" s="52">
        <v>0</v>
      </c>
      <c r="AW91" s="52">
        <v>0</v>
      </c>
      <c r="AX91" s="52"/>
      <c r="AY91" s="52"/>
      <c r="AZ91" s="53">
        <f t="shared" si="10"/>
        <v>58595.740000000013</v>
      </c>
      <c r="BA91" s="38">
        <f t="shared" si="12"/>
        <v>0</v>
      </c>
      <c r="BB91" s="54">
        <f t="shared" si="11"/>
        <v>20847.2</v>
      </c>
      <c r="BC91" s="55">
        <f t="shared" si="14"/>
        <v>58595.740000000005</v>
      </c>
      <c r="BE91" s="24" t="b">
        <f t="shared" si="13"/>
        <v>1</v>
      </c>
    </row>
    <row r="92" spans="2:58" s="24" customFormat="1" outlineLevel="1" x14ac:dyDescent="0.3">
      <c r="B92" s="25" t="s">
        <v>23</v>
      </c>
      <c r="C92" s="26">
        <v>44</v>
      </c>
      <c r="D92" s="27" t="s">
        <v>287</v>
      </c>
      <c r="E92" s="28" t="s">
        <v>288</v>
      </c>
      <c r="F92" s="29" t="s">
        <v>289</v>
      </c>
      <c r="G92" s="29" t="s">
        <v>283</v>
      </c>
      <c r="H92" s="29" t="s">
        <v>290</v>
      </c>
      <c r="I92" s="29" t="s">
        <v>29</v>
      </c>
      <c r="J92" s="30">
        <v>697002</v>
      </c>
      <c r="K92" s="31">
        <v>623662</v>
      </c>
      <c r="L92" s="31"/>
      <c r="M92" s="31"/>
      <c r="N92" s="32"/>
      <c r="O92" s="32">
        <v>3.302</v>
      </c>
      <c r="P92" s="32"/>
      <c r="Q92" s="32" t="s">
        <v>30</v>
      </c>
      <c r="R92" s="33">
        <v>18343</v>
      </c>
      <c r="S92" s="33">
        <v>55029</v>
      </c>
      <c r="T92" s="34">
        <f t="shared" si="9"/>
        <v>73372</v>
      </c>
      <c r="U92" s="35">
        <f t="shared" si="8"/>
        <v>0</v>
      </c>
      <c r="V92" s="36">
        <v>73372</v>
      </c>
      <c r="W92" s="36">
        <v>73372</v>
      </c>
      <c r="X92" s="36">
        <v>73372</v>
      </c>
      <c r="Y92" s="36">
        <v>73372</v>
      </c>
      <c r="Z92" s="36">
        <v>73372</v>
      </c>
      <c r="AA92" s="36">
        <v>73372</v>
      </c>
      <c r="AB92" s="36">
        <v>73372</v>
      </c>
      <c r="AC92" s="36">
        <v>73372</v>
      </c>
      <c r="AD92" s="36">
        <v>0</v>
      </c>
      <c r="AE92" s="36">
        <v>0</v>
      </c>
      <c r="AF92" s="36">
        <v>0</v>
      </c>
      <c r="AG92" s="36">
        <v>0</v>
      </c>
      <c r="AH92" s="36">
        <v>0</v>
      </c>
      <c r="AI92" s="36">
        <v>0</v>
      </c>
      <c r="AJ92" s="36">
        <v>0</v>
      </c>
      <c r="AK92" s="36">
        <v>0</v>
      </c>
      <c r="AL92" s="36">
        <v>0</v>
      </c>
      <c r="AM92" s="36">
        <v>0</v>
      </c>
      <c r="AN92" s="36">
        <v>0</v>
      </c>
      <c r="AO92" s="36">
        <v>0</v>
      </c>
      <c r="AP92" s="36">
        <v>0</v>
      </c>
      <c r="AQ92" s="36">
        <v>0</v>
      </c>
      <c r="AR92" s="36">
        <v>0</v>
      </c>
      <c r="AS92" s="36">
        <v>0</v>
      </c>
      <c r="AT92" s="36">
        <v>0</v>
      </c>
      <c r="AU92" s="36">
        <v>0</v>
      </c>
      <c r="AV92" s="36">
        <v>0</v>
      </c>
      <c r="AW92" s="36">
        <v>0</v>
      </c>
      <c r="AX92" s="36"/>
      <c r="AY92" s="36"/>
      <c r="AZ92" s="37">
        <f t="shared" si="10"/>
        <v>586976</v>
      </c>
      <c r="BA92" s="38">
        <f t="shared" si="12"/>
        <v>0</v>
      </c>
      <c r="BB92" s="39">
        <f t="shared" si="11"/>
        <v>73372</v>
      </c>
      <c r="BC92" s="40">
        <f t="shared" si="14"/>
        <v>586976</v>
      </c>
      <c r="BE92" s="24" t="b">
        <f t="shared" si="13"/>
        <v>1</v>
      </c>
      <c r="BF92" s="41"/>
    </row>
    <row r="93" spans="2:58" outlineLevel="1" x14ac:dyDescent="0.3">
      <c r="B93" s="42" t="s">
        <v>23</v>
      </c>
      <c r="C93" s="43"/>
      <c r="D93" s="44"/>
      <c r="E93" s="45"/>
      <c r="F93" s="46"/>
      <c r="G93" s="46"/>
      <c r="H93" s="46"/>
      <c r="I93" s="46"/>
      <c r="J93" s="47"/>
      <c r="K93" s="47"/>
      <c r="L93" s="47" t="s">
        <v>286</v>
      </c>
      <c r="M93" s="47"/>
      <c r="N93" s="48">
        <f>SUM(O93:P93)</f>
        <v>4.4000000000000004</v>
      </c>
      <c r="O93" s="57">
        <v>4.4000000000000004</v>
      </c>
      <c r="P93" s="48">
        <f>$P$4</f>
        <v>0</v>
      </c>
      <c r="Q93" s="48" t="s">
        <v>33</v>
      </c>
      <c r="R93" s="49">
        <f>18306.78</f>
        <v>18306.78</v>
      </c>
      <c r="S93" s="49">
        <v>6109.82</v>
      </c>
      <c r="T93" s="50">
        <f t="shared" si="9"/>
        <v>24416.6</v>
      </c>
      <c r="U93" s="51">
        <f t="shared" si="8"/>
        <v>0</v>
      </c>
      <c r="V93" s="52">
        <f>18306.78+6109.82</f>
        <v>24416.6</v>
      </c>
      <c r="W93" s="52">
        <f>SUM(W92:$AW92)*$N93/100</f>
        <v>22598.576000000001</v>
      </c>
      <c r="X93" s="52">
        <f>SUM(X92:$AW92)*$N93/100</f>
        <v>19370.207999999999</v>
      </c>
      <c r="Y93" s="52">
        <f>SUM(Y92:$AW92)*$N93/100</f>
        <v>16141.840000000002</v>
      </c>
      <c r="Z93" s="52">
        <f>SUM(Z92:$AW92)*$N93/100</f>
        <v>12913.472000000002</v>
      </c>
      <c r="AA93" s="52">
        <f>SUM(AA92:$AW92)*$N93/100</f>
        <v>9685.1039999999994</v>
      </c>
      <c r="AB93" s="52">
        <f>SUM(AB92:$AW92)*$N93/100</f>
        <v>6456.7360000000008</v>
      </c>
      <c r="AC93" s="52">
        <f>SUM(AC92:$AW92)*$N93/100</f>
        <v>3228.3680000000004</v>
      </c>
      <c r="AD93" s="52">
        <v>0</v>
      </c>
      <c r="AE93" s="52">
        <v>0</v>
      </c>
      <c r="AF93" s="52">
        <v>0</v>
      </c>
      <c r="AG93" s="52">
        <v>0</v>
      </c>
      <c r="AH93" s="52">
        <v>0</v>
      </c>
      <c r="AI93" s="52">
        <v>0</v>
      </c>
      <c r="AJ93" s="52">
        <v>0</v>
      </c>
      <c r="AK93" s="52">
        <v>0</v>
      </c>
      <c r="AL93" s="52">
        <v>0</v>
      </c>
      <c r="AM93" s="52">
        <v>0</v>
      </c>
      <c r="AN93" s="52">
        <v>0</v>
      </c>
      <c r="AO93" s="52">
        <v>0</v>
      </c>
      <c r="AP93" s="52">
        <v>0</v>
      </c>
      <c r="AQ93" s="52">
        <v>0</v>
      </c>
      <c r="AR93" s="52">
        <v>0</v>
      </c>
      <c r="AS93" s="52">
        <v>0</v>
      </c>
      <c r="AT93" s="52">
        <v>0</v>
      </c>
      <c r="AU93" s="52">
        <v>0</v>
      </c>
      <c r="AV93" s="52">
        <v>0</v>
      </c>
      <c r="AW93" s="52">
        <v>0</v>
      </c>
      <c r="AX93" s="52"/>
      <c r="AY93" s="52"/>
      <c r="AZ93" s="53">
        <f t="shared" si="10"/>
        <v>114810.90399999999</v>
      </c>
      <c r="BA93" s="38">
        <f t="shared" si="12"/>
        <v>0</v>
      </c>
      <c r="BB93" s="54">
        <f t="shared" si="11"/>
        <v>3228.3680000000004</v>
      </c>
      <c r="BC93" s="55">
        <f t="shared" si="14"/>
        <v>114810.90399999999</v>
      </c>
      <c r="BE93" s="24" t="b">
        <f t="shared" si="13"/>
        <v>1</v>
      </c>
    </row>
    <row r="94" spans="2:58" s="24" customFormat="1" outlineLevel="1" x14ac:dyDescent="0.3">
      <c r="B94" s="25" t="s">
        <v>23</v>
      </c>
      <c r="C94" s="26">
        <v>45</v>
      </c>
      <c r="D94" s="27" t="s">
        <v>291</v>
      </c>
      <c r="E94" s="28" t="s">
        <v>292</v>
      </c>
      <c r="F94" s="29" t="s">
        <v>293</v>
      </c>
      <c r="G94" s="29" t="s">
        <v>283</v>
      </c>
      <c r="H94" s="29" t="s">
        <v>290</v>
      </c>
      <c r="I94" s="29" t="s">
        <v>29</v>
      </c>
      <c r="J94" s="30">
        <v>559121.98</v>
      </c>
      <c r="K94" s="31">
        <v>471865.86</v>
      </c>
      <c r="L94" s="31"/>
      <c r="M94" s="31"/>
      <c r="N94" s="32"/>
      <c r="O94" s="32">
        <v>3.302</v>
      </c>
      <c r="P94" s="32"/>
      <c r="Q94" s="32" t="s">
        <v>30</v>
      </c>
      <c r="R94" s="33">
        <v>14529</v>
      </c>
      <c r="S94" s="33">
        <v>43587</v>
      </c>
      <c r="T94" s="34">
        <f t="shared" si="9"/>
        <v>58116</v>
      </c>
      <c r="U94" s="35">
        <f t="shared" si="8"/>
        <v>0</v>
      </c>
      <c r="V94" s="36">
        <v>58116</v>
      </c>
      <c r="W94" s="36">
        <v>58116</v>
      </c>
      <c r="X94" s="36">
        <v>58116</v>
      </c>
      <c r="Y94" s="36">
        <v>58116</v>
      </c>
      <c r="Z94" s="36">
        <v>58116</v>
      </c>
      <c r="AA94" s="36">
        <v>58116</v>
      </c>
      <c r="AB94" s="36">
        <v>58116</v>
      </c>
      <c r="AC94" s="36">
        <v>35995.86</v>
      </c>
      <c r="AD94" s="36">
        <v>0</v>
      </c>
      <c r="AE94" s="36">
        <v>0</v>
      </c>
      <c r="AF94" s="36">
        <v>0</v>
      </c>
      <c r="AG94" s="36">
        <v>0</v>
      </c>
      <c r="AH94" s="36">
        <v>0</v>
      </c>
      <c r="AI94" s="36">
        <v>0</v>
      </c>
      <c r="AJ94" s="36">
        <v>0</v>
      </c>
      <c r="AK94" s="36">
        <v>0</v>
      </c>
      <c r="AL94" s="36">
        <v>0</v>
      </c>
      <c r="AM94" s="36">
        <v>0</v>
      </c>
      <c r="AN94" s="36">
        <v>0</v>
      </c>
      <c r="AO94" s="36">
        <v>0</v>
      </c>
      <c r="AP94" s="36">
        <v>0</v>
      </c>
      <c r="AQ94" s="36">
        <v>0</v>
      </c>
      <c r="AR94" s="36">
        <v>0</v>
      </c>
      <c r="AS94" s="36">
        <v>0</v>
      </c>
      <c r="AT94" s="36">
        <v>0</v>
      </c>
      <c r="AU94" s="36">
        <v>0</v>
      </c>
      <c r="AV94" s="36">
        <v>0</v>
      </c>
      <c r="AW94" s="36">
        <v>0</v>
      </c>
      <c r="AX94" s="36"/>
      <c r="AY94" s="36"/>
      <c r="AZ94" s="37">
        <f t="shared" si="10"/>
        <v>442807.86</v>
      </c>
      <c r="BA94" s="38">
        <f t="shared" si="12"/>
        <v>0</v>
      </c>
      <c r="BB94" s="39">
        <f t="shared" si="11"/>
        <v>35995.86</v>
      </c>
      <c r="BC94" s="40">
        <f t="shared" si="14"/>
        <v>442807.86</v>
      </c>
      <c r="BE94" s="24" t="b">
        <f t="shared" si="13"/>
        <v>1</v>
      </c>
      <c r="BF94" s="41"/>
    </row>
    <row r="95" spans="2:58" outlineLevel="1" x14ac:dyDescent="0.3">
      <c r="B95" s="42" t="s">
        <v>23</v>
      </c>
      <c r="C95" s="43"/>
      <c r="D95" s="44"/>
      <c r="E95" s="45"/>
      <c r="F95" s="46"/>
      <c r="G95" s="46"/>
      <c r="H95" s="46"/>
      <c r="I95" s="46"/>
      <c r="J95" s="47"/>
      <c r="K95" s="47"/>
      <c r="L95" s="47" t="s">
        <v>286</v>
      </c>
      <c r="M95" s="47"/>
      <c r="N95" s="48">
        <f>SUM(O95:P95)</f>
        <v>4.4000000000000004</v>
      </c>
      <c r="O95" s="57">
        <v>4.4000000000000004</v>
      </c>
      <c r="P95" s="48">
        <f>$P$4</f>
        <v>0</v>
      </c>
      <c r="Q95" s="48" t="s">
        <v>33</v>
      </c>
      <c r="R95" s="49">
        <f>13806.32</f>
        <v>13806.32</v>
      </c>
      <c r="S95" s="49">
        <v>4592.84</v>
      </c>
      <c r="T95" s="50">
        <f t="shared" si="9"/>
        <v>18399.16</v>
      </c>
      <c r="U95" s="51">
        <f t="shared" si="8"/>
        <v>0.5</v>
      </c>
      <c r="V95" s="52">
        <f>13806.32+4592.84+0.5</f>
        <v>18399.66</v>
      </c>
      <c r="W95" s="52">
        <f>SUM(W94:$AW94)*$N95/100</f>
        <v>16926.44184</v>
      </c>
      <c r="X95" s="52">
        <f>SUM(X94:$AW94)*$N95/100</f>
        <v>14369.33784</v>
      </c>
      <c r="Y95" s="52">
        <f>SUM(Y94:$AW94)*$N95/100</f>
        <v>11812.233840000001</v>
      </c>
      <c r="Z95" s="52">
        <f>SUM(Z94:$AW94)*$N95/100</f>
        <v>9255.1298400000014</v>
      </c>
      <c r="AA95" s="52">
        <f>SUM(AA94:$AW94)*$N95/100</f>
        <v>6698.0258400000002</v>
      </c>
      <c r="AB95" s="52">
        <f>SUM(AB94:$AW94)*$N95/100</f>
        <v>4140.92184</v>
      </c>
      <c r="AC95" s="52">
        <f>SUM(AC94:$AW94)*$N95/100</f>
        <v>1583.8178400000002</v>
      </c>
      <c r="AD95" s="52">
        <v>0</v>
      </c>
      <c r="AE95" s="52">
        <v>0</v>
      </c>
      <c r="AF95" s="52">
        <v>0</v>
      </c>
      <c r="AG95" s="52">
        <v>0</v>
      </c>
      <c r="AH95" s="52">
        <v>0</v>
      </c>
      <c r="AI95" s="52">
        <v>0</v>
      </c>
      <c r="AJ95" s="52">
        <v>0</v>
      </c>
      <c r="AK95" s="52">
        <v>0</v>
      </c>
      <c r="AL95" s="52">
        <v>0</v>
      </c>
      <c r="AM95" s="52">
        <v>0</v>
      </c>
      <c r="AN95" s="52">
        <v>0</v>
      </c>
      <c r="AO95" s="52">
        <v>0</v>
      </c>
      <c r="AP95" s="52">
        <v>0</v>
      </c>
      <c r="AQ95" s="52">
        <v>0</v>
      </c>
      <c r="AR95" s="52">
        <v>0</v>
      </c>
      <c r="AS95" s="52">
        <v>0</v>
      </c>
      <c r="AT95" s="52">
        <v>0</v>
      </c>
      <c r="AU95" s="52">
        <v>0</v>
      </c>
      <c r="AV95" s="52">
        <v>0</v>
      </c>
      <c r="AW95" s="52">
        <v>0</v>
      </c>
      <c r="AX95" s="52"/>
      <c r="AY95" s="52"/>
      <c r="AZ95" s="53">
        <f t="shared" si="10"/>
        <v>83185.568880000006</v>
      </c>
      <c r="BA95" s="38">
        <f t="shared" si="12"/>
        <v>0</v>
      </c>
      <c r="BB95" s="54">
        <f t="shared" si="11"/>
        <v>1583.8178400000002</v>
      </c>
      <c r="BC95" s="55">
        <f t="shared" si="14"/>
        <v>83185.568880000006</v>
      </c>
      <c r="BE95" s="24" t="b">
        <f t="shared" si="13"/>
        <v>1</v>
      </c>
    </row>
    <row r="96" spans="2:58" s="24" customFormat="1" outlineLevel="1" x14ac:dyDescent="0.3">
      <c r="B96" s="25" t="s">
        <v>74</v>
      </c>
      <c r="C96" s="26">
        <v>46</v>
      </c>
      <c r="D96" s="27" t="s">
        <v>294</v>
      </c>
      <c r="E96" s="28" t="s">
        <v>295</v>
      </c>
      <c r="F96" s="29" t="s">
        <v>296</v>
      </c>
      <c r="G96" s="29" t="s">
        <v>297</v>
      </c>
      <c r="H96" s="29" t="s">
        <v>298</v>
      </c>
      <c r="I96" s="29" t="s">
        <v>29</v>
      </c>
      <c r="J96" s="30">
        <v>247902</v>
      </c>
      <c r="K96" s="31">
        <v>216916</v>
      </c>
      <c r="L96" s="31"/>
      <c r="M96" s="31"/>
      <c r="N96" s="32"/>
      <c r="O96" s="32">
        <v>3.6269999999999998</v>
      </c>
      <c r="P96" s="32"/>
      <c r="Q96" s="32" t="s">
        <v>30</v>
      </c>
      <c r="R96" s="33">
        <v>15494</v>
      </c>
      <c r="S96" s="33">
        <v>46482</v>
      </c>
      <c r="T96" s="34">
        <f t="shared" si="9"/>
        <v>61976</v>
      </c>
      <c r="U96" s="35">
        <f t="shared" si="8"/>
        <v>0</v>
      </c>
      <c r="V96" s="36">
        <v>61976</v>
      </c>
      <c r="W96" s="36">
        <v>61976</v>
      </c>
      <c r="X96" s="36">
        <v>61976</v>
      </c>
      <c r="Y96" s="36">
        <v>0</v>
      </c>
      <c r="Z96" s="36">
        <v>0</v>
      </c>
      <c r="AA96" s="36">
        <v>0</v>
      </c>
      <c r="AB96" s="36">
        <v>0</v>
      </c>
      <c r="AC96" s="36">
        <v>0</v>
      </c>
      <c r="AD96" s="36">
        <v>0</v>
      </c>
      <c r="AE96" s="36">
        <v>0</v>
      </c>
      <c r="AF96" s="36">
        <v>0</v>
      </c>
      <c r="AG96" s="36">
        <v>0</v>
      </c>
      <c r="AH96" s="36">
        <v>0</v>
      </c>
      <c r="AI96" s="36">
        <v>0</v>
      </c>
      <c r="AJ96" s="36">
        <v>0</v>
      </c>
      <c r="AK96" s="36">
        <v>0</v>
      </c>
      <c r="AL96" s="36">
        <v>0</v>
      </c>
      <c r="AM96" s="36">
        <v>0</v>
      </c>
      <c r="AN96" s="36">
        <v>0</v>
      </c>
      <c r="AO96" s="36">
        <v>0</v>
      </c>
      <c r="AP96" s="36">
        <v>0</v>
      </c>
      <c r="AQ96" s="36">
        <v>0</v>
      </c>
      <c r="AR96" s="36">
        <v>0</v>
      </c>
      <c r="AS96" s="36">
        <v>0</v>
      </c>
      <c r="AT96" s="36">
        <v>0</v>
      </c>
      <c r="AU96" s="36">
        <v>0</v>
      </c>
      <c r="AV96" s="36">
        <v>0</v>
      </c>
      <c r="AW96" s="36">
        <v>0</v>
      </c>
      <c r="AX96" s="36"/>
      <c r="AY96" s="36"/>
      <c r="AZ96" s="37">
        <f t="shared" si="10"/>
        <v>185928</v>
      </c>
      <c r="BA96" s="38">
        <f t="shared" si="12"/>
        <v>0</v>
      </c>
      <c r="BB96" s="39">
        <f t="shared" si="11"/>
        <v>0</v>
      </c>
      <c r="BC96" s="40">
        <f t="shared" si="14"/>
        <v>185928</v>
      </c>
      <c r="BE96" s="24" t="b">
        <f t="shared" si="13"/>
        <v>1</v>
      </c>
      <c r="BF96" s="41"/>
    </row>
    <row r="97" spans="2:58" outlineLevel="1" x14ac:dyDescent="0.3">
      <c r="B97" s="42" t="s">
        <v>74</v>
      </c>
      <c r="C97" s="43"/>
      <c r="D97" s="44" t="s">
        <v>299</v>
      </c>
      <c r="E97" s="45"/>
      <c r="F97" s="46"/>
      <c r="G97" s="46"/>
      <c r="H97" s="46"/>
      <c r="I97" s="46"/>
      <c r="J97" s="47"/>
      <c r="K97" s="47"/>
      <c r="L97" s="47" t="s">
        <v>300</v>
      </c>
      <c r="M97" s="47"/>
      <c r="N97" s="48">
        <f>SUM(O97:P97)</f>
        <v>4.0999999999999996</v>
      </c>
      <c r="O97" s="57">
        <v>4.0999999999999996</v>
      </c>
      <c r="P97" s="48">
        <f>$P$4</f>
        <v>0</v>
      </c>
      <c r="Q97" s="48" t="s">
        <v>33</v>
      </c>
      <c r="R97" s="49">
        <f>5444.2</f>
        <v>5444.2</v>
      </c>
      <c r="S97" s="49">
        <v>1571.16</v>
      </c>
      <c r="T97" s="50">
        <f t="shared" si="9"/>
        <v>7015.36</v>
      </c>
      <c r="U97" s="51">
        <f t="shared" si="8"/>
        <v>0.5</v>
      </c>
      <c r="V97" s="52">
        <f>5444.2+1571.16+0.5</f>
        <v>7015.86</v>
      </c>
      <c r="W97" s="52">
        <v>5336.22</v>
      </c>
      <c r="X97" s="52">
        <v>2449.1499999999996</v>
      </c>
      <c r="Y97" s="52">
        <v>160.5</v>
      </c>
      <c r="Z97" s="52">
        <v>0</v>
      </c>
      <c r="AA97" s="52">
        <v>0</v>
      </c>
      <c r="AB97" s="52">
        <v>0</v>
      </c>
      <c r="AC97" s="52">
        <v>0</v>
      </c>
      <c r="AD97" s="52">
        <v>0</v>
      </c>
      <c r="AE97" s="52">
        <v>0</v>
      </c>
      <c r="AF97" s="52">
        <v>0</v>
      </c>
      <c r="AG97" s="52">
        <v>0</v>
      </c>
      <c r="AH97" s="52">
        <v>0</v>
      </c>
      <c r="AI97" s="52">
        <v>0</v>
      </c>
      <c r="AJ97" s="52">
        <v>0</v>
      </c>
      <c r="AK97" s="52">
        <v>0</v>
      </c>
      <c r="AL97" s="52">
        <v>0</v>
      </c>
      <c r="AM97" s="52">
        <v>0</v>
      </c>
      <c r="AN97" s="52">
        <v>0</v>
      </c>
      <c r="AO97" s="52">
        <v>0</v>
      </c>
      <c r="AP97" s="52">
        <v>0</v>
      </c>
      <c r="AQ97" s="52">
        <v>0</v>
      </c>
      <c r="AR97" s="52">
        <v>0</v>
      </c>
      <c r="AS97" s="52">
        <v>0</v>
      </c>
      <c r="AT97" s="52">
        <v>0</v>
      </c>
      <c r="AU97" s="52">
        <v>0</v>
      </c>
      <c r="AV97" s="52">
        <v>0</v>
      </c>
      <c r="AW97" s="52">
        <v>0</v>
      </c>
      <c r="AX97" s="52"/>
      <c r="AY97" s="52"/>
      <c r="AZ97" s="53">
        <f t="shared" si="10"/>
        <v>14961.73</v>
      </c>
      <c r="BA97" s="38">
        <f t="shared" si="12"/>
        <v>0</v>
      </c>
      <c r="BB97" s="54">
        <f t="shared" si="11"/>
        <v>0</v>
      </c>
      <c r="BC97" s="55">
        <f t="shared" si="14"/>
        <v>14961.73</v>
      </c>
      <c r="BE97" s="24" t="b">
        <f t="shared" si="13"/>
        <v>1</v>
      </c>
    </row>
    <row r="98" spans="2:58" s="24" customFormat="1" outlineLevel="1" x14ac:dyDescent="0.3">
      <c r="B98" s="25" t="s">
        <v>74</v>
      </c>
      <c r="C98" s="26">
        <v>47</v>
      </c>
      <c r="D98" s="27" t="s">
        <v>301</v>
      </c>
      <c r="E98" s="28" t="s">
        <v>302</v>
      </c>
      <c r="F98" s="29" t="s">
        <v>303</v>
      </c>
      <c r="G98" s="29" t="s">
        <v>304</v>
      </c>
      <c r="H98" s="29" t="s">
        <v>305</v>
      </c>
      <c r="I98" s="29" t="s">
        <v>29</v>
      </c>
      <c r="J98" s="30">
        <v>178121</v>
      </c>
      <c r="K98" s="31">
        <v>99533.52</v>
      </c>
      <c r="L98" s="31"/>
      <c r="M98" s="31"/>
      <c r="N98" s="32"/>
      <c r="O98" s="32"/>
      <c r="P98" s="32"/>
      <c r="Q98" s="32" t="s">
        <v>30</v>
      </c>
      <c r="R98" s="33">
        <v>3125</v>
      </c>
      <c r="S98" s="33">
        <v>9375</v>
      </c>
      <c r="T98" s="34">
        <f t="shared" si="9"/>
        <v>12500</v>
      </c>
      <c r="U98" s="35">
        <f t="shared" si="8"/>
        <v>0</v>
      </c>
      <c r="V98" s="36">
        <v>12500</v>
      </c>
      <c r="W98" s="36">
        <v>12500</v>
      </c>
      <c r="X98" s="36">
        <v>12500</v>
      </c>
      <c r="Y98" s="36">
        <v>12500</v>
      </c>
      <c r="Z98" s="36">
        <v>12500</v>
      </c>
      <c r="AA98" s="36">
        <v>12500</v>
      </c>
      <c r="AB98" s="36">
        <v>12500</v>
      </c>
      <c r="AC98" s="36">
        <v>5783.52</v>
      </c>
      <c r="AD98" s="36">
        <v>0</v>
      </c>
      <c r="AE98" s="36">
        <v>0</v>
      </c>
      <c r="AF98" s="36">
        <v>0</v>
      </c>
      <c r="AG98" s="36">
        <v>0</v>
      </c>
      <c r="AH98" s="36">
        <v>0</v>
      </c>
      <c r="AI98" s="36">
        <v>0</v>
      </c>
      <c r="AJ98" s="36">
        <v>0</v>
      </c>
      <c r="AK98" s="36">
        <v>0</v>
      </c>
      <c r="AL98" s="36">
        <v>0</v>
      </c>
      <c r="AM98" s="36">
        <v>0</v>
      </c>
      <c r="AN98" s="36">
        <v>0</v>
      </c>
      <c r="AO98" s="36">
        <v>0</v>
      </c>
      <c r="AP98" s="36">
        <v>0</v>
      </c>
      <c r="AQ98" s="36">
        <v>0</v>
      </c>
      <c r="AR98" s="36">
        <v>0</v>
      </c>
      <c r="AS98" s="36">
        <v>0</v>
      </c>
      <c r="AT98" s="36">
        <v>0</v>
      </c>
      <c r="AU98" s="36">
        <v>0</v>
      </c>
      <c r="AV98" s="36">
        <v>0</v>
      </c>
      <c r="AW98" s="36">
        <v>0</v>
      </c>
      <c r="AX98" s="36"/>
      <c r="AY98" s="36"/>
      <c r="AZ98" s="37">
        <f t="shared" si="10"/>
        <v>93283.520000000004</v>
      </c>
      <c r="BA98" s="38">
        <f t="shared" si="12"/>
        <v>0</v>
      </c>
      <c r="BB98" s="39">
        <f t="shared" si="11"/>
        <v>5783.52</v>
      </c>
      <c r="BC98" s="40">
        <f t="shared" si="14"/>
        <v>93283.520000000004</v>
      </c>
      <c r="BE98" s="24" t="b">
        <f t="shared" si="13"/>
        <v>1</v>
      </c>
      <c r="BF98" s="41"/>
    </row>
    <row r="99" spans="2:58" outlineLevel="1" x14ac:dyDescent="0.3">
      <c r="B99" s="42" t="s">
        <v>74</v>
      </c>
      <c r="C99" s="43"/>
      <c r="D99" s="44" t="s">
        <v>306</v>
      </c>
      <c r="E99" s="45"/>
      <c r="F99" s="46"/>
      <c r="G99" s="46"/>
      <c r="H99" s="46"/>
      <c r="I99" s="46"/>
      <c r="J99" s="47"/>
      <c r="K99" s="47"/>
      <c r="L99" s="47" t="s">
        <v>307</v>
      </c>
      <c r="M99" s="47"/>
      <c r="N99" s="48">
        <f>SUM(O99:P99)</f>
        <v>3.9020000000000001</v>
      </c>
      <c r="O99" s="48">
        <v>3.9020000000000001</v>
      </c>
      <c r="P99" s="48">
        <f>$P$4</f>
        <v>0</v>
      </c>
      <c r="Q99" s="48" t="s">
        <v>33</v>
      </c>
      <c r="R99" s="49">
        <f>2793.34</f>
        <v>2793.34</v>
      </c>
      <c r="S99" s="49">
        <v>884.31</v>
      </c>
      <c r="T99" s="50">
        <f t="shared" si="9"/>
        <v>3677.65</v>
      </c>
      <c r="U99" s="51">
        <f t="shared" si="8"/>
        <v>0</v>
      </c>
      <c r="V99" s="52">
        <f>2793.34+884.31</f>
        <v>3677.65</v>
      </c>
      <c r="W99" s="52">
        <f>SUM(W98:$AW98)*$N99/100</f>
        <v>3152.1729504000004</v>
      </c>
      <c r="X99" s="52">
        <f>SUM(X98:$AW98)*$N99/100</f>
        <v>2664.4229504</v>
      </c>
      <c r="Y99" s="52">
        <f>SUM(Y98:$AW98)*$N99/100</f>
        <v>2176.6729504000004</v>
      </c>
      <c r="Z99" s="52">
        <f>SUM(Z98:$AW98)*$N99/100</f>
        <v>1688.9229504000002</v>
      </c>
      <c r="AA99" s="52">
        <f>SUM(AA98:$AW98)*$N99/100</f>
        <v>1201.1729504000002</v>
      </c>
      <c r="AB99" s="52">
        <f>SUM(AB98:$AW98)*$N99/100</f>
        <v>713.42295039999999</v>
      </c>
      <c r="AC99" s="52">
        <f>SUM(AC98:$AW98)*$N99/100</f>
        <v>225.67295040000002</v>
      </c>
      <c r="AD99" s="52">
        <v>0</v>
      </c>
      <c r="AE99" s="52">
        <v>0</v>
      </c>
      <c r="AF99" s="52">
        <v>0</v>
      </c>
      <c r="AG99" s="52">
        <v>0</v>
      </c>
      <c r="AH99" s="52">
        <v>0</v>
      </c>
      <c r="AI99" s="52">
        <v>0</v>
      </c>
      <c r="AJ99" s="52">
        <v>0</v>
      </c>
      <c r="AK99" s="52">
        <v>0</v>
      </c>
      <c r="AL99" s="52">
        <v>0</v>
      </c>
      <c r="AM99" s="52">
        <v>0</v>
      </c>
      <c r="AN99" s="52">
        <v>0</v>
      </c>
      <c r="AO99" s="52">
        <v>0</v>
      </c>
      <c r="AP99" s="52">
        <v>0</v>
      </c>
      <c r="AQ99" s="52">
        <v>0</v>
      </c>
      <c r="AR99" s="52">
        <v>0</v>
      </c>
      <c r="AS99" s="52">
        <v>0</v>
      </c>
      <c r="AT99" s="52">
        <v>0</v>
      </c>
      <c r="AU99" s="52">
        <v>0</v>
      </c>
      <c r="AV99" s="52">
        <v>0</v>
      </c>
      <c r="AW99" s="52">
        <v>0</v>
      </c>
      <c r="AX99" s="52"/>
      <c r="AY99" s="52"/>
      <c r="AZ99" s="53">
        <f t="shared" si="10"/>
        <v>15500.110652799998</v>
      </c>
      <c r="BA99" s="38">
        <f t="shared" si="12"/>
        <v>0</v>
      </c>
      <c r="BB99" s="54">
        <f t="shared" si="11"/>
        <v>225.67295040000002</v>
      </c>
      <c r="BC99" s="55">
        <f t="shared" si="14"/>
        <v>15500.110652799998</v>
      </c>
      <c r="BE99" s="24" t="b">
        <f t="shared" si="13"/>
        <v>1</v>
      </c>
    </row>
    <row r="100" spans="2:58" s="24" customFormat="1" outlineLevel="1" x14ac:dyDescent="0.3">
      <c r="B100" s="25" t="s">
        <v>23</v>
      </c>
      <c r="C100" s="26">
        <v>48</v>
      </c>
      <c r="D100" s="27" t="s">
        <v>308</v>
      </c>
      <c r="E100" s="28" t="s">
        <v>309</v>
      </c>
      <c r="F100" s="29" t="s">
        <v>310</v>
      </c>
      <c r="G100" s="29" t="s">
        <v>311</v>
      </c>
      <c r="H100" s="29" t="s">
        <v>312</v>
      </c>
      <c r="I100" s="29" t="s">
        <v>29</v>
      </c>
      <c r="J100" s="30">
        <v>1230506</v>
      </c>
      <c r="K100" s="31">
        <v>873506.23</v>
      </c>
      <c r="L100" s="31"/>
      <c r="M100" s="31"/>
      <c r="N100" s="32"/>
      <c r="O100" s="32"/>
      <c r="P100" s="32"/>
      <c r="Q100" s="32" t="s">
        <v>30</v>
      </c>
      <c r="R100" s="33">
        <v>21588</v>
      </c>
      <c r="S100" s="33">
        <v>64764</v>
      </c>
      <c r="T100" s="34">
        <f t="shared" si="9"/>
        <v>86352</v>
      </c>
      <c r="U100" s="35">
        <f t="shared" si="8"/>
        <v>0</v>
      </c>
      <c r="V100" s="36">
        <v>86352</v>
      </c>
      <c r="W100" s="36">
        <v>86352</v>
      </c>
      <c r="X100" s="36">
        <v>86352</v>
      </c>
      <c r="Y100" s="36">
        <v>86352</v>
      </c>
      <c r="Z100" s="36">
        <v>86352</v>
      </c>
      <c r="AA100" s="36">
        <v>86352</v>
      </c>
      <c r="AB100" s="36">
        <v>86352</v>
      </c>
      <c r="AC100" s="36">
        <v>86352</v>
      </c>
      <c r="AD100" s="36">
        <v>86352</v>
      </c>
      <c r="AE100" s="36">
        <v>53162.229999999996</v>
      </c>
      <c r="AF100" s="36">
        <v>0</v>
      </c>
      <c r="AG100" s="36">
        <v>0</v>
      </c>
      <c r="AH100" s="36">
        <v>0</v>
      </c>
      <c r="AI100" s="36">
        <v>0</v>
      </c>
      <c r="AJ100" s="36">
        <v>0</v>
      </c>
      <c r="AK100" s="36">
        <v>0</v>
      </c>
      <c r="AL100" s="36">
        <v>0</v>
      </c>
      <c r="AM100" s="36">
        <v>0</v>
      </c>
      <c r="AN100" s="36">
        <v>0</v>
      </c>
      <c r="AO100" s="36">
        <v>0</v>
      </c>
      <c r="AP100" s="36">
        <v>0</v>
      </c>
      <c r="AQ100" s="36">
        <v>0</v>
      </c>
      <c r="AR100" s="36">
        <v>0</v>
      </c>
      <c r="AS100" s="36">
        <v>0</v>
      </c>
      <c r="AT100" s="36">
        <v>0</v>
      </c>
      <c r="AU100" s="36">
        <v>0</v>
      </c>
      <c r="AV100" s="36">
        <v>0</v>
      </c>
      <c r="AW100" s="36">
        <v>0</v>
      </c>
      <c r="AX100" s="36"/>
      <c r="AY100" s="36"/>
      <c r="AZ100" s="37">
        <f t="shared" si="10"/>
        <v>830330.23</v>
      </c>
      <c r="BA100" s="38">
        <f t="shared" si="12"/>
        <v>0</v>
      </c>
      <c r="BB100" s="39">
        <f t="shared" si="11"/>
        <v>225866.22999999998</v>
      </c>
      <c r="BC100" s="40">
        <f t="shared" si="14"/>
        <v>830330.23</v>
      </c>
      <c r="BE100" s="24" t="b">
        <f t="shared" si="13"/>
        <v>1</v>
      </c>
      <c r="BF100" s="41"/>
    </row>
    <row r="101" spans="2:58" outlineLevel="1" x14ac:dyDescent="0.3">
      <c r="B101" s="42" t="s">
        <v>23</v>
      </c>
      <c r="C101" s="43"/>
      <c r="D101" s="44" t="s">
        <v>313</v>
      </c>
      <c r="E101" s="45"/>
      <c r="F101" s="46"/>
      <c r="G101" s="46"/>
      <c r="H101" s="46"/>
      <c r="I101" s="46"/>
      <c r="J101" s="47"/>
      <c r="K101" s="47"/>
      <c r="L101" s="47" t="s">
        <v>314</v>
      </c>
      <c r="M101" s="47"/>
      <c r="N101" s="48">
        <f>SUM(O101:P101)</f>
        <v>5.0529999999999999</v>
      </c>
      <c r="O101" s="48">
        <v>5.0529999999999999</v>
      </c>
      <c r="P101" s="48">
        <f>$P$4</f>
        <v>0</v>
      </c>
      <c r="Q101" s="48" t="s">
        <v>33</v>
      </c>
      <c r="R101" s="49">
        <f>33356.59</f>
        <v>33356.589999999997</v>
      </c>
      <c r="S101" s="49">
        <v>10322.34</v>
      </c>
      <c r="T101" s="50">
        <f t="shared" si="9"/>
        <v>43678.929999999993</v>
      </c>
      <c r="U101" s="51">
        <f t="shared" si="8"/>
        <v>0</v>
      </c>
      <c r="V101" s="52">
        <f>33356.59+10322.34</f>
        <v>43678.929999999993</v>
      </c>
      <c r="W101" s="52">
        <f>SUM(W100:$AW100)*$N101/100</f>
        <v>37593.219961900002</v>
      </c>
      <c r="X101" s="52">
        <f>SUM(X100:$AW100)*$N101/100</f>
        <v>33229.8534019</v>
      </c>
      <c r="Y101" s="52">
        <f>SUM(Y100:$AW100)*$N101/100</f>
        <v>28866.486841899998</v>
      </c>
      <c r="Z101" s="52">
        <f>SUM(Z100:$AW100)*$N101/100</f>
        <v>24503.120281899999</v>
      </c>
      <c r="AA101" s="52">
        <f>SUM(AA100:$AW100)*$N101/100</f>
        <v>20139.753721899997</v>
      </c>
      <c r="AB101" s="52">
        <f>SUM(AB100:$AW100)*$N101/100</f>
        <v>15776.387161899998</v>
      </c>
      <c r="AC101" s="52">
        <f>SUM(AC100:$AW100)*$N101/100</f>
        <v>11413.020601899998</v>
      </c>
      <c r="AD101" s="52">
        <f>SUM(AD100:$AW100)*$N101/100</f>
        <v>7049.6540418999994</v>
      </c>
      <c r="AE101" s="52">
        <f>SUM(AE100:$AW100)*$N101/100</f>
        <v>2686.2874818999994</v>
      </c>
      <c r="AF101" s="52">
        <v>0</v>
      </c>
      <c r="AG101" s="52">
        <v>0</v>
      </c>
      <c r="AH101" s="52">
        <v>0</v>
      </c>
      <c r="AI101" s="52">
        <v>0</v>
      </c>
      <c r="AJ101" s="52">
        <v>0</v>
      </c>
      <c r="AK101" s="52">
        <v>0</v>
      </c>
      <c r="AL101" s="52">
        <v>0</v>
      </c>
      <c r="AM101" s="52">
        <v>0</v>
      </c>
      <c r="AN101" s="52">
        <v>0</v>
      </c>
      <c r="AO101" s="52">
        <v>0</v>
      </c>
      <c r="AP101" s="52">
        <v>0</v>
      </c>
      <c r="AQ101" s="52">
        <v>0</v>
      </c>
      <c r="AR101" s="52">
        <v>0</v>
      </c>
      <c r="AS101" s="52">
        <v>0</v>
      </c>
      <c r="AT101" s="52">
        <v>0</v>
      </c>
      <c r="AU101" s="52">
        <v>0</v>
      </c>
      <c r="AV101" s="52">
        <v>0</v>
      </c>
      <c r="AW101" s="52">
        <v>0</v>
      </c>
      <c r="AX101" s="52"/>
      <c r="AY101" s="52"/>
      <c r="AZ101" s="53">
        <f t="shared" si="10"/>
        <v>224936.71349709999</v>
      </c>
      <c r="BA101" s="38">
        <f t="shared" si="12"/>
        <v>0</v>
      </c>
      <c r="BB101" s="54">
        <f t="shared" si="11"/>
        <v>21148.962125699996</v>
      </c>
      <c r="BC101" s="55">
        <f t="shared" si="14"/>
        <v>224936.71349709996</v>
      </c>
      <c r="BE101" s="24" t="b">
        <f t="shared" si="13"/>
        <v>1</v>
      </c>
    </row>
    <row r="102" spans="2:58" s="24" customFormat="1" outlineLevel="1" x14ac:dyDescent="0.3">
      <c r="B102" s="25" t="s">
        <v>23</v>
      </c>
      <c r="C102" s="26">
        <v>49</v>
      </c>
      <c r="D102" s="27" t="s">
        <v>315</v>
      </c>
      <c r="E102" s="28" t="s">
        <v>316</v>
      </c>
      <c r="F102" s="29" t="s">
        <v>317</v>
      </c>
      <c r="G102" s="29" t="s">
        <v>318</v>
      </c>
      <c r="H102" s="29" t="s">
        <v>319</v>
      </c>
      <c r="I102" s="29" t="s">
        <v>29</v>
      </c>
      <c r="J102" s="30">
        <v>156436.10999999999</v>
      </c>
      <c r="K102" s="31">
        <v>137903.10999999999</v>
      </c>
      <c r="L102" s="31"/>
      <c r="M102" s="31"/>
      <c r="N102" s="32"/>
      <c r="O102" s="32"/>
      <c r="P102" s="32"/>
      <c r="Q102" s="32" t="s">
        <v>30</v>
      </c>
      <c r="R102" s="33">
        <v>9269</v>
      </c>
      <c r="S102" s="33">
        <v>27807</v>
      </c>
      <c r="T102" s="34">
        <f t="shared" si="9"/>
        <v>37076</v>
      </c>
      <c r="U102" s="35">
        <f t="shared" si="8"/>
        <v>0</v>
      </c>
      <c r="V102" s="36">
        <v>37076</v>
      </c>
      <c r="W102" s="36">
        <v>37076</v>
      </c>
      <c r="X102" s="36">
        <v>37076</v>
      </c>
      <c r="Y102" s="36">
        <v>8137.11</v>
      </c>
      <c r="Z102" s="36">
        <v>0</v>
      </c>
      <c r="AA102" s="36">
        <v>0</v>
      </c>
      <c r="AB102" s="36">
        <v>0</v>
      </c>
      <c r="AC102" s="36">
        <v>0</v>
      </c>
      <c r="AD102" s="36">
        <v>0</v>
      </c>
      <c r="AE102" s="36">
        <v>0</v>
      </c>
      <c r="AF102" s="36">
        <v>0</v>
      </c>
      <c r="AG102" s="36">
        <v>0</v>
      </c>
      <c r="AH102" s="36">
        <v>0</v>
      </c>
      <c r="AI102" s="36">
        <v>0</v>
      </c>
      <c r="AJ102" s="36">
        <v>0</v>
      </c>
      <c r="AK102" s="36">
        <v>0</v>
      </c>
      <c r="AL102" s="36">
        <v>0</v>
      </c>
      <c r="AM102" s="36">
        <v>0</v>
      </c>
      <c r="AN102" s="36">
        <v>0</v>
      </c>
      <c r="AO102" s="36">
        <v>0</v>
      </c>
      <c r="AP102" s="36">
        <v>0</v>
      </c>
      <c r="AQ102" s="36">
        <v>0</v>
      </c>
      <c r="AR102" s="36">
        <v>0</v>
      </c>
      <c r="AS102" s="36">
        <v>0</v>
      </c>
      <c r="AT102" s="36">
        <v>0</v>
      </c>
      <c r="AU102" s="36">
        <v>0</v>
      </c>
      <c r="AV102" s="36">
        <v>0</v>
      </c>
      <c r="AW102" s="36">
        <v>0</v>
      </c>
      <c r="AX102" s="36"/>
      <c r="AY102" s="36"/>
      <c r="AZ102" s="37">
        <f t="shared" si="10"/>
        <v>119365.11</v>
      </c>
      <c r="BA102" s="38">
        <f t="shared" si="12"/>
        <v>0</v>
      </c>
      <c r="BB102" s="39">
        <f t="shared" si="11"/>
        <v>0</v>
      </c>
      <c r="BC102" s="40">
        <f t="shared" si="14"/>
        <v>119365.11</v>
      </c>
      <c r="BE102" s="24" t="b">
        <f t="shared" si="13"/>
        <v>1</v>
      </c>
      <c r="BF102" s="41"/>
    </row>
    <row r="103" spans="2:58" outlineLevel="1" x14ac:dyDescent="0.3">
      <c r="B103" s="42" t="s">
        <v>23</v>
      </c>
      <c r="C103" s="43"/>
      <c r="D103" s="44"/>
      <c r="E103" s="45"/>
      <c r="F103" s="46"/>
      <c r="G103" s="46"/>
      <c r="H103" s="46"/>
      <c r="I103" s="46"/>
      <c r="J103" s="47"/>
      <c r="K103" s="47"/>
      <c r="L103" s="47" t="s">
        <v>320</v>
      </c>
      <c r="M103" s="47"/>
      <c r="N103" s="48">
        <f>SUM(O103:P103)</f>
        <v>5.0449999999999999</v>
      </c>
      <c r="O103" s="48">
        <v>5.0449999999999999</v>
      </c>
      <c r="P103" s="48">
        <f>$P$4</f>
        <v>0</v>
      </c>
      <c r="Q103" s="48" t="s">
        <v>33</v>
      </c>
      <c r="R103" s="49">
        <f>4539.22</f>
        <v>4539.22</v>
      </c>
      <c r="S103" s="49">
        <v>1150.3599999999999</v>
      </c>
      <c r="T103" s="50">
        <f t="shared" si="9"/>
        <v>5689.58</v>
      </c>
      <c r="U103" s="51">
        <f t="shared" si="8"/>
        <v>0</v>
      </c>
      <c r="V103" s="52">
        <f>4539.22+1150.36</f>
        <v>5689.58</v>
      </c>
      <c r="W103" s="52">
        <f>SUM(W102:$AW102)*$N103/100</f>
        <v>4151.4855994999998</v>
      </c>
      <c r="X103" s="52">
        <f>SUM(X102:$AW102)*$N103/100</f>
        <v>2281.0013994999999</v>
      </c>
      <c r="Y103" s="52">
        <f>SUM(Y102:$AW102)*$N103/100</f>
        <v>410.5171995</v>
      </c>
      <c r="Z103" s="52">
        <v>0</v>
      </c>
      <c r="AA103" s="52">
        <v>0</v>
      </c>
      <c r="AB103" s="52">
        <v>0</v>
      </c>
      <c r="AC103" s="52">
        <v>0</v>
      </c>
      <c r="AD103" s="52">
        <v>0</v>
      </c>
      <c r="AE103" s="52">
        <v>0</v>
      </c>
      <c r="AF103" s="52">
        <v>0</v>
      </c>
      <c r="AG103" s="52">
        <v>0</v>
      </c>
      <c r="AH103" s="52">
        <v>0</v>
      </c>
      <c r="AI103" s="52">
        <v>0</v>
      </c>
      <c r="AJ103" s="52">
        <v>0</v>
      </c>
      <c r="AK103" s="52">
        <v>0</v>
      </c>
      <c r="AL103" s="52">
        <v>0</v>
      </c>
      <c r="AM103" s="52">
        <v>0</v>
      </c>
      <c r="AN103" s="52">
        <v>0</v>
      </c>
      <c r="AO103" s="52">
        <v>0</v>
      </c>
      <c r="AP103" s="52">
        <v>0</v>
      </c>
      <c r="AQ103" s="52">
        <v>0</v>
      </c>
      <c r="AR103" s="52">
        <v>0</v>
      </c>
      <c r="AS103" s="52">
        <v>0</v>
      </c>
      <c r="AT103" s="52">
        <v>0</v>
      </c>
      <c r="AU103" s="52">
        <v>0</v>
      </c>
      <c r="AV103" s="52">
        <v>0</v>
      </c>
      <c r="AW103" s="52">
        <v>0</v>
      </c>
      <c r="AX103" s="52"/>
      <c r="AY103" s="52"/>
      <c r="AZ103" s="53">
        <f t="shared" si="10"/>
        <v>12532.584198499999</v>
      </c>
      <c r="BA103" s="38">
        <f t="shared" si="12"/>
        <v>0</v>
      </c>
      <c r="BB103" s="54">
        <f t="shared" si="11"/>
        <v>0</v>
      </c>
      <c r="BC103" s="55">
        <f t="shared" si="14"/>
        <v>12532.584198499999</v>
      </c>
      <c r="BE103" s="24" t="b">
        <f t="shared" si="13"/>
        <v>1</v>
      </c>
    </row>
    <row r="104" spans="2:58" s="24" customFormat="1" outlineLevel="1" x14ac:dyDescent="0.3">
      <c r="B104" s="25" t="s">
        <v>23</v>
      </c>
      <c r="C104" s="26">
        <v>50</v>
      </c>
      <c r="D104" s="27" t="s">
        <v>321</v>
      </c>
      <c r="E104" s="28" t="s">
        <v>322</v>
      </c>
      <c r="F104" s="29" t="s">
        <v>323</v>
      </c>
      <c r="G104" s="29" t="s">
        <v>324</v>
      </c>
      <c r="H104" s="29" t="s">
        <v>325</v>
      </c>
      <c r="I104" s="29" t="s">
        <v>29</v>
      </c>
      <c r="J104" s="30">
        <v>90861.19</v>
      </c>
      <c r="K104" s="31">
        <v>80676.19</v>
      </c>
      <c r="L104" s="31"/>
      <c r="M104" s="31"/>
      <c r="N104" s="32"/>
      <c r="O104" s="32">
        <v>2.1520000000000001</v>
      </c>
      <c r="P104" s="32"/>
      <c r="Q104" s="32" t="s">
        <v>30</v>
      </c>
      <c r="R104" s="33">
        <v>5095</v>
      </c>
      <c r="S104" s="33">
        <v>15285</v>
      </c>
      <c r="T104" s="34">
        <f t="shared" si="9"/>
        <v>20380</v>
      </c>
      <c r="U104" s="35">
        <f t="shared" si="8"/>
        <v>0</v>
      </c>
      <c r="V104" s="36">
        <v>20380</v>
      </c>
      <c r="W104" s="36">
        <v>20380</v>
      </c>
      <c r="X104" s="36">
        <v>20380</v>
      </c>
      <c r="Y104" s="36">
        <v>9346.1899999999987</v>
      </c>
      <c r="Z104" s="36">
        <v>0</v>
      </c>
      <c r="AA104" s="36">
        <v>0</v>
      </c>
      <c r="AB104" s="36">
        <v>0</v>
      </c>
      <c r="AC104" s="36">
        <v>0</v>
      </c>
      <c r="AD104" s="36">
        <v>0</v>
      </c>
      <c r="AE104" s="36">
        <v>0</v>
      </c>
      <c r="AF104" s="36">
        <v>0</v>
      </c>
      <c r="AG104" s="36">
        <v>0</v>
      </c>
      <c r="AH104" s="36">
        <v>0</v>
      </c>
      <c r="AI104" s="36">
        <v>0</v>
      </c>
      <c r="AJ104" s="36">
        <v>0</v>
      </c>
      <c r="AK104" s="36">
        <v>0</v>
      </c>
      <c r="AL104" s="36">
        <v>0</v>
      </c>
      <c r="AM104" s="36">
        <v>0</v>
      </c>
      <c r="AN104" s="36">
        <v>0</v>
      </c>
      <c r="AO104" s="36">
        <v>0</v>
      </c>
      <c r="AP104" s="36">
        <v>0</v>
      </c>
      <c r="AQ104" s="36">
        <v>0</v>
      </c>
      <c r="AR104" s="36">
        <v>0</v>
      </c>
      <c r="AS104" s="36">
        <v>0</v>
      </c>
      <c r="AT104" s="36">
        <v>0</v>
      </c>
      <c r="AU104" s="36">
        <v>0</v>
      </c>
      <c r="AV104" s="36">
        <v>0</v>
      </c>
      <c r="AW104" s="36">
        <v>0</v>
      </c>
      <c r="AX104" s="36"/>
      <c r="AY104" s="36"/>
      <c r="AZ104" s="37">
        <f t="shared" si="10"/>
        <v>70486.19</v>
      </c>
      <c r="BA104" s="38">
        <f t="shared" si="12"/>
        <v>0</v>
      </c>
      <c r="BB104" s="39">
        <f t="shared" si="11"/>
        <v>0</v>
      </c>
      <c r="BC104" s="40">
        <f t="shared" si="14"/>
        <v>70486.19</v>
      </c>
      <c r="BE104" s="24" t="b">
        <f t="shared" si="13"/>
        <v>1</v>
      </c>
      <c r="BF104" s="41"/>
    </row>
    <row r="105" spans="2:58" outlineLevel="1" x14ac:dyDescent="0.3">
      <c r="B105" s="42" t="s">
        <v>23</v>
      </c>
      <c r="C105" s="43"/>
      <c r="D105" s="44" t="s">
        <v>326</v>
      </c>
      <c r="E105" s="45"/>
      <c r="F105" s="46"/>
      <c r="G105" s="46"/>
      <c r="H105" s="46"/>
      <c r="I105" s="46"/>
      <c r="J105" s="47"/>
      <c r="K105" s="47"/>
      <c r="L105" s="47" t="s">
        <v>327</v>
      </c>
      <c r="M105" s="47"/>
      <c r="N105" s="48">
        <f>SUM(O105:P105)</f>
        <v>5.2210000000000001</v>
      </c>
      <c r="O105" s="57">
        <v>5.2210000000000001</v>
      </c>
      <c r="P105" s="48">
        <f>$P$4</f>
        <v>0</v>
      </c>
      <c r="Q105" s="48" t="s">
        <v>33</v>
      </c>
      <c r="R105" s="49">
        <f>2775.82</f>
        <v>2775.82</v>
      </c>
      <c r="S105" s="49">
        <v>721.66</v>
      </c>
      <c r="T105" s="50">
        <f t="shared" si="9"/>
        <v>3497.48</v>
      </c>
      <c r="U105" s="51">
        <f t="shared" si="8"/>
        <v>0.5</v>
      </c>
      <c r="V105" s="52">
        <f>2775.82+721.66+0.5</f>
        <v>3497.98</v>
      </c>
      <c r="W105" s="52">
        <f>SUM(W104:$AW104)*$N105/100</f>
        <v>2616.0441799</v>
      </c>
      <c r="X105" s="52">
        <f>SUM(X104:$AW104)*$N105/100</f>
        <v>1552.0043799</v>
      </c>
      <c r="Y105" s="52">
        <f>SUM(Y104:$AW104)*$N105/100</f>
        <v>487.96457989999993</v>
      </c>
      <c r="Z105" s="52">
        <v>0</v>
      </c>
      <c r="AA105" s="52">
        <v>0</v>
      </c>
      <c r="AB105" s="52">
        <v>0</v>
      </c>
      <c r="AC105" s="52">
        <v>0</v>
      </c>
      <c r="AD105" s="52">
        <v>0</v>
      </c>
      <c r="AE105" s="52">
        <v>0</v>
      </c>
      <c r="AF105" s="52">
        <v>0</v>
      </c>
      <c r="AG105" s="52">
        <v>0</v>
      </c>
      <c r="AH105" s="52">
        <v>0</v>
      </c>
      <c r="AI105" s="52">
        <v>0</v>
      </c>
      <c r="AJ105" s="52">
        <v>0</v>
      </c>
      <c r="AK105" s="52">
        <v>0</v>
      </c>
      <c r="AL105" s="52">
        <v>0</v>
      </c>
      <c r="AM105" s="52">
        <v>0</v>
      </c>
      <c r="AN105" s="52">
        <v>0</v>
      </c>
      <c r="AO105" s="52">
        <v>0</v>
      </c>
      <c r="AP105" s="52">
        <v>0</v>
      </c>
      <c r="AQ105" s="52">
        <v>0</v>
      </c>
      <c r="AR105" s="52">
        <v>0</v>
      </c>
      <c r="AS105" s="52">
        <v>0</v>
      </c>
      <c r="AT105" s="52">
        <v>0</v>
      </c>
      <c r="AU105" s="52">
        <v>0</v>
      </c>
      <c r="AV105" s="52">
        <v>0</v>
      </c>
      <c r="AW105" s="52">
        <v>0</v>
      </c>
      <c r="AX105" s="52"/>
      <c r="AY105" s="52"/>
      <c r="AZ105" s="53">
        <f t="shared" si="10"/>
        <v>8153.9931396999991</v>
      </c>
      <c r="BA105" s="38">
        <f t="shared" si="12"/>
        <v>0</v>
      </c>
      <c r="BB105" s="54">
        <f t="shared" si="11"/>
        <v>0</v>
      </c>
      <c r="BC105" s="55">
        <f t="shared" si="14"/>
        <v>8153.9931396999991</v>
      </c>
      <c r="BE105" s="24" t="b">
        <f t="shared" si="13"/>
        <v>1</v>
      </c>
    </row>
    <row r="106" spans="2:58" s="24" customFormat="1" outlineLevel="1" x14ac:dyDescent="0.3">
      <c r="B106" s="25" t="s">
        <v>23</v>
      </c>
      <c r="C106" s="26">
        <v>51</v>
      </c>
      <c r="D106" s="27" t="s">
        <v>328</v>
      </c>
      <c r="E106" s="28" t="s">
        <v>329</v>
      </c>
      <c r="F106" s="29" t="s">
        <v>330</v>
      </c>
      <c r="G106" s="29" t="s">
        <v>331</v>
      </c>
      <c r="H106" s="29" t="s">
        <v>332</v>
      </c>
      <c r="I106" s="29" t="s">
        <v>29</v>
      </c>
      <c r="J106" s="30">
        <v>496340</v>
      </c>
      <c r="K106" s="31">
        <v>491872</v>
      </c>
      <c r="L106" s="31"/>
      <c r="M106" s="31"/>
      <c r="N106" s="32"/>
      <c r="O106" s="32"/>
      <c r="P106" s="32"/>
      <c r="Q106" s="32" t="s">
        <v>30</v>
      </c>
      <c r="R106" s="33">
        <v>13415</v>
      </c>
      <c r="S106" s="33">
        <v>40245</v>
      </c>
      <c r="T106" s="34">
        <f t="shared" si="9"/>
        <v>53660</v>
      </c>
      <c r="U106" s="35">
        <f t="shared" si="8"/>
        <v>0</v>
      </c>
      <c r="V106" s="36">
        <f>53660</f>
        <v>53660</v>
      </c>
      <c r="W106" s="36">
        <v>53660</v>
      </c>
      <c r="X106" s="36">
        <v>53660</v>
      </c>
      <c r="Y106" s="36">
        <v>53660</v>
      </c>
      <c r="Z106" s="36">
        <v>53660</v>
      </c>
      <c r="AA106" s="36">
        <v>53660</v>
      </c>
      <c r="AB106" s="36">
        <v>53660</v>
      </c>
      <c r="AC106" s="36">
        <v>53660</v>
      </c>
      <c r="AD106" s="36">
        <v>40245</v>
      </c>
      <c r="AE106" s="36">
        <v>0</v>
      </c>
      <c r="AF106" s="36">
        <v>0</v>
      </c>
      <c r="AG106" s="36">
        <v>0</v>
      </c>
      <c r="AH106" s="36">
        <v>0</v>
      </c>
      <c r="AI106" s="36">
        <v>0</v>
      </c>
      <c r="AJ106" s="36">
        <v>0</v>
      </c>
      <c r="AK106" s="36">
        <v>0</v>
      </c>
      <c r="AL106" s="36">
        <v>0</v>
      </c>
      <c r="AM106" s="36">
        <v>0</v>
      </c>
      <c r="AN106" s="36">
        <v>0</v>
      </c>
      <c r="AO106" s="36">
        <v>0</v>
      </c>
      <c r="AP106" s="36">
        <v>0</v>
      </c>
      <c r="AQ106" s="36">
        <v>0</v>
      </c>
      <c r="AR106" s="36">
        <v>0</v>
      </c>
      <c r="AS106" s="36">
        <v>0</v>
      </c>
      <c r="AT106" s="36">
        <v>0</v>
      </c>
      <c r="AU106" s="36">
        <v>0</v>
      </c>
      <c r="AV106" s="36">
        <v>0</v>
      </c>
      <c r="AW106" s="36">
        <v>0</v>
      </c>
      <c r="AX106" s="36"/>
      <c r="AY106" s="36"/>
      <c r="AZ106" s="37">
        <f t="shared" si="10"/>
        <v>469525</v>
      </c>
      <c r="BA106" s="38">
        <f t="shared" si="12"/>
        <v>0</v>
      </c>
      <c r="BB106" s="39">
        <f t="shared" si="11"/>
        <v>93905</v>
      </c>
      <c r="BC106" s="40">
        <f t="shared" si="14"/>
        <v>469525</v>
      </c>
      <c r="BE106" s="24" t="b">
        <f t="shared" si="13"/>
        <v>1</v>
      </c>
      <c r="BF106" s="41"/>
    </row>
    <row r="107" spans="2:58" outlineLevel="1" x14ac:dyDescent="0.3">
      <c r="B107" s="42" t="s">
        <v>23</v>
      </c>
      <c r="C107" s="43"/>
      <c r="D107" s="44" t="s">
        <v>333</v>
      </c>
      <c r="E107" s="45"/>
      <c r="F107" s="46"/>
      <c r="G107" s="46"/>
      <c r="H107" s="46"/>
      <c r="I107" s="46"/>
      <c r="J107" s="47"/>
      <c r="K107" s="47"/>
      <c r="L107" s="47" t="s">
        <v>334</v>
      </c>
      <c r="M107" s="47"/>
      <c r="N107" s="48">
        <f>SUM(O107:P107)</f>
        <v>5.5309999999999997</v>
      </c>
      <c r="O107" s="48">
        <v>5.5309999999999997</v>
      </c>
      <c r="P107" s="48">
        <f>$P$4</f>
        <v>0</v>
      </c>
      <c r="Q107" s="48" t="s">
        <v>33</v>
      </c>
      <c r="R107" s="49">
        <f>19695.55</f>
        <v>19695.55</v>
      </c>
      <c r="S107" s="49">
        <v>5685.72</v>
      </c>
      <c r="T107" s="50">
        <f t="shared" si="9"/>
        <v>25381.27</v>
      </c>
      <c r="U107" s="51">
        <f t="shared" si="8"/>
        <v>0.5</v>
      </c>
      <c r="V107" s="52">
        <f>19695.55+5685.72+0.5</f>
        <v>25381.77</v>
      </c>
      <c r="W107" s="52">
        <f>SUM(W106:$AW106)*$N107/100</f>
        <v>23001.493149999998</v>
      </c>
      <c r="X107" s="52">
        <f>SUM(X106:$AW106)*$N107/100</f>
        <v>20033.558550000002</v>
      </c>
      <c r="Y107" s="52">
        <f>SUM(Y106:$AW106)*$N107/100</f>
        <v>17065.623950000001</v>
      </c>
      <c r="Z107" s="52">
        <f>SUM(Z106:$AW106)*$N107/100</f>
        <v>14097.689349999999</v>
      </c>
      <c r="AA107" s="52">
        <f>SUM(AA106:$AW106)*$N107/100</f>
        <v>11129.754749999998</v>
      </c>
      <c r="AB107" s="52">
        <f>SUM(AB106:$AW106)*$N107/100</f>
        <v>8161.8201499999986</v>
      </c>
      <c r="AC107" s="52">
        <f>SUM(AC106:$AW106)*$N107/100</f>
        <v>5193.88555</v>
      </c>
      <c r="AD107" s="52">
        <f>SUM(AD106:$AW106)*$N107/100</f>
        <v>2225.9509499999999</v>
      </c>
      <c r="AE107" s="52">
        <v>0</v>
      </c>
      <c r="AF107" s="52">
        <v>0</v>
      </c>
      <c r="AG107" s="52">
        <v>0</v>
      </c>
      <c r="AH107" s="52">
        <v>0</v>
      </c>
      <c r="AI107" s="52">
        <v>0</v>
      </c>
      <c r="AJ107" s="52">
        <v>0</v>
      </c>
      <c r="AK107" s="52">
        <v>0</v>
      </c>
      <c r="AL107" s="52">
        <v>0</v>
      </c>
      <c r="AM107" s="52">
        <v>0</v>
      </c>
      <c r="AN107" s="52">
        <v>0</v>
      </c>
      <c r="AO107" s="52">
        <v>0</v>
      </c>
      <c r="AP107" s="52">
        <v>0</v>
      </c>
      <c r="AQ107" s="52">
        <v>0</v>
      </c>
      <c r="AR107" s="52">
        <v>0</v>
      </c>
      <c r="AS107" s="52">
        <v>0</v>
      </c>
      <c r="AT107" s="52">
        <v>0</v>
      </c>
      <c r="AU107" s="52">
        <v>0</v>
      </c>
      <c r="AV107" s="52">
        <v>0</v>
      </c>
      <c r="AW107" s="52">
        <v>0</v>
      </c>
      <c r="AX107" s="52"/>
      <c r="AY107" s="52"/>
      <c r="AZ107" s="53">
        <f t="shared" si="10"/>
        <v>126291.54640000001</v>
      </c>
      <c r="BA107" s="38">
        <f t="shared" si="12"/>
        <v>0</v>
      </c>
      <c r="BB107" s="54">
        <f t="shared" si="11"/>
        <v>7419.8364999999994</v>
      </c>
      <c r="BC107" s="55">
        <f t="shared" si="14"/>
        <v>126291.54640000001</v>
      </c>
      <c r="BE107" s="24" t="b">
        <f t="shared" si="13"/>
        <v>1</v>
      </c>
    </row>
    <row r="108" spans="2:58" s="24" customFormat="1" outlineLevel="1" x14ac:dyDescent="0.3">
      <c r="B108" s="25" t="s">
        <v>74</v>
      </c>
      <c r="C108" s="26">
        <v>52</v>
      </c>
      <c r="D108" s="27" t="s">
        <v>335</v>
      </c>
      <c r="E108" s="28" t="s">
        <v>336</v>
      </c>
      <c r="F108" s="29" t="s">
        <v>337</v>
      </c>
      <c r="G108" s="29" t="s">
        <v>338</v>
      </c>
      <c r="H108" s="29" t="s">
        <v>339</v>
      </c>
      <c r="I108" s="29" t="s">
        <v>29</v>
      </c>
      <c r="J108" s="30">
        <v>6469</v>
      </c>
      <c r="K108" s="31">
        <v>5800</v>
      </c>
      <c r="L108" s="31"/>
      <c r="M108" s="31"/>
      <c r="N108" s="32"/>
      <c r="O108" s="32">
        <v>2.403</v>
      </c>
      <c r="P108" s="32"/>
      <c r="Q108" s="32" t="s">
        <v>30</v>
      </c>
      <c r="R108" s="33">
        <v>232</v>
      </c>
      <c r="S108" s="33">
        <v>696</v>
      </c>
      <c r="T108" s="34">
        <f t="shared" si="9"/>
        <v>928</v>
      </c>
      <c r="U108" s="35">
        <f t="shared" si="8"/>
        <v>0</v>
      </c>
      <c r="V108" s="36">
        <v>928</v>
      </c>
      <c r="W108" s="36">
        <v>928</v>
      </c>
      <c r="X108" s="36">
        <v>928</v>
      </c>
      <c r="Y108" s="36">
        <v>928</v>
      </c>
      <c r="Z108" s="36">
        <v>928</v>
      </c>
      <c r="AA108" s="36">
        <v>696</v>
      </c>
      <c r="AB108" s="36">
        <v>0</v>
      </c>
      <c r="AC108" s="36">
        <v>0</v>
      </c>
      <c r="AD108" s="36">
        <v>0</v>
      </c>
      <c r="AE108" s="36">
        <v>0</v>
      </c>
      <c r="AF108" s="36">
        <v>0</v>
      </c>
      <c r="AG108" s="36">
        <v>0</v>
      </c>
      <c r="AH108" s="36">
        <v>0</v>
      </c>
      <c r="AI108" s="36">
        <v>0</v>
      </c>
      <c r="AJ108" s="36">
        <v>0</v>
      </c>
      <c r="AK108" s="36">
        <v>0</v>
      </c>
      <c r="AL108" s="36">
        <v>0</v>
      </c>
      <c r="AM108" s="36">
        <v>0</v>
      </c>
      <c r="AN108" s="36">
        <v>0</v>
      </c>
      <c r="AO108" s="36">
        <v>0</v>
      </c>
      <c r="AP108" s="36">
        <v>0</v>
      </c>
      <c r="AQ108" s="36">
        <v>0</v>
      </c>
      <c r="AR108" s="36">
        <v>0</v>
      </c>
      <c r="AS108" s="36">
        <v>0</v>
      </c>
      <c r="AT108" s="36">
        <v>0</v>
      </c>
      <c r="AU108" s="36">
        <v>0</v>
      </c>
      <c r="AV108" s="36">
        <v>0</v>
      </c>
      <c r="AW108" s="36">
        <v>0</v>
      </c>
      <c r="AX108" s="36"/>
      <c r="AY108" s="36"/>
      <c r="AZ108" s="37">
        <f t="shared" si="10"/>
        <v>5336</v>
      </c>
      <c r="BA108" s="38">
        <f t="shared" si="12"/>
        <v>0</v>
      </c>
      <c r="BB108" s="39">
        <f t="shared" si="11"/>
        <v>0</v>
      </c>
      <c r="BC108" s="40">
        <f t="shared" si="14"/>
        <v>5336</v>
      </c>
      <c r="BE108" s="24" t="b">
        <f t="shared" si="13"/>
        <v>1</v>
      </c>
      <c r="BF108" s="41"/>
    </row>
    <row r="109" spans="2:58" outlineLevel="1" x14ac:dyDescent="0.3">
      <c r="B109" s="42" t="s">
        <v>74</v>
      </c>
      <c r="C109" s="43"/>
      <c r="D109" s="44" t="s">
        <v>340</v>
      </c>
      <c r="E109" s="45"/>
      <c r="F109" s="46"/>
      <c r="G109" s="46"/>
      <c r="H109" s="46"/>
      <c r="I109" s="46"/>
      <c r="J109" s="47"/>
      <c r="K109" s="47"/>
      <c r="L109" s="47" t="s">
        <v>341</v>
      </c>
      <c r="M109" s="47"/>
      <c r="N109" s="48">
        <f>SUM(O109:P109)</f>
        <v>5.4349999999999996</v>
      </c>
      <c r="O109" s="57">
        <v>5.4349999999999996</v>
      </c>
      <c r="P109" s="48">
        <f>$P$4</f>
        <v>0</v>
      </c>
      <c r="Q109" s="48" t="s">
        <v>33</v>
      </c>
      <c r="R109" s="49">
        <f>219.54</f>
        <v>219.54</v>
      </c>
      <c r="S109" s="49">
        <v>61.04</v>
      </c>
      <c r="T109" s="50">
        <f t="shared" si="9"/>
        <v>280.58</v>
      </c>
      <c r="U109" s="51">
        <f t="shared" si="8"/>
        <v>0</v>
      </c>
      <c r="V109" s="52">
        <f>219.54+61.04</f>
        <v>280.58</v>
      </c>
      <c r="W109" s="52">
        <f>SUM(W108:$AW108)*$N109/100</f>
        <v>239.57479999999998</v>
      </c>
      <c r="X109" s="52">
        <f>SUM(X108:$AW108)*$N109/100</f>
        <v>189.13800000000001</v>
      </c>
      <c r="Y109" s="52">
        <f>SUM(Y108:$AW108)*$N109/100</f>
        <v>138.7012</v>
      </c>
      <c r="Z109" s="52">
        <f>SUM(Z108:$AW108)*$N109/100</f>
        <v>88.264399999999981</v>
      </c>
      <c r="AA109" s="52">
        <f>SUM(AA108:$AW108)*$N109/100</f>
        <v>37.827599999999997</v>
      </c>
      <c r="AB109" s="52">
        <v>0</v>
      </c>
      <c r="AC109" s="52">
        <v>0</v>
      </c>
      <c r="AD109" s="52">
        <v>0</v>
      </c>
      <c r="AE109" s="52">
        <v>0</v>
      </c>
      <c r="AF109" s="52">
        <v>0</v>
      </c>
      <c r="AG109" s="52">
        <v>0</v>
      </c>
      <c r="AH109" s="52">
        <v>0</v>
      </c>
      <c r="AI109" s="52">
        <v>0</v>
      </c>
      <c r="AJ109" s="52">
        <v>0</v>
      </c>
      <c r="AK109" s="52">
        <v>0</v>
      </c>
      <c r="AL109" s="52">
        <v>0</v>
      </c>
      <c r="AM109" s="52">
        <v>0</v>
      </c>
      <c r="AN109" s="52">
        <v>0</v>
      </c>
      <c r="AO109" s="52">
        <v>0</v>
      </c>
      <c r="AP109" s="52">
        <v>0</v>
      </c>
      <c r="AQ109" s="52">
        <v>0</v>
      </c>
      <c r="AR109" s="52">
        <v>0</v>
      </c>
      <c r="AS109" s="52">
        <v>0</v>
      </c>
      <c r="AT109" s="52">
        <v>0</v>
      </c>
      <c r="AU109" s="52">
        <v>0</v>
      </c>
      <c r="AV109" s="52">
        <v>0</v>
      </c>
      <c r="AW109" s="52">
        <v>0</v>
      </c>
      <c r="AX109" s="52"/>
      <c r="AY109" s="52"/>
      <c r="AZ109" s="53">
        <f t="shared" si="10"/>
        <v>974.08600000000001</v>
      </c>
      <c r="BA109" s="38">
        <f t="shared" si="12"/>
        <v>0</v>
      </c>
      <c r="BB109" s="54">
        <f t="shared" si="11"/>
        <v>0</v>
      </c>
      <c r="BC109" s="55">
        <f t="shared" si="14"/>
        <v>974.08600000000001</v>
      </c>
      <c r="BE109" s="24" t="b">
        <f t="shared" si="13"/>
        <v>1</v>
      </c>
    </row>
    <row r="110" spans="2:58" s="24" customFormat="1" outlineLevel="1" x14ac:dyDescent="0.3">
      <c r="B110" s="25" t="s">
        <v>74</v>
      </c>
      <c r="C110" s="26">
        <v>53</v>
      </c>
      <c r="D110" s="27" t="s">
        <v>342</v>
      </c>
      <c r="E110" s="28" t="s">
        <v>343</v>
      </c>
      <c r="F110" s="29" t="s">
        <v>344</v>
      </c>
      <c r="G110" s="29" t="s">
        <v>345</v>
      </c>
      <c r="H110" s="29" t="s">
        <v>346</v>
      </c>
      <c r="I110" s="29" t="s">
        <v>29</v>
      </c>
      <c r="J110" s="30">
        <v>503660</v>
      </c>
      <c r="K110" s="31">
        <v>503660</v>
      </c>
      <c r="L110" s="31"/>
      <c r="M110" s="31"/>
      <c r="N110" s="32"/>
      <c r="O110" s="32"/>
      <c r="P110" s="32"/>
      <c r="Q110" s="32" t="s">
        <v>30</v>
      </c>
      <c r="R110" s="33">
        <v>8837</v>
      </c>
      <c r="S110" s="33">
        <v>26511</v>
      </c>
      <c r="T110" s="34">
        <f t="shared" si="9"/>
        <v>35348</v>
      </c>
      <c r="U110" s="35">
        <f t="shared" si="8"/>
        <v>0</v>
      </c>
      <c r="V110" s="36">
        <v>35348</v>
      </c>
      <c r="W110" s="36">
        <v>35348</v>
      </c>
      <c r="X110" s="36">
        <v>35348</v>
      </c>
      <c r="Y110" s="36">
        <v>35348</v>
      </c>
      <c r="Z110" s="36">
        <v>35348</v>
      </c>
      <c r="AA110" s="36">
        <v>35348</v>
      </c>
      <c r="AB110" s="36">
        <v>35348</v>
      </c>
      <c r="AC110" s="36">
        <v>35348</v>
      </c>
      <c r="AD110" s="36">
        <v>35348</v>
      </c>
      <c r="AE110" s="36">
        <v>35348</v>
      </c>
      <c r="AF110" s="36">
        <v>35348</v>
      </c>
      <c r="AG110" s="36">
        <v>35348</v>
      </c>
      <c r="AH110" s="36">
        <v>35348</v>
      </c>
      <c r="AI110" s="36">
        <v>35348</v>
      </c>
      <c r="AJ110" s="36">
        <v>0</v>
      </c>
      <c r="AK110" s="36">
        <v>0</v>
      </c>
      <c r="AL110" s="36">
        <v>0</v>
      </c>
      <c r="AM110" s="36">
        <v>0</v>
      </c>
      <c r="AN110" s="36">
        <v>0</v>
      </c>
      <c r="AO110" s="36">
        <v>0</v>
      </c>
      <c r="AP110" s="36">
        <v>0</v>
      </c>
      <c r="AQ110" s="36">
        <v>0</v>
      </c>
      <c r="AR110" s="36">
        <v>0</v>
      </c>
      <c r="AS110" s="36">
        <v>0</v>
      </c>
      <c r="AT110" s="36">
        <v>0</v>
      </c>
      <c r="AU110" s="36">
        <v>0</v>
      </c>
      <c r="AV110" s="36">
        <v>0</v>
      </c>
      <c r="AW110" s="36">
        <v>0</v>
      </c>
      <c r="AX110" s="36"/>
      <c r="AY110" s="36"/>
      <c r="AZ110" s="37">
        <f t="shared" si="10"/>
        <v>494872</v>
      </c>
      <c r="BA110" s="38">
        <f t="shared" si="12"/>
        <v>0</v>
      </c>
      <c r="BB110" s="39">
        <f t="shared" si="11"/>
        <v>247436</v>
      </c>
      <c r="BC110" s="40">
        <f t="shared" si="14"/>
        <v>494872</v>
      </c>
      <c r="BE110" s="24" t="b">
        <f t="shared" si="13"/>
        <v>1</v>
      </c>
      <c r="BF110" s="41"/>
    </row>
    <row r="111" spans="2:58" outlineLevel="1" x14ac:dyDescent="0.3">
      <c r="B111" s="42" t="s">
        <v>74</v>
      </c>
      <c r="C111" s="43"/>
      <c r="D111" s="44" t="s">
        <v>347</v>
      </c>
      <c r="E111" s="45"/>
      <c r="F111" s="46"/>
      <c r="G111" s="46"/>
      <c r="H111" s="46"/>
      <c r="I111" s="46"/>
      <c r="J111" s="47"/>
      <c r="K111" s="47"/>
      <c r="L111" s="47">
        <v>0</v>
      </c>
      <c r="M111" s="47" t="s">
        <v>219</v>
      </c>
      <c r="N111" s="48">
        <f>SUM(O111:P111)</f>
        <v>4.6120000000000001</v>
      </c>
      <c r="O111" s="48">
        <v>4.6120000000000001</v>
      </c>
      <c r="P111" s="48">
        <f>$P$4</f>
        <v>0</v>
      </c>
      <c r="Q111" s="48" t="s">
        <v>33</v>
      </c>
      <c r="R111" s="49">
        <f>17321.34</f>
        <v>17321.34</v>
      </c>
      <c r="S111" s="49">
        <v>5611.9</v>
      </c>
      <c r="T111" s="50">
        <f t="shared" si="9"/>
        <v>22933.239999999998</v>
      </c>
      <c r="U111" s="51">
        <f t="shared" si="8"/>
        <v>0.5</v>
      </c>
      <c r="V111" s="52">
        <f>17321.34+5611.9+0.5</f>
        <v>22933.739999999998</v>
      </c>
      <c r="W111" s="52">
        <f>SUM(W110:$AW110)*$N111/100</f>
        <v>21193.246880000002</v>
      </c>
      <c r="X111" s="52">
        <f>SUM(X110:$AW110)*$N111/100</f>
        <v>19562.99712</v>
      </c>
      <c r="Y111" s="52">
        <f>SUM(Y110:$AW110)*$N111/100</f>
        <v>17932.747360000001</v>
      </c>
      <c r="Z111" s="52">
        <f>SUM(Z110:$AW110)*$N111/100</f>
        <v>16302.497600000001</v>
      </c>
      <c r="AA111" s="52">
        <f>SUM(AA110:$AW110)*$N111/100</f>
        <v>14672.24784</v>
      </c>
      <c r="AB111" s="52">
        <f>SUM(AB110:$AW110)*$N111/100</f>
        <v>13041.998079999999</v>
      </c>
      <c r="AC111" s="52">
        <f>SUM(AC110:$AW110)*$N111/100</f>
        <v>11411.748319999999</v>
      </c>
      <c r="AD111" s="52">
        <f>SUM(AD110:$AW110)*$N111/100</f>
        <v>9781.49856</v>
      </c>
      <c r="AE111" s="52">
        <f>SUM(AE110:$AW110)*$N111/100</f>
        <v>8151.2488000000003</v>
      </c>
      <c r="AF111" s="52">
        <f>SUM(AF110:$AW110)*$N111/100</f>
        <v>6520.9990399999997</v>
      </c>
      <c r="AG111" s="52">
        <f>SUM(AG110:$AW110)*$N111/100</f>
        <v>4890.74928</v>
      </c>
      <c r="AH111" s="52">
        <f>SUM(AH110:$AW110)*$N111/100</f>
        <v>3260.4995199999998</v>
      </c>
      <c r="AI111" s="52">
        <f>SUM(AI110:$AW110)*$N111/100</f>
        <v>1630.2497599999999</v>
      </c>
      <c r="AJ111" s="52">
        <v>0</v>
      </c>
      <c r="AK111" s="52">
        <v>0</v>
      </c>
      <c r="AL111" s="52">
        <v>0</v>
      </c>
      <c r="AM111" s="52">
        <v>0</v>
      </c>
      <c r="AN111" s="52">
        <v>0</v>
      </c>
      <c r="AO111" s="52">
        <v>0</v>
      </c>
      <c r="AP111" s="52">
        <v>0</v>
      </c>
      <c r="AQ111" s="52">
        <v>0</v>
      </c>
      <c r="AR111" s="52">
        <v>0</v>
      </c>
      <c r="AS111" s="52">
        <v>0</v>
      </c>
      <c r="AT111" s="52">
        <v>0</v>
      </c>
      <c r="AU111" s="52">
        <v>0</v>
      </c>
      <c r="AV111" s="52">
        <v>0</v>
      </c>
      <c r="AW111" s="52">
        <v>0</v>
      </c>
      <c r="AX111" s="52"/>
      <c r="AY111" s="52"/>
      <c r="AZ111" s="53">
        <f t="shared" si="10"/>
        <v>171286.46816000002</v>
      </c>
      <c r="BA111" s="38">
        <f t="shared" si="12"/>
        <v>0</v>
      </c>
      <c r="BB111" s="54">
        <f t="shared" si="11"/>
        <v>45646.993280000002</v>
      </c>
      <c r="BC111" s="55">
        <f t="shared" si="14"/>
        <v>171286.46816000002</v>
      </c>
      <c r="BE111" s="24" t="b">
        <f t="shared" si="13"/>
        <v>1</v>
      </c>
    </row>
    <row r="112" spans="2:58" s="24" customFormat="1" outlineLevel="1" x14ac:dyDescent="0.3">
      <c r="B112" s="25" t="s">
        <v>74</v>
      </c>
      <c r="C112" s="26">
        <v>54</v>
      </c>
      <c r="D112" s="27" t="s">
        <v>342</v>
      </c>
      <c r="E112" s="28" t="s">
        <v>348</v>
      </c>
      <c r="F112" s="29" t="s">
        <v>349</v>
      </c>
      <c r="G112" s="29" t="s">
        <v>345</v>
      </c>
      <c r="H112" s="29" t="s">
        <v>350</v>
      </c>
      <c r="I112" s="29" t="s">
        <v>29</v>
      </c>
      <c r="J112" s="30">
        <v>300000</v>
      </c>
      <c r="K112" s="31">
        <v>300000</v>
      </c>
      <c r="L112" s="31"/>
      <c r="M112" s="31"/>
      <c r="N112" s="32"/>
      <c r="O112" s="32"/>
      <c r="P112" s="32"/>
      <c r="Q112" s="32" t="s">
        <v>30</v>
      </c>
      <c r="R112" s="33">
        <v>8109</v>
      </c>
      <c r="S112" s="33">
        <v>24327</v>
      </c>
      <c r="T112" s="34">
        <f t="shared" si="9"/>
        <v>32436</v>
      </c>
      <c r="U112" s="35">
        <f t="shared" si="8"/>
        <v>0</v>
      </c>
      <c r="V112" s="36">
        <v>32436</v>
      </c>
      <c r="W112" s="36">
        <v>32436</v>
      </c>
      <c r="X112" s="36">
        <v>32436</v>
      </c>
      <c r="Y112" s="36">
        <v>32436</v>
      </c>
      <c r="Z112" s="36">
        <v>32436</v>
      </c>
      <c r="AA112" s="36">
        <v>32436</v>
      </c>
      <c r="AB112" s="36">
        <v>32436</v>
      </c>
      <c r="AC112" s="36">
        <v>32436</v>
      </c>
      <c r="AD112" s="36">
        <v>32436</v>
      </c>
      <c r="AE112" s="36">
        <v>0</v>
      </c>
      <c r="AF112" s="36">
        <v>0</v>
      </c>
      <c r="AG112" s="36">
        <v>0</v>
      </c>
      <c r="AH112" s="36">
        <v>0</v>
      </c>
      <c r="AI112" s="36">
        <v>0</v>
      </c>
      <c r="AJ112" s="36">
        <v>0</v>
      </c>
      <c r="AK112" s="36">
        <v>0</v>
      </c>
      <c r="AL112" s="36">
        <v>0</v>
      </c>
      <c r="AM112" s="36">
        <v>0</v>
      </c>
      <c r="AN112" s="36">
        <v>0</v>
      </c>
      <c r="AO112" s="36">
        <v>0</v>
      </c>
      <c r="AP112" s="36">
        <v>0</v>
      </c>
      <c r="AQ112" s="36">
        <v>0</v>
      </c>
      <c r="AR112" s="36">
        <v>0</v>
      </c>
      <c r="AS112" s="36">
        <v>0</v>
      </c>
      <c r="AT112" s="36">
        <v>0</v>
      </c>
      <c r="AU112" s="36">
        <v>0</v>
      </c>
      <c r="AV112" s="36">
        <v>0</v>
      </c>
      <c r="AW112" s="36">
        <v>0</v>
      </c>
      <c r="AX112" s="36"/>
      <c r="AY112" s="36"/>
      <c r="AZ112" s="37">
        <f t="shared" si="10"/>
        <v>291924</v>
      </c>
      <c r="BA112" s="38">
        <f t="shared" si="12"/>
        <v>0</v>
      </c>
      <c r="BB112" s="39">
        <f t="shared" si="11"/>
        <v>64872</v>
      </c>
      <c r="BC112" s="40">
        <f t="shared" si="14"/>
        <v>291924</v>
      </c>
      <c r="BE112" s="24" t="b">
        <f t="shared" si="13"/>
        <v>1</v>
      </c>
      <c r="BF112" s="41"/>
    </row>
    <row r="113" spans="2:58" outlineLevel="1" x14ac:dyDescent="0.3">
      <c r="B113" s="42" t="s">
        <v>74</v>
      </c>
      <c r="C113" s="43"/>
      <c r="D113" s="44" t="s">
        <v>351</v>
      </c>
      <c r="E113" s="45"/>
      <c r="F113" s="46"/>
      <c r="G113" s="46"/>
      <c r="H113" s="46"/>
      <c r="I113" s="46"/>
      <c r="J113" s="47"/>
      <c r="K113" s="47"/>
      <c r="L113" s="47">
        <v>0</v>
      </c>
      <c r="M113" s="47" t="s">
        <v>219</v>
      </c>
      <c r="N113" s="48">
        <f>SUM(O113:P113)</f>
        <v>4.3979999999999997</v>
      </c>
      <c r="O113" s="48">
        <v>4.3979999999999997</v>
      </c>
      <c r="P113" s="48">
        <f>$P$4</f>
        <v>0</v>
      </c>
      <c r="Q113" s="48" t="s">
        <v>33</v>
      </c>
      <c r="R113" s="49">
        <f>9728.22</f>
        <v>9728.2199999999993</v>
      </c>
      <c r="S113" s="49">
        <v>3087.86</v>
      </c>
      <c r="T113" s="50">
        <f t="shared" si="9"/>
        <v>12816.08</v>
      </c>
      <c r="U113" s="51">
        <f t="shared" si="8"/>
        <v>0.62999999999919964</v>
      </c>
      <c r="V113" s="52">
        <f>9728.22+3087.86+0.63</f>
        <v>12816.71</v>
      </c>
      <c r="W113" s="52">
        <f>SUM(W112:$AW112)*$N113/100</f>
        <v>11412.282239999999</v>
      </c>
      <c r="X113" s="52">
        <f>SUM(X112:$AW112)*$N113/100</f>
        <v>9985.7469599999986</v>
      </c>
      <c r="Y113" s="52">
        <f>SUM(Y112:$AW112)*$N113/100</f>
        <v>8559.2116800000003</v>
      </c>
      <c r="Z113" s="52">
        <f>SUM(Z112:$AW112)*$N113/100</f>
        <v>7132.6763999999994</v>
      </c>
      <c r="AA113" s="52">
        <f>SUM(AA112:$AW112)*$N113/100</f>
        <v>5706.1411199999993</v>
      </c>
      <c r="AB113" s="52">
        <f>SUM(AB112:$AW112)*$N113/100</f>
        <v>4279.6058400000002</v>
      </c>
      <c r="AC113" s="52">
        <f>SUM(AC112:$AW112)*$N113/100</f>
        <v>2853.0705599999997</v>
      </c>
      <c r="AD113" s="52">
        <f>SUM(AD112:$AW112)*$N113/100</f>
        <v>1426.5352799999998</v>
      </c>
      <c r="AE113" s="52">
        <v>0</v>
      </c>
      <c r="AF113" s="52">
        <v>0</v>
      </c>
      <c r="AG113" s="52">
        <v>0</v>
      </c>
      <c r="AH113" s="52">
        <v>0</v>
      </c>
      <c r="AI113" s="52">
        <v>0</v>
      </c>
      <c r="AJ113" s="52">
        <v>0</v>
      </c>
      <c r="AK113" s="52">
        <v>0</v>
      </c>
      <c r="AL113" s="52">
        <v>0</v>
      </c>
      <c r="AM113" s="52">
        <v>0</v>
      </c>
      <c r="AN113" s="52">
        <v>0</v>
      </c>
      <c r="AO113" s="52">
        <v>0</v>
      </c>
      <c r="AP113" s="52">
        <v>0</v>
      </c>
      <c r="AQ113" s="52">
        <v>0</v>
      </c>
      <c r="AR113" s="52">
        <v>0</v>
      </c>
      <c r="AS113" s="52">
        <v>0</v>
      </c>
      <c r="AT113" s="52">
        <v>0</v>
      </c>
      <c r="AU113" s="52">
        <v>0</v>
      </c>
      <c r="AV113" s="52">
        <v>0</v>
      </c>
      <c r="AW113" s="52">
        <v>0</v>
      </c>
      <c r="AX113" s="52"/>
      <c r="AY113" s="52"/>
      <c r="AZ113" s="53">
        <f t="shared" si="10"/>
        <v>64171.980079999987</v>
      </c>
      <c r="BA113" s="38">
        <f t="shared" si="12"/>
        <v>0</v>
      </c>
      <c r="BB113" s="54">
        <f t="shared" si="11"/>
        <v>4279.6058399999993</v>
      </c>
      <c r="BC113" s="55">
        <f t="shared" si="14"/>
        <v>64171.980079999987</v>
      </c>
      <c r="BE113" s="24" t="b">
        <f t="shared" si="13"/>
        <v>1</v>
      </c>
    </row>
    <row r="114" spans="2:58" s="24" customFormat="1" outlineLevel="1" x14ac:dyDescent="0.3">
      <c r="B114" s="25" t="s">
        <v>23</v>
      </c>
      <c r="C114" s="26">
        <v>55</v>
      </c>
      <c r="D114" s="27" t="s">
        <v>352</v>
      </c>
      <c r="E114" s="28" t="s">
        <v>353</v>
      </c>
      <c r="F114" s="29" t="s">
        <v>354</v>
      </c>
      <c r="G114" s="29" t="s">
        <v>355</v>
      </c>
      <c r="H114" s="29" t="s">
        <v>356</v>
      </c>
      <c r="I114" s="29" t="s">
        <v>29</v>
      </c>
      <c r="J114" s="30">
        <v>292889</v>
      </c>
      <c r="K114" s="31">
        <v>126903.87</v>
      </c>
      <c r="L114" s="31"/>
      <c r="M114" s="31"/>
      <c r="N114" s="32"/>
      <c r="O114" s="32"/>
      <c r="P114" s="32"/>
      <c r="Q114" s="32" t="s">
        <v>30</v>
      </c>
      <c r="R114" s="33">
        <v>5050</v>
      </c>
      <c r="S114" s="33">
        <v>15150</v>
      </c>
      <c r="T114" s="34">
        <f t="shared" si="9"/>
        <v>20200</v>
      </c>
      <c r="U114" s="35">
        <f t="shared" si="8"/>
        <v>0</v>
      </c>
      <c r="V114" s="36">
        <v>20200</v>
      </c>
      <c r="W114" s="36">
        <v>20200</v>
      </c>
      <c r="X114" s="36">
        <v>20200</v>
      </c>
      <c r="Y114" s="36">
        <v>20200</v>
      </c>
      <c r="Z114" s="36">
        <v>20200</v>
      </c>
      <c r="AA114" s="36">
        <v>20200</v>
      </c>
      <c r="AB114" s="36">
        <v>20200</v>
      </c>
      <c r="AC114" s="36">
        <v>20200</v>
      </c>
      <c r="AD114" s="36">
        <v>20200</v>
      </c>
      <c r="AE114" s="36">
        <v>20200</v>
      </c>
      <c r="AF114" s="36">
        <v>20200</v>
      </c>
      <c r="AG114" s="36">
        <v>20200</v>
      </c>
      <c r="AH114" s="36">
        <v>20200</v>
      </c>
      <c r="AI114" s="36">
        <v>20200</v>
      </c>
      <c r="AJ114" s="36">
        <v>0</v>
      </c>
      <c r="AK114" s="36">
        <v>0</v>
      </c>
      <c r="AL114" s="36">
        <v>0</v>
      </c>
      <c r="AM114" s="36">
        <v>0</v>
      </c>
      <c r="AN114" s="36">
        <v>0</v>
      </c>
      <c r="AO114" s="36">
        <v>0</v>
      </c>
      <c r="AP114" s="36">
        <v>0</v>
      </c>
      <c r="AQ114" s="36">
        <v>0</v>
      </c>
      <c r="AR114" s="36">
        <v>0</v>
      </c>
      <c r="AS114" s="36">
        <v>0</v>
      </c>
      <c r="AT114" s="36">
        <v>0</v>
      </c>
      <c r="AU114" s="36">
        <v>0</v>
      </c>
      <c r="AV114" s="36">
        <v>0</v>
      </c>
      <c r="AW114" s="36">
        <v>0</v>
      </c>
      <c r="AX114" s="36"/>
      <c r="AY114" s="36"/>
      <c r="AZ114" s="37">
        <f t="shared" si="10"/>
        <v>282800</v>
      </c>
      <c r="BA114" s="38">
        <f t="shared" si="12"/>
        <v>0</v>
      </c>
      <c r="BB114" s="39">
        <f t="shared" si="11"/>
        <v>141400</v>
      </c>
      <c r="BC114" s="40">
        <f t="shared" si="14"/>
        <v>282800</v>
      </c>
      <c r="BE114" s="24" t="b">
        <f t="shared" si="13"/>
        <v>1</v>
      </c>
      <c r="BF114" s="41"/>
    </row>
    <row r="115" spans="2:58" outlineLevel="1" x14ac:dyDescent="0.3">
      <c r="B115" s="42" t="s">
        <v>23</v>
      </c>
      <c r="C115" s="43"/>
      <c r="D115" s="44" t="s">
        <v>357</v>
      </c>
      <c r="E115" s="45"/>
      <c r="F115" s="46"/>
      <c r="G115" s="46"/>
      <c r="H115" s="46"/>
      <c r="I115" s="46"/>
      <c r="J115" s="47"/>
      <c r="K115" s="47"/>
      <c r="L115" s="47">
        <v>0</v>
      </c>
      <c r="M115" s="47" t="s">
        <v>219</v>
      </c>
      <c r="N115" s="48">
        <f>SUM(O115:P115)</f>
        <v>4.6100000000000003</v>
      </c>
      <c r="O115" s="48">
        <v>4.6100000000000003</v>
      </c>
      <c r="P115" s="48">
        <f>$P$4</f>
        <v>0</v>
      </c>
      <c r="Q115" s="48" t="s">
        <v>33</v>
      </c>
      <c r="R115" s="49">
        <f>7386.04</f>
        <v>7386.04</v>
      </c>
      <c r="S115" s="49">
        <v>2398.4</v>
      </c>
      <c r="T115" s="50">
        <f t="shared" si="9"/>
        <v>9784.44</v>
      </c>
      <c r="U115" s="61">
        <f t="shared" si="8"/>
        <v>3001</v>
      </c>
      <c r="V115" s="52">
        <f>7386.04+2398.4+1001+2000</f>
        <v>12785.44</v>
      </c>
      <c r="W115" s="52">
        <f>SUM(W114:$AW114)*$N115/100</f>
        <v>12105.86</v>
      </c>
      <c r="X115" s="52">
        <f>SUM(X114:$AW114)*$N115/100</f>
        <v>11174.64</v>
      </c>
      <c r="Y115" s="52">
        <f>SUM(Y114:$AW114)*$N115/100</f>
        <v>10243.420000000002</v>
      </c>
      <c r="Z115" s="52">
        <f>SUM(Z114:$AW114)*$N115/100</f>
        <v>9312.2000000000007</v>
      </c>
      <c r="AA115" s="52">
        <f>SUM(AA114:$AW114)*$N115/100</f>
        <v>8380.98</v>
      </c>
      <c r="AB115" s="52">
        <f>SUM(AB114:$AW114)*$N115/100</f>
        <v>7449.76</v>
      </c>
      <c r="AC115" s="52">
        <f>SUM(AC114:$AW114)*$N115/100</f>
        <v>6518.54</v>
      </c>
      <c r="AD115" s="52">
        <f>SUM(AD114:$AW114)*$N115/100</f>
        <v>5587.32</v>
      </c>
      <c r="AE115" s="52">
        <f>SUM(AE114:$AW114)*$N115/100</f>
        <v>4656.1000000000004</v>
      </c>
      <c r="AF115" s="52">
        <f>SUM(AF114:$AW114)*$N115/100</f>
        <v>3724.88</v>
      </c>
      <c r="AG115" s="52">
        <f>SUM(AG114:$AW114)*$N115/100</f>
        <v>2793.66</v>
      </c>
      <c r="AH115" s="52">
        <f>SUM(AH114:$AW114)*$N115/100</f>
        <v>1862.44</v>
      </c>
      <c r="AI115" s="52">
        <f>SUM(AI114:$AW114)*$N115/100</f>
        <v>931.22</v>
      </c>
      <c r="AJ115" s="52">
        <v>0</v>
      </c>
      <c r="AK115" s="52">
        <v>0</v>
      </c>
      <c r="AL115" s="52">
        <v>0</v>
      </c>
      <c r="AM115" s="52">
        <v>0</v>
      </c>
      <c r="AN115" s="52">
        <v>0</v>
      </c>
      <c r="AO115" s="52">
        <v>0</v>
      </c>
      <c r="AP115" s="52">
        <v>0</v>
      </c>
      <c r="AQ115" s="52">
        <v>0</v>
      </c>
      <c r="AR115" s="52">
        <v>0</v>
      </c>
      <c r="AS115" s="52">
        <v>0</v>
      </c>
      <c r="AT115" s="52">
        <v>0</v>
      </c>
      <c r="AU115" s="52">
        <v>0</v>
      </c>
      <c r="AV115" s="52">
        <v>0</v>
      </c>
      <c r="AW115" s="52">
        <v>0</v>
      </c>
      <c r="AX115" s="52"/>
      <c r="AY115" s="52"/>
      <c r="AZ115" s="53">
        <f t="shared" si="10"/>
        <v>97526.459999999992</v>
      </c>
      <c r="BA115" s="38">
        <f t="shared" si="12"/>
        <v>0</v>
      </c>
      <c r="BB115" s="54">
        <f t="shared" si="11"/>
        <v>26074.16</v>
      </c>
      <c r="BC115" s="55">
        <f t="shared" si="14"/>
        <v>97526.459999999992</v>
      </c>
      <c r="BE115" s="24" t="b">
        <f t="shared" si="13"/>
        <v>1</v>
      </c>
    </row>
    <row r="116" spans="2:58" outlineLevel="1" x14ac:dyDescent="0.3">
      <c r="C116" s="62">
        <v>56</v>
      </c>
      <c r="D116" s="63" t="s">
        <v>358</v>
      </c>
      <c r="E116" s="64" t="s">
        <v>359</v>
      </c>
      <c r="F116" s="65" t="s">
        <v>360</v>
      </c>
      <c r="G116" s="65" t="s">
        <v>361</v>
      </c>
      <c r="H116" s="65" t="s">
        <v>258</v>
      </c>
      <c r="I116" s="65"/>
      <c r="J116" s="66">
        <v>37335</v>
      </c>
      <c r="K116" s="66"/>
      <c r="L116" s="66"/>
      <c r="M116" s="66"/>
      <c r="N116" s="67"/>
      <c r="O116" s="67"/>
      <c r="P116" s="67"/>
      <c r="Q116" s="32" t="s">
        <v>30</v>
      </c>
      <c r="R116" s="68">
        <v>37335</v>
      </c>
      <c r="S116" s="68">
        <v>0</v>
      </c>
      <c r="T116" s="69">
        <f t="shared" si="9"/>
        <v>37335</v>
      </c>
      <c r="U116" s="70">
        <f t="shared" si="8"/>
        <v>0</v>
      </c>
      <c r="V116" s="71">
        <v>37335</v>
      </c>
      <c r="W116" s="71"/>
      <c r="X116" s="71"/>
      <c r="Y116" s="71"/>
      <c r="Z116" s="71"/>
      <c r="AA116" s="71"/>
      <c r="AB116" s="71"/>
      <c r="AC116" s="71"/>
      <c r="AD116" s="71"/>
      <c r="AE116" s="71"/>
      <c r="AF116" s="71"/>
      <c r="AG116" s="71"/>
      <c r="AH116" s="71"/>
      <c r="AI116" s="71"/>
      <c r="AJ116" s="71"/>
      <c r="AK116" s="71"/>
      <c r="AL116" s="71"/>
      <c r="AM116" s="71"/>
      <c r="AN116" s="71"/>
      <c r="AO116" s="71"/>
      <c r="AP116" s="71"/>
      <c r="AQ116" s="71"/>
      <c r="AR116" s="71"/>
      <c r="AS116" s="71"/>
      <c r="AT116" s="71"/>
      <c r="AU116" s="71"/>
      <c r="AV116" s="71"/>
      <c r="AW116" s="71"/>
      <c r="AX116" s="71"/>
      <c r="AY116" s="71"/>
      <c r="AZ116" s="37">
        <f t="shared" si="10"/>
        <v>37335</v>
      </c>
      <c r="BA116" s="38"/>
      <c r="BB116" s="39">
        <f t="shared" si="11"/>
        <v>0</v>
      </c>
      <c r="BC116" s="40">
        <f t="shared" si="14"/>
        <v>37335</v>
      </c>
      <c r="BE116" s="24" t="b">
        <f t="shared" si="13"/>
        <v>1</v>
      </c>
    </row>
    <row r="117" spans="2:58" outlineLevel="1" x14ac:dyDescent="0.3">
      <c r="C117" s="72"/>
      <c r="D117" s="63" t="s">
        <v>362</v>
      </c>
      <c r="E117" s="64"/>
      <c r="F117" s="65"/>
      <c r="G117" s="65"/>
      <c r="H117" s="65"/>
      <c r="I117" s="65"/>
      <c r="J117" s="66"/>
      <c r="K117" s="66"/>
      <c r="L117" s="66"/>
      <c r="M117" s="66"/>
      <c r="N117" s="67"/>
      <c r="O117" s="67"/>
      <c r="P117" s="67"/>
      <c r="Q117" s="48" t="s">
        <v>33</v>
      </c>
      <c r="R117" s="68">
        <v>466.29</v>
      </c>
      <c r="S117" s="68">
        <v>0</v>
      </c>
      <c r="T117" s="69">
        <f t="shared" si="9"/>
        <v>466.29</v>
      </c>
      <c r="U117" s="70">
        <f t="shared" si="8"/>
        <v>0.29000000000002046</v>
      </c>
      <c r="V117" s="71">
        <f>841.58-375</f>
        <v>466.58000000000004</v>
      </c>
      <c r="W117" s="71"/>
      <c r="X117" s="71"/>
      <c r="Y117" s="71"/>
      <c r="Z117" s="71"/>
      <c r="AA117" s="71"/>
      <c r="AB117" s="71"/>
      <c r="AC117" s="71"/>
      <c r="AD117" s="71"/>
      <c r="AE117" s="71"/>
      <c r="AF117" s="71"/>
      <c r="AG117" s="71"/>
      <c r="AH117" s="71"/>
      <c r="AI117" s="71"/>
      <c r="AJ117" s="71"/>
      <c r="AK117" s="71"/>
      <c r="AL117" s="71"/>
      <c r="AM117" s="71"/>
      <c r="AN117" s="71"/>
      <c r="AO117" s="71"/>
      <c r="AP117" s="71"/>
      <c r="AQ117" s="71"/>
      <c r="AR117" s="71"/>
      <c r="AS117" s="71"/>
      <c r="AT117" s="71"/>
      <c r="AU117" s="71"/>
      <c r="AV117" s="71"/>
      <c r="AW117" s="71"/>
      <c r="AX117" s="71"/>
      <c r="AY117" s="71"/>
      <c r="AZ117" s="53">
        <f t="shared" si="10"/>
        <v>466.58000000000004</v>
      </c>
      <c r="BA117" s="38"/>
      <c r="BB117" s="54">
        <f t="shared" si="11"/>
        <v>0</v>
      </c>
      <c r="BC117" s="55">
        <f t="shared" si="14"/>
        <v>466.58000000000004</v>
      </c>
      <c r="BE117" s="24" t="b">
        <f t="shared" si="13"/>
        <v>1</v>
      </c>
    </row>
    <row r="118" spans="2:58" s="24" customFormat="1" outlineLevel="1" x14ac:dyDescent="0.3">
      <c r="B118" s="25" t="s">
        <v>74</v>
      </c>
      <c r="C118" s="26">
        <v>57</v>
      </c>
      <c r="D118" s="27" t="s">
        <v>363</v>
      </c>
      <c r="E118" s="28" t="s">
        <v>364</v>
      </c>
      <c r="F118" s="29" t="s">
        <v>365</v>
      </c>
      <c r="G118" s="29" t="s">
        <v>366</v>
      </c>
      <c r="H118" s="29" t="s">
        <v>256</v>
      </c>
      <c r="I118" s="29" t="s">
        <v>29</v>
      </c>
      <c r="J118" s="30">
        <v>495501</v>
      </c>
      <c r="K118" s="73">
        <v>296400.88</v>
      </c>
      <c r="L118" s="31"/>
      <c r="M118" s="31"/>
      <c r="N118" s="32"/>
      <c r="O118" s="32"/>
      <c r="P118" s="32"/>
      <c r="Q118" s="32" t="s">
        <v>30</v>
      </c>
      <c r="R118" s="33">
        <v>0</v>
      </c>
      <c r="S118" s="33">
        <v>26079</v>
      </c>
      <c r="T118" s="34">
        <f t="shared" si="9"/>
        <v>26079</v>
      </c>
      <c r="U118" s="35">
        <f t="shared" si="8"/>
        <v>0</v>
      </c>
      <c r="V118" s="36">
        <v>26079</v>
      </c>
      <c r="W118" s="36">
        <v>34772</v>
      </c>
      <c r="X118" s="36">
        <v>34772</v>
      </c>
      <c r="Y118" s="36">
        <v>34772</v>
      </c>
      <c r="Z118" s="36">
        <v>34772</v>
      </c>
      <c r="AA118" s="36">
        <v>34772</v>
      </c>
      <c r="AB118" s="36">
        <v>34772</v>
      </c>
      <c r="AC118" s="36">
        <v>34772</v>
      </c>
      <c r="AD118" s="36">
        <v>34772</v>
      </c>
      <c r="AE118" s="36">
        <v>34772</v>
      </c>
      <c r="AF118" s="36">
        <v>34772</v>
      </c>
      <c r="AG118" s="36">
        <v>34772</v>
      </c>
      <c r="AH118" s="36">
        <v>34772</v>
      </c>
      <c r="AI118" s="36">
        <v>34772</v>
      </c>
      <c r="AJ118" s="36">
        <v>17386</v>
      </c>
      <c r="AK118" s="36">
        <v>0</v>
      </c>
      <c r="AL118" s="36">
        <v>0</v>
      </c>
      <c r="AM118" s="36">
        <v>0</v>
      </c>
      <c r="AN118" s="36">
        <v>0</v>
      </c>
      <c r="AO118" s="36">
        <v>0</v>
      </c>
      <c r="AP118" s="36">
        <v>0</v>
      </c>
      <c r="AQ118" s="36">
        <v>0</v>
      </c>
      <c r="AR118" s="36">
        <v>0</v>
      </c>
      <c r="AS118" s="36">
        <v>0</v>
      </c>
      <c r="AT118" s="36">
        <v>0</v>
      </c>
      <c r="AU118" s="36">
        <v>0</v>
      </c>
      <c r="AV118" s="36">
        <v>0</v>
      </c>
      <c r="AW118" s="36">
        <v>0</v>
      </c>
      <c r="AX118" s="36"/>
      <c r="AY118" s="36"/>
      <c r="AZ118" s="37">
        <f t="shared" si="10"/>
        <v>495501</v>
      </c>
      <c r="BA118" s="38">
        <f t="shared" si="12"/>
        <v>0</v>
      </c>
      <c r="BB118" s="39">
        <f t="shared" si="11"/>
        <v>260790</v>
      </c>
      <c r="BC118" s="40">
        <f t="shared" si="14"/>
        <v>495501</v>
      </c>
      <c r="BE118" s="24" t="b">
        <f t="shared" si="13"/>
        <v>1</v>
      </c>
      <c r="BF118" s="41"/>
    </row>
    <row r="119" spans="2:58" outlineLevel="1" x14ac:dyDescent="0.3">
      <c r="B119" s="42" t="s">
        <v>74</v>
      </c>
      <c r="C119" s="43"/>
      <c r="D119" s="44" t="s">
        <v>367</v>
      </c>
      <c r="E119" s="45"/>
      <c r="F119" s="46"/>
      <c r="G119" s="46"/>
      <c r="H119" s="46"/>
      <c r="I119" s="46"/>
      <c r="J119" s="47"/>
      <c r="K119" s="56"/>
      <c r="L119" s="47" t="s">
        <v>368</v>
      </c>
      <c r="M119" s="47"/>
      <c r="N119" s="48">
        <f>SUM(O119:P119)</f>
        <v>5.524</v>
      </c>
      <c r="O119" s="48">
        <v>5.524</v>
      </c>
      <c r="P119" s="48">
        <f>$P$4</f>
        <v>0</v>
      </c>
      <c r="Q119" s="48" t="s">
        <v>33</v>
      </c>
      <c r="R119" s="49">
        <f>19071.8</f>
        <v>19071.8</v>
      </c>
      <c r="S119" s="49">
        <v>6195.87</v>
      </c>
      <c r="T119" s="50">
        <f t="shared" si="9"/>
        <v>25267.67</v>
      </c>
      <c r="U119" s="70">
        <f t="shared" si="8"/>
        <v>0</v>
      </c>
      <c r="V119" s="52">
        <f>19071.8+6195.87</f>
        <v>25267.67</v>
      </c>
      <c r="W119" s="52">
        <f>SUM(W118:$AW118)*$N119/100</f>
        <v>25930.871279999999</v>
      </c>
      <c r="X119" s="52">
        <f>SUM(X118:$AW118)*$N119/100</f>
        <v>24010.066000000003</v>
      </c>
      <c r="Y119" s="52">
        <f>SUM(Y118:$AW118)*$N119/100</f>
        <v>22089.260720000002</v>
      </c>
      <c r="Z119" s="52">
        <f>SUM(Z118:$AW118)*$N119/100</f>
        <v>20168.455440000002</v>
      </c>
      <c r="AA119" s="52">
        <f>SUM(AA118:$AW118)*$N119/100</f>
        <v>18247.650160000001</v>
      </c>
      <c r="AB119" s="52">
        <f>SUM(AB118:$AW118)*$N119/100</f>
        <v>16326.844879999999</v>
      </c>
      <c r="AC119" s="52">
        <f>SUM(AC118:$AW118)*$N119/100</f>
        <v>14406.0396</v>
      </c>
      <c r="AD119" s="52">
        <f>SUM(AD118:$AW118)*$N119/100</f>
        <v>12485.23432</v>
      </c>
      <c r="AE119" s="52">
        <f>SUM(AE118:$AW118)*$N119/100</f>
        <v>10564.429040000001</v>
      </c>
      <c r="AF119" s="52">
        <f>SUM(AF118:$AW118)*$N119/100</f>
        <v>8643.6237600000004</v>
      </c>
      <c r="AG119" s="52">
        <f>SUM(AG118:$AW118)*$N119/100</f>
        <v>6722.8184799999999</v>
      </c>
      <c r="AH119" s="52">
        <f>SUM(AH118:$AW118)*$N119/100</f>
        <v>4802.0132000000003</v>
      </c>
      <c r="AI119" s="52">
        <f>SUM(AI118:$AW118)*$N119/100</f>
        <v>2881.2079200000003</v>
      </c>
      <c r="AJ119" s="52">
        <f>SUM(AJ118:$AW118)*$N119/100</f>
        <v>960.40263999999991</v>
      </c>
      <c r="AK119" s="52">
        <v>0</v>
      </c>
      <c r="AL119" s="52">
        <v>0</v>
      </c>
      <c r="AM119" s="52">
        <v>0</v>
      </c>
      <c r="AN119" s="52">
        <v>0</v>
      </c>
      <c r="AO119" s="52">
        <v>0</v>
      </c>
      <c r="AP119" s="52">
        <v>0</v>
      </c>
      <c r="AQ119" s="52">
        <v>0</v>
      </c>
      <c r="AR119" s="52">
        <v>0</v>
      </c>
      <c r="AS119" s="52">
        <v>0</v>
      </c>
      <c r="AT119" s="52">
        <v>0</v>
      </c>
      <c r="AU119" s="52">
        <v>0</v>
      </c>
      <c r="AV119" s="52">
        <v>0</v>
      </c>
      <c r="AW119" s="52">
        <v>0</v>
      </c>
      <c r="AX119" s="52"/>
      <c r="AY119" s="52"/>
      <c r="AZ119" s="53">
        <f t="shared" si="10"/>
        <v>213506.58743999989</v>
      </c>
      <c r="BA119" s="38">
        <f t="shared" si="12"/>
        <v>0</v>
      </c>
      <c r="BB119" s="54">
        <f t="shared" si="11"/>
        <v>61465.768960000009</v>
      </c>
      <c r="BC119" s="55">
        <f t="shared" si="14"/>
        <v>213506.58744</v>
      </c>
      <c r="BE119" s="24" t="b">
        <f t="shared" si="13"/>
        <v>1</v>
      </c>
    </row>
    <row r="120" spans="2:58" s="24" customFormat="1" x14ac:dyDescent="0.3">
      <c r="B120" s="25" t="s">
        <v>74</v>
      </c>
      <c r="C120" s="26">
        <v>58</v>
      </c>
      <c r="D120" s="27" t="s">
        <v>369</v>
      </c>
      <c r="E120" s="28" t="s">
        <v>370</v>
      </c>
      <c r="F120" s="29" t="s">
        <v>371</v>
      </c>
      <c r="G120" s="29" t="s">
        <v>372</v>
      </c>
      <c r="H120" s="29" t="s">
        <v>373</v>
      </c>
      <c r="I120" s="29" t="s">
        <v>29</v>
      </c>
      <c r="J120" s="30">
        <v>167687</v>
      </c>
      <c r="K120" s="73">
        <v>167687</v>
      </c>
      <c r="L120" s="31"/>
      <c r="M120" s="31"/>
      <c r="N120" s="32"/>
      <c r="O120" s="32"/>
      <c r="P120" s="32"/>
      <c r="Q120" s="32" t="s">
        <v>30</v>
      </c>
      <c r="R120" s="33">
        <v>167687</v>
      </c>
      <c r="S120" s="33">
        <v>0</v>
      </c>
      <c r="T120" s="34">
        <f t="shared" si="9"/>
        <v>167687</v>
      </c>
      <c r="U120" s="35">
        <f t="shared" si="8"/>
        <v>0</v>
      </c>
      <c r="V120" s="36">
        <f>133641+33979+67</f>
        <v>167687</v>
      </c>
      <c r="W120" s="36">
        <f>167687-V120</f>
        <v>0</v>
      </c>
      <c r="X120" s="36">
        <v>0</v>
      </c>
      <c r="Y120" s="36">
        <v>0</v>
      </c>
      <c r="Z120" s="36">
        <v>0</v>
      </c>
      <c r="AA120" s="36">
        <v>0</v>
      </c>
      <c r="AB120" s="36">
        <v>0</v>
      </c>
      <c r="AC120" s="36">
        <v>0</v>
      </c>
      <c r="AD120" s="36">
        <v>0</v>
      </c>
      <c r="AE120" s="36">
        <v>0</v>
      </c>
      <c r="AF120" s="36">
        <v>0</v>
      </c>
      <c r="AG120" s="36">
        <v>0</v>
      </c>
      <c r="AH120" s="36">
        <v>0</v>
      </c>
      <c r="AI120" s="36">
        <v>0</v>
      </c>
      <c r="AJ120" s="36">
        <v>0</v>
      </c>
      <c r="AK120" s="36">
        <v>0</v>
      </c>
      <c r="AL120" s="36">
        <v>0</v>
      </c>
      <c r="AM120" s="36">
        <v>0</v>
      </c>
      <c r="AN120" s="36">
        <v>0</v>
      </c>
      <c r="AO120" s="36">
        <v>0</v>
      </c>
      <c r="AP120" s="36">
        <v>0</v>
      </c>
      <c r="AQ120" s="36">
        <v>0</v>
      </c>
      <c r="AR120" s="36">
        <v>0</v>
      </c>
      <c r="AS120" s="36">
        <v>0</v>
      </c>
      <c r="AT120" s="36">
        <v>0</v>
      </c>
      <c r="AU120" s="36">
        <v>0</v>
      </c>
      <c r="AV120" s="36">
        <v>0</v>
      </c>
      <c r="AW120" s="36">
        <v>0</v>
      </c>
      <c r="AX120" s="36"/>
      <c r="AY120" s="36"/>
      <c r="AZ120" s="37">
        <f t="shared" si="10"/>
        <v>167687</v>
      </c>
      <c r="BA120" s="38">
        <f t="shared" si="12"/>
        <v>0</v>
      </c>
      <c r="BB120" s="39">
        <f t="shared" si="11"/>
        <v>0</v>
      </c>
      <c r="BC120" s="40">
        <f t="shared" si="14"/>
        <v>167687</v>
      </c>
      <c r="BE120" s="24" t="b">
        <f t="shared" si="13"/>
        <v>1</v>
      </c>
      <c r="BF120" s="41"/>
    </row>
    <row r="121" spans="2:58" x14ac:dyDescent="0.3">
      <c r="B121" s="42" t="s">
        <v>74</v>
      </c>
      <c r="C121" s="43"/>
      <c r="D121" s="44" t="s">
        <v>374</v>
      </c>
      <c r="E121" s="45"/>
      <c r="F121" s="46"/>
      <c r="G121" s="46"/>
      <c r="H121" s="46"/>
      <c r="I121" s="46"/>
      <c r="J121" s="47"/>
      <c r="K121" s="47"/>
      <c r="L121" s="47" t="s">
        <v>307</v>
      </c>
      <c r="M121" s="47"/>
      <c r="N121" s="48">
        <f>SUM(O121:P121)</f>
        <v>4.718</v>
      </c>
      <c r="O121" s="48">
        <v>4.718</v>
      </c>
      <c r="P121" s="48">
        <f>$P$4</f>
        <v>0</v>
      </c>
      <c r="Q121" s="48" t="s">
        <v>33</v>
      </c>
      <c r="R121" s="49">
        <v>2549.25</v>
      </c>
      <c r="S121" s="49">
        <v>0</v>
      </c>
      <c r="T121" s="50">
        <f>SUM(R121:S121)</f>
        <v>2549.25</v>
      </c>
      <c r="U121" s="58">
        <f t="shared" si="8"/>
        <v>0.3000000000001819</v>
      </c>
      <c r="V121" s="52">
        <f>2549.25+0.3</f>
        <v>2549.5500000000002</v>
      </c>
      <c r="W121" s="52">
        <f>SUM(W120:$AW120)*$N121/100</f>
        <v>0</v>
      </c>
      <c r="X121" s="52">
        <f>SUM(X120:$AW120)*$N121/100</f>
        <v>0</v>
      </c>
      <c r="Y121" s="52">
        <v>0</v>
      </c>
      <c r="Z121" s="52">
        <v>0</v>
      </c>
      <c r="AA121" s="52">
        <v>0</v>
      </c>
      <c r="AB121" s="52">
        <v>0</v>
      </c>
      <c r="AC121" s="52">
        <v>0</v>
      </c>
      <c r="AD121" s="52">
        <v>0</v>
      </c>
      <c r="AE121" s="52">
        <v>0</v>
      </c>
      <c r="AF121" s="52">
        <v>0</v>
      </c>
      <c r="AG121" s="52">
        <v>0</v>
      </c>
      <c r="AH121" s="52">
        <v>0</v>
      </c>
      <c r="AI121" s="52">
        <v>0</v>
      </c>
      <c r="AJ121" s="52">
        <v>0</v>
      </c>
      <c r="AK121" s="52">
        <v>0</v>
      </c>
      <c r="AL121" s="52">
        <v>0</v>
      </c>
      <c r="AM121" s="52">
        <v>0</v>
      </c>
      <c r="AN121" s="52">
        <v>0</v>
      </c>
      <c r="AO121" s="52">
        <v>0</v>
      </c>
      <c r="AP121" s="52">
        <v>0</v>
      </c>
      <c r="AQ121" s="52">
        <v>0</v>
      </c>
      <c r="AR121" s="52">
        <v>0</v>
      </c>
      <c r="AS121" s="52">
        <v>0</v>
      </c>
      <c r="AT121" s="52">
        <v>0</v>
      </c>
      <c r="AU121" s="52">
        <v>0</v>
      </c>
      <c r="AV121" s="52">
        <v>0</v>
      </c>
      <c r="AW121" s="52">
        <v>0</v>
      </c>
      <c r="AX121" s="52"/>
      <c r="AY121" s="52"/>
      <c r="AZ121" s="53">
        <f t="shared" si="10"/>
        <v>2549.5500000000002</v>
      </c>
      <c r="BA121" s="38">
        <f t="shared" si="12"/>
        <v>0</v>
      </c>
      <c r="BB121" s="54">
        <f t="shared" si="11"/>
        <v>0</v>
      </c>
      <c r="BC121" s="55">
        <f t="shared" si="14"/>
        <v>2549.5500000000002</v>
      </c>
      <c r="BE121" s="24" t="b">
        <f t="shared" si="13"/>
        <v>1</v>
      </c>
    </row>
    <row r="122" spans="2:58" s="78" customFormat="1" x14ac:dyDescent="0.3">
      <c r="B122" s="74" t="s">
        <v>23</v>
      </c>
      <c r="C122" s="75">
        <v>59</v>
      </c>
      <c r="D122" s="76" t="s">
        <v>375</v>
      </c>
      <c r="E122" s="28" t="s">
        <v>376</v>
      </c>
      <c r="F122" s="28" t="s">
        <v>377</v>
      </c>
      <c r="G122" s="77">
        <v>45159</v>
      </c>
      <c r="H122" s="28" t="s">
        <v>378</v>
      </c>
      <c r="I122" s="28" t="s">
        <v>29</v>
      </c>
      <c r="J122" s="30">
        <v>287500</v>
      </c>
      <c r="K122" s="31">
        <v>0</v>
      </c>
      <c r="L122" s="31"/>
      <c r="M122" s="31"/>
      <c r="N122" s="32"/>
      <c r="O122" s="32"/>
      <c r="P122" s="32"/>
      <c r="Q122" s="32" t="s">
        <v>30</v>
      </c>
      <c r="R122" s="33">
        <v>0</v>
      </c>
      <c r="S122" s="33">
        <v>15542</v>
      </c>
      <c r="T122" s="34">
        <f t="shared" si="9"/>
        <v>15542</v>
      </c>
      <c r="U122" s="35">
        <f t="shared" si="8"/>
        <v>0</v>
      </c>
      <c r="V122" s="36">
        <v>15542</v>
      </c>
      <c r="W122" s="36">
        <v>31084</v>
      </c>
      <c r="X122" s="36">
        <v>31084</v>
      </c>
      <c r="Y122" s="36">
        <v>31084</v>
      </c>
      <c r="Z122" s="36">
        <v>31084</v>
      </c>
      <c r="AA122" s="36">
        <v>31084</v>
      </c>
      <c r="AB122" s="36">
        <v>31084</v>
      </c>
      <c r="AC122" s="36">
        <v>31084</v>
      </c>
      <c r="AD122" s="36">
        <v>31084</v>
      </c>
      <c r="AE122" s="36">
        <f>J122-AD122-AC122-AB122-AA122-Z122-Y122-X122-W122-V122</f>
        <v>23286</v>
      </c>
      <c r="AF122" s="36"/>
      <c r="AG122" s="36"/>
      <c r="AH122" s="36"/>
      <c r="AI122" s="36"/>
      <c r="AJ122" s="36"/>
      <c r="AK122" s="36"/>
      <c r="AL122" s="36"/>
      <c r="AM122" s="36"/>
      <c r="AN122" s="36"/>
      <c r="AO122" s="36"/>
      <c r="AP122" s="36"/>
      <c r="AQ122" s="36"/>
      <c r="AR122" s="36"/>
      <c r="AS122" s="36"/>
      <c r="AT122" s="36"/>
      <c r="AU122" s="36"/>
      <c r="AV122" s="36"/>
      <c r="AW122" s="36"/>
      <c r="AX122" s="36"/>
      <c r="AY122" s="36"/>
      <c r="AZ122" s="37">
        <f t="shared" si="10"/>
        <v>287500</v>
      </c>
      <c r="BA122" s="38">
        <f t="shared" si="12"/>
        <v>0</v>
      </c>
      <c r="BB122" s="39">
        <f t="shared" si="11"/>
        <v>85454</v>
      </c>
      <c r="BC122" s="40">
        <f t="shared" si="14"/>
        <v>287500</v>
      </c>
      <c r="BE122" s="78" t="b">
        <f t="shared" si="13"/>
        <v>1</v>
      </c>
      <c r="BF122" s="79"/>
    </row>
    <row r="123" spans="2:58" s="3" customFormat="1" x14ac:dyDescent="0.3">
      <c r="B123" s="80" t="s">
        <v>23</v>
      </c>
      <c r="C123" s="81"/>
      <c r="D123" s="82" t="s">
        <v>379</v>
      </c>
      <c r="E123" s="45"/>
      <c r="F123" s="45"/>
      <c r="G123" s="45"/>
      <c r="H123" s="45"/>
      <c r="I123" s="45"/>
      <c r="J123" s="47"/>
      <c r="K123" s="47"/>
      <c r="L123" s="47"/>
      <c r="M123" s="47"/>
      <c r="N123" s="48">
        <f>SUM(O123:P123)</f>
        <v>5.2960000000000003</v>
      </c>
      <c r="O123" s="48">
        <v>5.2960000000000003</v>
      </c>
      <c r="P123" s="48">
        <f>$P$4</f>
        <v>0</v>
      </c>
      <c r="Q123" s="48" t="s">
        <v>33</v>
      </c>
      <c r="R123" s="49">
        <f>4840.08</f>
        <v>4840.08</v>
      </c>
      <c r="S123" s="49">
        <v>1988.62</v>
      </c>
      <c r="T123" s="50">
        <f t="shared" si="9"/>
        <v>6828.7</v>
      </c>
      <c r="U123" s="61">
        <f t="shared" si="8"/>
        <v>6532.0000000000009</v>
      </c>
      <c r="V123" s="52">
        <f>4840.08+1988.62+6532</f>
        <v>13360.7</v>
      </c>
      <c r="W123" s="52">
        <f>SUM(W122:$AW122)*$N123/100</f>
        <v>14402.89568</v>
      </c>
      <c r="X123" s="52">
        <f>SUM(X122:$AW122)*$N123/100</f>
        <v>12756.687040000001</v>
      </c>
      <c r="Y123" s="52">
        <f>SUM(Y122:$AW122)*$N123/100</f>
        <v>11110.4784</v>
      </c>
      <c r="Z123" s="52">
        <f>SUM(Z122:$AW122)*$N123/100</f>
        <v>9464.269760000001</v>
      </c>
      <c r="AA123" s="52">
        <f>SUM(AA122:$AW122)*$N123/100</f>
        <v>7818.0611200000012</v>
      </c>
      <c r="AB123" s="52">
        <f>SUM(AB122:$AW122)*$N123/100</f>
        <v>6171.8524800000005</v>
      </c>
      <c r="AC123" s="52">
        <f>SUM(AC122:$AW122)*$N123/100</f>
        <v>4525.6438400000006</v>
      </c>
      <c r="AD123" s="52">
        <f>SUM(AD122:$AW122)*$N123/100</f>
        <v>2879.4352000000003</v>
      </c>
      <c r="AE123" s="52">
        <f>SUM(AE122:$AW122)*$N123/100</f>
        <v>1233.2265600000001</v>
      </c>
      <c r="AF123" s="52"/>
      <c r="AG123" s="52"/>
      <c r="AH123" s="52"/>
      <c r="AI123" s="52"/>
      <c r="AJ123" s="52"/>
      <c r="AK123" s="52"/>
      <c r="AL123" s="52"/>
      <c r="AM123" s="52"/>
      <c r="AN123" s="52"/>
      <c r="AO123" s="52"/>
      <c r="AP123" s="52"/>
      <c r="AQ123" s="52"/>
      <c r="AR123" s="52"/>
      <c r="AS123" s="52"/>
      <c r="AT123" s="52"/>
      <c r="AU123" s="52"/>
      <c r="AV123" s="52"/>
      <c r="AW123" s="52"/>
      <c r="AX123" s="52"/>
      <c r="AY123" s="52"/>
      <c r="AZ123" s="53">
        <f t="shared" si="10"/>
        <v>83723.250080000013</v>
      </c>
      <c r="BA123" s="38">
        <f t="shared" si="12"/>
        <v>0</v>
      </c>
      <c r="BB123" s="54">
        <f t="shared" si="11"/>
        <v>8638.3055999999997</v>
      </c>
      <c r="BC123" s="55">
        <f t="shared" si="14"/>
        <v>83723.250079999998</v>
      </c>
      <c r="BE123" s="78" t="b">
        <f t="shared" si="13"/>
        <v>1</v>
      </c>
    </row>
    <row r="124" spans="2:58" s="78" customFormat="1" x14ac:dyDescent="0.3">
      <c r="B124" s="74" t="s">
        <v>23</v>
      </c>
      <c r="C124" s="75">
        <v>60</v>
      </c>
      <c r="D124" s="76" t="s">
        <v>380</v>
      </c>
      <c r="E124" s="28" t="s">
        <v>381</v>
      </c>
      <c r="F124" s="28" t="s">
        <v>382</v>
      </c>
      <c r="G124" s="77">
        <v>45215</v>
      </c>
      <c r="H124" s="77">
        <v>49572</v>
      </c>
      <c r="I124" s="28" t="s">
        <v>29</v>
      </c>
      <c r="J124" s="30">
        <v>353750</v>
      </c>
      <c r="K124" s="31">
        <v>353750</v>
      </c>
      <c r="L124" s="31"/>
      <c r="M124" s="31"/>
      <c r="N124" s="32"/>
      <c r="O124" s="32"/>
      <c r="P124" s="32"/>
      <c r="Q124" s="32" t="s">
        <v>30</v>
      </c>
      <c r="R124" s="33">
        <v>7527</v>
      </c>
      <c r="S124" s="33">
        <v>22581</v>
      </c>
      <c r="T124" s="34">
        <f t="shared" si="9"/>
        <v>30108</v>
      </c>
      <c r="U124" s="35">
        <f t="shared" si="8"/>
        <v>0</v>
      </c>
      <c r="V124" s="36">
        <f>7527*4</f>
        <v>30108</v>
      </c>
      <c r="W124" s="36">
        <f t="shared" ref="W124:AF124" si="15">7527*4</f>
        <v>30108</v>
      </c>
      <c r="X124" s="36">
        <f t="shared" si="15"/>
        <v>30108</v>
      </c>
      <c r="Y124" s="36">
        <f t="shared" si="15"/>
        <v>30108</v>
      </c>
      <c r="Z124" s="36">
        <f t="shared" si="15"/>
        <v>30108</v>
      </c>
      <c r="AA124" s="36">
        <f t="shared" si="15"/>
        <v>30108</v>
      </c>
      <c r="AB124" s="36">
        <f t="shared" si="15"/>
        <v>30108</v>
      </c>
      <c r="AC124" s="36">
        <f t="shared" si="15"/>
        <v>30108</v>
      </c>
      <c r="AD124" s="36">
        <f t="shared" si="15"/>
        <v>30108</v>
      </c>
      <c r="AE124" s="36">
        <f t="shared" si="15"/>
        <v>30108</v>
      </c>
      <c r="AF124" s="36">
        <f t="shared" si="15"/>
        <v>30108</v>
      </c>
      <c r="AG124" s="36">
        <f>7527*2+7508</f>
        <v>22562</v>
      </c>
      <c r="AH124" s="36"/>
      <c r="AI124" s="36"/>
      <c r="AJ124" s="36"/>
      <c r="AK124" s="36"/>
      <c r="AL124" s="36"/>
      <c r="AM124" s="36"/>
      <c r="AN124" s="36"/>
      <c r="AO124" s="36"/>
      <c r="AP124" s="36"/>
      <c r="AQ124" s="36"/>
      <c r="AR124" s="36"/>
      <c r="AS124" s="36"/>
      <c r="AT124" s="36"/>
      <c r="AU124" s="36"/>
      <c r="AV124" s="36"/>
      <c r="AW124" s="36"/>
      <c r="AX124" s="36"/>
      <c r="AY124" s="36"/>
      <c r="AZ124" s="37">
        <f t="shared" si="10"/>
        <v>353750</v>
      </c>
      <c r="BA124" s="38">
        <f t="shared" si="12"/>
        <v>0</v>
      </c>
      <c r="BB124" s="39">
        <f t="shared" si="11"/>
        <v>142994</v>
      </c>
      <c r="BC124" s="40">
        <f t="shared" si="14"/>
        <v>353750</v>
      </c>
      <c r="BE124" s="78" t="b">
        <f t="shared" si="13"/>
        <v>1</v>
      </c>
      <c r="BF124" s="79"/>
    </row>
    <row r="125" spans="2:58" s="3" customFormat="1" x14ac:dyDescent="0.3">
      <c r="B125" s="80" t="s">
        <v>23</v>
      </c>
      <c r="C125" s="81"/>
      <c r="D125" s="82" t="s">
        <v>383</v>
      </c>
      <c r="E125" s="45"/>
      <c r="F125" s="45"/>
      <c r="G125" s="45"/>
      <c r="H125" s="45"/>
      <c r="I125" s="45"/>
      <c r="J125" s="47"/>
      <c r="K125" s="47"/>
      <c r="L125" s="47"/>
      <c r="M125" s="47"/>
      <c r="N125" s="48">
        <f>SUM(O125:P125)</f>
        <v>4.5910000000000002</v>
      </c>
      <c r="O125" s="48">
        <v>4.5910000000000002</v>
      </c>
      <c r="P125" s="48"/>
      <c r="Q125" s="48" t="s">
        <v>33</v>
      </c>
      <c r="R125" s="49">
        <f>3048.14</f>
        <v>3048.14</v>
      </c>
      <c r="S125" s="49">
        <v>3860.99</v>
      </c>
      <c r="T125" s="50">
        <f t="shared" si="9"/>
        <v>6909.1299999999992</v>
      </c>
      <c r="U125" s="51">
        <f t="shared" si="8"/>
        <v>1</v>
      </c>
      <c r="V125" s="52">
        <f>3048.14+3860.99+1</f>
        <v>6910.1299999999992</v>
      </c>
      <c r="W125" s="52">
        <f>SUM(W124:$AW124)*$N125/100</f>
        <v>14858.40422</v>
      </c>
      <c r="X125" s="52">
        <f>SUM(X124:$AW124)*$N125/100</f>
        <v>13476.14594</v>
      </c>
      <c r="Y125" s="52">
        <f>SUM(Y124:$AW124)*$N125/100</f>
        <v>12093.88766</v>
      </c>
      <c r="Z125" s="52">
        <f>SUM(Z124:$AW124)*$N125/100</f>
        <v>10711.62938</v>
      </c>
      <c r="AA125" s="52">
        <f>SUM(AA124:$AW124)*$N125/100</f>
        <v>9329.3711000000003</v>
      </c>
      <c r="AB125" s="52">
        <f>SUM(AB124:$AW124)*$N125/100</f>
        <v>7947.1128200000003</v>
      </c>
      <c r="AC125" s="52">
        <f>SUM(AC124:$AW124)*$N125/100</f>
        <v>6564.8545400000003</v>
      </c>
      <c r="AD125" s="52">
        <f>SUM(AD124:$AW124)*$N125/100</f>
        <v>5182.5962600000003</v>
      </c>
      <c r="AE125" s="52">
        <f>SUM(AE124:$AW124)*$N125/100</f>
        <v>3800.3379800000002</v>
      </c>
      <c r="AF125" s="52">
        <f>SUM(AF124:$AW124)*$N125/100</f>
        <v>2418.0797000000002</v>
      </c>
      <c r="AG125" s="52">
        <f>SUM(AG124:$AW124)*$N125/100</f>
        <v>1035.82142</v>
      </c>
      <c r="AH125" s="52"/>
      <c r="AI125" s="52"/>
      <c r="AJ125" s="52"/>
      <c r="AK125" s="52"/>
      <c r="AL125" s="52"/>
      <c r="AM125" s="52"/>
      <c r="AN125" s="52"/>
      <c r="AO125" s="52"/>
      <c r="AP125" s="52"/>
      <c r="AQ125" s="52"/>
      <c r="AR125" s="52"/>
      <c r="AS125" s="52"/>
      <c r="AT125" s="52"/>
      <c r="AU125" s="52"/>
      <c r="AV125" s="52"/>
      <c r="AW125" s="52"/>
      <c r="AX125" s="52"/>
      <c r="AY125" s="52"/>
      <c r="AZ125" s="53">
        <f t="shared" si="10"/>
        <v>94328.371019999991</v>
      </c>
      <c r="BA125" s="38">
        <f t="shared" si="12"/>
        <v>0</v>
      </c>
      <c r="BB125" s="54">
        <f t="shared" si="11"/>
        <v>19001.689900000001</v>
      </c>
      <c r="BC125" s="55">
        <f t="shared" si="14"/>
        <v>94328.371019999991</v>
      </c>
      <c r="BE125" s="78" t="b">
        <f t="shared" si="13"/>
        <v>1</v>
      </c>
    </row>
    <row r="126" spans="2:58" s="3" customFormat="1" x14ac:dyDescent="0.3">
      <c r="B126" s="74"/>
      <c r="C126" s="75">
        <v>61</v>
      </c>
      <c r="D126" s="76" t="s">
        <v>384</v>
      </c>
      <c r="E126" s="28" t="s">
        <v>385</v>
      </c>
      <c r="F126" s="28" t="s">
        <v>386</v>
      </c>
      <c r="G126" s="77">
        <v>45561</v>
      </c>
      <c r="H126" s="77">
        <v>49207</v>
      </c>
      <c r="I126" s="28" t="s">
        <v>29</v>
      </c>
      <c r="J126" s="30">
        <v>729424</v>
      </c>
      <c r="K126" s="30"/>
      <c r="L126" s="30"/>
      <c r="M126" s="30"/>
      <c r="N126" s="83"/>
      <c r="O126" s="83"/>
      <c r="P126" s="83"/>
      <c r="Q126" s="32" t="s">
        <v>30</v>
      </c>
      <c r="R126" s="84"/>
      <c r="S126" s="84"/>
      <c r="T126" s="36"/>
      <c r="U126" s="85">
        <f t="shared" si="8"/>
        <v>0</v>
      </c>
      <c r="V126" s="36"/>
      <c r="W126" s="36">
        <f>19715*2</f>
        <v>39430</v>
      </c>
      <c r="X126" s="36">
        <f t="shared" ref="X126:AE126" si="16">19715*4</f>
        <v>78860</v>
      </c>
      <c r="Y126" s="36">
        <f t="shared" si="16"/>
        <v>78860</v>
      </c>
      <c r="Z126" s="36">
        <f t="shared" si="16"/>
        <v>78860</v>
      </c>
      <c r="AA126" s="36">
        <f t="shared" si="16"/>
        <v>78860</v>
      </c>
      <c r="AB126" s="36">
        <f t="shared" si="16"/>
        <v>78860</v>
      </c>
      <c r="AC126" s="36">
        <f t="shared" si="16"/>
        <v>78860</v>
      </c>
      <c r="AD126" s="36">
        <f t="shared" si="16"/>
        <v>78860</v>
      </c>
      <c r="AE126" s="36">
        <f t="shared" si="16"/>
        <v>78860</v>
      </c>
      <c r="AF126" s="36">
        <f>19715*2+19684</f>
        <v>59114</v>
      </c>
      <c r="AG126" s="36"/>
      <c r="AH126" s="36"/>
      <c r="AI126" s="36"/>
      <c r="AJ126" s="36"/>
      <c r="AK126" s="36"/>
      <c r="AL126" s="36"/>
      <c r="AM126" s="36"/>
      <c r="AN126" s="36"/>
      <c r="AO126" s="36"/>
      <c r="AP126" s="36"/>
      <c r="AQ126" s="36"/>
      <c r="AR126" s="36"/>
      <c r="AS126" s="36"/>
      <c r="AT126" s="36"/>
      <c r="AU126" s="36"/>
      <c r="AV126" s="36"/>
      <c r="AW126" s="36"/>
      <c r="AX126" s="36"/>
      <c r="AY126" s="36"/>
      <c r="AZ126" s="40">
        <f t="shared" si="10"/>
        <v>729424</v>
      </c>
      <c r="BA126" s="86"/>
      <c r="BB126" s="39">
        <f t="shared" si="11"/>
        <v>295694</v>
      </c>
      <c r="BC126" s="40">
        <f t="shared" si="14"/>
        <v>729424</v>
      </c>
      <c r="BE126" s="78" t="b">
        <f t="shared" si="13"/>
        <v>1</v>
      </c>
      <c r="BF126" s="79"/>
    </row>
    <row r="127" spans="2:58" s="3" customFormat="1" x14ac:dyDescent="0.3">
      <c r="B127" s="80"/>
      <c r="C127" s="87"/>
      <c r="D127" s="82" t="s">
        <v>387</v>
      </c>
      <c r="E127" s="45"/>
      <c r="F127" s="45"/>
      <c r="G127" s="45"/>
      <c r="H127" s="45"/>
      <c r="I127" s="45"/>
      <c r="J127" s="47"/>
      <c r="K127" s="47"/>
      <c r="L127" s="47"/>
      <c r="M127" s="47"/>
      <c r="N127" s="48">
        <f>SUM(O127:P127)</f>
        <v>4.4470000000000001</v>
      </c>
      <c r="O127" s="48">
        <v>4.4470000000000001</v>
      </c>
      <c r="P127" s="48">
        <f>$P$4</f>
        <v>0</v>
      </c>
      <c r="Q127" s="48" t="s">
        <v>33</v>
      </c>
      <c r="R127" s="88"/>
      <c r="S127" s="88"/>
      <c r="T127" s="52"/>
      <c r="U127" s="89">
        <f t="shared" si="8"/>
        <v>0</v>
      </c>
      <c r="V127" s="52"/>
      <c r="W127" s="52">
        <f>SUM(W126:$AW126)*$N127/100</f>
        <v>32437.485280000001</v>
      </c>
      <c r="X127" s="52">
        <f>SUM(X126:$AW126)*$N127/100</f>
        <v>30684.033179999999</v>
      </c>
      <c r="Y127" s="52">
        <f>SUM(Y126:$AW126)*$N127/100</f>
        <v>27177.128980000001</v>
      </c>
      <c r="Z127" s="52">
        <f>SUM(Z126:$AW126)*$N127/100</f>
        <v>23670.22478</v>
      </c>
      <c r="AA127" s="52">
        <f>SUM(AA126:$AW126)*$N127/100</f>
        <v>20163.32058</v>
      </c>
      <c r="AB127" s="52">
        <f>SUM(AB126:$AW126)*$N127/100</f>
        <v>16656.416379999999</v>
      </c>
      <c r="AC127" s="52">
        <f>SUM(AC126:$AW126)*$N127/100</f>
        <v>13149.512180000002</v>
      </c>
      <c r="AD127" s="52">
        <f>SUM(AD126:$AW126)*$N127/100</f>
        <v>9642.6079800000007</v>
      </c>
      <c r="AE127" s="52">
        <f>SUM(AE126:$AW126)*$N127/100</f>
        <v>6135.7037799999998</v>
      </c>
      <c r="AF127" s="52">
        <f>SUM(AF126:$AW126)*$N127/100</f>
        <v>2628.7995799999999</v>
      </c>
      <c r="AG127" s="52">
        <f>SUM(AG126:$AW126)*$N127/100</f>
        <v>0</v>
      </c>
      <c r="AH127" s="52"/>
      <c r="AI127" s="52"/>
      <c r="AJ127" s="52"/>
      <c r="AK127" s="52"/>
      <c r="AL127" s="52"/>
      <c r="AM127" s="52"/>
      <c r="AN127" s="52"/>
      <c r="AO127" s="52"/>
      <c r="AP127" s="52"/>
      <c r="AQ127" s="52"/>
      <c r="AR127" s="52"/>
      <c r="AS127" s="52"/>
      <c r="AT127" s="52"/>
      <c r="AU127" s="52"/>
      <c r="AV127" s="52"/>
      <c r="AW127" s="52"/>
      <c r="AX127" s="52"/>
      <c r="AY127" s="52"/>
      <c r="AZ127" s="55">
        <f t="shared" si="10"/>
        <v>182345.23270000002</v>
      </c>
      <c r="BA127" s="86"/>
      <c r="BB127" s="54">
        <f t="shared" si="11"/>
        <v>31556.623520000001</v>
      </c>
      <c r="BC127" s="55">
        <f t="shared" si="14"/>
        <v>182345.23270000002</v>
      </c>
      <c r="BE127" s="78" t="b">
        <f t="shared" si="13"/>
        <v>1</v>
      </c>
    </row>
    <row r="128" spans="2:58" s="102" customFormat="1" x14ac:dyDescent="0.3">
      <c r="B128" s="90" t="s">
        <v>74</v>
      </c>
      <c r="C128" s="91">
        <v>62</v>
      </c>
      <c r="D128" s="92" t="s">
        <v>388</v>
      </c>
      <c r="E128" s="93" t="s">
        <v>389</v>
      </c>
      <c r="F128" s="93"/>
      <c r="G128" s="93">
        <v>2024</v>
      </c>
      <c r="H128" s="93">
        <v>2029</v>
      </c>
      <c r="I128" s="93" t="s">
        <v>29</v>
      </c>
      <c r="J128" s="94">
        <v>196584</v>
      </c>
      <c r="K128" s="94"/>
      <c r="L128" s="94"/>
      <c r="M128" s="94"/>
      <c r="N128" s="95"/>
      <c r="O128" s="95"/>
      <c r="P128" s="95"/>
      <c r="Q128" s="96" t="s">
        <v>30</v>
      </c>
      <c r="R128" s="97"/>
      <c r="S128" s="97"/>
      <c r="T128" s="98"/>
      <c r="U128" s="35">
        <f t="shared" si="8"/>
        <v>0</v>
      </c>
      <c r="V128" s="98"/>
      <c r="W128" s="98"/>
      <c r="X128" s="98">
        <f>$J$128/5</f>
        <v>39316.800000000003</v>
      </c>
      <c r="Y128" s="98">
        <f>$J$128/5</f>
        <v>39316.800000000003</v>
      </c>
      <c r="Z128" s="98">
        <f>$J$128/5</f>
        <v>39316.800000000003</v>
      </c>
      <c r="AA128" s="98">
        <f>$J$128/5</f>
        <v>39316.800000000003</v>
      </c>
      <c r="AB128" s="98">
        <f>$J$128/5</f>
        <v>39316.800000000003</v>
      </c>
      <c r="AC128" s="98"/>
      <c r="AD128" s="98"/>
      <c r="AE128" s="98"/>
      <c r="AF128" s="98"/>
      <c r="AG128" s="98"/>
      <c r="AH128" s="98"/>
      <c r="AI128" s="98"/>
      <c r="AJ128" s="98"/>
      <c r="AK128" s="98"/>
      <c r="AL128" s="98"/>
      <c r="AM128" s="98"/>
      <c r="AN128" s="98"/>
      <c r="AO128" s="98"/>
      <c r="AP128" s="98"/>
      <c r="AQ128" s="98"/>
      <c r="AR128" s="98"/>
      <c r="AS128" s="98"/>
      <c r="AT128" s="98"/>
      <c r="AU128" s="98"/>
      <c r="AV128" s="98"/>
      <c r="AW128" s="98"/>
      <c r="AX128" s="98"/>
      <c r="AY128" s="98"/>
      <c r="AZ128" s="99">
        <f t="shared" si="10"/>
        <v>196584</v>
      </c>
      <c r="BA128" s="100">
        <f t="shared" si="12"/>
        <v>0</v>
      </c>
      <c r="BB128" s="101">
        <f t="shared" si="11"/>
        <v>0</v>
      </c>
      <c r="BC128" s="99">
        <f t="shared" si="14"/>
        <v>196584</v>
      </c>
      <c r="BE128" s="103" t="b">
        <f t="shared" si="13"/>
        <v>1</v>
      </c>
      <c r="BF128" s="104"/>
    </row>
    <row r="129" spans="2:59" s="102" customFormat="1" x14ac:dyDescent="0.3">
      <c r="B129" s="105" t="s">
        <v>74</v>
      </c>
      <c r="C129" s="106"/>
      <c r="D129" s="107" t="s">
        <v>390</v>
      </c>
      <c r="E129" s="108"/>
      <c r="F129" s="108"/>
      <c r="G129" s="108"/>
      <c r="H129" s="108"/>
      <c r="I129" s="108"/>
      <c r="J129" s="109"/>
      <c r="K129" s="109"/>
      <c r="L129" s="109"/>
      <c r="M129" s="109"/>
      <c r="N129" s="110">
        <f>SUM(O129:P129)</f>
        <v>4.4470000000000001</v>
      </c>
      <c r="O129" s="110">
        <v>4.4470000000000001</v>
      </c>
      <c r="P129" s="110">
        <f>$P$4</f>
        <v>0</v>
      </c>
      <c r="Q129" s="110" t="s">
        <v>33</v>
      </c>
      <c r="R129" s="111"/>
      <c r="S129" s="111"/>
      <c r="T129" s="112"/>
      <c r="U129" s="51">
        <f t="shared" si="8"/>
        <v>0</v>
      </c>
      <c r="V129" s="112"/>
      <c r="W129" s="112">
        <f>SUM(W128:$AW128)*$N129/100</f>
        <v>8742.0904800000008</v>
      </c>
      <c r="X129" s="112">
        <f>SUM(X128:$AW128)*$N129/100</f>
        <v>8742.0904800000008</v>
      </c>
      <c r="Y129" s="112">
        <f>SUM(Y128:$AW128)*$N129/100</f>
        <v>6993.6723840000004</v>
      </c>
      <c r="Z129" s="112">
        <f>SUM(Z128:$AW128)*$N129/100</f>
        <v>5245.2542880000001</v>
      </c>
      <c r="AA129" s="112">
        <f>SUM(AA128:$AW128)*$N129/100</f>
        <v>3496.8361920000002</v>
      </c>
      <c r="AB129" s="112">
        <f>SUM(AB128:$AW128)*$N129/100</f>
        <v>1748.4180960000001</v>
      </c>
      <c r="AC129" s="112"/>
      <c r="AD129" s="112"/>
      <c r="AE129" s="112"/>
      <c r="AF129" s="112"/>
      <c r="AG129" s="112"/>
      <c r="AH129" s="112"/>
      <c r="AI129" s="112"/>
      <c r="AJ129" s="112"/>
      <c r="AK129" s="112"/>
      <c r="AL129" s="112"/>
      <c r="AM129" s="112"/>
      <c r="AN129" s="112"/>
      <c r="AO129" s="112"/>
      <c r="AP129" s="112"/>
      <c r="AQ129" s="112"/>
      <c r="AR129" s="112"/>
      <c r="AS129" s="112"/>
      <c r="AT129" s="112"/>
      <c r="AU129" s="112"/>
      <c r="AV129" s="112"/>
      <c r="AW129" s="112"/>
      <c r="AX129" s="112"/>
      <c r="AY129" s="112"/>
      <c r="AZ129" s="113">
        <f t="shared" si="10"/>
        <v>34968.361920000003</v>
      </c>
      <c r="BA129" s="100">
        <f t="shared" si="12"/>
        <v>0</v>
      </c>
      <c r="BB129" s="114">
        <f t="shared" si="11"/>
        <v>0</v>
      </c>
      <c r="BC129" s="113">
        <f t="shared" si="14"/>
        <v>34968.361920000003</v>
      </c>
      <c r="BE129" s="103" t="b">
        <f t="shared" si="13"/>
        <v>1</v>
      </c>
    </row>
    <row r="130" spans="2:59" s="102" customFormat="1" x14ac:dyDescent="0.3">
      <c r="B130" s="90" t="s">
        <v>74</v>
      </c>
      <c r="C130" s="91">
        <v>63</v>
      </c>
      <c r="D130" s="92" t="s">
        <v>391</v>
      </c>
      <c r="E130" s="93" t="s">
        <v>389</v>
      </c>
      <c r="F130" s="93"/>
      <c r="G130" s="93">
        <v>2024</v>
      </c>
      <c r="H130" s="93">
        <v>2039</v>
      </c>
      <c r="I130" s="93" t="s">
        <v>29</v>
      </c>
      <c r="J130" s="94">
        <v>787514</v>
      </c>
      <c r="K130" s="94"/>
      <c r="L130" s="94"/>
      <c r="M130" s="94"/>
      <c r="N130" s="95"/>
      <c r="O130" s="95"/>
      <c r="P130" s="95"/>
      <c r="Q130" s="96" t="s">
        <v>30</v>
      </c>
      <c r="R130" s="97"/>
      <c r="S130" s="97"/>
      <c r="T130" s="98"/>
      <c r="U130" s="35">
        <f t="shared" si="8"/>
        <v>0</v>
      </c>
      <c r="V130" s="98"/>
      <c r="W130" s="98"/>
      <c r="X130" s="98"/>
      <c r="Y130" s="98">
        <f>$J$130/15</f>
        <v>52500.933333333334</v>
      </c>
      <c r="Z130" s="98">
        <f t="shared" ref="Z130:AM130" si="17">$J$130/15</f>
        <v>52500.933333333334</v>
      </c>
      <c r="AA130" s="98">
        <f t="shared" si="17"/>
        <v>52500.933333333334</v>
      </c>
      <c r="AB130" s="98">
        <f t="shared" si="17"/>
        <v>52500.933333333334</v>
      </c>
      <c r="AC130" s="98">
        <f t="shared" si="17"/>
        <v>52500.933333333334</v>
      </c>
      <c r="AD130" s="98">
        <f t="shared" si="17"/>
        <v>52500.933333333334</v>
      </c>
      <c r="AE130" s="98">
        <f t="shared" si="17"/>
        <v>52500.933333333334</v>
      </c>
      <c r="AF130" s="98">
        <f t="shared" si="17"/>
        <v>52500.933333333334</v>
      </c>
      <c r="AG130" s="98">
        <f t="shared" si="17"/>
        <v>52500.933333333334</v>
      </c>
      <c r="AH130" s="98">
        <f t="shared" si="17"/>
        <v>52500.933333333334</v>
      </c>
      <c r="AI130" s="98">
        <f t="shared" si="17"/>
        <v>52500.933333333334</v>
      </c>
      <c r="AJ130" s="98">
        <f t="shared" si="17"/>
        <v>52500.933333333334</v>
      </c>
      <c r="AK130" s="98">
        <f t="shared" si="17"/>
        <v>52500.933333333334</v>
      </c>
      <c r="AL130" s="98">
        <f t="shared" si="17"/>
        <v>52500.933333333334</v>
      </c>
      <c r="AM130" s="98">
        <f t="shared" si="17"/>
        <v>52500.933333333334</v>
      </c>
      <c r="AN130" s="98"/>
      <c r="AO130" s="98"/>
      <c r="AP130" s="98"/>
      <c r="AQ130" s="98"/>
      <c r="AR130" s="98"/>
      <c r="AS130" s="98"/>
      <c r="AT130" s="98"/>
      <c r="AU130" s="98"/>
      <c r="AV130" s="98"/>
      <c r="AW130" s="98"/>
      <c r="AX130" s="98"/>
      <c r="AY130" s="98"/>
      <c r="AZ130" s="99">
        <f t="shared" si="10"/>
        <v>787514.00000000012</v>
      </c>
      <c r="BA130" s="100">
        <f t="shared" si="12"/>
        <v>0</v>
      </c>
      <c r="BB130" s="101">
        <f t="shared" si="11"/>
        <v>577510.26666666672</v>
      </c>
      <c r="BC130" s="99">
        <f t="shared" si="14"/>
        <v>787514</v>
      </c>
      <c r="BE130" s="103" t="b">
        <f t="shared" si="13"/>
        <v>1</v>
      </c>
      <c r="BF130" s="104"/>
    </row>
    <row r="131" spans="2:59" s="102" customFormat="1" x14ac:dyDescent="0.3">
      <c r="B131" s="105" t="s">
        <v>74</v>
      </c>
      <c r="C131" s="106"/>
      <c r="D131" s="107"/>
      <c r="E131" s="108"/>
      <c r="F131" s="108"/>
      <c r="G131" s="108"/>
      <c r="H131" s="108"/>
      <c r="I131" s="108"/>
      <c r="J131" s="108"/>
      <c r="K131" s="109"/>
      <c r="L131" s="109"/>
      <c r="M131" s="109"/>
      <c r="N131" s="110">
        <f>SUM(O131:P131)</f>
        <v>4.944</v>
      </c>
      <c r="O131" s="110">
        <v>4.944</v>
      </c>
      <c r="P131" s="110">
        <f>$P$4</f>
        <v>0</v>
      </c>
      <c r="Q131" s="110" t="s">
        <v>33</v>
      </c>
      <c r="R131" s="111"/>
      <c r="S131" s="111"/>
      <c r="T131" s="112"/>
      <c r="U131" s="51">
        <f t="shared" si="8"/>
        <v>0</v>
      </c>
      <c r="V131" s="112"/>
      <c r="W131" s="112">
        <f>SUM(W130:$AW130)*$N131/100</f>
        <v>38934.692160000006</v>
      </c>
      <c r="X131" s="112">
        <f>SUM(X130:$AW130)*$N131/100</f>
        <v>38934.692160000006</v>
      </c>
      <c r="Y131" s="112">
        <f>SUM(Y130:$AW130)*$N131/100</f>
        <v>38934.692160000006</v>
      </c>
      <c r="Z131" s="112">
        <f>SUM(Z130:$AW130)*$N131/100</f>
        <v>36339.046016000008</v>
      </c>
      <c r="AA131" s="112">
        <f>SUM(AA130:$AW130)*$N131/100</f>
        <v>33743.399872000002</v>
      </c>
      <c r="AB131" s="112">
        <f>SUM(AB130:$AW130)*$N131/100</f>
        <v>31147.753728000003</v>
      </c>
      <c r="AC131" s="112">
        <f>SUM(AC130:$AW130)*$N131/100</f>
        <v>28552.107584000001</v>
      </c>
      <c r="AD131" s="112">
        <f>SUM(AD130:$AW130)*$N131/100</f>
        <v>25956.461440000003</v>
      </c>
      <c r="AE131" s="112">
        <f>SUM(AE130:$AW130)*$N131/100</f>
        <v>23360.815296000004</v>
      </c>
      <c r="AF131" s="112">
        <f>SUM(AF130:$AW130)*$N131/100</f>
        <v>20765.169152000002</v>
      </c>
      <c r="AG131" s="112">
        <f>SUM(AG130:$AW130)*$N131/100</f>
        <v>18169.523008000004</v>
      </c>
      <c r="AH131" s="112">
        <f>SUM(AH130:$AW130)*$N131/100</f>
        <v>15573.876864000002</v>
      </c>
      <c r="AI131" s="112">
        <f>SUM(AI130:$AW130)*$N131/100</f>
        <v>12978.230720000001</v>
      </c>
      <c r="AJ131" s="112">
        <f>SUM(AJ130:$AW130)*$N131/100</f>
        <v>10382.584575999999</v>
      </c>
      <c r="AK131" s="112">
        <f>SUM(AK130:$AW130)*$N131/100</f>
        <v>7786.938431999999</v>
      </c>
      <c r="AL131" s="112">
        <f>SUM(AL130:$AW130)*$N131/100</f>
        <v>5191.2922879999996</v>
      </c>
      <c r="AM131" s="112">
        <f>SUM(AM130:$AW130)*$N131/100</f>
        <v>2595.6461439999998</v>
      </c>
      <c r="AN131" s="112"/>
      <c r="AO131" s="112"/>
      <c r="AP131" s="112"/>
      <c r="AQ131" s="112"/>
      <c r="AR131" s="112"/>
      <c r="AS131" s="112"/>
      <c r="AT131" s="112"/>
      <c r="AU131" s="112"/>
      <c r="AV131" s="112"/>
      <c r="AW131" s="112"/>
      <c r="AX131" s="112"/>
      <c r="AY131" s="112"/>
      <c r="AZ131" s="113">
        <f t="shared" si="10"/>
        <v>389346.9216</v>
      </c>
      <c r="BA131" s="100">
        <f t="shared" si="12"/>
        <v>0</v>
      </c>
      <c r="BB131" s="114">
        <f t="shared" si="11"/>
        <v>171312.64550399999</v>
      </c>
      <c r="BC131" s="113">
        <f t="shared" si="14"/>
        <v>389346.9216</v>
      </c>
      <c r="BE131" s="103" t="b">
        <f t="shared" si="13"/>
        <v>1</v>
      </c>
    </row>
    <row r="132" spans="2:59" s="102" customFormat="1" x14ac:dyDescent="0.3">
      <c r="B132" s="90" t="s">
        <v>23</v>
      </c>
      <c r="C132" s="91">
        <v>64</v>
      </c>
      <c r="D132" s="92" t="s">
        <v>392</v>
      </c>
      <c r="E132" s="93" t="s">
        <v>389</v>
      </c>
      <c r="F132" s="93"/>
      <c r="G132" s="93">
        <v>2024</v>
      </c>
      <c r="H132" s="93">
        <v>2029</v>
      </c>
      <c r="I132" s="93" t="s">
        <v>29</v>
      </c>
      <c r="J132" s="115">
        <v>123379.93</v>
      </c>
      <c r="K132" s="115"/>
      <c r="L132" s="115"/>
      <c r="M132" s="115"/>
      <c r="N132" s="116"/>
      <c r="O132" s="116"/>
      <c r="P132" s="116"/>
      <c r="Q132" s="117" t="s">
        <v>30</v>
      </c>
      <c r="R132" s="118"/>
      <c r="S132" s="118"/>
      <c r="T132" s="119"/>
      <c r="U132" s="60">
        <f t="shared" si="8"/>
        <v>0</v>
      </c>
      <c r="V132" s="119"/>
      <c r="W132" s="119">
        <f>$J$132/4/4*3</f>
        <v>23133.736874999999</v>
      </c>
      <c r="X132" s="119">
        <f>$J$132/4</f>
        <v>30844.982499999998</v>
      </c>
      <c r="Y132" s="119">
        <f>$J$132/4</f>
        <v>30844.982499999998</v>
      </c>
      <c r="Z132" s="119">
        <f>$J$132/4</f>
        <v>30844.982499999998</v>
      </c>
      <c r="AA132" s="119">
        <f>$J$132/4/4</f>
        <v>7711.2456249999996</v>
      </c>
      <c r="AB132" s="119"/>
      <c r="AC132" s="119"/>
      <c r="AD132" s="119"/>
      <c r="AE132" s="119"/>
      <c r="AF132" s="119"/>
      <c r="AG132" s="119"/>
      <c r="AH132" s="119"/>
      <c r="AI132" s="119"/>
      <c r="AJ132" s="119"/>
      <c r="AK132" s="119"/>
      <c r="AL132" s="119"/>
      <c r="AM132" s="119"/>
      <c r="AN132" s="119"/>
      <c r="AO132" s="119"/>
      <c r="AP132" s="119"/>
      <c r="AQ132" s="119"/>
      <c r="AR132" s="119"/>
      <c r="AS132" s="119"/>
      <c r="AT132" s="119"/>
      <c r="AU132" s="119"/>
      <c r="AV132" s="119"/>
      <c r="AW132" s="119"/>
      <c r="AX132" s="119"/>
      <c r="AY132" s="119"/>
      <c r="AZ132" s="99">
        <f t="shared" si="10"/>
        <v>123379.93</v>
      </c>
      <c r="BA132" s="100">
        <f t="shared" si="12"/>
        <v>0</v>
      </c>
      <c r="BB132" s="120">
        <f t="shared" si="11"/>
        <v>0</v>
      </c>
      <c r="BC132" s="99">
        <f t="shared" si="14"/>
        <v>123379.93</v>
      </c>
      <c r="BE132" s="103" t="b">
        <f t="shared" si="13"/>
        <v>1</v>
      </c>
      <c r="BF132" s="104"/>
    </row>
    <row r="133" spans="2:59" s="102" customFormat="1" x14ac:dyDescent="0.3">
      <c r="B133" s="105" t="s">
        <v>23</v>
      </c>
      <c r="C133" s="106"/>
      <c r="D133" s="107"/>
      <c r="E133" s="108"/>
      <c r="F133" s="108"/>
      <c r="G133" s="108"/>
      <c r="H133" s="108"/>
      <c r="I133" s="108"/>
      <c r="J133" s="121"/>
      <c r="K133" s="121"/>
      <c r="L133" s="121"/>
      <c r="M133" s="121"/>
      <c r="N133" s="122">
        <f>SUM(O133:P133)</f>
        <v>4.4470000000000001</v>
      </c>
      <c r="O133" s="122">
        <v>4.4470000000000001</v>
      </c>
      <c r="P133" s="122">
        <f>$P$4</f>
        <v>0</v>
      </c>
      <c r="Q133" s="122" t="s">
        <v>33</v>
      </c>
      <c r="R133" s="123"/>
      <c r="S133" s="123"/>
      <c r="T133" s="124"/>
      <c r="U133" s="58">
        <f t="shared" si="8"/>
        <v>4115.029115325</v>
      </c>
      <c r="V133" s="124">
        <f>SUM(V132:$AW132)*$N133/100/4*3</f>
        <v>4115.029115325</v>
      </c>
      <c r="W133" s="124">
        <f>SUM(W132:$AW132)*$N133/100</f>
        <v>5486.7054871</v>
      </c>
      <c r="X133" s="124">
        <f>SUM(X132:$AW132)*$N133/100</f>
        <v>4457.94820826875</v>
      </c>
      <c r="Y133" s="124">
        <f>SUM(Y132:$AW132)*$N133/100</f>
        <v>3086.27183649375</v>
      </c>
      <c r="Z133" s="124">
        <f>SUM(Z132:$AW132)*$N133/100</f>
        <v>1714.5954647187498</v>
      </c>
      <c r="AA133" s="124">
        <f>SUM(AA132:$AW132)*$N133/100</f>
        <v>342.91909294375</v>
      </c>
      <c r="AB133" s="124"/>
      <c r="AC133" s="124"/>
      <c r="AD133" s="124"/>
      <c r="AE133" s="124"/>
      <c r="AF133" s="124"/>
      <c r="AG133" s="124"/>
      <c r="AH133" s="124"/>
      <c r="AI133" s="124"/>
      <c r="AJ133" s="124"/>
      <c r="AK133" s="124"/>
      <c r="AL133" s="124"/>
      <c r="AM133" s="124"/>
      <c r="AN133" s="124"/>
      <c r="AO133" s="124"/>
      <c r="AP133" s="124"/>
      <c r="AQ133" s="124"/>
      <c r="AR133" s="124"/>
      <c r="AS133" s="124"/>
      <c r="AT133" s="124"/>
      <c r="AU133" s="124"/>
      <c r="AV133" s="124"/>
      <c r="AW133" s="124"/>
      <c r="AX133" s="124"/>
      <c r="AY133" s="124"/>
      <c r="AZ133" s="113">
        <f t="shared" si="10"/>
        <v>19203.46920485</v>
      </c>
      <c r="BA133" s="100">
        <f t="shared" si="12"/>
        <v>0</v>
      </c>
      <c r="BB133" s="125">
        <f t="shared" si="11"/>
        <v>0</v>
      </c>
      <c r="BC133" s="113">
        <f t="shared" si="14"/>
        <v>19203.46920485</v>
      </c>
      <c r="BE133" s="103" t="b">
        <f t="shared" si="13"/>
        <v>1</v>
      </c>
    </row>
    <row r="134" spans="2:59" s="102" customFormat="1" x14ac:dyDescent="0.3">
      <c r="B134" s="90" t="s">
        <v>23</v>
      </c>
      <c r="C134" s="91">
        <v>65</v>
      </c>
      <c r="D134" s="92" t="s">
        <v>393</v>
      </c>
      <c r="E134" s="93" t="s">
        <v>389</v>
      </c>
      <c r="F134" s="93"/>
      <c r="G134" s="93">
        <v>2025</v>
      </c>
      <c r="H134" s="93">
        <v>2045</v>
      </c>
      <c r="I134" s="93" t="s">
        <v>29</v>
      </c>
      <c r="J134" s="94">
        <f>4890000+800000</f>
        <v>5690000</v>
      </c>
      <c r="K134" s="94"/>
      <c r="L134" s="94"/>
      <c r="M134" s="94"/>
      <c r="N134" s="95"/>
      <c r="O134" s="95"/>
      <c r="P134" s="95"/>
      <c r="Q134" s="96" t="s">
        <v>30</v>
      </c>
      <c r="R134" s="97"/>
      <c r="S134" s="97"/>
      <c r="T134" s="98"/>
      <c r="U134" s="35">
        <f t="shared" si="8"/>
        <v>0</v>
      </c>
      <c r="V134" s="98"/>
      <c r="W134" s="98"/>
      <c r="X134" s="98"/>
      <c r="Y134" s="98">
        <f>$J$134/18/2</f>
        <v>158055.55555555556</v>
      </c>
      <c r="Z134" s="98">
        <f t="shared" ref="Z134:AO134" si="18">$J$134/18</f>
        <v>316111.11111111112</v>
      </c>
      <c r="AA134" s="98">
        <f t="shared" si="18"/>
        <v>316111.11111111112</v>
      </c>
      <c r="AB134" s="98">
        <f t="shared" si="18"/>
        <v>316111.11111111112</v>
      </c>
      <c r="AC134" s="98">
        <f t="shared" si="18"/>
        <v>316111.11111111112</v>
      </c>
      <c r="AD134" s="98">
        <f t="shared" si="18"/>
        <v>316111.11111111112</v>
      </c>
      <c r="AE134" s="98">
        <f t="shared" si="18"/>
        <v>316111.11111111112</v>
      </c>
      <c r="AF134" s="98">
        <f t="shared" si="18"/>
        <v>316111.11111111112</v>
      </c>
      <c r="AG134" s="98">
        <f t="shared" si="18"/>
        <v>316111.11111111112</v>
      </c>
      <c r="AH134" s="98">
        <f t="shared" si="18"/>
        <v>316111.11111111112</v>
      </c>
      <c r="AI134" s="98">
        <f t="shared" si="18"/>
        <v>316111.11111111112</v>
      </c>
      <c r="AJ134" s="98">
        <f t="shared" si="18"/>
        <v>316111.11111111112</v>
      </c>
      <c r="AK134" s="98">
        <f t="shared" si="18"/>
        <v>316111.11111111112</v>
      </c>
      <c r="AL134" s="98">
        <f t="shared" si="18"/>
        <v>316111.11111111112</v>
      </c>
      <c r="AM134" s="98">
        <f t="shared" si="18"/>
        <v>316111.11111111112</v>
      </c>
      <c r="AN134" s="98">
        <f t="shared" si="18"/>
        <v>316111.11111111112</v>
      </c>
      <c r="AO134" s="98">
        <f t="shared" si="18"/>
        <v>316111.11111111112</v>
      </c>
      <c r="AP134" s="98">
        <f>$J$134/18+$J$134/18/2</f>
        <v>474166.66666666669</v>
      </c>
      <c r="AQ134" s="98"/>
      <c r="AR134" s="98"/>
      <c r="AS134" s="98"/>
      <c r="AT134" s="98"/>
      <c r="AU134" s="98"/>
      <c r="AV134" s="98"/>
      <c r="AW134" s="98"/>
      <c r="AX134" s="98"/>
      <c r="AY134" s="98"/>
      <c r="AZ134" s="99">
        <f>SUM(V134:AY134)</f>
        <v>5689999.9999999991</v>
      </c>
      <c r="BA134" s="100">
        <f t="shared" si="12"/>
        <v>0</v>
      </c>
      <c r="BB134" s="101">
        <f t="shared" si="11"/>
        <v>4583611.1111111101</v>
      </c>
      <c r="BC134" s="99">
        <f t="shared" si="14"/>
        <v>5689999.9999999991</v>
      </c>
      <c r="BE134" s="103" t="b">
        <f t="shared" si="13"/>
        <v>1</v>
      </c>
      <c r="BF134" s="104"/>
    </row>
    <row r="135" spans="2:59" s="102" customFormat="1" x14ac:dyDescent="0.3">
      <c r="B135" s="105" t="s">
        <v>23</v>
      </c>
      <c r="C135" s="106"/>
      <c r="D135" s="108"/>
      <c r="E135" s="108"/>
      <c r="F135" s="108"/>
      <c r="G135" s="108"/>
      <c r="H135" s="108"/>
      <c r="I135" s="108"/>
      <c r="J135" s="109"/>
      <c r="K135" s="109"/>
      <c r="L135" s="109"/>
      <c r="M135" s="109" t="s">
        <v>219</v>
      </c>
      <c r="N135" s="110">
        <f>SUM(O135:P135)</f>
        <v>5.1029999999999998</v>
      </c>
      <c r="O135" s="110">
        <v>5.1029999999999998</v>
      </c>
      <c r="P135" s="110">
        <f>$P$4</f>
        <v>0</v>
      </c>
      <c r="Q135" s="110" t="s">
        <v>33</v>
      </c>
      <c r="R135" s="111"/>
      <c r="S135" s="111"/>
      <c r="T135" s="112"/>
      <c r="U135" s="51">
        <f>V135-T135</f>
        <v>0</v>
      </c>
      <c r="V135" s="112"/>
      <c r="W135" s="112">
        <f>SUM(W134:$AW134)*$N135/100/4</f>
        <v>72590.174999999988</v>
      </c>
      <c r="X135" s="112">
        <f>SUM(X134:$AW134)*$N135/100</f>
        <v>290360.69999999995</v>
      </c>
      <c r="Y135" s="112">
        <f>SUM(Y134:$AW134)*$N135/100</f>
        <v>290360.69999999995</v>
      </c>
      <c r="Z135" s="112">
        <f>SUM(Z134:$AW134)*$N135/100</f>
        <v>282295.12499999994</v>
      </c>
      <c r="AA135" s="112">
        <f>SUM(AA134:$AW134)*$N135/100</f>
        <v>266163.97499999998</v>
      </c>
      <c r="AB135" s="112">
        <f>SUM(AB134:$AW134)*$N135/100</f>
        <v>250032.82499999995</v>
      </c>
      <c r="AC135" s="112">
        <f>SUM(AC134:$AW134)*$N135/100</f>
        <v>233901.67499999993</v>
      </c>
      <c r="AD135" s="112">
        <f>SUM(AD134:$AW134)*$N135/100</f>
        <v>217770.52499999994</v>
      </c>
      <c r="AE135" s="112">
        <f>SUM(AE134:$AW134)*$N135/100</f>
        <v>201639.37499999997</v>
      </c>
      <c r="AF135" s="112">
        <f>SUM(AF134:$AW134)*$N135/100</f>
        <v>185508.22499999998</v>
      </c>
      <c r="AG135" s="112">
        <f>SUM(AG134:$AW134)*$N135/100</f>
        <v>169377.07499999995</v>
      </c>
      <c r="AH135" s="112">
        <f>SUM(AH134:$AW134)*$N135/100</f>
        <v>153245.92499999996</v>
      </c>
      <c r="AI135" s="112">
        <f>SUM(AI134:$AW134)*$N135/100</f>
        <v>137114.77499999999</v>
      </c>
      <c r="AJ135" s="112">
        <f>SUM(AJ134:$AW134)*$N135/100</f>
        <v>120983.62499999999</v>
      </c>
      <c r="AK135" s="112">
        <f>SUM(AK134:$AW134)*$N135/100</f>
        <v>104852.47500000001</v>
      </c>
      <c r="AL135" s="112">
        <f>SUM(AL134:$AW134)*$N135/100</f>
        <v>88721.324999999997</v>
      </c>
      <c r="AM135" s="112">
        <f>SUM(AM134:$AW134)*$N135/100</f>
        <v>72590.175000000003</v>
      </c>
      <c r="AN135" s="112">
        <f>SUM(AN134:$AW134)*$N135/100</f>
        <v>56459.025000000001</v>
      </c>
      <c r="AO135" s="112">
        <f>SUM(AO134:$AW134)*$N135/100</f>
        <v>40327.874999999993</v>
      </c>
      <c r="AP135" s="112">
        <f>SUM(AP134:$AW134)*$N135/100</f>
        <v>24196.724999999999</v>
      </c>
      <c r="AQ135" s="112"/>
      <c r="AR135" s="112"/>
      <c r="AS135" s="112"/>
      <c r="AT135" s="112"/>
      <c r="AU135" s="112"/>
      <c r="AV135" s="112"/>
      <c r="AW135" s="112"/>
      <c r="AX135" s="112"/>
      <c r="AY135" s="112"/>
      <c r="AZ135" s="113">
        <f t="shared" si="10"/>
        <v>3258492.3</v>
      </c>
      <c r="BA135" s="126">
        <f t="shared" si="12"/>
        <v>0</v>
      </c>
      <c r="BB135" s="114">
        <f t="shared" si="11"/>
        <v>1806688.7999999998</v>
      </c>
      <c r="BC135" s="113">
        <f t="shared" si="14"/>
        <v>3258492.3</v>
      </c>
      <c r="BE135" s="103" t="b">
        <f t="shared" si="13"/>
        <v>1</v>
      </c>
    </row>
    <row r="136" spans="2:59" x14ac:dyDescent="0.3">
      <c r="J136" s="127"/>
      <c r="K136" s="127"/>
      <c r="L136" s="127"/>
      <c r="M136" s="127"/>
      <c r="N136" s="128"/>
      <c r="O136" s="128"/>
      <c r="P136" s="128"/>
      <c r="Q136" s="129"/>
      <c r="R136" s="128"/>
      <c r="S136" s="130"/>
      <c r="T136" s="131"/>
      <c r="U136" s="132"/>
      <c r="V136" s="127"/>
      <c r="W136" s="127"/>
      <c r="X136" s="127"/>
      <c r="Y136" s="127"/>
      <c r="Z136" s="127"/>
      <c r="AA136" s="127"/>
      <c r="AB136" s="127"/>
      <c r="AC136" s="127"/>
      <c r="AD136" s="127"/>
      <c r="AE136" s="127"/>
      <c r="AF136" s="127"/>
      <c r="AG136" s="127"/>
      <c r="AH136" s="127"/>
      <c r="AI136" s="127"/>
      <c r="AJ136" s="127"/>
      <c r="AK136" s="127"/>
      <c r="AL136" s="127"/>
      <c r="AM136" s="127"/>
      <c r="AN136" s="127"/>
      <c r="AO136" s="127"/>
      <c r="AP136" s="127"/>
      <c r="AQ136" s="127"/>
      <c r="AR136" s="127"/>
      <c r="AS136" s="127"/>
      <c r="AT136" s="127"/>
      <c r="AU136" s="127"/>
      <c r="AV136" s="127"/>
      <c r="AW136" s="127"/>
      <c r="AX136" s="127"/>
      <c r="AY136" s="127"/>
      <c r="AZ136" s="127"/>
      <c r="BA136" s="7">
        <f t="shared" si="12"/>
        <v>0</v>
      </c>
      <c r="BB136" s="127"/>
      <c r="BC136" s="127"/>
      <c r="BE136" s="24" t="b">
        <f t="shared" si="13"/>
        <v>1</v>
      </c>
    </row>
    <row r="137" spans="2:59" hidden="1" outlineLevel="1" x14ac:dyDescent="0.3">
      <c r="J137" s="133">
        <f>SUM(J6:J135)</f>
        <v>74718248.960000008</v>
      </c>
      <c r="K137" s="127"/>
      <c r="L137" s="127"/>
      <c r="M137" s="127"/>
      <c r="N137" s="128"/>
      <c r="O137" s="128"/>
      <c r="P137" s="128"/>
      <c r="Q137" s="128"/>
      <c r="R137" s="128"/>
      <c r="S137" s="130"/>
      <c r="T137" s="131"/>
      <c r="U137" s="132"/>
      <c r="V137" s="127"/>
      <c r="W137" s="127"/>
      <c r="X137" s="127"/>
      <c r="Y137" s="127"/>
      <c r="Z137" s="127"/>
      <c r="AA137" s="127"/>
      <c r="AB137" s="127"/>
      <c r="AC137" s="127"/>
      <c r="AD137" s="127"/>
      <c r="AE137" s="127"/>
      <c r="AF137" s="127"/>
      <c r="AG137" s="127"/>
      <c r="AH137" s="127"/>
      <c r="AI137" s="127"/>
      <c r="AJ137" s="127"/>
      <c r="AK137" s="127"/>
      <c r="AL137" s="127"/>
      <c r="AM137" s="127"/>
      <c r="AN137" s="127"/>
      <c r="AO137" s="127"/>
      <c r="AP137" s="127"/>
      <c r="AQ137" s="127"/>
      <c r="AR137" s="127"/>
      <c r="AS137" s="127"/>
      <c r="AT137" s="127"/>
      <c r="AU137" s="127"/>
      <c r="AV137" s="127"/>
      <c r="AW137" s="127"/>
      <c r="AX137" s="127"/>
      <c r="AY137" s="127"/>
      <c r="AZ137" s="127"/>
      <c r="BA137" s="7"/>
      <c r="BB137" s="127"/>
      <c r="BC137" s="127"/>
      <c r="BE137" s="24"/>
    </row>
    <row r="138" spans="2:59" s="24" customFormat="1" collapsed="1" x14ac:dyDescent="0.3">
      <c r="E138" s="78"/>
      <c r="H138" s="134"/>
      <c r="I138" s="135"/>
      <c r="J138" s="41"/>
      <c r="K138" s="136">
        <f>SUM(K6:K135)</f>
        <v>51982169.109999999</v>
      </c>
      <c r="L138" s="41"/>
      <c r="M138" s="41"/>
      <c r="N138" s="137">
        <f>AVERAGE(N7:N135)</f>
        <v>4.1256249999999994</v>
      </c>
      <c r="O138" s="138"/>
      <c r="P138" s="138"/>
      <c r="Q138" s="139" t="s">
        <v>30</v>
      </c>
      <c r="R138" s="140">
        <f t="shared" ref="R138:AA139" si="19">SUMIF($Q$6:$Q$135,$Q138,R$6:R$135)</f>
        <v>1072077</v>
      </c>
      <c r="S138" s="140">
        <f t="shared" si="19"/>
        <v>2585053.37</v>
      </c>
      <c r="T138" s="141">
        <f t="shared" si="19"/>
        <v>3657130.37</v>
      </c>
      <c r="U138" s="142">
        <f t="shared" si="19"/>
        <v>67.810000000008301</v>
      </c>
      <c r="V138" s="143">
        <f t="shared" si="19"/>
        <v>3657198.1799999997</v>
      </c>
      <c r="W138" s="143">
        <f t="shared" si="19"/>
        <v>3470686.2268750002</v>
      </c>
      <c r="X138" s="143">
        <f t="shared" si="19"/>
        <v>3501935.9424999999</v>
      </c>
      <c r="Y138" s="143">
        <f t="shared" si="19"/>
        <v>3554104.7313888883</v>
      </c>
      <c r="Z138" s="143">
        <f t="shared" si="19"/>
        <v>3673384.986944444</v>
      </c>
      <c r="AA138" s="143">
        <f t="shared" si="19"/>
        <v>3592474.2500694441</v>
      </c>
      <c r="AB138" s="143">
        <f t="shared" ref="AB138:AK139" si="20">SUMIF($Q$6:$Q$135,$Q138,AB$6:AB$135)</f>
        <v>3555700.0044444441</v>
      </c>
      <c r="AC138" s="143">
        <f t="shared" si="20"/>
        <v>3469380.864444444</v>
      </c>
      <c r="AD138" s="143">
        <f t="shared" si="20"/>
        <v>2810753.7544444441</v>
      </c>
      <c r="AE138" s="143">
        <f t="shared" si="20"/>
        <v>2607034.0244444441</v>
      </c>
      <c r="AF138" s="143">
        <f t="shared" si="20"/>
        <v>2230207.8044444444</v>
      </c>
      <c r="AG138" s="143">
        <f t="shared" si="20"/>
        <v>2072237.8044444444</v>
      </c>
      <c r="AH138" s="143">
        <f t="shared" si="20"/>
        <v>1943128.7544444446</v>
      </c>
      <c r="AI138" s="143">
        <f t="shared" si="20"/>
        <v>1832316.0444444446</v>
      </c>
      <c r="AJ138" s="143">
        <f t="shared" si="20"/>
        <v>1697912.0444444446</v>
      </c>
      <c r="AK138" s="143">
        <f t="shared" si="20"/>
        <v>1625784.0444444446</v>
      </c>
      <c r="AL138" s="143">
        <f t="shared" ref="AL138:AY139" si="21">SUMIF($Q$6:$Q$135,$Q138,AL$6:AL$135)</f>
        <v>1584734.0844444446</v>
      </c>
      <c r="AM138" s="143">
        <f t="shared" si="21"/>
        <v>1559973.1144444444</v>
      </c>
      <c r="AN138" s="143">
        <f t="shared" si="21"/>
        <v>1500459.111111111</v>
      </c>
      <c r="AO138" s="143">
        <f t="shared" si="21"/>
        <v>1500459.111111111</v>
      </c>
      <c r="AP138" s="143">
        <f t="shared" si="21"/>
        <v>1658514.6666666667</v>
      </c>
      <c r="AQ138" s="143">
        <f t="shared" si="21"/>
        <v>1184348</v>
      </c>
      <c r="AR138" s="143">
        <f t="shared" si="21"/>
        <v>1184348</v>
      </c>
      <c r="AS138" s="143">
        <f t="shared" si="21"/>
        <v>1184348</v>
      </c>
      <c r="AT138" s="143">
        <f t="shared" si="21"/>
        <v>867315.83000000007</v>
      </c>
      <c r="AU138" s="143">
        <f t="shared" si="21"/>
        <v>452632</v>
      </c>
      <c r="AV138" s="143">
        <f t="shared" si="21"/>
        <v>409981</v>
      </c>
      <c r="AW138" s="143">
        <f t="shared" si="21"/>
        <v>55587.92</v>
      </c>
      <c r="AX138" s="143">
        <f t="shared" si="21"/>
        <v>0</v>
      </c>
      <c r="AY138" s="143">
        <f t="shared" si="21"/>
        <v>0</v>
      </c>
      <c r="AZ138" s="143">
        <f>SUM(V138:AY138)</f>
        <v>58436940.299999982</v>
      </c>
      <c r="BA138" s="7">
        <f t="shared" si="12"/>
        <v>0</v>
      </c>
      <c r="BB138" s="143">
        <f>SUM(AC138:AY138)</f>
        <v>33431455.977777787</v>
      </c>
      <c r="BC138" s="143">
        <f>SUM(V138:AB138,BB138)</f>
        <v>58436940.300000004</v>
      </c>
      <c r="BE138" s="24" t="b">
        <f t="shared" si="13"/>
        <v>1</v>
      </c>
      <c r="BF138" s="41"/>
    </row>
    <row r="139" spans="2:59" x14ac:dyDescent="0.3">
      <c r="H139" s="134"/>
      <c r="J139" s="41"/>
      <c r="K139" s="7"/>
      <c r="L139" s="7"/>
      <c r="M139" s="7"/>
      <c r="Q139" s="144" t="s">
        <v>33</v>
      </c>
      <c r="R139" s="145">
        <f t="shared" si="19"/>
        <v>1593219.5799999998</v>
      </c>
      <c r="S139" s="145">
        <f t="shared" si="19"/>
        <v>520731.84999999986</v>
      </c>
      <c r="T139" s="146">
        <f t="shared" si="19"/>
        <v>2113951.4300000002</v>
      </c>
      <c r="U139" s="147">
        <f t="shared" si="19"/>
        <v>24663.569115325001</v>
      </c>
      <c r="V139" s="148">
        <f t="shared" si="19"/>
        <v>2138614.9991153246</v>
      </c>
      <c r="W139" s="148">
        <f t="shared" si="19"/>
        <v>2238832.7567470004</v>
      </c>
      <c r="X139" s="148">
        <f t="shared" si="19"/>
        <v>2307001.6046191687</v>
      </c>
      <c r="Y139" s="148">
        <f t="shared" si="19"/>
        <v>2155508.9970673937</v>
      </c>
      <c r="Z139" s="148">
        <f t="shared" si="19"/>
        <v>1998929.9240922185</v>
      </c>
      <c r="AA139" s="148">
        <f t="shared" si="19"/>
        <v>1836153.5029964442</v>
      </c>
      <c r="AB139" s="148">
        <f t="shared" si="20"/>
        <v>1676767.2182695002</v>
      </c>
      <c r="AC139" s="148">
        <f t="shared" si="20"/>
        <v>1518881.1181655</v>
      </c>
      <c r="AD139" s="148">
        <f t="shared" si="20"/>
        <v>1365047.8891071002</v>
      </c>
      <c r="AE139" s="148">
        <f t="shared" si="20"/>
        <v>1238469.5439890996</v>
      </c>
      <c r="AF139" s="148">
        <f t="shared" si="20"/>
        <v>1121447.9430294</v>
      </c>
      <c r="AG139" s="148">
        <f t="shared" si="20"/>
        <v>1020292.0111166001</v>
      </c>
      <c r="AH139" s="148">
        <f t="shared" si="20"/>
        <v>926221.77864379983</v>
      </c>
      <c r="AI139" s="148">
        <f t="shared" si="20"/>
        <v>837831.63125500013</v>
      </c>
      <c r="AJ139" s="148">
        <f t="shared" si="20"/>
        <v>753822.72227100015</v>
      </c>
      <c r="AK139" s="148">
        <f t="shared" si="20"/>
        <v>675771.50826699985</v>
      </c>
      <c r="AL139" s="148">
        <f t="shared" si="21"/>
        <v>600907.595203</v>
      </c>
      <c r="AM139" s="148">
        <f t="shared" si="21"/>
        <v>527827.85213899997</v>
      </c>
      <c r="AN139" s="148">
        <f t="shared" si="21"/>
        <v>455910.62948799995</v>
      </c>
      <c r="AO139" s="148">
        <f t="shared" si="21"/>
        <v>386898.32936799998</v>
      </c>
      <c r="AP139" s="148">
        <f t="shared" si="21"/>
        <v>317886.02924799989</v>
      </c>
      <c r="AQ139" s="148">
        <f t="shared" si="21"/>
        <v>240808.15412799999</v>
      </c>
      <c r="AR139" s="148">
        <f t="shared" si="21"/>
        <v>187927.00400799996</v>
      </c>
      <c r="AS139" s="148">
        <f t="shared" si="21"/>
        <v>135045.85388799998</v>
      </c>
      <c r="AT139" s="148">
        <f t="shared" si="21"/>
        <v>82164.703767999992</v>
      </c>
      <c r="AU139" s="148">
        <f t="shared" si="21"/>
        <v>43306.896070000003</v>
      </c>
      <c r="AV139" s="148">
        <f t="shared" si="21"/>
        <v>22024.558349999996</v>
      </c>
      <c r="AW139" s="148">
        <f t="shared" si="21"/>
        <v>2596.5674300000001</v>
      </c>
      <c r="AX139" s="148">
        <f t="shared" si="21"/>
        <v>0</v>
      </c>
      <c r="AY139" s="148">
        <f t="shared" si="21"/>
        <v>0</v>
      </c>
      <c r="AZ139" s="148">
        <f>SUM(V139:AY139)</f>
        <v>26812899.321839552</v>
      </c>
      <c r="BA139" s="7">
        <f>AZ139-SUM(V139:AY139)</f>
        <v>0</v>
      </c>
      <c r="BB139" s="148">
        <f>SUM(AC139:AY139)</f>
        <v>12461090.318932502</v>
      </c>
      <c r="BC139" s="148">
        <f>SUM(V139:AB139,BB139)</f>
        <v>26812899.321839556</v>
      </c>
      <c r="BE139" s="24" t="b">
        <f t="shared" si="13"/>
        <v>1</v>
      </c>
      <c r="BF139" s="41"/>
    </row>
    <row r="140" spans="2:59" s="78" customFormat="1" x14ac:dyDescent="0.3">
      <c r="H140" s="134"/>
      <c r="J140" s="41"/>
      <c r="Q140" s="139" t="s">
        <v>394</v>
      </c>
      <c r="R140" s="149">
        <f>SUM(R138:R139)</f>
        <v>2665296.58</v>
      </c>
      <c r="S140" s="149">
        <f>SUM(S138:S139)</f>
        <v>3105785.2199999997</v>
      </c>
      <c r="T140" s="150">
        <f t="shared" ref="T140:AY140" si="22">SUM(T138:T139)</f>
        <v>5771081.8000000007</v>
      </c>
      <c r="U140" s="151">
        <f t="shared" si="22"/>
        <v>24731.379115325009</v>
      </c>
      <c r="V140" s="152">
        <f t="shared" si="22"/>
        <v>5795813.1791153243</v>
      </c>
      <c r="W140" s="152">
        <f t="shared" si="22"/>
        <v>5709518.9836220006</v>
      </c>
      <c r="X140" s="152">
        <f t="shared" si="22"/>
        <v>5808937.5471191686</v>
      </c>
      <c r="Y140" s="152">
        <f t="shared" si="22"/>
        <v>5709613.7284562821</v>
      </c>
      <c r="Z140" s="152">
        <f t="shared" si="22"/>
        <v>5672314.9110366628</v>
      </c>
      <c r="AA140" s="152">
        <f t="shared" si="22"/>
        <v>5428627.7530658878</v>
      </c>
      <c r="AB140" s="152">
        <f t="shared" si="22"/>
        <v>5232467.2227139445</v>
      </c>
      <c r="AC140" s="152">
        <f t="shared" si="22"/>
        <v>4988261.9826099444</v>
      </c>
      <c r="AD140" s="152">
        <f t="shared" si="22"/>
        <v>4175801.6435515443</v>
      </c>
      <c r="AE140" s="152">
        <f t="shared" si="22"/>
        <v>3845503.5684335437</v>
      </c>
      <c r="AF140" s="152">
        <f t="shared" si="22"/>
        <v>3351655.7474738443</v>
      </c>
      <c r="AG140" s="152">
        <f t="shared" si="22"/>
        <v>3092529.8155610445</v>
      </c>
      <c r="AH140" s="152">
        <f t="shared" si="22"/>
        <v>2869350.5330882445</v>
      </c>
      <c r="AI140" s="152">
        <f t="shared" si="22"/>
        <v>2670147.6756994445</v>
      </c>
      <c r="AJ140" s="152">
        <f t="shared" si="22"/>
        <v>2451734.7667154446</v>
      </c>
      <c r="AK140" s="152">
        <f t="shared" si="22"/>
        <v>2301555.5527114444</v>
      </c>
      <c r="AL140" s="152">
        <f t="shared" si="22"/>
        <v>2185641.6796474447</v>
      </c>
      <c r="AM140" s="152">
        <f t="shared" si="22"/>
        <v>2087800.9665834443</v>
      </c>
      <c r="AN140" s="152">
        <f t="shared" si="22"/>
        <v>1956369.740599111</v>
      </c>
      <c r="AO140" s="152">
        <f t="shared" si="22"/>
        <v>1887357.4404791109</v>
      </c>
      <c r="AP140" s="152">
        <f t="shared" si="22"/>
        <v>1976400.6959146666</v>
      </c>
      <c r="AQ140" s="152">
        <f t="shared" si="22"/>
        <v>1425156.1541279999</v>
      </c>
      <c r="AR140" s="152">
        <f t="shared" si="22"/>
        <v>1372275.004008</v>
      </c>
      <c r="AS140" s="152">
        <f t="shared" si="22"/>
        <v>1319393.8538879999</v>
      </c>
      <c r="AT140" s="152">
        <f t="shared" si="22"/>
        <v>949480.53376800008</v>
      </c>
      <c r="AU140" s="152">
        <f t="shared" si="22"/>
        <v>495938.89607000002</v>
      </c>
      <c r="AV140" s="152">
        <f t="shared" si="22"/>
        <v>432005.55835000001</v>
      </c>
      <c r="AW140" s="152">
        <f t="shared" si="22"/>
        <v>58184.487430000001</v>
      </c>
      <c r="AX140" s="152">
        <f t="shared" si="22"/>
        <v>0</v>
      </c>
      <c r="AY140" s="152">
        <f t="shared" si="22"/>
        <v>0</v>
      </c>
      <c r="AZ140" s="152">
        <f>SUM(V140:AY140)</f>
        <v>85249839.621839553</v>
      </c>
      <c r="BA140" s="7">
        <f>AZ140-SUM(V140:AY140)</f>
        <v>0</v>
      </c>
      <c r="BB140" s="152">
        <f>SUM(AC140:AY140)</f>
        <v>45892546.296710268</v>
      </c>
      <c r="BC140" s="152">
        <f>SUM(V140:AB140,BB140)</f>
        <v>85249839.621839538</v>
      </c>
      <c r="BE140" s="24" t="b">
        <f>AZ140=BC140</f>
        <v>0</v>
      </c>
      <c r="BF140" s="41"/>
      <c r="BG140" s="79">
        <f>SUM(V6:AY135)</f>
        <v>85249839.621839449</v>
      </c>
    </row>
    <row r="141" spans="2:59" x14ac:dyDescent="0.3">
      <c r="K141" s="153">
        <f>K142/K138</f>
        <v>0.58275019451184273</v>
      </c>
      <c r="V141" s="7"/>
      <c r="W141" s="7"/>
      <c r="X141" s="7"/>
      <c r="Y141" s="7"/>
      <c r="Z141" s="7"/>
      <c r="AA141" s="7"/>
      <c r="AB141" s="7"/>
      <c r="BC141" s="7"/>
      <c r="BG141" s="7">
        <f>BG140-BC140</f>
        <v>0</v>
      </c>
    </row>
    <row r="142" spans="2:59" x14ac:dyDescent="0.3">
      <c r="I142" s="154"/>
      <c r="J142" s="155"/>
      <c r="K142" s="156">
        <f>K125+K124+K119+K118+K113+K112+K111+K110+K107+K106+K105+K104+K97+K96+K79+K78+K77+K76+K75+K74+K71+K70+K59+K58+K55+K54+K35+K34+K33+K32+K19+K18</f>
        <v>30292619.16</v>
      </c>
      <c r="S142" s="157"/>
      <c r="T142" s="157">
        <f>T140-SUM(T6:T135)</f>
        <v>0</v>
      </c>
      <c r="U142" s="157"/>
      <c r="V142" s="157"/>
      <c r="W142" s="157"/>
      <c r="X142" s="157"/>
      <c r="Y142" s="157"/>
      <c r="Z142" s="157"/>
      <c r="AA142" s="157"/>
      <c r="AB142" s="157"/>
      <c r="AC142" s="157"/>
      <c r="AD142" s="157"/>
      <c r="AE142" s="157"/>
      <c r="AF142" s="157"/>
      <c r="AG142" s="157"/>
      <c r="AH142" s="157"/>
      <c r="AI142" s="157"/>
      <c r="AJ142" s="157"/>
      <c r="AK142" s="157"/>
      <c r="AL142" s="157"/>
      <c r="AM142" s="157"/>
      <c r="AN142" s="157"/>
      <c r="AO142" s="157"/>
      <c r="AP142" s="157"/>
      <c r="AQ142" s="157"/>
      <c r="AR142" s="157"/>
      <c r="AS142" s="157"/>
      <c r="AT142" s="157"/>
      <c r="AU142" s="157"/>
      <c r="AV142" s="157"/>
      <c r="AW142" s="157"/>
      <c r="AX142" s="157"/>
      <c r="AY142" s="157"/>
      <c r="AZ142" s="157"/>
      <c r="BA142" s="157"/>
      <c r="BB142" s="157"/>
      <c r="BC142" s="157"/>
    </row>
    <row r="143" spans="2:59" ht="15.6" x14ac:dyDescent="0.3">
      <c r="C143" s="8" t="s">
        <v>395</v>
      </c>
      <c r="J143" s="158"/>
      <c r="V143" s="6"/>
      <c r="W143" s="6"/>
    </row>
    <row r="144" spans="2:59" ht="57.6" x14ac:dyDescent="0.3">
      <c r="C144" s="16" t="s">
        <v>3</v>
      </c>
      <c r="D144" s="15" t="s">
        <v>396</v>
      </c>
      <c r="E144" s="15" t="s">
        <v>397</v>
      </c>
      <c r="F144" s="15" t="s">
        <v>398</v>
      </c>
      <c r="G144" s="15" t="s">
        <v>7</v>
      </c>
      <c r="H144" s="15" t="s">
        <v>8</v>
      </c>
      <c r="I144" s="15" t="s">
        <v>9</v>
      </c>
      <c r="J144" s="17" t="s">
        <v>399</v>
      </c>
      <c r="K144" s="17" t="s">
        <v>11</v>
      </c>
      <c r="L144" s="17" t="s">
        <v>12</v>
      </c>
      <c r="M144" s="17" t="s">
        <v>13</v>
      </c>
      <c r="N144" s="17" t="s">
        <v>14</v>
      </c>
      <c r="O144" s="17" t="s">
        <v>15</v>
      </c>
      <c r="P144" s="17" t="s">
        <v>16</v>
      </c>
      <c r="Q144" s="19" t="s">
        <v>17</v>
      </c>
      <c r="R144" s="19"/>
      <c r="S144" s="19"/>
      <c r="T144" s="22">
        <v>2023</v>
      </c>
      <c r="U144" s="22"/>
      <c r="V144" s="16">
        <v>2024</v>
      </c>
      <c r="W144" s="16">
        <v>2025</v>
      </c>
      <c r="X144" s="16">
        <v>2026</v>
      </c>
      <c r="Y144" s="16">
        <v>2027</v>
      </c>
      <c r="Z144" s="16">
        <v>2028</v>
      </c>
      <c r="AA144" s="16">
        <v>2029</v>
      </c>
      <c r="AB144" s="16">
        <v>2030</v>
      </c>
      <c r="AC144" s="16">
        <v>2031</v>
      </c>
      <c r="AD144" s="16">
        <v>2032</v>
      </c>
      <c r="AE144" s="16">
        <v>2033</v>
      </c>
      <c r="AF144" s="16">
        <v>2034</v>
      </c>
      <c r="AG144" s="16">
        <v>2035</v>
      </c>
      <c r="AH144" s="16">
        <v>2036</v>
      </c>
      <c r="AI144" s="16">
        <v>2037</v>
      </c>
      <c r="AJ144" s="16">
        <v>2038</v>
      </c>
      <c r="AK144" s="16">
        <v>2039</v>
      </c>
      <c r="AL144" s="16">
        <v>2040</v>
      </c>
      <c r="AM144" s="16">
        <v>2041</v>
      </c>
      <c r="AN144" s="16">
        <v>2042</v>
      </c>
      <c r="AO144" s="16">
        <v>2043</v>
      </c>
      <c r="AP144" s="16">
        <v>2044</v>
      </c>
      <c r="AQ144" s="16">
        <v>2045</v>
      </c>
      <c r="AR144" s="16">
        <v>2046</v>
      </c>
      <c r="AS144" s="16">
        <v>2047</v>
      </c>
      <c r="AT144" s="16">
        <v>2048</v>
      </c>
      <c r="AU144" s="16">
        <v>2049</v>
      </c>
      <c r="AV144" s="16">
        <v>2050</v>
      </c>
      <c r="AW144" s="16">
        <v>2051</v>
      </c>
      <c r="AX144" s="16">
        <v>2052</v>
      </c>
      <c r="AY144" s="16">
        <v>2053</v>
      </c>
      <c r="AZ144" s="15" t="s">
        <v>20</v>
      </c>
      <c r="BB144" s="14" t="s">
        <v>21</v>
      </c>
      <c r="BC144" s="15" t="s">
        <v>22</v>
      </c>
    </row>
    <row r="145" spans="2:59" s="24" customFormat="1" x14ac:dyDescent="0.3">
      <c r="B145" s="25"/>
      <c r="C145" s="27">
        <v>1</v>
      </c>
      <c r="D145" s="27" t="s">
        <v>400</v>
      </c>
      <c r="E145" s="76"/>
      <c r="F145" s="27"/>
      <c r="G145" s="29">
        <v>3.2017000000000002</v>
      </c>
      <c r="H145" s="29">
        <v>3.2031999999999998</v>
      </c>
      <c r="I145" s="29" t="s">
        <v>29</v>
      </c>
      <c r="J145" s="30">
        <v>129553</v>
      </c>
      <c r="K145" s="31"/>
      <c r="L145" s="31"/>
      <c r="M145" s="31"/>
      <c r="N145" s="32"/>
      <c r="O145" s="32"/>
      <c r="P145" s="32"/>
      <c r="Q145" s="32" t="s">
        <v>30</v>
      </c>
      <c r="R145" s="32"/>
      <c r="S145" s="32"/>
      <c r="T145" s="34">
        <v>8936</v>
      </c>
      <c r="U145" s="34"/>
      <c r="V145" s="36">
        <v>8936</v>
      </c>
      <c r="W145" s="36">
        <v>8936</v>
      </c>
      <c r="X145" s="36">
        <v>8936</v>
      </c>
      <c r="Y145" s="36">
        <v>8936</v>
      </c>
      <c r="Z145" s="36">
        <v>8936</v>
      </c>
      <c r="AA145" s="36">
        <v>8936</v>
      </c>
      <c r="AB145" s="36">
        <v>8936</v>
      </c>
      <c r="AC145" s="36">
        <v>8936</v>
      </c>
      <c r="AD145" s="36">
        <v>2234</v>
      </c>
      <c r="AE145" s="36"/>
      <c r="AF145" s="36"/>
      <c r="AG145" s="36"/>
      <c r="AH145" s="36"/>
      <c r="AI145" s="36"/>
      <c r="AJ145" s="36"/>
      <c r="AK145" s="36"/>
      <c r="AL145" s="36"/>
      <c r="AM145" s="36"/>
      <c r="AN145" s="36"/>
      <c r="AO145" s="36"/>
      <c r="AP145" s="36"/>
      <c r="AQ145" s="36"/>
      <c r="AR145" s="36"/>
      <c r="AS145" s="36"/>
      <c r="AT145" s="36"/>
      <c r="AU145" s="36"/>
      <c r="AV145" s="36"/>
      <c r="AW145" s="36"/>
      <c r="AX145" s="36"/>
      <c r="AY145" s="36"/>
      <c r="AZ145" s="40">
        <f>SUM(V145:AY145)</f>
        <v>73722</v>
      </c>
      <c r="BA145" s="63"/>
      <c r="BB145" s="39">
        <f>SUM(AC145:AY145)</f>
        <v>11170</v>
      </c>
      <c r="BC145" s="40">
        <f>SUM(V145:AB145,BB145)</f>
        <v>73722</v>
      </c>
      <c r="BE145" s="24" t="b">
        <f t="shared" ref="BE145:BE159" si="23">AZ145=BC145</f>
        <v>1</v>
      </c>
    </row>
    <row r="146" spans="2:59" x14ac:dyDescent="0.3">
      <c r="B146" s="42"/>
      <c r="C146" s="46"/>
      <c r="D146" s="46"/>
      <c r="E146" s="45"/>
      <c r="F146" s="46"/>
      <c r="G146" s="46"/>
      <c r="H146" s="46"/>
      <c r="I146" s="46"/>
      <c r="J146" s="47"/>
      <c r="K146" s="47"/>
      <c r="L146" s="47"/>
      <c r="M146" s="47"/>
      <c r="N146" s="48">
        <f t="shared" ref="N146:N156" si="24">SUM(O146:P146)</f>
        <v>3.0089999999999999</v>
      </c>
      <c r="O146" s="48">
        <v>2.7589999999999999</v>
      </c>
      <c r="P146" s="48">
        <v>0.25</v>
      </c>
      <c r="Q146" s="48" t="s">
        <v>33</v>
      </c>
      <c r="R146" s="48"/>
      <c r="S146" s="48"/>
      <c r="T146" s="50">
        <v>2756.0634599999998</v>
      </c>
      <c r="U146" s="50"/>
      <c r="V146" s="52">
        <f>SUM(V145:$AW145)*$N146/100</f>
        <v>2218.2949800000001</v>
      </c>
      <c r="W146" s="52">
        <f>SUM(W145:$AW145)*$N146/100</f>
        <v>1949.41074</v>
      </c>
      <c r="X146" s="52">
        <f>SUM(X145:$AW145)*$N146/100</f>
        <v>1680.5264999999999</v>
      </c>
      <c r="Y146" s="52">
        <f>SUM(Y145:$AW145)*$N146/100</f>
        <v>1411.6422599999999</v>
      </c>
      <c r="Z146" s="52">
        <f>SUM(Z145:$AW145)*$N146/100</f>
        <v>1142.75802</v>
      </c>
      <c r="AA146" s="52">
        <f>SUM(AA145:$AW145)*$N146/100</f>
        <v>873.87378000000001</v>
      </c>
      <c r="AB146" s="52">
        <f>SUM(AB145:$AW145)*$N146/100</f>
        <v>604.98954000000003</v>
      </c>
      <c r="AC146" s="52">
        <f>SUM(AC145:$AW145)*$N146/100</f>
        <v>336.1053</v>
      </c>
      <c r="AD146" s="52">
        <f>SUM(AD145:$AW145)*$N146/100</f>
        <v>67.221059999999994</v>
      </c>
      <c r="AE146" s="52"/>
      <c r="AF146" s="52"/>
      <c r="AG146" s="52"/>
      <c r="AH146" s="52"/>
      <c r="AI146" s="52"/>
      <c r="AJ146" s="52"/>
      <c r="AK146" s="52"/>
      <c r="AL146" s="52"/>
      <c r="AM146" s="52"/>
      <c r="AN146" s="52"/>
      <c r="AO146" s="52"/>
      <c r="AP146" s="52"/>
      <c r="AQ146" s="52"/>
      <c r="AR146" s="52"/>
      <c r="AS146" s="52"/>
      <c r="AT146" s="52"/>
      <c r="AU146" s="52"/>
      <c r="AV146" s="52"/>
      <c r="AW146" s="52"/>
      <c r="AX146" s="52"/>
      <c r="AY146" s="52"/>
      <c r="AZ146" s="55">
        <f t="shared" ref="AZ146:AZ159" si="25">SUM(V146:AY146)</f>
        <v>10284.822179999999</v>
      </c>
      <c r="BA146" s="65"/>
      <c r="BB146" s="54">
        <f t="shared" ref="BB146:BB158" si="26">SUM(AC146:AY146)</f>
        <v>403.32636000000002</v>
      </c>
      <c r="BC146" s="55">
        <f t="shared" ref="BC146:BC158" si="27">SUM(V146:AB146,BB146)</f>
        <v>10284.822179999999</v>
      </c>
      <c r="BE146" s="1" t="b">
        <f t="shared" si="23"/>
        <v>1</v>
      </c>
    </row>
    <row r="147" spans="2:59" s="24" customFormat="1" x14ac:dyDescent="0.3">
      <c r="B147" s="25"/>
      <c r="C147" s="27">
        <v>2</v>
      </c>
      <c r="D147" s="27" t="s">
        <v>401</v>
      </c>
      <c r="E147" s="76"/>
      <c r="F147" s="27"/>
      <c r="G147" s="159">
        <v>43832</v>
      </c>
      <c r="H147" s="159">
        <v>45656</v>
      </c>
      <c r="I147" s="29" t="s">
        <v>29</v>
      </c>
      <c r="J147" s="30">
        <v>44681</v>
      </c>
      <c r="K147" s="31"/>
      <c r="L147" s="31"/>
      <c r="M147" s="31"/>
      <c r="N147" s="32"/>
      <c r="O147" s="32"/>
      <c r="P147" s="32"/>
      <c r="Q147" s="32" t="s">
        <v>30</v>
      </c>
      <c r="R147" s="32"/>
      <c r="S147" s="32"/>
      <c r="T147" s="34">
        <v>5976</v>
      </c>
      <c r="U147" s="34"/>
      <c r="V147" s="36">
        <v>5976</v>
      </c>
      <c r="W147" s="36">
        <v>446.95</v>
      </c>
      <c r="X147" s="36"/>
      <c r="Y147" s="36"/>
      <c r="Z147" s="36"/>
      <c r="AA147" s="36"/>
      <c r="AB147" s="36"/>
      <c r="AC147" s="36"/>
      <c r="AD147" s="36"/>
      <c r="AE147" s="36"/>
      <c r="AF147" s="36"/>
      <c r="AG147" s="36"/>
      <c r="AH147" s="36"/>
      <c r="AI147" s="36"/>
      <c r="AJ147" s="36"/>
      <c r="AK147" s="36"/>
      <c r="AL147" s="36"/>
      <c r="AM147" s="36"/>
      <c r="AN147" s="36"/>
      <c r="AO147" s="36"/>
      <c r="AP147" s="36"/>
      <c r="AQ147" s="36"/>
      <c r="AR147" s="36"/>
      <c r="AS147" s="36"/>
      <c r="AT147" s="36"/>
      <c r="AU147" s="36"/>
      <c r="AV147" s="36"/>
      <c r="AW147" s="36"/>
      <c r="AX147" s="36"/>
      <c r="AY147" s="36"/>
      <c r="AZ147" s="40">
        <f t="shared" si="25"/>
        <v>6422.95</v>
      </c>
      <c r="BA147" s="63"/>
      <c r="BB147" s="39">
        <f t="shared" si="26"/>
        <v>0</v>
      </c>
      <c r="BC147" s="40">
        <f t="shared" si="27"/>
        <v>6422.95</v>
      </c>
      <c r="BE147" s="24" t="b">
        <f t="shared" si="23"/>
        <v>1</v>
      </c>
    </row>
    <row r="148" spans="2:59" x14ac:dyDescent="0.3">
      <c r="B148" s="42"/>
      <c r="C148" s="46"/>
      <c r="D148" s="46" t="s">
        <v>402</v>
      </c>
      <c r="E148" s="45"/>
      <c r="F148" s="46"/>
      <c r="G148" s="46"/>
      <c r="H148" s="46"/>
      <c r="I148" s="46"/>
      <c r="J148" s="47"/>
      <c r="K148" s="47"/>
      <c r="L148" s="47"/>
      <c r="M148" s="47"/>
      <c r="N148" s="48">
        <f t="shared" si="24"/>
        <v>0.85599999999999998</v>
      </c>
      <c r="O148" s="48">
        <v>0.35599999999999998</v>
      </c>
      <c r="P148" s="48">
        <v>0.5</v>
      </c>
      <c r="Q148" s="48" t="s">
        <v>33</v>
      </c>
      <c r="R148" s="48"/>
      <c r="S148" s="48"/>
      <c r="T148" s="50"/>
      <c r="U148" s="50"/>
      <c r="V148" s="52"/>
      <c r="W148" s="52"/>
      <c r="X148" s="52"/>
      <c r="Y148" s="52"/>
      <c r="Z148" s="52"/>
      <c r="AA148" s="52"/>
      <c r="AB148" s="52"/>
      <c r="AC148" s="52"/>
      <c r="AD148" s="52"/>
      <c r="AE148" s="52"/>
      <c r="AF148" s="52"/>
      <c r="AG148" s="52"/>
      <c r="AH148" s="52"/>
      <c r="AI148" s="52"/>
      <c r="AJ148" s="52"/>
      <c r="AK148" s="52"/>
      <c r="AL148" s="52"/>
      <c r="AM148" s="52"/>
      <c r="AN148" s="52"/>
      <c r="AO148" s="52"/>
      <c r="AP148" s="52"/>
      <c r="AQ148" s="52"/>
      <c r="AR148" s="52"/>
      <c r="AS148" s="52"/>
      <c r="AT148" s="52"/>
      <c r="AU148" s="52"/>
      <c r="AV148" s="52"/>
      <c r="AW148" s="52"/>
      <c r="AX148" s="52"/>
      <c r="AY148" s="52"/>
      <c r="AZ148" s="55">
        <f t="shared" si="25"/>
        <v>0</v>
      </c>
      <c r="BA148" s="65"/>
      <c r="BB148" s="54">
        <f t="shared" si="26"/>
        <v>0</v>
      </c>
      <c r="BC148" s="55">
        <f t="shared" si="27"/>
        <v>0</v>
      </c>
      <c r="BE148" s="1" t="b">
        <f t="shared" si="23"/>
        <v>1</v>
      </c>
    </row>
    <row r="149" spans="2:59" s="24" customFormat="1" x14ac:dyDescent="0.3">
      <c r="B149" s="25"/>
      <c r="C149" s="27">
        <v>3</v>
      </c>
      <c r="D149" s="27" t="s">
        <v>403</v>
      </c>
      <c r="E149" s="76"/>
      <c r="F149" s="27"/>
      <c r="G149" s="159">
        <v>44151</v>
      </c>
      <c r="H149" s="159">
        <v>45981</v>
      </c>
      <c r="I149" s="29" t="s">
        <v>29</v>
      </c>
      <c r="J149" s="30">
        <v>82111</v>
      </c>
      <c r="K149" s="31"/>
      <c r="L149" s="31"/>
      <c r="M149" s="31"/>
      <c r="N149" s="32"/>
      <c r="O149" s="32"/>
      <c r="P149" s="32"/>
      <c r="Q149" s="32" t="s">
        <v>30</v>
      </c>
      <c r="R149" s="32"/>
      <c r="S149" s="32"/>
      <c r="T149" s="34">
        <v>15204.36</v>
      </c>
      <c r="U149" s="34"/>
      <c r="V149" s="36">
        <v>15204.36</v>
      </c>
      <c r="W149" s="36">
        <v>13937.16</v>
      </c>
      <c r="X149" s="36"/>
      <c r="Y149" s="36"/>
      <c r="Z149" s="36"/>
      <c r="AA149" s="36"/>
      <c r="AB149" s="36"/>
      <c r="AC149" s="36"/>
      <c r="AD149" s="36"/>
      <c r="AE149" s="36"/>
      <c r="AF149" s="36"/>
      <c r="AG149" s="36"/>
      <c r="AH149" s="36"/>
      <c r="AI149" s="36"/>
      <c r="AJ149" s="36"/>
      <c r="AK149" s="36"/>
      <c r="AL149" s="36"/>
      <c r="AM149" s="36"/>
      <c r="AN149" s="36"/>
      <c r="AO149" s="36"/>
      <c r="AP149" s="36"/>
      <c r="AQ149" s="36"/>
      <c r="AR149" s="36"/>
      <c r="AS149" s="36"/>
      <c r="AT149" s="36"/>
      <c r="AU149" s="36"/>
      <c r="AV149" s="36"/>
      <c r="AW149" s="36"/>
      <c r="AX149" s="36"/>
      <c r="AY149" s="36"/>
      <c r="AZ149" s="40">
        <f t="shared" si="25"/>
        <v>29141.52</v>
      </c>
      <c r="BA149" s="63"/>
      <c r="BB149" s="39">
        <f t="shared" si="26"/>
        <v>0</v>
      </c>
      <c r="BC149" s="40">
        <f t="shared" si="27"/>
        <v>29141.52</v>
      </c>
      <c r="BE149" s="24" t="b">
        <f t="shared" si="23"/>
        <v>1</v>
      </c>
    </row>
    <row r="150" spans="2:59" x14ac:dyDescent="0.3">
      <c r="B150" s="42"/>
      <c r="C150" s="46"/>
      <c r="D150" s="46" t="s">
        <v>402</v>
      </c>
      <c r="E150" s="45"/>
      <c r="F150" s="46"/>
      <c r="G150" s="46"/>
      <c r="H150" s="46"/>
      <c r="I150" s="46"/>
      <c r="J150" s="47"/>
      <c r="K150" s="47"/>
      <c r="L150" s="47"/>
      <c r="M150" s="47"/>
      <c r="N150" s="48">
        <f t="shared" si="24"/>
        <v>0.85599999999999998</v>
      </c>
      <c r="O150" s="48">
        <v>0.35599999999999998</v>
      </c>
      <c r="P150" s="48">
        <v>0.5</v>
      </c>
      <c r="Q150" s="48" t="s">
        <v>33</v>
      </c>
      <c r="R150" s="48"/>
      <c r="S150" s="48"/>
      <c r="T150" s="50"/>
      <c r="U150" s="50"/>
      <c r="V150" s="52"/>
      <c r="W150" s="52"/>
      <c r="X150" s="52"/>
      <c r="Y150" s="52"/>
      <c r="Z150" s="52"/>
      <c r="AA150" s="52"/>
      <c r="AB150" s="52"/>
      <c r="AC150" s="52"/>
      <c r="AD150" s="52"/>
      <c r="AE150" s="52"/>
      <c r="AF150" s="52"/>
      <c r="AG150" s="52"/>
      <c r="AH150" s="52"/>
      <c r="AI150" s="52"/>
      <c r="AJ150" s="52"/>
      <c r="AK150" s="52"/>
      <c r="AL150" s="52"/>
      <c r="AM150" s="52"/>
      <c r="AN150" s="52"/>
      <c r="AO150" s="52"/>
      <c r="AP150" s="52"/>
      <c r="AQ150" s="52"/>
      <c r="AR150" s="52"/>
      <c r="AS150" s="52"/>
      <c r="AT150" s="52"/>
      <c r="AU150" s="52"/>
      <c r="AV150" s="52"/>
      <c r="AW150" s="52"/>
      <c r="AX150" s="52"/>
      <c r="AY150" s="52"/>
      <c r="AZ150" s="55">
        <f t="shared" si="25"/>
        <v>0</v>
      </c>
      <c r="BA150" s="65"/>
      <c r="BB150" s="54">
        <f t="shared" si="26"/>
        <v>0</v>
      </c>
      <c r="BC150" s="55">
        <f t="shared" si="27"/>
        <v>0</v>
      </c>
      <c r="BE150" s="1" t="b">
        <f t="shared" si="23"/>
        <v>1</v>
      </c>
    </row>
    <row r="151" spans="2:59" s="24" customFormat="1" x14ac:dyDescent="0.3">
      <c r="B151" s="25"/>
      <c r="C151" s="27">
        <v>4</v>
      </c>
      <c r="D151" s="27" t="s">
        <v>404</v>
      </c>
      <c r="E151" s="76"/>
      <c r="F151" s="27"/>
      <c r="G151" s="159">
        <v>44313</v>
      </c>
      <c r="H151" s="159">
        <v>45774</v>
      </c>
      <c r="I151" s="29" t="s">
        <v>29</v>
      </c>
      <c r="J151" s="30">
        <v>33649.81</v>
      </c>
      <c r="K151" s="31"/>
      <c r="L151" s="31"/>
      <c r="M151" s="31"/>
      <c r="N151" s="32"/>
      <c r="O151" s="32"/>
      <c r="P151" s="32"/>
      <c r="Q151" s="32" t="s">
        <v>30</v>
      </c>
      <c r="R151" s="32"/>
      <c r="S151" s="32"/>
      <c r="T151" s="34">
        <v>8424</v>
      </c>
      <c r="U151" s="34"/>
      <c r="V151" s="36">
        <v>8424</v>
      </c>
      <c r="W151" s="36">
        <v>2808</v>
      </c>
      <c r="X151" s="36"/>
      <c r="Y151" s="36"/>
      <c r="Z151" s="36"/>
      <c r="AA151" s="36"/>
      <c r="AB151" s="36"/>
      <c r="AC151" s="36"/>
      <c r="AD151" s="36"/>
      <c r="AE151" s="36"/>
      <c r="AF151" s="36"/>
      <c r="AG151" s="36"/>
      <c r="AH151" s="36"/>
      <c r="AI151" s="36"/>
      <c r="AJ151" s="36"/>
      <c r="AK151" s="36"/>
      <c r="AL151" s="36"/>
      <c r="AM151" s="36"/>
      <c r="AN151" s="36"/>
      <c r="AO151" s="36"/>
      <c r="AP151" s="36"/>
      <c r="AQ151" s="36"/>
      <c r="AR151" s="36"/>
      <c r="AS151" s="36"/>
      <c r="AT151" s="36"/>
      <c r="AU151" s="36"/>
      <c r="AV151" s="36"/>
      <c r="AW151" s="36"/>
      <c r="AX151" s="36"/>
      <c r="AY151" s="36"/>
      <c r="AZ151" s="40">
        <f t="shared" si="25"/>
        <v>11232</v>
      </c>
      <c r="BA151" s="63"/>
      <c r="BB151" s="39">
        <f t="shared" si="26"/>
        <v>0</v>
      </c>
      <c r="BC151" s="40">
        <f t="shared" si="27"/>
        <v>11232</v>
      </c>
      <c r="BE151" s="24" t="b">
        <f t="shared" si="23"/>
        <v>1</v>
      </c>
    </row>
    <row r="152" spans="2:59" ht="13.95" customHeight="1" x14ac:dyDescent="0.3">
      <c r="B152" s="42"/>
      <c r="C152" s="46"/>
      <c r="D152" s="46" t="s">
        <v>402</v>
      </c>
      <c r="E152" s="45"/>
      <c r="F152" s="46"/>
      <c r="G152" s="46"/>
      <c r="H152" s="46"/>
      <c r="I152" s="46"/>
      <c r="J152" s="47"/>
      <c r="K152" s="47"/>
      <c r="L152" s="47"/>
      <c r="M152" s="47"/>
      <c r="N152" s="48">
        <f t="shared" si="24"/>
        <v>0.85599999999999998</v>
      </c>
      <c r="O152" s="48">
        <v>0.35599999999999998</v>
      </c>
      <c r="P152" s="48">
        <v>0.5</v>
      </c>
      <c r="Q152" s="48" t="s">
        <v>33</v>
      </c>
      <c r="R152" s="48"/>
      <c r="S152" s="48"/>
      <c r="T152" s="50"/>
      <c r="U152" s="50"/>
      <c r="V152" s="52"/>
      <c r="W152" s="52"/>
      <c r="X152" s="52"/>
      <c r="Y152" s="52"/>
      <c r="Z152" s="52"/>
      <c r="AA152" s="52"/>
      <c r="AB152" s="52"/>
      <c r="AC152" s="52"/>
      <c r="AD152" s="52"/>
      <c r="AE152" s="52"/>
      <c r="AF152" s="52"/>
      <c r="AG152" s="52"/>
      <c r="AH152" s="52"/>
      <c r="AI152" s="52"/>
      <c r="AJ152" s="52"/>
      <c r="AK152" s="52"/>
      <c r="AL152" s="52"/>
      <c r="AM152" s="52"/>
      <c r="AN152" s="52"/>
      <c r="AO152" s="52"/>
      <c r="AP152" s="52"/>
      <c r="AQ152" s="52"/>
      <c r="AR152" s="52"/>
      <c r="AS152" s="52"/>
      <c r="AT152" s="52"/>
      <c r="AU152" s="52"/>
      <c r="AV152" s="52"/>
      <c r="AW152" s="52"/>
      <c r="AX152" s="52"/>
      <c r="AY152" s="52"/>
      <c r="AZ152" s="55">
        <f t="shared" si="25"/>
        <v>0</v>
      </c>
      <c r="BA152" s="65"/>
      <c r="BB152" s="54">
        <f t="shared" si="26"/>
        <v>0</v>
      </c>
      <c r="BC152" s="55">
        <f t="shared" si="27"/>
        <v>0</v>
      </c>
      <c r="BE152" s="1" t="b">
        <f t="shared" si="23"/>
        <v>1</v>
      </c>
    </row>
    <row r="153" spans="2:59" s="24" customFormat="1" x14ac:dyDescent="0.3">
      <c r="B153" s="25"/>
      <c r="C153" s="27">
        <v>5</v>
      </c>
      <c r="D153" s="27" t="s">
        <v>400</v>
      </c>
      <c r="E153" s="76"/>
      <c r="F153" s="27"/>
      <c r="G153" s="159">
        <v>44655</v>
      </c>
      <c r="H153" s="159">
        <v>55598</v>
      </c>
      <c r="I153" s="29" t="s">
        <v>29</v>
      </c>
      <c r="J153" s="30">
        <v>2209678</v>
      </c>
      <c r="K153" s="31"/>
      <c r="L153" s="31"/>
      <c r="M153" s="31"/>
      <c r="N153" s="32"/>
      <c r="O153" s="32"/>
      <c r="P153" s="32"/>
      <c r="Q153" s="32" t="s">
        <v>30</v>
      </c>
      <c r="R153" s="32"/>
      <c r="S153" s="32"/>
      <c r="T153" s="34">
        <v>0</v>
      </c>
      <c r="U153" s="34"/>
      <c r="V153" s="36"/>
      <c r="W153" s="36">
        <v>67990</v>
      </c>
      <c r="X153" s="36">
        <v>81588</v>
      </c>
      <c r="Y153" s="36">
        <v>81588</v>
      </c>
      <c r="Z153" s="36">
        <v>81588</v>
      </c>
      <c r="AA153" s="36">
        <v>81588</v>
      </c>
      <c r="AB153" s="36">
        <v>81588</v>
      </c>
      <c r="AC153" s="36">
        <v>81588</v>
      </c>
      <c r="AD153" s="36">
        <v>81588</v>
      </c>
      <c r="AE153" s="36">
        <v>81588</v>
      </c>
      <c r="AF153" s="36">
        <v>81588</v>
      </c>
      <c r="AG153" s="36">
        <v>81588</v>
      </c>
      <c r="AH153" s="36">
        <v>81588</v>
      </c>
      <c r="AI153" s="36">
        <v>81588</v>
      </c>
      <c r="AJ153" s="36">
        <v>81588</v>
      </c>
      <c r="AK153" s="36">
        <v>81588</v>
      </c>
      <c r="AL153" s="36">
        <v>81588</v>
      </c>
      <c r="AM153" s="36">
        <v>81588</v>
      </c>
      <c r="AN153" s="36">
        <v>81588</v>
      </c>
      <c r="AO153" s="36">
        <v>81588</v>
      </c>
      <c r="AP153" s="36">
        <v>81588</v>
      </c>
      <c r="AQ153" s="36">
        <v>81588</v>
      </c>
      <c r="AR153" s="36">
        <v>81588</v>
      </c>
      <c r="AS153" s="36">
        <v>81588</v>
      </c>
      <c r="AT153" s="36">
        <v>81588</v>
      </c>
      <c r="AU153" s="36">
        <v>81588</v>
      </c>
      <c r="AV153" s="36">
        <v>81588</v>
      </c>
      <c r="AW153" s="36">
        <v>81588</v>
      </c>
      <c r="AX153" s="36">
        <v>81588</v>
      </c>
      <c r="AY153" s="36">
        <v>20400</v>
      </c>
      <c r="AZ153" s="40">
        <f t="shared" si="25"/>
        <v>2291266</v>
      </c>
      <c r="BA153" s="63"/>
      <c r="BB153" s="39">
        <f t="shared" si="26"/>
        <v>1815336</v>
      </c>
      <c r="BC153" s="40">
        <f t="shared" si="27"/>
        <v>2291266</v>
      </c>
      <c r="BE153" s="24" t="b">
        <f t="shared" si="23"/>
        <v>1</v>
      </c>
    </row>
    <row r="154" spans="2:59" x14ac:dyDescent="0.3">
      <c r="B154" s="42"/>
      <c r="C154" s="46"/>
      <c r="D154" s="46"/>
      <c r="E154" s="45"/>
      <c r="F154" s="46"/>
      <c r="G154" s="46"/>
      <c r="H154" s="46"/>
      <c r="I154" s="46"/>
      <c r="J154" s="47"/>
      <c r="K154" s="47"/>
      <c r="L154" s="47"/>
      <c r="M154" s="47"/>
      <c r="N154" s="48">
        <f t="shared" si="24"/>
        <v>3.008</v>
      </c>
      <c r="O154" s="48">
        <v>2.758</v>
      </c>
      <c r="P154" s="48">
        <v>0.25</v>
      </c>
      <c r="Q154" s="48" t="s">
        <v>33</v>
      </c>
      <c r="R154" s="48"/>
      <c r="S154" s="48"/>
      <c r="T154" s="50">
        <v>46207.281279999996</v>
      </c>
      <c r="U154" s="50"/>
      <c r="V154" s="52">
        <f>SUM(V153:$AY153)*$N154/100</f>
        <v>68921.281279999996</v>
      </c>
      <c r="W154" s="52">
        <f>SUM(W153:$AY153)*$N154/100</f>
        <v>68921.281279999996</v>
      </c>
      <c r="X154" s="52">
        <f>SUM(X153:$AY153)*$N154/100</f>
        <v>66876.142079999991</v>
      </c>
      <c r="Y154" s="52">
        <f>SUM(Y153:$AY153)*$N154/100</f>
        <v>64421.975039999998</v>
      </c>
      <c r="Z154" s="52">
        <f>SUM(Z153:$AY153)*$N154/100</f>
        <v>61967.807999999997</v>
      </c>
      <c r="AA154" s="52">
        <f>SUM(AA153:$AY153)*$N154/100</f>
        <v>59513.640959999997</v>
      </c>
      <c r="AB154" s="52">
        <f>SUM(AB153:$AY153)*$N154/100</f>
        <v>57059.473919999997</v>
      </c>
      <c r="AC154" s="52">
        <f>SUM(AC153:$AY153)*$N154/100</f>
        <v>54605.306880000004</v>
      </c>
      <c r="AD154" s="52">
        <f>SUM(AD153:$AY153)*$N154/100</f>
        <v>52151.139840000003</v>
      </c>
      <c r="AE154" s="52">
        <f>SUM(AE153:$AY153)*$N154/100</f>
        <v>49696.972800000003</v>
      </c>
      <c r="AF154" s="52">
        <f>SUM(AF153:$AY153)*$N154/100</f>
        <v>47242.805760000003</v>
      </c>
      <c r="AG154" s="52">
        <f>SUM(AG153:$AY153)*$N154/100</f>
        <v>44788.638720000003</v>
      </c>
      <c r="AH154" s="52">
        <f>SUM(AH153:$AY153)*$N154/100</f>
        <v>42334.471679999995</v>
      </c>
      <c r="AI154" s="52">
        <f>SUM(AI153:$AY153)*$N154/100</f>
        <v>39880.304640000002</v>
      </c>
      <c r="AJ154" s="52">
        <f>SUM(AJ153:$AY153)*$N154/100</f>
        <v>37426.137599999995</v>
      </c>
      <c r="AK154" s="52">
        <f>SUM(AK153:$AY153)*$N154/100</f>
        <v>34971.970560000002</v>
      </c>
      <c r="AL154" s="52">
        <f>SUM(AL153:$AY153)*$N154/100</f>
        <v>32517.803520000001</v>
      </c>
      <c r="AM154" s="52">
        <f>SUM(AM153:$AY153)*$N154/100</f>
        <v>30063.636480000001</v>
      </c>
      <c r="AN154" s="52">
        <f>SUM(AN153:$AY153)*$N154/100</f>
        <v>27609.469440000001</v>
      </c>
      <c r="AO154" s="52">
        <f>SUM(AO153:$AY153)*$N154/100</f>
        <v>25155.3024</v>
      </c>
      <c r="AP154" s="52">
        <f>SUM(AP153:$AY153)*$N154/100</f>
        <v>22701.13536</v>
      </c>
      <c r="AQ154" s="52">
        <f>SUM(AQ153:$AY153)*$N154/100</f>
        <v>20246.96832</v>
      </c>
      <c r="AR154" s="52">
        <f>SUM(AR153:$AY153)*$N154/100</f>
        <v>17792.80128</v>
      </c>
      <c r="AS154" s="52">
        <f>SUM(AS153:$AY153)*$N154/100</f>
        <v>15338.634240000001</v>
      </c>
      <c r="AT154" s="52">
        <f>SUM(AT153:$AY153)*$N154/100</f>
        <v>12884.467199999999</v>
      </c>
      <c r="AU154" s="52">
        <f>SUM(AU153:$AY153)*$N154/100</f>
        <v>10430.300159999999</v>
      </c>
      <c r="AV154" s="52">
        <f>SUM(AV153:$AY153)*$N154/100</f>
        <v>7976.1331200000004</v>
      </c>
      <c r="AW154" s="52">
        <f>SUM(AW153:$AY153)*$N154/100</f>
        <v>5521.9660800000001</v>
      </c>
      <c r="AX154" s="52">
        <f>SUM(AX153:$AY153)*$N154/100</f>
        <v>3067.7990399999999</v>
      </c>
      <c r="AY154" s="52">
        <f>SUM(AY153:$AY153)*$N154/100</f>
        <v>613.63199999999995</v>
      </c>
      <c r="AZ154" s="55">
        <f t="shared" si="25"/>
        <v>1082699.39968</v>
      </c>
      <c r="BA154" s="38"/>
      <c r="BB154" s="54">
        <f t="shared" si="26"/>
        <v>635017.79712</v>
      </c>
      <c r="BC154" s="55">
        <f t="shared" si="27"/>
        <v>1082699.39968</v>
      </c>
      <c r="BE154" s="1" t="b">
        <f t="shared" si="23"/>
        <v>1</v>
      </c>
    </row>
    <row r="155" spans="2:59" s="24" customFormat="1" x14ac:dyDescent="0.3">
      <c r="B155" s="25"/>
      <c r="C155" s="27">
        <v>6</v>
      </c>
      <c r="D155" s="27" t="s">
        <v>405</v>
      </c>
      <c r="E155" s="76"/>
      <c r="F155" s="27"/>
      <c r="G155" s="159">
        <v>45112</v>
      </c>
      <c r="H155" s="159">
        <v>46965</v>
      </c>
      <c r="I155" s="29" t="s">
        <v>29</v>
      </c>
      <c r="J155" s="30">
        <v>134432.07999999999</v>
      </c>
      <c r="K155" s="31"/>
      <c r="L155" s="31"/>
      <c r="M155" s="31"/>
      <c r="N155" s="32"/>
      <c r="O155" s="32"/>
      <c r="P155" s="32"/>
      <c r="Q155" s="32" t="s">
        <v>30</v>
      </c>
      <c r="R155" s="32"/>
      <c r="S155" s="32"/>
      <c r="T155" s="34">
        <v>27121</v>
      </c>
      <c r="U155" s="34"/>
      <c r="V155" s="36">
        <v>24300</v>
      </c>
      <c r="W155" s="36">
        <v>24300</v>
      </c>
      <c r="X155" s="36">
        <v>24300</v>
      </c>
      <c r="Y155" s="36">
        <v>24300</v>
      </c>
      <c r="Z155" s="36">
        <v>10125</v>
      </c>
      <c r="AA155" s="36"/>
      <c r="AB155" s="36"/>
      <c r="AC155" s="36"/>
      <c r="AD155" s="36"/>
      <c r="AE155" s="36"/>
      <c r="AF155" s="36"/>
      <c r="AG155" s="36"/>
      <c r="AH155" s="36"/>
      <c r="AI155" s="36"/>
      <c r="AJ155" s="36"/>
      <c r="AK155" s="36"/>
      <c r="AL155" s="36"/>
      <c r="AM155" s="36"/>
      <c r="AN155" s="36"/>
      <c r="AO155" s="36"/>
      <c r="AP155" s="36"/>
      <c r="AQ155" s="36"/>
      <c r="AR155" s="36"/>
      <c r="AS155" s="36"/>
      <c r="AT155" s="36"/>
      <c r="AU155" s="36"/>
      <c r="AV155" s="36"/>
      <c r="AW155" s="36"/>
      <c r="AX155" s="36"/>
      <c r="AY155" s="36"/>
      <c r="AZ155" s="40">
        <f t="shared" si="25"/>
        <v>107325</v>
      </c>
      <c r="BA155" s="63"/>
      <c r="BB155" s="39">
        <f t="shared" si="26"/>
        <v>0</v>
      </c>
      <c r="BC155" s="40">
        <f t="shared" si="27"/>
        <v>107325</v>
      </c>
      <c r="BE155" s="24" t="b">
        <f t="shared" si="23"/>
        <v>1</v>
      </c>
    </row>
    <row r="156" spans="2:59" x14ac:dyDescent="0.3">
      <c r="B156" s="42"/>
      <c r="C156" s="46"/>
      <c r="D156" s="46"/>
      <c r="E156" s="45"/>
      <c r="F156" s="46"/>
      <c r="G156" s="46"/>
      <c r="H156" s="46"/>
      <c r="I156" s="46"/>
      <c r="J156" s="47"/>
      <c r="K156" s="47"/>
      <c r="L156" s="47"/>
      <c r="M156" s="47"/>
      <c r="N156" s="48">
        <f t="shared" si="24"/>
        <v>3.008</v>
      </c>
      <c r="O156" s="48">
        <v>2.758</v>
      </c>
      <c r="P156" s="48">
        <v>0.25</v>
      </c>
      <c r="Q156" s="48" t="s">
        <v>33</v>
      </c>
      <c r="R156" s="48"/>
      <c r="S156" s="48"/>
      <c r="T156" s="50"/>
      <c r="U156" s="50"/>
      <c r="V156" s="52"/>
      <c r="W156" s="52"/>
      <c r="X156" s="52"/>
      <c r="Y156" s="52"/>
      <c r="Z156" s="52"/>
      <c r="AA156" s="52"/>
      <c r="AB156" s="52"/>
      <c r="AC156" s="52"/>
      <c r="AD156" s="52"/>
      <c r="AE156" s="52"/>
      <c r="AF156" s="52"/>
      <c r="AG156" s="52"/>
      <c r="AH156" s="52"/>
      <c r="AI156" s="52"/>
      <c r="AJ156" s="52"/>
      <c r="AK156" s="52"/>
      <c r="AL156" s="52"/>
      <c r="AM156" s="52"/>
      <c r="AN156" s="52"/>
      <c r="AO156" s="52"/>
      <c r="AP156" s="52"/>
      <c r="AQ156" s="52"/>
      <c r="AR156" s="52"/>
      <c r="AS156" s="52"/>
      <c r="AT156" s="52"/>
      <c r="AU156" s="52"/>
      <c r="AV156" s="52"/>
      <c r="AW156" s="52"/>
      <c r="AX156" s="52"/>
      <c r="AY156" s="52"/>
      <c r="AZ156" s="55">
        <f t="shared" si="25"/>
        <v>0</v>
      </c>
      <c r="BA156" s="65"/>
      <c r="BB156" s="54">
        <f t="shared" si="26"/>
        <v>0</v>
      </c>
      <c r="BC156" s="55">
        <f t="shared" si="27"/>
        <v>0</v>
      </c>
      <c r="BE156" s="1" t="b">
        <f t="shared" si="23"/>
        <v>1</v>
      </c>
    </row>
    <row r="157" spans="2:59" s="103" customFormat="1" x14ac:dyDescent="0.3">
      <c r="B157" s="90"/>
      <c r="C157" s="92">
        <v>7</v>
      </c>
      <c r="D157" s="92" t="s">
        <v>400</v>
      </c>
      <c r="E157" s="92"/>
      <c r="F157" s="92"/>
      <c r="G157" s="160" t="s">
        <v>389</v>
      </c>
      <c r="H157" s="160">
        <v>49572</v>
      </c>
      <c r="I157" s="93" t="s">
        <v>29</v>
      </c>
      <c r="J157" s="94">
        <v>801681</v>
      </c>
      <c r="K157" s="161"/>
      <c r="L157" s="161"/>
      <c r="M157" s="161"/>
      <c r="N157" s="96"/>
      <c r="O157" s="96"/>
      <c r="P157" s="96"/>
      <c r="Q157" s="96" t="s">
        <v>30</v>
      </c>
      <c r="R157" s="96"/>
      <c r="S157" s="96"/>
      <c r="T157" s="98"/>
      <c r="U157" s="98"/>
      <c r="V157" s="98"/>
      <c r="W157" s="98"/>
      <c r="X157" s="98"/>
      <c r="Y157" s="98">
        <f t="shared" ref="Y157:AH157" si="28">$J$157/40*4</f>
        <v>80168.100000000006</v>
      </c>
      <c r="Z157" s="98">
        <f t="shared" si="28"/>
        <v>80168.100000000006</v>
      </c>
      <c r="AA157" s="98">
        <f t="shared" si="28"/>
        <v>80168.100000000006</v>
      </c>
      <c r="AB157" s="98">
        <f t="shared" si="28"/>
        <v>80168.100000000006</v>
      </c>
      <c r="AC157" s="98">
        <f t="shared" si="28"/>
        <v>80168.100000000006</v>
      </c>
      <c r="AD157" s="98">
        <f t="shared" si="28"/>
        <v>80168.100000000006</v>
      </c>
      <c r="AE157" s="98">
        <f t="shared" si="28"/>
        <v>80168.100000000006</v>
      </c>
      <c r="AF157" s="98">
        <f t="shared" si="28"/>
        <v>80168.100000000006</v>
      </c>
      <c r="AG157" s="98">
        <f t="shared" si="28"/>
        <v>80168.100000000006</v>
      </c>
      <c r="AH157" s="98">
        <f t="shared" si="28"/>
        <v>80168.100000000006</v>
      </c>
      <c r="AI157" s="98"/>
      <c r="AJ157" s="98"/>
      <c r="AK157" s="98"/>
      <c r="AL157" s="98"/>
      <c r="AM157" s="98"/>
      <c r="AN157" s="98"/>
      <c r="AO157" s="98"/>
      <c r="AP157" s="98"/>
      <c r="AQ157" s="98"/>
      <c r="AR157" s="98"/>
      <c r="AS157" s="98"/>
      <c r="AT157" s="98"/>
      <c r="AU157" s="98"/>
      <c r="AV157" s="98"/>
      <c r="AW157" s="98"/>
      <c r="AX157" s="98"/>
      <c r="AY157" s="98"/>
      <c r="AZ157" s="99">
        <f t="shared" si="25"/>
        <v>801680.99999999988</v>
      </c>
      <c r="BA157" s="162"/>
      <c r="BB157" s="101">
        <f t="shared" si="26"/>
        <v>481008.6</v>
      </c>
      <c r="BC157" s="99">
        <f t="shared" si="27"/>
        <v>801681</v>
      </c>
      <c r="BE157" s="103" t="b">
        <f t="shared" si="23"/>
        <v>1</v>
      </c>
    </row>
    <row r="158" spans="2:59" s="102" customFormat="1" x14ac:dyDescent="0.3">
      <c r="B158" s="105"/>
      <c r="C158" s="108"/>
      <c r="D158" s="107" t="s">
        <v>406</v>
      </c>
      <c r="E158" s="108"/>
      <c r="F158" s="108"/>
      <c r="G158" s="108"/>
      <c r="H158" s="108"/>
      <c r="I158" s="108"/>
      <c r="J158" s="109"/>
      <c r="K158" s="109"/>
      <c r="L158" s="109"/>
      <c r="M158" s="109"/>
      <c r="N158" s="110">
        <f>SUM(O158:P158)</f>
        <v>4.915</v>
      </c>
      <c r="O158" s="110">
        <v>4.665</v>
      </c>
      <c r="P158" s="110">
        <v>0.25</v>
      </c>
      <c r="Q158" s="110" t="s">
        <v>33</v>
      </c>
      <c r="R158" s="110"/>
      <c r="S158" s="110"/>
      <c r="T158" s="112"/>
      <c r="U158" s="112"/>
      <c r="V158" s="112">
        <f>SUM(V157:$AY157)*$N158/100</f>
        <v>39402.621149999992</v>
      </c>
      <c r="W158" s="112">
        <f>SUM(W157:$AY157)*$N158/100</f>
        <v>39402.621149999992</v>
      </c>
      <c r="X158" s="112">
        <f>SUM(X157:$AY157)*$N158/100</f>
        <v>39402.621149999992</v>
      </c>
      <c r="Y158" s="112">
        <f>SUM(Y157:$AY157)*$N158/100</f>
        <v>39402.621149999992</v>
      </c>
      <c r="Z158" s="112">
        <f>SUM(Z157:$AY157)*$N158/100</f>
        <v>35462.359034999994</v>
      </c>
      <c r="AA158" s="112">
        <f>SUM(AA157:$AY157)*$N158/100</f>
        <v>31522.096919999996</v>
      </c>
      <c r="AB158" s="112">
        <f>SUM(AB157:$AY157)*$N158/100</f>
        <v>27581.834804999995</v>
      </c>
      <c r="AC158" s="112">
        <f>SUM(AC157:$AY157)*$N158/100</f>
        <v>23641.572689999997</v>
      </c>
      <c r="AD158" s="112">
        <f>SUM(AD157:$AY157)*$N158/100</f>
        <v>19701.310575</v>
      </c>
      <c r="AE158" s="112">
        <f>SUM(AE157:$AY157)*$N158/100</f>
        <v>15761.048460000002</v>
      </c>
      <c r="AF158" s="112">
        <f>SUM(AF157:$AY157)*$N158/100</f>
        <v>11820.786345000002</v>
      </c>
      <c r="AG158" s="112">
        <f>SUM(AG157:$AY157)*$N158/100</f>
        <v>7880.5242300000009</v>
      </c>
      <c r="AH158" s="112">
        <f>SUM(AH157:$AY157)*$N158/100</f>
        <v>3940.2621150000004</v>
      </c>
      <c r="AI158" s="112">
        <f>SUM(AI157:$AY157)*$N158/100</f>
        <v>0</v>
      </c>
      <c r="AJ158" s="112">
        <f>SUM(AJ157:$AY157)*$N158/100</f>
        <v>0</v>
      </c>
      <c r="AK158" s="112">
        <f>SUM(AK157:$AY157)*$N158/100</f>
        <v>0</v>
      </c>
      <c r="AL158" s="112">
        <f>SUM(AL157:$AY157)*$N158/100</f>
        <v>0</v>
      </c>
      <c r="AM158" s="112">
        <f>SUM(AM157:$AY157)*$N158/100</f>
        <v>0</v>
      </c>
      <c r="AN158" s="112">
        <f>SUM(AN157:$AY157)*$N158/100</f>
        <v>0</v>
      </c>
      <c r="AO158" s="112">
        <f>SUM(AO157:$AY157)*$N158/100</f>
        <v>0</v>
      </c>
      <c r="AP158" s="112">
        <f>SUM(AP157:$AY157)*$N158/100</f>
        <v>0</v>
      </c>
      <c r="AQ158" s="112">
        <f>SUM(AQ157:$AY157)*$N158/100</f>
        <v>0</v>
      </c>
      <c r="AR158" s="112">
        <f>SUM(AR157:$AY157)*$N158/100</f>
        <v>0</v>
      </c>
      <c r="AS158" s="112">
        <f>SUM(AS157:$AY157)*$N158/100</f>
        <v>0</v>
      </c>
      <c r="AT158" s="112">
        <f>SUM(AT157:$AY157)*$N158/100</f>
        <v>0</v>
      </c>
      <c r="AU158" s="112">
        <f>SUM(AU157:$AY157)*$N158/100</f>
        <v>0</v>
      </c>
      <c r="AV158" s="112">
        <f>SUM(AV157:$AY157)*$N158/100</f>
        <v>0</v>
      </c>
      <c r="AW158" s="112">
        <f>SUM(AW157:$AY157)*$N158/100</f>
        <v>0</v>
      </c>
      <c r="AX158" s="112">
        <f>SUM(AX157:$AY157)*$N158/100</f>
        <v>0</v>
      </c>
      <c r="AY158" s="112">
        <f>SUM(AY157:$AY157)*$N158/100</f>
        <v>0</v>
      </c>
      <c r="AZ158" s="113">
        <f t="shared" si="25"/>
        <v>334922.279775</v>
      </c>
      <c r="BA158" s="100"/>
      <c r="BB158" s="114">
        <f t="shared" si="26"/>
        <v>82745.504415000003</v>
      </c>
      <c r="BC158" s="113">
        <f t="shared" si="27"/>
        <v>334922.27977499994</v>
      </c>
      <c r="BE158" s="102" t="b">
        <f t="shared" si="23"/>
        <v>1</v>
      </c>
    </row>
    <row r="159" spans="2:59" s="78" customFormat="1" x14ac:dyDescent="0.3">
      <c r="C159" s="163"/>
      <c r="D159" s="163"/>
      <c r="E159" s="163"/>
      <c r="F159" s="163"/>
      <c r="G159" s="163"/>
      <c r="H159" s="163"/>
      <c r="I159" s="163"/>
      <c r="J159" s="163"/>
      <c r="K159" s="163"/>
      <c r="L159" s="163"/>
      <c r="M159" s="163"/>
      <c r="N159" s="163"/>
      <c r="O159" s="163"/>
      <c r="P159" s="163"/>
      <c r="Q159" s="164" t="s">
        <v>407</v>
      </c>
      <c r="R159" s="164"/>
      <c r="S159" s="163"/>
      <c r="T159" s="165">
        <f>SUM(T145:T158)</f>
        <v>114624.70473999999</v>
      </c>
      <c r="U159" s="165"/>
      <c r="V159" s="166">
        <f t="shared" ref="V159:AY159" si="29">SUM(V145:V158)</f>
        <v>173382.55740999998</v>
      </c>
      <c r="W159" s="166">
        <f>SUM(W145:W158)</f>
        <v>228691.42316999999</v>
      </c>
      <c r="X159" s="166">
        <f t="shared" si="29"/>
        <v>222783.28972999999</v>
      </c>
      <c r="Y159" s="166">
        <f t="shared" si="29"/>
        <v>300228.33844999998</v>
      </c>
      <c r="Z159" s="166">
        <f t="shared" si="29"/>
        <v>279390.02505499998</v>
      </c>
      <c r="AA159" s="166">
        <f t="shared" si="29"/>
        <v>262601.71165999997</v>
      </c>
      <c r="AB159" s="166">
        <f t="shared" si="29"/>
        <v>255938.398265</v>
      </c>
      <c r="AC159" s="166">
        <f t="shared" si="29"/>
        <v>249275.08486999999</v>
      </c>
      <c r="AD159" s="166">
        <f t="shared" si="29"/>
        <v>235909.77147500002</v>
      </c>
      <c r="AE159" s="166">
        <f t="shared" si="29"/>
        <v>227214.12125999999</v>
      </c>
      <c r="AF159" s="166">
        <f t="shared" si="29"/>
        <v>220819.69210499999</v>
      </c>
      <c r="AG159" s="166">
        <f t="shared" si="29"/>
        <v>214425.26295000003</v>
      </c>
      <c r="AH159" s="166">
        <f t="shared" si="29"/>
        <v>208030.83379499998</v>
      </c>
      <c r="AI159" s="166">
        <f t="shared" si="29"/>
        <v>121468.30464</v>
      </c>
      <c r="AJ159" s="166">
        <f t="shared" si="29"/>
        <v>119014.13759999999</v>
      </c>
      <c r="AK159" s="166">
        <f t="shared" si="29"/>
        <v>116559.97056</v>
      </c>
      <c r="AL159" s="166">
        <f t="shared" si="29"/>
        <v>114105.80352</v>
      </c>
      <c r="AM159" s="166">
        <f t="shared" si="29"/>
        <v>111651.63648</v>
      </c>
      <c r="AN159" s="166">
        <f t="shared" si="29"/>
        <v>109197.46944</v>
      </c>
      <c r="AO159" s="166">
        <f t="shared" si="29"/>
        <v>106743.3024</v>
      </c>
      <c r="AP159" s="166">
        <f t="shared" si="29"/>
        <v>104289.13536</v>
      </c>
      <c r="AQ159" s="166">
        <f t="shared" si="29"/>
        <v>101834.96832</v>
      </c>
      <c r="AR159" s="166">
        <f t="shared" si="29"/>
        <v>99380.80128</v>
      </c>
      <c r="AS159" s="166">
        <f t="shared" si="29"/>
        <v>96926.634239999999</v>
      </c>
      <c r="AT159" s="166">
        <f t="shared" si="29"/>
        <v>94472.467199999999</v>
      </c>
      <c r="AU159" s="166">
        <f t="shared" si="29"/>
        <v>92018.300159999999</v>
      </c>
      <c r="AV159" s="166">
        <f t="shared" si="29"/>
        <v>89564.133119999999</v>
      </c>
      <c r="AW159" s="166">
        <f t="shared" si="29"/>
        <v>87109.966079999998</v>
      </c>
      <c r="AX159" s="166">
        <f t="shared" si="29"/>
        <v>84655.799039999998</v>
      </c>
      <c r="AY159" s="166">
        <f t="shared" si="29"/>
        <v>21013.632000000001</v>
      </c>
      <c r="AZ159" s="167">
        <f t="shared" si="25"/>
        <v>4748696.9716349989</v>
      </c>
      <c r="BA159" s="163"/>
      <c r="BB159" s="168">
        <f>SUM(BB145:BB158)</f>
        <v>3025681.227895</v>
      </c>
      <c r="BC159" s="168">
        <f>SUM(BC145:BC158)</f>
        <v>4748696.9716349998</v>
      </c>
      <c r="BE159" s="78" t="b">
        <f t="shared" si="23"/>
        <v>1</v>
      </c>
      <c r="BG159" s="79">
        <f>SUM(V145:AY158)</f>
        <v>4748696.9716349998</v>
      </c>
    </row>
    <row r="160" spans="2:59" x14ac:dyDescent="0.3">
      <c r="BG160" s="7">
        <f>BG159-BC159</f>
        <v>0</v>
      </c>
    </row>
    <row r="162" spans="6:55" ht="28.8" x14ac:dyDescent="0.3">
      <c r="R162" s="17"/>
      <c r="S162" s="17"/>
      <c r="T162" s="22">
        <v>2023</v>
      </c>
      <c r="U162" s="22"/>
      <c r="V162" s="16">
        <v>2024</v>
      </c>
      <c r="W162" s="16">
        <v>2025</v>
      </c>
      <c r="X162" s="16">
        <v>2026</v>
      </c>
      <c r="Y162" s="16">
        <v>2027</v>
      </c>
      <c r="Z162" s="16">
        <v>2028</v>
      </c>
      <c r="AA162" s="16">
        <v>2029</v>
      </c>
      <c r="AB162" s="16">
        <v>2030</v>
      </c>
      <c r="AC162" s="16">
        <v>2031</v>
      </c>
      <c r="AD162" s="16">
        <v>2032</v>
      </c>
      <c r="AE162" s="16">
        <v>2033</v>
      </c>
      <c r="AF162" s="16">
        <v>2034</v>
      </c>
      <c r="AG162" s="16">
        <v>2035</v>
      </c>
      <c r="AH162" s="16">
        <v>2036</v>
      </c>
      <c r="AI162" s="16">
        <v>2037</v>
      </c>
      <c r="AJ162" s="16">
        <v>2038</v>
      </c>
      <c r="AK162" s="16">
        <v>2039</v>
      </c>
      <c r="AL162" s="16">
        <v>2040</v>
      </c>
      <c r="AM162" s="16">
        <v>2041</v>
      </c>
      <c r="AN162" s="16">
        <v>2042</v>
      </c>
      <c r="AO162" s="16">
        <v>2043</v>
      </c>
      <c r="AP162" s="16">
        <v>2044</v>
      </c>
      <c r="AQ162" s="16">
        <v>2045</v>
      </c>
      <c r="AR162" s="16">
        <v>2046</v>
      </c>
      <c r="AS162" s="16">
        <v>2047</v>
      </c>
      <c r="AT162" s="16">
        <v>2048</v>
      </c>
      <c r="AU162" s="16">
        <v>2049</v>
      </c>
      <c r="AV162" s="16">
        <v>2050</v>
      </c>
      <c r="AW162" s="16">
        <v>2051</v>
      </c>
      <c r="AX162" s="16">
        <v>2052</v>
      </c>
      <c r="AY162" s="16">
        <v>2053</v>
      </c>
      <c r="AZ162" s="15" t="s">
        <v>20</v>
      </c>
      <c r="BB162" s="16" t="s">
        <v>21</v>
      </c>
      <c r="BC162" s="15" t="s">
        <v>22</v>
      </c>
    </row>
    <row r="163" spans="6:55" x14ac:dyDescent="0.3">
      <c r="Q163" s="169" t="s">
        <v>408</v>
      </c>
      <c r="R163" s="170"/>
      <c r="S163" s="170"/>
      <c r="T163" s="171">
        <f t="shared" ref="T163:AY164" si="30">T138</f>
        <v>3657130.37</v>
      </c>
      <c r="U163" s="171"/>
      <c r="V163" s="170">
        <f>V138</f>
        <v>3657198.1799999997</v>
      </c>
      <c r="W163" s="170">
        <f t="shared" si="30"/>
        <v>3470686.2268750002</v>
      </c>
      <c r="X163" s="170">
        <f t="shared" si="30"/>
        <v>3501935.9424999999</v>
      </c>
      <c r="Y163" s="170">
        <f t="shared" si="30"/>
        <v>3554104.7313888883</v>
      </c>
      <c r="Z163" s="170">
        <f t="shared" si="30"/>
        <v>3673384.986944444</v>
      </c>
      <c r="AA163" s="170">
        <f t="shared" si="30"/>
        <v>3592474.2500694441</v>
      </c>
      <c r="AB163" s="170">
        <f t="shared" si="30"/>
        <v>3555700.0044444441</v>
      </c>
      <c r="AC163" s="170">
        <f t="shared" si="30"/>
        <v>3469380.864444444</v>
      </c>
      <c r="AD163" s="170">
        <f t="shared" si="30"/>
        <v>2810753.7544444441</v>
      </c>
      <c r="AE163" s="170">
        <f t="shared" si="30"/>
        <v>2607034.0244444441</v>
      </c>
      <c r="AF163" s="170">
        <f t="shared" si="30"/>
        <v>2230207.8044444444</v>
      </c>
      <c r="AG163" s="170">
        <f t="shared" si="30"/>
        <v>2072237.8044444444</v>
      </c>
      <c r="AH163" s="170">
        <f t="shared" si="30"/>
        <v>1943128.7544444446</v>
      </c>
      <c r="AI163" s="170">
        <f t="shared" si="30"/>
        <v>1832316.0444444446</v>
      </c>
      <c r="AJ163" s="170">
        <f t="shared" si="30"/>
        <v>1697912.0444444446</v>
      </c>
      <c r="AK163" s="170">
        <f t="shared" si="30"/>
        <v>1625784.0444444446</v>
      </c>
      <c r="AL163" s="170">
        <f t="shared" si="30"/>
        <v>1584734.0844444446</v>
      </c>
      <c r="AM163" s="170">
        <f t="shared" si="30"/>
        <v>1559973.1144444444</v>
      </c>
      <c r="AN163" s="170">
        <f t="shared" si="30"/>
        <v>1500459.111111111</v>
      </c>
      <c r="AO163" s="170">
        <f t="shared" si="30"/>
        <v>1500459.111111111</v>
      </c>
      <c r="AP163" s="170">
        <f t="shared" si="30"/>
        <v>1658514.6666666667</v>
      </c>
      <c r="AQ163" s="170">
        <f t="shared" si="30"/>
        <v>1184348</v>
      </c>
      <c r="AR163" s="170">
        <f t="shared" si="30"/>
        <v>1184348</v>
      </c>
      <c r="AS163" s="170">
        <f t="shared" si="30"/>
        <v>1184348</v>
      </c>
      <c r="AT163" s="170">
        <f t="shared" si="30"/>
        <v>867315.83000000007</v>
      </c>
      <c r="AU163" s="170">
        <f t="shared" si="30"/>
        <v>452632</v>
      </c>
      <c r="AV163" s="170">
        <f t="shared" si="30"/>
        <v>409981</v>
      </c>
      <c r="AW163" s="170">
        <f t="shared" si="30"/>
        <v>55587.92</v>
      </c>
      <c r="AX163" s="170">
        <f t="shared" si="30"/>
        <v>0</v>
      </c>
      <c r="AY163" s="170">
        <f t="shared" si="30"/>
        <v>0</v>
      </c>
      <c r="AZ163" s="172">
        <f>SUM(V163:AY163)</f>
        <v>58436940.299999982</v>
      </c>
      <c r="BB163" s="71">
        <f>SUM(AC163:AY163)</f>
        <v>33431455.977777787</v>
      </c>
      <c r="BC163" s="40">
        <f>SUM(V163:AB163,BB163)</f>
        <v>58436940.300000004</v>
      </c>
    </row>
    <row r="164" spans="6:55" x14ac:dyDescent="0.3">
      <c r="Q164" s="169" t="s">
        <v>409</v>
      </c>
      <c r="R164" s="170"/>
      <c r="S164" s="170"/>
      <c r="T164" s="171">
        <f t="shared" si="30"/>
        <v>2113951.4300000002</v>
      </c>
      <c r="U164" s="171"/>
      <c r="V164" s="170">
        <f t="shared" si="30"/>
        <v>2138614.9991153246</v>
      </c>
      <c r="W164" s="170">
        <f t="shared" si="30"/>
        <v>2238832.7567470004</v>
      </c>
      <c r="X164" s="170">
        <f t="shared" si="30"/>
        <v>2307001.6046191687</v>
      </c>
      <c r="Y164" s="170">
        <f t="shared" si="30"/>
        <v>2155508.9970673937</v>
      </c>
      <c r="Z164" s="170">
        <f t="shared" si="30"/>
        <v>1998929.9240922185</v>
      </c>
      <c r="AA164" s="170">
        <f t="shared" si="30"/>
        <v>1836153.5029964442</v>
      </c>
      <c r="AB164" s="170">
        <f t="shared" si="30"/>
        <v>1676767.2182695002</v>
      </c>
      <c r="AC164" s="170">
        <f t="shared" si="30"/>
        <v>1518881.1181655</v>
      </c>
      <c r="AD164" s="170">
        <f t="shared" si="30"/>
        <v>1365047.8891071002</v>
      </c>
      <c r="AE164" s="170">
        <f t="shared" si="30"/>
        <v>1238469.5439890996</v>
      </c>
      <c r="AF164" s="170">
        <f t="shared" si="30"/>
        <v>1121447.9430294</v>
      </c>
      <c r="AG164" s="170">
        <f t="shared" si="30"/>
        <v>1020292.0111166001</v>
      </c>
      <c r="AH164" s="170">
        <f t="shared" si="30"/>
        <v>926221.77864379983</v>
      </c>
      <c r="AI164" s="170">
        <f t="shared" si="30"/>
        <v>837831.63125500013</v>
      </c>
      <c r="AJ164" s="170">
        <f t="shared" si="30"/>
        <v>753822.72227100015</v>
      </c>
      <c r="AK164" s="170">
        <f t="shared" si="30"/>
        <v>675771.50826699985</v>
      </c>
      <c r="AL164" s="170">
        <f t="shared" si="30"/>
        <v>600907.595203</v>
      </c>
      <c r="AM164" s="170">
        <f t="shared" si="30"/>
        <v>527827.85213899997</v>
      </c>
      <c r="AN164" s="170">
        <f t="shared" si="30"/>
        <v>455910.62948799995</v>
      </c>
      <c r="AO164" s="170">
        <f t="shared" si="30"/>
        <v>386898.32936799998</v>
      </c>
      <c r="AP164" s="170">
        <f t="shared" si="30"/>
        <v>317886.02924799989</v>
      </c>
      <c r="AQ164" s="170">
        <f t="shared" si="30"/>
        <v>240808.15412799999</v>
      </c>
      <c r="AR164" s="170">
        <f t="shared" si="30"/>
        <v>187927.00400799996</v>
      </c>
      <c r="AS164" s="170">
        <f t="shared" si="30"/>
        <v>135045.85388799998</v>
      </c>
      <c r="AT164" s="170">
        <f t="shared" si="30"/>
        <v>82164.703767999992</v>
      </c>
      <c r="AU164" s="170">
        <f t="shared" si="30"/>
        <v>43306.896070000003</v>
      </c>
      <c r="AV164" s="170">
        <f t="shared" si="30"/>
        <v>22024.558349999996</v>
      </c>
      <c r="AW164" s="170">
        <f t="shared" si="30"/>
        <v>2596.5674300000001</v>
      </c>
      <c r="AX164" s="170">
        <f t="shared" si="30"/>
        <v>0</v>
      </c>
      <c r="AY164" s="170">
        <f t="shared" si="30"/>
        <v>0</v>
      </c>
      <c r="AZ164" s="172">
        <f>SUM(V164:AY164)</f>
        <v>26812899.321839552</v>
      </c>
      <c r="BB164" s="71">
        <f>SUM(AC164:AY164)</f>
        <v>12461090.318932502</v>
      </c>
      <c r="BC164" s="172">
        <f>SUM(V164:AB164,BB164)</f>
        <v>26812899.321839556</v>
      </c>
    </row>
    <row r="165" spans="6:55" x14ac:dyDescent="0.3">
      <c r="Q165" s="169" t="s">
        <v>410</v>
      </c>
      <c r="R165" s="170"/>
      <c r="S165" s="170"/>
      <c r="T165" s="171">
        <f t="shared" ref="T165:AY165" si="31">T159</f>
        <v>114624.70473999999</v>
      </c>
      <c r="U165" s="171"/>
      <c r="V165" s="170">
        <f t="shared" si="31"/>
        <v>173382.55740999998</v>
      </c>
      <c r="W165" s="170">
        <f t="shared" si="31"/>
        <v>228691.42316999999</v>
      </c>
      <c r="X165" s="170">
        <f t="shared" si="31"/>
        <v>222783.28972999999</v>
      </c>
      <c r="Y165" s="170">
        <f t="shared" si="31"/>
        <v>300228.33844999998</v>
      </c>
      <c r="Z165" s="170">
        <f t="shared" si="31"/>
        <v>279390.02505499998</v>
      </c>
      <c r="AA165" s="170">
        <f t="shared" si="31"/>
        <v>262601.71165999997</v>
      </c>
      <c r="AB165" s="170">
        <f t="shared" si="31"/>
        <v>255938.398265</v>
      </c>
      <c r="AC165" s="170">
        <f t="shared" si="31"/>
        <v>249275.08486999999</v>
      </c>
      <c r="AD165" s="170">
        <f t="shared" si="31"/>
        <v>235909.77147500002</v>
      </c>
      <c r="AE165" s="170">
        <f t="shared" si="31"/>
        <v>227214.12125999999</v>
      </c>
      <c r="AF165" s="170">
        <f t="shared" si="31"/>
        <v>220819.69210499999</v>
      </c>
      <c r="AG165" s="170">
        <f t="shared" si="31"/>
        <v>214425.26295000003</v>
      </c>
      <c r="AH165" s="170">
        <f t="shared" si="31"/>
        <v>208030.83379499998</v>
      </c>
      <c r="AI165" s="170">
        <f t="shared" si="31"/>
        <v>121468.30464</v>
      </c>
      <c r="AJ165" s="170">
        <f t="shared" si="31"/>
        <v>119014.13759999999</v>
      </c>
      <c r="AK165" s="170">
        <f t="shared" si="31"/>
        <v>116559.97056</v>
      </c>
      <c r="AL165" s="170">
        <f t="shared" si="31"/>
        <v>114105.80352</v>
      </c>
      <c r="AM165" s="170">
        <f t="shared" si="31"/>
        <v>111651.63648</v>
      </c>
      <c r="AN165" s="170">
        <f t="shared" si="31"/>
        <v>109197.46944</v>
      </c>
      <c r="AO165" s="170">
        <f t="shared" si="31"/>
        <v>106743.3024</v>
      </c>
      <c r="AP165" s="170">
        <f t="shared" si="31"/>
        <v>104289.13536</v>
      </c>
      <c r="AQ165" s="170">
        <f t="shared" si="31"/>
        <v>101834.96832</v>
      </c>
      <c r="AR165" s="170">
        <f t="shared" si="31"/>
        <v>99380.80128</v>
      </c>
      <c r="AS165" s="170">
        <f t="shared" si="31"/>
        <v>96926.634239999999</v>
      </c>
      <c r="AT165" s="170">
        <f t="shared" si="31"/>
        <v>94472.467199999999</v>
      </c>
      <c r="AU165" s="170">
        <f t="shared" si="31"/>
        <v>92018.300159999999</v>
      </c>
      <c r="AV165" s="170">
        <f t="shared" si="31"/>
        <v>89564.133119999999</v>
      </c>
      <c r="AW165" s="170">
        <f t="shared" si="31"/>
        <v>87109.966079999998</v>
      </c>
      <c r="AX165" s="170">
        <f t="shared" si="31"/>
        <v>84655.799039999998</v>
      </c>
      <c r="AY165" s="170">
        <f t="shared" si="31"/>
        <v>21013.632000000001</v>
      </c>
      <c r="AZ165" s="172">
        <f>SUM(V165:AY165)</f>
        <v>4748696.9716349989</v>
      </c>
      <c r="BB165" s="52">
        <f>SUM(AC165:AY165)</f>
        <v>3025681.227895</v>
      </c>
      <c r="BC165" s="172">
        <f>SUM(V165:AB165,BB165)</f>
        <v>4748696.9716349998</v>
      </c>
    </row>
    <row r="166" spans="6:55" s="78" customFormat="1" x14ac:dyDescent="0.3">
      <c r="Q166" s="173" t="s">
        <v>411</v>
      </c>
      <c r="R166" s="174"/>
      <c r="S166" s="174"/>
      <c r="T166" s="175">
        <f>SUM(T163:T165)</f>
        <v>5885706.5047400007</v>
      </c>
      <c r="U166" s="175"/>
      <c r="V166" s="174">
        <f>SUM(V163:V165)</f>
        <v>5969195.7365253242</v>
      </c>
      <c r="W166" s="174">
        <f t="shared" ref="W166:AY166" si="32">SUM(W163:W165)</f>
        <v>5938210.4067920009</v>
      </c>
      <c r="X166" s="174">
        <f t="shared" si="32"/>
        <v>6031720.8368491689</v>
      </c>
      <c r="Y166" s="174">
        <f t="shared" si="32"/>
        <v>6009842.0669062817</v>
      </c>
      <c r="Z166" s="174">
        <f t="shared" si="32"/>
        <v>5951704.9360916624</v>
      </c>
      <c r="AA166" s="174">
        <f t="shared" si="32"/>
        <v>5691229.4647258874</v>
      </c>
      <c r="AB166" s="174">
        <f t="shared" si="32"/>
        <v>5488405.6209789449</v>
      </c>
      <c r="AC166" s="174">
        <f t="shared" si="32"/>
        <v>5237537.0674799448</v>
      </c>
      <c r="AD166" s="174">
        <f t="shared" si="32"/>
        <v>4411711.4150265446</v>
      </c>
      <c r="AE166" s="174">
        <f t="shared" si="32"/>
        <v>4072717.6896935436</v>
      </c>
      <c r="AF166" s="174">
        <f t="shared" si="32"/>
        <v>3572475.4395788442</v>
      </c>
      <c r="AG166" s="174">
        <f t="shared" si="32"/>
        <v>3306955.0785110444</v>
      </c>
      <c r="AH166" s="174">
        <f t="shared" si="32"/>
        <v>3077381.3668832444</v>
      </c>
      <c r="AI166" s="174">
        <f t="shared" si="32"/>
        <v>2791615.9803394447</v>
      </c>
      <c r="AJ166" s="174">
        <f t="shared" si="32"/>
        <v>2570748.9043154446</v>
      </c>
      <c r="AK166" s="174">
        <f t="shared" si="32"/>
        <v>2418115.5232714443</v>
      </c>
      <c r="AL166" s="174">
        <f t="shared" si="32"/>
        <v>2299747.4831674448</v>
      </c>
      <c r="AM166" s="174">
        <f t="shared" si="32"/>
        <v>2199452.6030634441</v>
      </c>
      <c r="AN166" s="174">
        <f t="shared" si="32"/>
        <v>2065567.2100391109</v>
      </c>
      <c r="AO166" s="174">
        <f t="shared" si="32"/>
        <v>1994100.7428791109</v>
      </c>
      <c r="AP166" s="174">
        <f t="shared" si="32"/>
        <v>2080689.8312746666</v>
      </c>
      <c r="AQ166" s="174">
        <f t="shared" si="32"/>
        <v>1526991.1224479999</v>
      </c>
      <c r="AR166" s="174">
        <f t="shared" si="32"/>
        <v>1471655.805288</v>
      </c>
      <c r="AS166" s="174">
        <f t="shared" si="32"/>
        <v>1416320.4881279999</v>
      </c>
      <c r="AT166" s="174">
        <f t="shared" si="32"/>
        <v>1043953.000968</v>
      </c>
      <c r="AU166" s="174">
        <f t="shared" si="32"/>
        <v>587957.19623</v>
      </c>
      <c r="AV166" s="174">
        <f t="shared" si="32"/>
        <v>521569.69147000002</v>
      </c>
      <c r="AW166" s="174">
        <f t="shared" si="32"/>
        <v>145294.45350999999</v>
      </c>
      <c r="AX166" s="174">
        <f t="shared" si="32"/>
        <v>84655.799039999998</v>
      </c>
      <c r="AY166" s="174">
        <f t="shared" si="32"/>
        <v>21013.632000000001</v>
      </c>
      <c r="AZ166" s="174">
        <f>SUM(V166:AY166)</f>
        <v>89998536.593474537</v>
      </c>
      <c r="BB166" s="174">
        <f>SUM(BB163:BB165)</f>
        <v>48918227.524605289</v>
      </c>
      <c r="BC166" s="174">
        <f>SUM(BC163:BC165)</f>
        <v>89998536.593474552</v>
      </c>
    </row>
    <row r="167" spans="6:55" x14ac:dyDescent="0.3">
      <c r="R167" s="6"/>
      <c r="T167" s="176"/>
      <c r="U167" s="176"/>
    </row>
    <row r="168" spans="6:55" s="78" customFormat="1" x14ac:dyDescent="0.3">
      <c r="Q168" s="173" t="s">
        <v>412</v>
      </c>
      <c r="R168" s="177"/>
      <c r="S168" s="177"/>
      <c r="T168" s="178">
        <f t="shared" ref="T168:AY168" si="33">T166/$Q$169</f>
        <v>0.16411811753155273</v>
      </c>
      <c r="U168" s="178"/>
      <c r="V168" s="177">
        <f t="shared" si="33"/>
        <v>0.16644614655300119</v>
      </c>
      <c r="W168" s="177">
        <f t="shared" si="33"/>
        <v>0.16558214594698523</v>
      </c>
      <c r="X168" s="177">
        <f t="shared" si="33"/>
        <v>0.16818960789538326</v>
      </c>
      <c r="Y168" s="177">
        <f t="shared" si="33"/>
        <v>0.16757953626948061</v>
      </c>
      <c r="Z168" s="177">
        <f t="shared" si="33"/>
        <v>0.16595842987209281</v>
      </c>
      <c r="AA168" s="177">
        <f t="shared" si="33"/>
        <v>0.15869528414960946</v>
      </c>
      <c r="AB168" s="177">
        <f t="shared" si="33"/>
        <v>0.15303970696453326</v>
      </c>
      <c r="AC168" s="177">
        <f t="shared" si="33"/>
        <v>0.14604444229835226</v>
      </c>
      <c r="AD168" s="177">
        <f t="shared" si="33"/>
        <v>0.12301696864149082</v>
      </c>
      <c r="AE168" s="177">
        <f t="shared" si="33"/>
        <v>0.11356440555295502</v>
      </c>
      <c r="AF168" s="177">
        <f t="shared" si="33"/>
        <v>9.96155590835541E-2</v>
      </c>
      <c r="AG168" s="177">
        <f t="shared" si="33"/>
        <v>9.2211740733174008E-2</v>
      </c>
      <c r="AH168" s="177">
        <f t="shared" si="33"/>
        <v>8.5810265335659178E-2</v>
      </c>
      <c r="AI168" s="177">
        <f t="shared" si="33"/>
        <v>7.784193098914105E-2</v>
      </c>
      <c r="AJ168" s="177">
        <f t="shared" si="33"/>
        <v>7.1683233012514974E-2</v>
      </c>
      <c r="AK168" s="177">
        <f t="shared" si="33"/>
        <v>6.7427175876596995E-2</v>
      </c>
      <c r="AL168" s="177">
        <f t="shared" si="33"/>
        <v>6.4126579779573992E-2</v>
      </c>
      <c r="AM168" s="177">
        <f t="shared" si="33"/>
        <v>6.1329938984205537E-2</v>
      </c>
      <c r="AN168" s="177">
        <f t="shared" si="33"/>
        <v>5.7596654177966916E-2</v>
      </c>
      <c r="AO168" s="177">
        <f t="shared" si="33"/>
        <v>5.5603870126046569E-2</v>
      </c>
      <c r="AP168" s="177">
        <f t="shared" si="33"/>
        <v>5.8018336116630244E-2</v>
      </c>
      <c r="AQ168" s="177">
        <f t="shared" si="33"/>
        <v>4.2578899967528866E-2</v>
      </c>
      <c r="AR168" s="177">
        <f t="shared" si="33"/>
        <v>4.1035919854946479E-2</v>
      </c>
      <c r="AS168" s="177">
        <f t="shared" si="33"/>
        <v>3.9492939742364092E-2</v>
      </c>
      <c r="AT168" s="177">
        <f t="shared" si="33"/>
        <v>2.9109776570120007E-2</v>
      </c>
      <c r="AU168" s="177">
        <f t="shared" si="33"/>
        <v>1.6394706082725401E-2</v>
      </c>
      <c r="AV168" s="177">
        <f t="shared" si="33"/>
        <v>1.4543544748048979E-2</v>
      </c>
      <c r="AW168" s="177">
        <f t="shared" si="33"/>
        <v>4.051417137200637E-3</v>
      </c>
      <c r="AX168" s="177">
        <f t="shared" si="33"/>
        <v>2.3605577963130139E-3</v>
      </c>
      <c r="AY168" s="177">
        <f t="shared" si="33"/>
        <v>5.8594796114339097E-4</v>
      </c>
      <c r="BB168" s="179"/>
      <c r="BC168" s="179"/>
    </row>
    <row r="169" spans="6:55" x14ac:dyDescent="0.3">
      <c r="J169" s="180" t="s">
        <v>413</v>
      </c>
      <c r="Q169" s="181">
        <v>35862625</v>
      </c>
      <c r="R169" s="182"/>
      <c r="S169" s="183"/>
      <c r="T169" s="184"/>
      <c r="U169" s="184"/>
      <c r="V169" s="185"/>
      <c r="W169" s="185"/>
      <c r="X169" s="185"/>
      <c r="Y169" s="185"/>
      <c r="Z169" s="185"/>
      <c r="AA169" s="185"/>
    </row>
    <row r="171" spans="6:55" x14ac:dyDescent="0.3">
      <c r="F171" s="186"/>
      <c r="J171" s="187"/>
      <c r="K171" s="188"/>
      <c r="L171" s="188"/>
      <c r="M171" s="188"/>
      <c r="N171" s="188"/>
      <c r="O171" s="188"/>
      <c r="P171" s="188"/>
      <c r="Q171" s="188"/>
      <c r="V171" s="7"/>
      <c r="W171" s="7"/>
      <c r="X171" s="7"/>
      <c r="Y171" s="7"/>
    </row>
    <row r="174" spans="6:55" x14ac:dyDescent="0.3">
      <c r="V174" s="134"/>
      <c r="W174" s="134"/>
    </row>
    <row r="175" spans="6:55" x14ac:dyDescent="0.3">
      <c r="Q175" s="6"/>
    </row>
  </sheetData>
  <pageMargins left="0.25" right="0.25" top="0.75" bottom="0.75" header="0.3" footer="0.3"/>
  <pageSetup paperSize="9" scale="48" orientation="landscape"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2024.gada budzeta plans_apvieno</vt:lpstr>
      <vt:lpstr>Saistibas_24102024</vt:lpstr>
      <vt:lpstr>'2024.gada budzeta plans_apvieno'!Print_Area</vt:lpstr>
      <vt:lpstr>'2024.gada budzeta plans_apvieno'!Print_Titles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Sarmīte Mūze</dc:creator>
  <cp:lastModifiedBy>Sarmīte Mūze</cp:lastModifiedBy>
  <dcterms:created xsi:type="dcterms:W3CDTF">2024-10-10T13:41:32Z</dcterms:created>
  <dcterms:modified xsi:type="dcterms:W3CDTF">2024-10-17T13:53:22Z</dcterms:modified>
</cp:coreProperties>
</file>