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4\08_AUGUSTS\29.08.2024\Dokumentu PROJEKTI\"/>
    </mc:Choice>
  </mc:AlternateContent>
  <xr:revisionPtr revIDLastSave="0" documentId="8_{0917F19D-A7D0-45F0-A2FF-44DFABE0ED9C}" xr6:coauthVersionLast="47" xr6:coauthVersionMax="47" xr10:uidLastSave="{00000000-0000-0000-0000-000000000000}"/>
  <bookViews>
    <workbookView xWindow="-108" yWindow="-108" windowWidth="23256" windowHeight="12456" xr2:uid="{C98780AE-B0C3-4E54-990C-49D931345981}"/>
  </bookViews>
  <sheets>
    <sheet name="2024.gada budzeta plans_apvieno" sheetId="1" r:id="rId1"/>
  </sheets>
  <externalReferences>
    <externalReference r:id="rId2"/>
  </externalReferences>
  <definedNames>
    <definedName name="_0812">#REF!</definedName>
    <definedName name="_xlnm._FilterDatabase" localSheetId="0" hidden="1">'2024.gada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'2024.gada budzeta plans_apvieno'!$A$1:$AB$302</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79" i="1" l="1"/>
  <c r="Z137" i="1"/>
  <c r="Z155" i="1"/>
  <c r="Z8" i="1"/>
  <c r="Z38" i="1"/>
  <c r="Z35" i="1"/>
  <c r="Z260" i="1"/>
  <c r="Z82" i="1"/>
  <c r="N300" i="1"/>
  <c r="Q300" i="1" s="1"/>
  <c r="T300" i="1" s="1"/>
  <c r="U300" i="1" s="1"/>
  <c r="J300" i="1"/>
  <c r="L300" i="1" s="1"/>
  <c r="W298" i="1"/>
  <c r="X298" i="1" s="1"/>
  <c r="U298" i="1"/>
  <c r="R298" i="1"/>
  <c r="O298" i="1"/>
  <c r="L298" i="1"/>
  <c r="W297" i="1"/>
  <c r="W296" i="1" s="1"/>
  <c r="X296" i="1" s="1"/>
  <c r="U297" i="1"/>
  <c r="R297" i="1"/>
  <c r="O297" i="1"/>
  <c r="L297" i="1"/>
  <c r="T296" i="1"/>
  <c r="U296" i="1" s="1"/>
  <c r="Q296" i="1"/>
  <c r="N296" i="1"/>
  <c r="K296" i="1"/>
  <c r="J296" i="1"/>
  <c r="I296" i="1"/>
  <c r="H296" i="1"/>
  <c r="G296" i="1"/>
  <c r="F296" i="1"/>
  <c r="E296" i="1"/>
  <c r="N295" i="1"/>
  <c r="O295" i="1" s="1"/>
  <c r="L295" i="1"/>
  <c r="N294" i="1"/>
  <c r="L294" i="1"/>
  <c r="E294" i="1"/>
  <c r="E293" i="1" s="1"/>
  <c r="K293" i="1"/>
  <c r="J293" i="1"/>
  <c r="I293" i="1"/>
  <c r="H293" i="1"/>
  <c r="G293" i="1"/>
  <c r="F293" i="1"/>
  <c r="O292" i="1"/>
  <c r="N292" i="1"/>
  <c r="Q292" i="1" s="1"/>
  <c r="T292" i="1" s="1"/>
  <c r="U292" i="1" s="1"/>
  <c r="I292" i="1"/>
  <c r="H292" i="1"/>
  <c r="N291" i="1"/>
  <c r="Q291" i="1" s="1"/>
  <c r="E291" i="1"/>
  <c r="O290" i="1"/>
  <c r="N290" i="1"/>
  <c r="Q290" i="1" s="1"/>
  <c r="J290" i="1"/>
  <c r="L290" i="1" s="1"/>
  <c r="N289" i="1"/>
  <c r="E289" i="1"/>
  <c r="L289" i="1" s="1"/>
  <c r="O288" i="1"/>
  <c r="N288" i="1"/>
  <c r="Q288" i="1" s="1"/>
  <c r="R288" i="1" s="1"/>
  <c r="L288" i="1"/>
  <c r="N287" i="1"/>
  <c r="O287" i="1" s="1"/>
  <c r="K287" i="1"/>
  <c r="J287" i="1"/>
  <c r="N286" i="1"/>
  <c r="Q286" i="1" s="1"/>
  <c r="R286" i="1" s="1"/>
  <c r="K286" i="1"/>
  <c r="K284" i="1" s="1"/>
  <c r="Q285" i="1"/>
  <c r="N285" i="1"/>
  <c r="O285" i="1" s="1"/>
  <c r="E285" i="1"/>
  <c r="E284" i="1" s="1"/>
  <c r="N284" i="1"/>
  <c r="O284" i="1" s="1"/>
  <c r="J284" i="1"/>
  <c r="I284" i="1"/>
  <c r="H284" i="1"/>
  <c r="G284" i="1"/>
  <c r="N283" i="1"/>
  <c r="Q283" i="1" s="1"/>
  <c r="R283" i="1" s="1"/>
  <c r="K283" i="1"/>
  <c r="K281" i="1" s="1"/>
  <c r="N282" i="1"/>
  <c r="O282" i="1" s="1"/>
  <c r="E282" i="1"/>
  <c r="J281" i="1"/>
  <c r="I281" i="1"/>
  <c r="H281" i="1"/>
  <c r="G281" i="1"/>
  <c r="Q280" i="1"/>
  <c r="R280" i="1" s="1"/>
  <c r="O280" i="1"/>
  <c r="N279" i="1"/>
  <c r="K279" i="1"/>
  <c r="L279" i="1" s="1"/>
  <c r="N278" i="1"/>
  <c r="Q278" i="1" s="1"/>
  <c r="F278" i="1"/>
  <c r="F277" i="1" s="1"/>
  <c r="J277" i="1"/>
  <c r="I277" i="1"/>
  <c r="I263" i="1" s="1"/>
  <c r="H277" i="1"/>
  <c r="G277" i="1"/>
  <c r="E277" i="1"/>
  <c r="N276" i="1"/>
  <c r="O276" i="1" s="1"/>
  <c r="L276" i="1"/>
  <c r="Q275" i="1"/>
  <c r="O275" i="1"/>
  <c r="N274" i="1"/>
  <c r="Q274" i="1" s="1"/>
  <c r="R274" i="1" s="1"/>
  <c r="K274" i="1"/>
  <c r="N273" i="1"/>
  <c r="Q273" i="1" s="1"/>
  <c r="H273" i="1"/>
  <c r="J273" i="1" s="1"/>
  <c r="N272" i="1"/>
  <c r="Q272" i="1" s="1"/>
  <c r="R272" i="1" s="1"/>
  <c r="J272" i="1"/>
  <c r="H272" i="1"/>
  <c r="N271" i="1"/>
  <c r="Q271" i="1" s="1"/>
  <c r="T271" i="1" s="1"/>
  <c r="U271" i="1" s="1"/>
  <c r="F271" i="1"/>
  <c r="E271" i="1"/>
  <c r="N270" i="1"/>
  <c r="Q270" i="1" s="1"/>
  <c r="Q269" i="1"/>
  <c r="T269" i="1" s="1"/>
  <c r="O269" i="1"/>
  <c r="N268" i="1"/>
  <c r="Q268" i="1" s="1"/>
  <c r="T268" i="1" s="1"/>
  <c r="K268" i="1"/>
  <c r="J268" i="1"/>
  <c r="O267" i="1"/>
  <c r="N267" i="1"/>
  <c r="Q267" i="1" s="1"/>
  <c r="T267" i="1" s="1"/>
  <c r="U267" i="1" s="1"/>
  <c r="N266" i="1"/>
  <c r="O266" i="1" s="1"/>
  <c r="Q265" i="1"/>
  <c r="O265" i="1"/>
  <c r="N265" i="1"/>
  <c r="F264" i="1"/>
  <c r="L264" i="1" s="1"/>
  <c r="P263" i="1"/>
  <c r="H263" i="1"/>
  <c r="Q262" i="1"/>
  <c r="N262" i="1"/>
  <c r="O262" i="1" s="1"/>
  <c r="H262" i="1"/>
  <c r="J262" i="1" s="1"/>
  <c r="L262" i="1" s="1"/>
  <c r="N261" i="1"/>
  <c r="L261" i="1"/>
  <c r="N260" i="1"/>
  <c r="Q260" i="1" s="1"/>
  <c r="G260" i="1"/>
  <c r="L260" i="1" s="1"/>
  <c r="N259" i="1"/>
  <c r="O259" i="1" s="1"/>
  <c r="F259" i="1"/>
  <c r="E259" i="1"/>
  <c r="E251" i="1" s="1"/>
  <c r="N258" i="1"/>
  <c r="Q258" i="1" s="1"/>
  <c r="I258" i="1"/>
  <c r="I251" i="1" s="1"/>
  <c r="N257" i="1"/>
  <c r="Q257" i="1" s="1"/>
  <c r="N256" i="1"/>
  <c r="Q256" i="1" s="1"/>
  <c r="L256" i="1"/>
  <c r="Q255" i="1"/>
  <c r="R255" i="1" s="1"/>
  <c r="O255" i="1"/>
  <c r="Q254" i="1"/>
  <c r="N254" i="1"/>
  <c r="N253" i="1"/>
  <c r="L252" i="1"/>
  <c r="F252" i="1"/>
  <c r="F251" i="1" s="1"/>
  <c r="J251" i="1"/>
  <c r="H251" i="1"/>
  <c r="N250" i="1"/>
  <c r="K250" i="1"/>
  <c r="L250" i="1" s="1"/>
  <c r="N249" i="1"/>
  <c r="K249" i="1"/>
  <c r="L249" i="1" s="1"/>
  <c r="N248" i="1"/>
  <c r="K248" i="1"/>
  <c r="F248" i="1"/>
  <c r="J247" i="1"/>
  <c r="I247" i="1"/>
  <c r="H247" i="1"/>
  <c r="G247" i="1"/>
  <c r="F247" i="1"/>
  <c r="E247" i="1"/>
  <c r="N246" i="1"/>
  <c r="I246" i="1"/>
  <c r="K245" i="1" s="1"/>
  <c r="L245" i="1" s="1"/>
  <c r="N245" i="1"/>
  <c r="Q245" i="1" s="1"/>
  <c r="N244" i="1"/>
  <c r="Q244" i="1" s="1"/>
  <c r="F244" i="1"/>
  <c r="L244" i="1" s="1"/>
  <c r="J243" i="1"/>
  <c r="H243" i="1"/>
  <c r="G243" i="1"/>
  <c r="E243" i="1"/>
  <c r="N242" i="1"/>
  <c r="O242" i="1" s="1"/>
  <c r="I242" i="1"/>
  <c r="K241" i="1" s="1"/>
  <c r="Q241" i="1"/>
  <c r="N241" i="1"/>
  <c r="O241" i="1" s="1"/>
  <c r="N240" i="1"/>
  <c r="F240" i="1"/>
  <c r="F239" i="1" s="1"/>
  <c r="J239" i="1"/>
  <c r="H239" i="1"/>
  <c r="G239" i="1"/>
  <c r="E239" i="1"/>
  <c r="T238" i="1"/>
  <c r="Q238" i="1"/>
  <c r="R238" i="1" s="1"/>
  <c r="O238" i="1"/>
  <c r="N237" i="1"/>
  <c r="K237" i="1"/>
  <c r="K235" i="1" s="1"/>
  <c r="N236" i="1"/>
  <c r="Q236" i="1" s="1"/>
  <c r="T236" i="1" s="1"/>
  <c r="F236" i="1"/>
  <c r="L236" i="1" s="1"/>
  <c r="J235" i="1"/>
  <c r="I235" i="1"/>
  <c r="H235" i="1"/>
  <c r="G235" i="1"/>
  <c r="F235" i="1"/>
  <c r="E235" i="1"/>
  <c r="Q234" i="1"/>
  <c r="T234" i="1" s="1"/>
  <c r="W234" i="1" s="1"/>
  <c r="X234" i="1" s="1"/>
  <c r="O234" i="1"/>
  <c r="N233" i="1"/>
  <c r="O233" i="1" s="1"/>
  <c r="K233" i="1"/>
  <c r="N232" i="1"/>
  <c r="Q232" i="1" s="1"/>
  <c r="F232" i="1"/>
  <c r="L232" i="1" s="1"/>
  <c r="J231" i="1"/>
  <c r="I231" i="1"/>
  <c r="H231" i="1"/>
  <c r="G231" i="1"/>
  <c r="E231" i="1"/>
  <c r="N230" i="1"/>
  <c r="K230" i="1"/>
  <c r="N228" i="1"/>
  <c r="Q228" i="1" s="1"/>
  <c r="N227" i="1"/>
  <c r="L227" i="1"/>
  <c r="Z226" i="1"/>
  <c r="X226" i="1"/>
  <c r="N225" i="1"/>
  <c r="F225" i="1"/>
  <c r="E225" i="1"/>
  <c r="L225" i="1" s="1"/>
  <c r="N224" i="1"/>
  <c r="Q224" i="1" s="1"/>
  <c r="T224" i="1" s="1"/>
  <c r="U224" i="1" s="1"/>
  <c r="L224" i="1"/>
  <c r="F224" i="1"/>
  <c r="N223" i="1"/>
  <c r="O223" i="1" s="1"/>
  <c r="K223" i="1"/>
  <c r="L223" i="1" s="1"/>
  <c r="N222" i="1"/>
  <c r="Q222" i="1" s="1"/>
  <c r="T222" i="1" s="1"/>
  <c r="I222" i="1"/>
  <c r="G222" i="1"/>
  <c r="G218" i="1" s="1"/>
  <c r="G207" i="1" s="1"/>
  <c r="E222" i="1"/>
  <c r="N221" i="1"/>
  <c r="O221" i="1" s="1"/>
  <c r="I221" i="1"/>
  <c r="E221" i="1"/>
  <c r="J221" i="1" s="1"/>
  <c r="J218" i="1" s="1"/>
  <c r="Z220" i="1"/>
  <c r="W220" i="1"/>
  <c r="X220" i="1" s="1"/>
  <c r="N219" i="1"/>
  <c r="Q219" i="1" s="1"/>
  <c r="K219" i="1"/>
  <c r="L219" i="1" s="1"/>
  <c r="H218" i="1"/>
  <c r="F218" i="1"/>
  <c r="Q217" i="1"/>
  <c r="T217" i="1" s="1"/>
  <c r="U217" i="1" s="1"/>
  <c r="N217" i="1"/>
  <c r="O217" i="1" s="1"/>
  <c r="F217" i="1"/>
  <c r="E217" i="1"/>
  <c r="L217" i="1" s="1"/>
  <c r="N216" i="1"/>
  <c r="N215" i="1" s="1"/>
  <c r="O215" i="1" s="1"/>
  <c r="K216" i="1"/>
  <c r="J215" i="1"/>
  <c r="I215" i="1"/>
  <c r="H215" i="1"/>
  <c r="G215" i="1"/>
  <c r="F215" i="1"/>
  <c r="E215" i="1"/>
  <c r="N214" i="1"/>
  <c r="L214" i="1"/>
  <c r="K214" i="1"/>
  <c r="Z213" i="1"/>
  <c r="AA213" i="1" s="1"/>
  <c r="X213" i="1"/>
  <c r="W213" i="1"/>
  <c r="N212" i="1"/>
  <c r="O212" i="1" s="1"/>
  <c r="F212" i="1"/>
  <c r="L212" i="1" s="1"/>
  <c r="N211" i="1"/>
  <c r="O211" i="1" s="1"/>
  <c r="L211" i="1"/>
  <c r="F211" i="1"/>
  <c r="N210" i="1"/>
  <c r="K210" i="1"/>
  <c r="K209" i="1" s="1"/>
  <c r="J210" i="1"/>
  <c r="J208" i="1" s="1"/>
  <c r="F210" i="1"/>
  <c r="N209" i="1"/>
  <c r="S208" i="1"/>
  <c r="S207" i="1" s="1"/>
  <c r="I208" i="1"/>
  <c r="H208" i="1"/>
  <c r="G208" i="1"/>
  <c r="E208" i="1"/>
  <c r="P207" i="1"/>
  <c r="P299" i="1" s="1"/>
  <c r="N206" i="1"/>
  <c r="O206" i="1" s="1"/>
  <c r="K206" i="1"/>
  <c r="N205" i="1"/>
  <c r="O205" i="1" s="1"/>
  <c r="L205" i="1"/>
  <c r="Q204" i="1"/>
  <c r="T204" i="1" s="1"/>
  <c r="O204" i="1"/>
  <c r="L204" i="1"/>
  <c r="N203" i="1"/>
  <c r="O203" i="1" s="1"/>
  <c r="K203" i="1"/>
  <c r="K202" i="1" s="1"/>
  <c r="N202" i="1"/>
  <c r="J202" i="1"/>
  <c r="I202" i="1"/>
  <c r="H202" i="1"/>
  <c r="G202" i="1"/>
  <c r="F202" i="1"/>
  <c r="E202" i="1"/>
  <c r="N201" i="1"/>
  <c r="K201" i="1"/>
  <c r="L201" i="1" s="1"/>
  <c r="N200" i="1"/>
  <c r="Q200" i="1" s="1"/>
  <c r="K200" i="1"/>
  <c r="L200" i="1" s="1"/>
  <c r="N199" i="1"/>
  <c r="O199" i="1" s="1"/>
  <c r="L199" i="1"/>
  <c r="N198" i="1"/>
  <c r="O198" i="1" s="1"/>
  <c r="G198" i="1"/>
  <c r="E198" i="1"/>
  <c r="N197" i="1"/>
  <c r="O197" i="1" s="1"/>
  <c r="K197" i="1"/>
  <c r="J197" i="1"/>
  <c r="N196" i="1"/>
  <c r="O196" i="1" s="1"/>
  <c r="K196" i="1"/>
  <c r="J196" i="1"/>
  <c r="N195" i="1"/>
  <c r="K195" i="1"/>
  <c r="J195" i="1"/>
  <c r="N194" i="1"/>
  <c r="O194" i="1" s="1"/>
  <c r="K194" i="1"/>
  <c r="J194" i="1"/>
  <c r="P193" i="1"/>
  <c r="I193" i="1"/>
  <c r="H193" i="1"/>
  <c r="G193" i="1"/>
  <c r="F193" i="1"/>
  <c r="E193" i="1"/>
  <c r="F192" i="1"/>
  <c r="N191" i="1"/>
  <c r="L191" i="1"/>
  <c r="N190" i="1"/>
  <c r="Q190" i="1" s="1"/>
  <c r="R190" i="1" s="1"/>
  <c r="L190" i="1"/>
  <c r="N189" i="1"/>
  <c r="Q189" i="1" s="1"/>
  <c r="T189" i="1" s="1"/>
  <c r="W189" i="1" s="1"/>
  <c r="X189" i="1" s="1"/>
  <c r="H189" i="1"/>
  <c r="G189" i="1"/>
  <c r="N188" i="1"/>
  <c r="Q188" i="1" s="1"/>
  <c r="J188" i="1"/>
  <c r="L188" i="1" s="1"/>
  <c r="N187" i="1"/>
  <c r="O187" i="1" s="1"/>
  <c r="L187" i="1"/>
  <c r="J187" i="1"/>
  <c r="N186" i="1"/>
  <c r="O186" i="1" s="1"/>
  <c r="L186" i="1"/>
  <c r="N185" i="1"/>
  <c r="O185" i="1" s="1"/>
  <c r="J185" i="1"/>
  <c r="L185" i="1" s="1"/>
  <c r="T184" i="1"/>
  <c r="R184" i="1"/>
  <c r="N183" i="1"/>
  <c r="J183" i="1"/>
  <c r="L183" i="1" s="1"/>
  <c r="N182" i="1"/>
  <c r="J182" i="1"/>
  <c r="L182" i="1" s="1"/>
  <c r="N181" i="1"/>
  <c r="O181" i="1" s="1"/>
  <c r="K181" i="1"/>
  <c r="I179" i="1" s="1"/>
  <c r="J181" i="1"/>
  <c r="N180" i="1"/>
  <c r="I180" i="1"/>
  <c r="L180" i="1" s="1"/>
  <c r="N179" i="1"/>
  <c r="O179" i="1" s="1"/>
  <c r="J179" i="1"/>
  <c r="N177" i="1"/>
  <c r="Q177" i="1" s="1"/>
  <c r="T177" i="1" s="1"/>
  <c r="E177" i="1"/>
  <c r="I177" i="1" s="1"/>
  <c r="AA176" i="1"/>
  <c r="N175" i="1"/>
  <c r="O175" i="1" s="1"/>
  <c r="G175" i="1"/>
  <c r="G172" i="1" s="1"/>
  <c r="E175" i="1"/>
  <c r="N174" i="1"/>
  <c r="E174" i="1"/>
  <c r="L174" i="1" s="1"/>
  <c r="N173" i="1"/>
  <c r="O173" i="1" s="1"/>
  <c r="K173" i="1"/>
  <c r="F172" i="1"/>
  <c r="F150" i="1" s="1"/>
  <c r="W171" i="1"/>
  <c r="Z171" i="1" s="1"/>
  <c r="AA171" i="1" s="1"/>
  <c r="U171" i="1"/>
  <c r="N171" i="1"/>
  <c r="R171" i="1" s="1"/>
  <c r="G171" i="1"/>
  <c r="L171" i="1" s="1"/>
  <c r="W170" i="1"/>
  <c r="Z170" i="1" s="1"/>
  <c r="AA170" i="1" s="1"/>
  <c r="U170" i="1"/>
  <c r="N170" i="1"/>
  <c r="O170" i="1" s="1"/>
  <c r="E170" i="1"/>
  <c r="L170" i="1" s="1"/>
  <c r="W169" i="1"/>
  <c r="X169" i="1" s="1"/>
  <c r="U169" i="1"/>
  <c r="N169" i="1"/>
  <c r="O169" i="1" s="1"/>
  <c r="L169" i="1"/>
  <c r="Q168" i="1"/>
  <c r="T168" i="1" s="1"/>
  <c r="U168" i="1" s="1"/>
  <c r="N168" i="1"/>
  <c r="O168" i="1" s="1"/>
  <c r="J168" i="1"/>
  <c r="L168" i="1" s="1"/>
  <c r="N167" i="1"/>
  <c r="O167" i="1" s="1"/>
  <c r="E167" i="1"/>
  <c r="L167" i="1" s="1"/>
  <c r="N166" i="1"/>
  <c r="Q166" i="1" s="1"/>
  <c r="T166" i="1" s="1"/>
  <c r="U166" i="1" s="1"/>
  <c r="G166" i="1"/>
  <c r="N165" i="1"/>
  <c r="Q165" i="1" s="1"/>
  <c r="G165" i="1"/>
  <c r="N164" i="1"/>
  <c r="G164" i="1"/>
  <c r="J164" i="1" s="1"/>
  <c r="N163" i="1"/>
  <c r="O163" i="1" s="1"/>
  <c r="G163" i="1"/>
  <c r="J163" i="1" s="1"/>
  <c r="N162" i="1"/>
  <c r="Q162" i="1" s="1"/>
  <c r="R162" i="1" s="1"/>
  <c r="G162" i="1"/>
  <c r="J162" i="1" s="1"/>
  <c r="Q161" i="1"/>
  <c r="T161" i="1" s="1"/>
  <c r="N161" i="1"/>
  <c r="O161" i="1" s="1"/>
  <c r="E161" i="1"/>
  <c r="N160" i="1"/>
  <c r="Q160" i="1" s="1"/>
  <c r="R160" i="1" s="1"/>
  <c r="G160" i="1"/>
  <c r="J160" i="1" s="1"/>
  <c r="N159" i="1"/>
  <c r="G159" i="1"/>
  <c r="J159" i="1" s="1"/>
  <c r="N158" i="1"/>
  <c r="Q158" i="1" s="1"/>
  <c r="E158" i="1"/>
  <c r="J158" i="1" s="1"/>
  <c r="L158" i="1" s="1"/>
  <c r="N157" i="1"/>
  <c r="Q157" i="1" s="1"/>
  <c r="J157" i="1"/>
  <c r="L157" i="1" s="1"/>
  <c r="N156" i="1"/>
  <c r="L156" i="1"/>
  <c r="N155" i="1"/>
  <c r="Q155" i="1" s="1"/>
  <c r="K155" i="1"/>
  <c r="K154" i="1" s="1"/>
  <c r="I154" i="1"/>
  <c r="H154" i="1"/>
  <c r="F154" i="1"/>
  <c r="N153" i="1"/>
  <c r="Q153" i="1" s="1"/>
  <c r="K153" i="1"/>
  <c r="L153" i="1" s="1"/>
  <c r="N152" i="1"/>
  <c r="O152" i="1" s="1"/>
  <c r="K152" i="1"/>
  <c r="J152" i="1"/>
  <c r="N151" i="1"/>
  <c r="Q151" i="1" s="1"/>
  <c r="K151" i="1"/>
  <c r="N149" i="1"/>
  <c r="Q149" i="1" s="1"/>
  <c r="F149" i="1"/>
  <c r="F148" i="1" s="1"/>
  <c r="E149" i="1"/>
  <c r="K148" i="1"/>
  <c r="J148" i="1"/>
  <c r="I148" i="1"/>
  <c r="H148" i="1"/>
  <c r="G148" i="1"/>
  <c r="N147" i="1"/>
  <c r="O147" i="1" s="1"/>
  <c r="F147" i="1"/>
  <c r="E147" i="1"/>
  <c r="N146" i="1"/>
  <c r="Q146" i="1" s="1"/>
  <c r="R146" i="1" s="1"/>
  <c r="K146" i="1"/>
  <c r="L146" i="1" s="1"/>
  <c r="N145" i="1"/>
  <c r="Q145" i="1" s="1"/>
  <c r="J145" i="1"/>
  <c r="J144" i="1" s="1"/>
  <c r="J143" i="1" s="1"/>
  <c r="I144" i="1"/>
  <c r="I143" i="1" s="1"/>
  <c r="H144" i="1"/>
  <c r="H143" i="1" s="1"/>
  <c r="G144" i="1"/>
  <c r="F144" i="1"/>
  <c r="E144" i="1"/>
  <c r="G143" i="1"/>
  <c r="N142" i="1"/>
  <c r="Q142" i="1" s="1"/>
  <c r="K142" i="1"/>
  <c r="J142" i="1"/>
  <c r="N141" i="1"/>
  <c r="Q141" i="1" s="1"/>
  <c r="T141" i="1" s="1"/>
  <c r="U141" i="1" s="1"/>
  <c r="L141" i="1"/>
  <c r="L140" i="1" s="1"/>
  <c r="N140" i="1"/>
  <c r="K140" i="1"/>
  <c r="J140" i="1"/>
  <c r="I140" i="1"/>
  <c r="H140" i="1"/>
  <c r="G140" i="1"/>
  <c r="F140" i="1"/>
  <c r="E140" i="1"/>
  <c r="N139" i="1"/>
  <c r="O139" i="1" s="1"/>
  <c r="K139" i="1"/>
  <c r="L139" i="1" s="1"/>
  <c r="N138" i="1"/>
  <c r="Q138" i="1" s="1"/>
  <c r="K138" i="1"/>
  <c r="L138" i="1" s="1"/>
  <c r="N137" i="1"/>
  <c r="O137" i="1" s="1"/>
  <c r="K137" i="1"/>
  <c r="L137" i="1" s="1"/>
  <c r="N136" i="1"/>
  <c r="Q136" i="1" s="1"/>
  <c r="T136" i="1" s="1"/>
  <c r="W136" i="1" s="1"/>
  <c r="K136" i="1"/>
  <c r="L136" i="1" s="1"/>
  <c r="N135" i="1"/>
  <c r="Q135" i="1" s="1"/>
  <c r="R135" i="1" s="1"/>
  <c r="K135" i="1"/>
  <c r="L135" i="1" s="1"/>
  <c r="N134" i="1"/>
  <c r="Q134" i="1" s="1"/>
  <c r="K134" i="1"/>
  <c r="L134" i="1" s="1"/>
  <c r="N133" i="1"/>
  <c r="Q133" i="1" s="1"/>
  <c r="K133" i="1"/>
  <c r="L133" i="1" s="1"/>
  <c r="N132" i="1"/>
  <c r="Q132" i="1" s="1"/>
  <c r="K132" i="1"/>
  <c r="L132" i="1" s="1"/>
  <c r="N131" i="1"/>
  <c r="K131" i="1"/>
  <c r="J130" i="1"/>
  <c r="I130" i="1"/>
  <c r="H130" i="1"/>
  <c r="G130" i="1"/>
  <c r="F130" i="1"/>
  <c r="E130" i="1"/>
  <c r="AA129" i="1"/>
  <c r="Z129" i="1"/>
  <c r="N123" i="1"/>
  <c r="Q123" i="1" s="1"/>
  <c r="L123" i="1"/>
  <c r="W122" i="1"/>
  <c r="N122" i="1"/>
  <c r="Q122" i="1" s="1"/>
  <c r="R122" i="1" s="1"/>
  <c r="L122" i="1"/>
  <c r="O121" i="1"/>
  <c r="N121" i="1"/>
  <c r="Q121" i="1" s="1"/>
  <c r="L121" i="1"/>
  <c r="N120" i="1"/>
  <c r="Q120" i="1" s="1"/>
  <c r="L120" i="1"/>
  <c r="N119" i="1"/>
  <c r="O119" i="1" s="1"/>
  <c r="L119" i="1"/>
  <c r="N118" i="1"/>
  <c r="Q118" i="1" s="1"/>
  <c r="L118" i="1"/>
  <c r="N117" i="1"/>
  <c r="Q117" i="1" s="1"/>
  <c r="L117" i="1"/>
  <c r="N116" i="1"/>
  <c r="Q116" i="1" s="1"/>
  <c r="L116" i="1"/>
  <c r="N115" i="1"/>
  <c r="O115" i="1" s="1"/>
  <c r="L115" i="1"/>
  <c r="H115" i="1"/>
  <c r="H175" i="1" s="1"/>
  <c r="N114" i="1"/>
  <c r="Q114" i="1" s="1"/>
  <c r="T114" i="1" s="1"/>
  <c r="L114" i="1"/>
  <c r="N113" i="1"/>
  <c r="Q113" i="1" s="1"/>
  <c r="L113" i="1"/>
  <c r="N112" i="1"/>
  <c r="O112" i="1" s="1"/>
  <c r="L112" i="1"/>
  <c r="K111" i="1"/>
  <c r="J111" i="1"/>
  <c r="I111" i="1"/>
  <c r="G111" i="1"/>
  <c r="F111" i="1"/>
  <c r="E111" i="1"/>
  <c r="Q109" i="1"/>
  <c r="T109" i="1" s="1"/>
  <c r="N109" i="1"/>
  <c r="N110" i="1" s="1"/>
  <c r="O110" i="1" s="1"/>
  <c r="K108" i="1"/>
  <c r="J108" i="1"/>
  <c r="I108" i="1"/>
  <c r="H108" i="1"/>
  <c r="G108" i="1"/>
  <c r="F108" i="1"/>
  <c r="N106" i="1"/>
  <c r="Q106" i="1" s="1"/>
  <c r="I106" i="1"/>
  <c r="G106" i="1"/>
  <c r="G155" i="1" s="1"/>
  <c r="N105" i="1"/>
  <c r="Q105" i="1" s="1"/>
  <c r="T105" i="1" s="1"/>
  <c r="I105" i="1"/>
  <c r="I102" i="1" s="1"/>
  <c r="O104" i="1"/>
  <c r="N104" i="1"/>
  <c r="Q104" i="1" s="1"/>
  <c r="K104" i="1"/>
  <c r="L104" i="1" s="1"/>
  <c r="N103" i="1"/>
  <c r="O103" i="1" s="1"/>
  <c r="K103" i="1"/>
  <c r="J102" i="1"/>
  <c r="H102" i="1"/>
  <c r="G102" i="1"/>
  <c r="F102" i="1"/>
  <c r="E102" i="1"/>
  <c r="N101" i="1"/>
  <c r="O101" i="1" s="1"/>
  <c r="K101" i="1"/>
  <c r="L101" i="1" s="1"/>
  <c r="N100" i="1"/>
  <c r="O100" i="1" s="1"/>
  <c r="K100" i="1"/>
  <c r="L100" i="1" s="1"/>
  <c r="N99" i="1"/>
  <c r="Q99" i="1" s="1"/>
  <c r="K99" i="1"/>
  <c r="J98" i="1"/>
  <c r="I98" i="1"/>
  <c r="H98" i="1"/>
  <c r="G98" i="1"/>
  <c r="F98" i="1"/>
  <c r="E98" i="1"/>
  <c r="N97" i="1"/>
  <c r="O97" i="1" s="1"/>
  <c r="K97" i="1"/>
  <c r="L97" i="1" s="1"/>
  <c r="AA96" i="1"/>
  <c r="X96" i="1"/>
  <c r="U96" i="1"/>
  <c r="R96" i="1"/>
  <c r="O96" i="1"/>
  <c r="K96" i="1"/>
  <c r="J95" i="1"/>
  <c r="I95" i="1"/>
  <c r="H95" i="1"/>
  <c r="G95" i="1"/>
  <c r="F95" i="1"/>
  <c r="E95" i="1"/>
  <c r="N94" i="1"/>
  <c r="Q94" i="1" s="1"/>
  <c r="K94" i="1"/>
  <c r="L94" i="1" s="1"/>
  <c r="N93" i="1"/>
  <c r="Q93" i="1" s="1"/>
  <c r="K93" i="1"/>
  <c r="J92" i="1"/>
  <c r="I92" i="1"/>
  <c r="H92" i="1"/>
  <c r="G92" i="1"/>
  <c r="F92" i="1"/>
  <c r="E92" i="1"/>
  <c r="N90" i="1"/>
  <c r="Q90" i="1" s="1"/>
  <c r="R90" i="1" s="1"/>
  <c r="K90" i="1"/>
  <c r="L90" i="1" s="1"/>
  <c r="N89" i="1"/>
  <c r="O89" i="1" s="1"/>
  <c r="K89" i="1"/>
  <c r="J88" i="1"/>
  <c r="I88" i="1"/>
  <c r="H88" i="1"/>
  <c r="G88" i="1"/>
  <c r="F88" i="1"/>
  <c r="E88" i="1"/>
  <c r="N87" i="1"/>
  <c r="Q87" i="1" s="1"/>
  <c r="T87" i="1" s="1"/>
  <c r="L87" i="1"/>
  <c r="N86" i="1"/>
  <c r="Q86" i="1" s="1"/>
  <c r="T86" i="1" s="1"/>
  <c r="L86" i="1"/>
  <c r="N85" i="1"/>
  <c r="Q85" i="1" s="1"/>
  <c r="L85" i="1"/>
  <c r="N84" i="1"/>
  <c r="Q84" i="1" s="1"/>
  <c r="T84" i="1" s="1"/>
  <c r="L84" i="1"/>
  <c r="N83" i="1"/>
  <c r="Q83" i="1" s="1"/>
  <c r="T83" i="1" s="1"/>
  <c r="L83" i="1"/>
  <c r="N82" i="1"/>
  <c r="Q82" i="1" s="1"/>
  <c r="R82" i="1" s="1"/>
  <c r="L82" i="1"/>
  <c r="G82" i="1"/>
  <c r="E82" i="1"/>
  <c r="E270" i="1" s="1"/>
  <c r="N81" i="1"/>
  <c r="L81" i="1"/>
  <c r="N80" i="1"/>
  <c r="Q80" i="1" s="1"/>
  <c r="L80" i="1"/>
  <c r="N79" i="1"/>
  <c r="Q79" i="1" s="1"/>
  <c r="K79" i="1"/>
  <c r="L79" i="1" s="1"/>
  <c r="N78" i="1"/>
  <c r="Q78" i="1" s="1"/>
  <c r="L78" i="1"/>
  <c r="N77" i="1"/>
  <c r="Q77" i="1" s="1"/>
  <c r="L77" i="1"/>
  <c r="N76" i="1"/>
  <c r="Q76" i="1" s="1"/>
  <c r="L76" i="1"/>
  <c r="E76" i="1"/>
  <c r="N75" i="1"/>
  <c r="Q75" i="1" s="1"/>
  <c r="L75" i="1"/>
  <c r="N74" i="1"/>
  <c r="O74" i="1" s="1"/>
  <c r="L74" i="1"/>
  <c r="N73" i="1"/>
  <c r="L73" i="1"/>
  <c r="N72" i="1"/>
  <c r="Q72" i="1" s="1"/>
  <c r="L72" i="1"/>
  <c r="N71" i="1"/>
  <c r="Q71" i="1" s="1"/>
  <c r="L71" i="1"/>
  <c r="N70" i="1"/>
  <c r="Q70" i="1" s="1"/>
  <c r="T70" i="1" s="1"/>
  <c r="W70" i="1" s="1"/>
  <c r="L70" i="1"/>
  <c r="O69" i="1"/>
  <c r="N69" i="1"/>
  <c r="Q69" i="1" s="1"/>
  <c r="T69" i="1" s="1"/>
  <c r="L69" i="1"/>
  <c r="N68" i="1"/>
  <c r="Q68" i="1" s="1"/>
  <c r="G68" i="1"/>
  <c r="G161" i="1" s="1"/>
  <c r="N67" i="1"/>
  <c r="L67" i="1"/>
  <c r="J66" i="1"/>
  <c r="I66" i="1"/>
  <c r="H66" i="1"/>
  <c r="F66" i="1"/>
  <c r="N65" i="1"/>
  <c r="Q65" i="1" s="1"/>
  <c r="R65" i="1" s="1"/>
  <c r="L65" i="1"/>
  <c r="F65" i="1"/>
  <c r="N64" i="1"/>
  <c r="Q64" i="1" s="1"/>
  <c r="T64" i="1" s="1"/>
  <c r="L64" i="1"/>
  <c r="N63" i="1"/>
  <c r="Q63" i="1" s="1"/>
  <c r="L63" i="1"/>
  <c r="N62" i="1"/>
  <c r="Q62" i="1" s="1"/>
  <c r="L62" i="1"/>
  <c r="N61" i="1"/>
  <c r="Q61" i="1" s="1"/>
  <c r="L61" i="1"/>
  <c r="N60" i="1"/>
  <c r="Q60" i="1" s="1"/>
  <c r="L60" i="1"/>
  <c r="AA59" i="1"/>
  <c r="X59" i="1"/>
  <c r="U59" i="1"/>
  <c r="R59" i="1"/>
  <c r="O59" i="1"/>
  <c r="L59" i="1"/>
  <c r="N58" i="1"/>
  <c r="L58" i="1"/>
  <c r="N57" i="1"/>
  <c r="L57" i="1"/>
  <c r="N56" i="1"/>
  <c r="L56" i="1"/>
  <c r="N55" i="1"/>
  <c r="L55" i="1"/>
  <c r="N54" i="1"/>
  <c r="Q54" i="1" s="1"/>
  <c r="L54" i="1"/>
  <c r="N53" i="1"/>
  <c r="Q53" i="1" s="1"/>
  <c r="L53" i="1"/>
  <c r="N52" i="1"/>
  <c r="Q52" i="1" s="1"/>
  <c r="F52" i="1"/>
  <c r="L52" i="1" s="1"/>
  <c r="N51" i="1"/>
  <c r="Q51" i="1" s="1"/>
  <c r="F51" i="1"/>
  <c r="L51" i="1" s="1"/>
  <c r="K50" i="1"/>
  <c r="J50" i="1"/>
  <c r="I50" i="1"/>
  <c r="H50" i="1"/>
  <c r="G50" i="1"/>
  <c r="E50" i="1"/>
  <c r="E43" i="1" s="1"/>
  <c r="AA49" i="1"/>
  <c r="T49" i="1"/>
  <c r="X49" i="1" s="1"/>
  <c r="R49" i="1"/>
  <c r="O49" i="1"/>
  <c r="Q48" i="1"/>
  <c r="T48" i="1" s="1"/>
  <c r="O48" i="1"/>
  <c r="Q47" i="1"/>
  <c r="R47" i="1" s="1"/>
  <c r="N47" i="1"/>
  <c r="L47" i="1"/>
  <c r="K47" i="1"/>
  <c r="J47" i="1"/>
  <c r="I47" i="1"/>
  <c r="H47" i="1"/>
  <c r="G47" i="1"/>
  <c r="F47" i="1"/>
  <c r="E47" i="1"/>
  <c r="N46" i="1"/>
  <c r="Q46" i="1" s="1"/>
  <c r="F46" i="1"/>
  <c r="L46" i="1" s="1"/>
  <c r="N45" i="1"/>
  <c r="Q45" i="1" s="1"/>
  <c r="F45" i="1"/>
  <c r="F285" i="1" s="1"/>
  <c r="F284" i="1" s="1"/>
  <c r="N44" i="1"/>
  <c r="O44" i="1" s="1"/>
  <c r="F44" i="1"/>
  <c r="F282" i="1" s="1"/>
  <c r="F281" i="1" s="1"/>
  <c r="J43" i="1"/>
  <c r="J42" i="1" s="1"/>
  <c r="N41" i="1"/>
  <c r="K41" i="1"/>
  <c r="L41" i="1" s="1"/>
  <c r="N40" i="1"/>
  <c r="Q40" i="1" s="1"/>
  <c r="K40" i="1"/>
  <c r="L40" i="1" s="1"/>
  <c r="N39" i="1"/>
  <c r="Q39" i="1" s="1"/>
  <c r="L39" i="1"/>
  <c r="N38" i="1"/>
  <c r="Q38" i="1" s="1"/>
  <c r="L38" i="1"/>
  <c r="K37" i="1"/>
  <c r="J37" i="1"/>
  <c r="I37" i="1"/>
  <c r="H37" i="1"/>
  <c r="G37" i="1"/>
  <c r="F37" i="1"/>
  <c r="E37" i="1"/>
  <c r="N36" i="1"/>
  <c r="Q36" i="1" s="1"/>
  <c r="L36" i="1"/>
  <c r="N35" i="1"/>
  <c r="L35" i="1"/>
  <c r="K34" i="1"/>
  <c r="J34" i="1"/>
  <c r="I34" i="1"/>
  <c r="H34" i="1"/>
  <c r="G34" i="1"/>
  <c r="F34" i="1"/>
  <c r="E34" i="1"/>
  <c r="N33" i="1"/>
  <c r="Q33" i="1" s="1"/>
  <c r="L33" i="1"/>
  <c r="N32" i="1"/>
  <c r="O32" i="1" s="1"/>
  <c r="K32" i="1"/>
  <c r="K27" i="1" s="1"/>
  <c r="N31" i="1"/>
  <c r="O31" i="1" s="1"/>
  <c r="L31" i="1"/>
  <c r="N30" i="1"/>
  <c r="Q30" i="1" s="1"/>
  <c r="L30" i="1"/>
  <c r="N29" i="1"/>
  <c r="O29" i="1" s="1"/>
  <c r="L29" i="1"/>
  <c r="N28" i="1"/>
  <c r="L28" i="1"/>
  <c r="J27" i="1"/>
  <c r="I27" i="1"/>
  <c r="H27" i="1"/>
  <c r="G27" i="1"/>
  <c r="F27" i="1"/>
  <c r="E27" i="1"/>
  <c r="N26" i="1"/>
  <c r="L26" i="1"/>
  <c r="N25" i="1"/>
  <c r="L25" i="1"/>
  <c r="N24" i="1"/>
  <c r="L24" i="1"/>
  <c r="K23" i="1"/>
  <c r="K22" i="1" s="1"/>
  <c r="J23" i="1"/>
  <c r="J22" i="1" s="1"/>
  <c r="I23" i="1"/>
  <c r="I22" i="1" s="1"/>
  <c r="H23" i="1"/>
  <c r="H22" i="1" s="1"/>
  <c r="G23" i="1"/>
  <c r="G22" i="1" s="1"/>
  <c r="F23" i="1"/>
  <c r="F22" i="1" s="1"/>
  <c r="E23" i="1"/>
  <c r="Q21" i="1"/>
  <c r="T21" i="1" s="1"/>
  <c r="N21" i="1"/>
  <c r="O21" i="1" s="1"/>
  <c r="L21" i="1"/>
  <c r="N20" i="1"/>
  <c r="O20" i="1" s="1"/>
  <c r="L20" i="1"/>
  <c r="K19" i="1"/>
  <c r="J19" i="1"/>
  <c r="I19" i="1"/>
  <c r="H19" i="1"/>
  <c r="G19" i="1"/>
  <c r="F19" i="1"/>
  <c r="E19" i="1"/>
  <c r="N18" i="1"/>
  <c r="O18" i="1" s="1"/>
  <c r="K18" i="1"/>
  <c r="L18" i="1" s="1"/>
  <c r="N17" i="1"/>
  <c r="Q17" i="1" s="1"/>
  <c r="K17" i="1"/>
  <c r="J16" i="1"/>
  <c r="I16" i="1"/>
  <c r="H16" i="1"/>
  <c r="G16" i="1"/>
  <c r="F16" i="1"/>
  <c r="E16" i="1"/>
  <c r="N15" i="1"/>
  <c r="Q15" i="1" s="1"/>
  <c r="K15" i="1"/>
  <c r="L15" i="1" s="1"/>
  <c r="N14" i="1"/>
  <c r="Q14" i="1" s="1"/>
  <c r="K14" i="1"/>
  <c r="J13" i="1"/>
  <c r="I13" i="1"/>
  <c r="H13" i="1"/>
  <c r="G13" i="1"/>
  <c r="F13" i="1"/>
  <c r="E13" i="1"/>
  <c r="N12" i="1"/>
  <c r="K12" i="1"/>
  <c r="L12" i="1" s="1"/>
  <c r="N11" i="1"/>
  <c r="Q11" i="1" s="1"/>
  <c r="R11" i="1" s="1"/>
  <c r="K11" i="1"/>
  <c r="L11" i="1" s="1"/>
  <c r="L10" i="1" s="1"/>
  <c r="J10" i="1"/>
  <c r="I10" i="1"/>
  <c r="H10" i="1"/>
  <c r="H6" i="1" s="1"/>
  <c r="G10" i="1"/>
  <c r="F10" i="1"/>
  <c r="E10" i="1"/>
  <c r="N8" i="1"/>
  <c r="Q8" i="1" s="1"/>
  <c r="R8" i="1" s="1"/>
  <c r="K8" i="1"/>
  <c r="L8" i="1" s="1"/>
  <c r="L7" i="1" s="1"/>
  <c r="J7" i="1"/>
  <c r="I7" i="1"/>
  <c r="H7" i="1"/>
  <c r="G7" i="1"/>
  <c r="F7" i="1"/>
  <c r="E7" i="1"/>
  <c r="L3" i="1"/>
  <c r="K102" i="1" l="1"/>
  <c r="K178" i="1"/>
  <c r="L181" i="1"/>
  <c r="L152" i="1"/>
  <c r="I243" i="1"/>
  <c r="K16" i="1"/>
  <c r="L196" i="1"/>
  <c r="I239" i="1"/>
  <c r="L248" i="1"/>
  <c r="K208" i="1"/>
  <c r="I178" i="1"/>
  <c r="K218" i="1"/>
  <c r="L258" i="1"/>
  <c r="O142" i="1"/>
  <c r="R161" i="1"/>
  <c r="W166" i="1"/>
  <c r="X166" i="1" s="1"/>
  <c r="Q206" i="1"/>
  <c r="O222" i="1"/>
  <c r="O162" i="1"/>
  <c r="O236" i="1"/>
  <c r="R87" i="1"/>
  <c r="Q103" i="1"/>
  <c r="T103" i="1" s="1"/>
  <c r="W103" i="1" s="1"/>
  <c r="O122" i="1"/>
  <c r="Q89" i="1"/>
  <c r="Q147" i="1"/>
  <c r="R147" i="1" s="1"/>
  <c r="R168" i="1"/>
  <c r="Q196" i="1"/>
  <c r="T196" i="1" s="1"/>
  <c r="U196" i="1" s="1"/>
  <c r="O216" i="1"/>
  <c r="Q119" i="1"/>
  <c r="R119" i="1" s="1"/>
  <c r="O224" i="1"/>
  <c r="O84" i="1"/>
  <c r="N95" i="1"/>
  <c r="R169" i="1"/>
  <c r="R260" i="1"/>
  <c r="T260" i="1"/>
  <c r="W260" i="1" s="1"/>
  <c r="AA260" i="1" s="1"/>
  <c r="T118" i="1"/>
  <c r="U118" i="1" s="1"/>
  <c r="R118" i="1"/>
  <c r="R157" i="1"/>
  <c r="T157" i="1"/>
  <c r="W157" i="1" s="1"/>
  <c r="Z157" i="1" s="1"/>
  <c r="G91" i="1"/>
  <c r="O99" i="1"/>
  <c r="L105" i="1"/>
  <c r="Q112" i="1"/>
  <c r="T112" i="1" s="1"/>
  <c r="Q187" i="1"/>
  <c r="T187" i="1" s="1"/>
  <c r="E192" i="1"/>
  <c r="R234" i="1"/>
  <c r="Q259" i="1"/>
  <c r="R259" i="1" s="1"/>
  <c r="L268" i="1"/>
  <c r="O272" i="1"/>
  <c r="L287" i="1"/>
  <c r="Q31" i="1"/>
  <c r="T31" i="1" s="1"/>
  <c r="W31" i="1" s="1"/>
  <c r="K43" i="1"/>
  <c r="K66" i="1"/>
  <c r="K42" i="1" s="1"/>
  <c r="G270" i="1"/>
  <c r="G154" i="1"/>
  <c r="G150" i="1" s="1"/>
  <c r="N144" i="1"/>
  <c r="N143" i="1" s="1"/>
  <c r="T160" i="1"/>
  <c r="W160" i="1" s="1"/>
  <c r="Q167" i="1"/>
  <c r="R167" i="1" s="1"/>
  <c r="Q216" i="1"/>
  <c r="T216" i="1" s="1"/>
  <c r="L237" i="1"/>
  <c r="Q287" i="1"/>
  <c r="J178" i="1"/>
  <c r="L178" i="1" s="1"/>
  <c r="L240" i="1"/>
  <c r="O260" i="1"/>
  <c r="J6" i="1"/>
  <c r="N10" i="1"/>
  <c r="O10" i="1" s="1"/>
  <c r="I43" i="1"/>
  <c r="I42" i="1" s="1"/>
  <c r="O118" i="1"/>
  <c r="K145" i="1"/>
  <c r="O157" i="1"/>
  <c r="R170" i="1"/>
  <c r="J189" i="1"/>
  <c r="R222" i="1"/>
  <c r="N281" i="1"/>
  <c r="O281" i="1" s="1"/>
  <c r="N293" i="1"/>
  <c r="I6" i="1"/>
  <c r="T272" i="1"/>
  <c r="U272" i="1" s="1"/>
  <c r="L23" i="1"/>
  <c r="O47" i="1"/>
  <c r="R64" i="1"/>
  <c r="O82" i="1"/>
  <c r="O95" i="1"/>
  <c r="L103" i="1"/>
  <c r="H111" i="1"/>
  <c r="J165" i="1"/>
  <c r="L165" i="1" s="1"/>
  <c r="Q211" i="1"/>
  <c r="T211" i="1" s="1"/>
  <c r="U211" i="1" s="1"/>
  <c r="AA220" i="1"/>
  <c r="N264" i="1"/>
  <c r="O264" i="1" s="1"/>
  <c r="L278" i="1"/>
  <c r="L277" i="1" s="1"/>
  <c r="O294" i="1"/>
  <c r="U234" i="1"/>
  <c r="Q7" i="1"/>
  <c r="K95" i="1"/>
  <c r="N98" i="1"/>
  <c r="O98" i="1" s="1"/>
  <c r="L111" i="1"/>
  <c r="K130" i="1"/>
  <c r="W217" i="1"/>
  <c r="O245" i="1"/>
  <c r="Z298" i="1"/>
  <c r="L50" i="1"/>
  <c r="O60" i="1"/>
  <c r="O79" i="1"/>
  <c r="O83" i="1"/>
  <c r="Q101" i="1"/>
  <c r="R101" i="1" s="1"/>
  <c r="N130" i="1"/>
  <c r="O130" i="1" s="1"/>
  <c r="Q186" i="1"/>
  <c r="R186" i="1" s="1"/>
  <c r="O190" i="1"/>
  <c r="Q212" i="1"/>
  <c r="R212" i="1" s="1"/>
  <c r="L242" i="1"/>
  <c r="O258" i="1"/>
  <c r="L286" i="1"/>
  <c r="Q295" i="1"/>
  <c r="T295" i="1" s="1"/>
  <c r="W295" i="1" s="1"/>
  <c r="X295" i="1" s="1"/>
  <c r="O65" i="1"/>
  <c r="Q115" i="1"/>
  <c r="T115" i="1" s="1"/>
  <c r="U115" i="1" s="1"/>
  <c r="O131" i="1"/>
  <c r="L162" i="1"/>
  <c r="O166" i="1"/>
  <c r="O171" i="1"/>
  <c r="Q221" i="1"/>
  <c r="Q218" i="1" s="1"/>
  <c r="Q233" i="1"/>
  <c r="T233" i="1" s="1"/>
  <c r="Q266" i="1"/>
  <c r="T266" i="1" s="1"/>
  <c r="O283" i="1"/>
  <c r="R166" i="1"/>
  <c r="Q194" i="1"/>
  <c r="T194" i="1" s="1"/>
  <c r="U194" i="1" s="1"/>
  <c r="Q197" i="1"/>
  <c r="T197" i="1" s="1"/>
  <c r="H207" i="1"/>
  <c r="L246" i="1"/>
  <c r="O286" i="1"/>
  <c r="R62" i="1"/>
  <c r="T62" i="1"/>
  <c r="W62" i="1" s="1"/>
  <c r="Z62" i="1" s="1"/>
  <c r="W236" i="1"/>
  <c r="Z236" i="1" s="1"/>
  <c r="AA236" i="1" s="1"/>
  <c r="U236" i="1"/>
  <c r="U109" i="1"/>
  <c r="W109" i="1"/>
  <c r="T71" i="1"/>
  <c r="R71" i="1"/>
  <c r="T121" i="1"/>
  <c r="R121" i="1"/>
  <c r="T138" i="1"/>
  <c r="R138" i="1"/>
  <c r="T153" i="1"/>
  <c r="R153" i="1"/>
  <c r="U161" i="1"/>
  <c r="W161" i="1"/>
  <c r="T60" i="1"/>
  <c r="W60" i="1" s="1"/>
  <c r="X60" i="1" s="1"/>
  <c r="R60" i="1"/>
  <c r="L241" i="1"/>
  <c r="K239" i="1"/>
  <c r="L247" i="1"/>
  <c r="Q37" i="1"/>
  <c r="AC37" i="1" s="1"/>
  <c r="T38" i="1"/>
  <c r="W38" i="1" s="1"/>
  <c r="R142" i="1"/>
  <c r="T142" i="1"/>
  <c r="R228" i="1"/>
  <c r="T228" i="1"/>
  <c r="U228" i="1" s="1"/>
  <c r="R155" i="1"/>
  <c r="T155" i="1"/>
  <c r="U155" i="1" s="1"/>
  <c r="R99" i="1"/>
  <c r="T99" i="1"/>
  <c r="T116" i="1"/>
  <c r="R116" i="1"/>
  <c r="Q32" i="1"/>
  <c r="T32" i="1" s="1"/>
  <c r="O71" i="1"/>
  <c r="O78" i="1"/>
  <c r="G263" i="1"/>
  <c r="G229" i="1" s="1"/>
  <c r="K106" i="1"/>
  <c r="L106" i="1" s="1"/>
  <c r="R114" i="1"/>
  <c r="O116" i="1"/>
  <c r="O123" i="1"/>
  <c r="Q137" i="1"/>
  <c r="O158" i="1"/>
  <c r="Q163" i="1"/>
  <c r="R194" i="1"/>
  <c r="O200" i="1"/>
  <c r="O202" i="1"/>
  <c r="Q205" i="1"/>
  <c r="R205" i="1" s="1"/>
  <c r="R211" i="1"/>
  <c r="O232" i="1"/>
  <c r="O254" i="1"/>
  <c r="O270" i="1"/>
  <c r="O273" i="1"/>
  <c r="O293" i="1"/>
  <c r="E154" i="1"/>
  <c r="G43" i="1"/>
  <c r="O62" i="1"/>
  <c r="T65" i="1"/>
  <c r="L68" i="1"/>
  <c r="L66" i="1" s="1"/>
  <c r="O75" i="1"/>
  <c r="R103" i="1"/>
  <c r="Q110" i="1"/>
  <c r="T110" i="1" s="1"/>
  <c r="T108" i="1" s="1"/>
  <c r="W118" i="1"/>
  <c r="Z118" i="1" s="1"/>
  <c r="AA118" i="1" s="1"/>
  <c r="Q131" i="1"/>
  <c r="Q139" i="1"/>
  <c r="R141" i="1"/>
  <c r="Q152" i="1"/>
  <c r="Z166" i="1"/>
  <c r="AA166" i="1" s="1"/>
  <c r="O177" i="1"/>
  <c r="O188" i="1"/>
  <c r="L203" i="1"/>
  <c r="L202" i="1" s="1"/>
  <c r="N218" i="1"/>
  <c r="L221" i="1"/>
  <c r="N235" i="1"/>
  <c r="O235" i="1" s="1"/>
  <c r="O244" i="1"/>
  <c r="T280" i="1"/>
  <c r="L293" i="1"/>
  <c r="O296" i="1"/>
  <c r="W211" i="1"/>
  <c r="X211" i="1" s="1"/>
  <c r="T8" i="1"/>
  <c r="O11" i="1"/>
  <c r="O33" i="1"/>
  <c r="O38" i="1"/>
  <c r="H43" i="1"/>
  <c r="H42" i="1" s="1"/>
  <c r="R48" i="1"/>
  <c r="E66" i="1"/>
  <c r="E42" i="1" s="1"/>
  <c r="Q100" i="1"/>
  <c r="Q98" i="1" s="1"/>
  <c r="R98" i="1" s="1"/>
  <c r="T135" i="1"/>
  <c r="W141" i="1"/>
  <c r="N148" i="1"/>
  <c r="O148" i="1" s="1"/>
  <c r="L159" i="1"/>
  <c r="H192" i="1"/>
  <c r="F231" i="1"/>
  <c r="Q237" i="1"/>
  <c r="T237" i="1" s="1"/>
  <c r="U237" i="1" s="1"/>
  <c r="Q242" i="1"/>
  <c r="K277" i="1"/>
  <c r="K263" i="1" s="1"/>
  <c r="N27" i="1"/>
  <c r="O27" i="1" s="1"/>
  <c r="E6" i="1"/>
  <c r="T11" i="1"/>
  <c r="W11" i="1" s="1"/>
  <c r="Q29" i="1"/>
  <c r="T29" i="1" s="1"/>
  <c r="T82" i="1"/>
  <c r="O85" i="1"/>
  <c r="E143" i="1"/>
  <c r="Q181" i="1"/>
  <c r="I192" i="1"/>
  <c r="Q203" i="1"/>
  <c r="T203" i="1" s="1"/>
  <c r="N243" i="1"/>
  <c r="O243" i="1" s="1"/>
  <c r="G251" i="1"/>
  <c r="T255" i="1"/>
  <c r="W255" i="1" s="1"/>
  <c r="R271" i="1"/>
  <c r="O274" i="1"/>
  <c r="N19" i="1"/>
  <c r="O19" i="1" s="1"/>
  <c r="E22" i="1"/>
  <c r="L44" i="1"/>
  <c r="N50" i="1"/>
  <c r="N43" i="1" s="1"/>
  <c r="O43" i="1" s="1"/>
  <c r="G66" i="1"/>
  <c r="Q97" i="1"/>
  <c r="L142" i="1"/>
  <c r="F143" i="1"/>
  <c r="L147" i="1"/>
  <c r="N277" i="1"/>
  <c r="O277" i="1" s="1"/>
  <c r="J91" i="1"/>
  <c r="J107" i="1" s="1"/>
  <c r="J124" i="1" s="1"/>
  <c r="R217" i="1"/>
  <c r="O219" i="1"/>
  <c r="O218" i="1" s="1"/>
  <c r="L235" i="1"/>
  <c r="K247" i="1"/>
  <c r="R268" i="1"/>
  <c r="L296" i="1"/>
  <c r="Q44" i="1"/>
  <c r="T44" i="1" s="1"/>
  <c r="U44" i="1" s="1"/>
  <c r="U49" i="1"/>
  <c r="O72" i="1"/>
  <c r="O86" i="1"/>
  <c r="O90" i="1"/>
  <c r="O117" i="1"/>
  <c r="R136" i="1"/>
  <c r="O138" i="1"/>
  <c r="O153" i="1"/>
  <c r="L179" i="1"/>
  <c r="Q199" i="1"/>
  <c r="E228" i="1"/>
  <c r="L228" i="1" s="1"/>
  <c r="O256" i="1"/>
  <c r="I207" i="1"/>
  <c r="F6" i="1"/>
  <c r="Q18" i="1"/>
  <c r="Q16" i="1" s="1"/>
  <c r="Q20" i="1"/>
  <c r="Q19" i="1" s="1"/>
  <c r="R19" i="1" s="1"/>
  <c r="O77" i="1"/>
  <c r="O80" i="1"/>
  <c r="N88" i="1"/>
  <c r="O88" i="1" s="1"/>
  <c r="L96" i="1"/>
  <c r="L95" i="1" s="1"/>
  <c r="U136" i="1"/>
  <c r="K193" i="1"/>
  <c r="K192" i="1" s="1"/>
  <c r="R83" i="1"/>
  <c r="O113" i="1"/>
  <c r="O120" i="1"/>
  <c r="O155" i="1"/>
  <c r="Z169" i="1"/>
  <c r="AA169" i="1" s="1"/>
  <c r="X171" i="1"/>
  <c r="Q175" i="1"/>
  <c r="R175" i="1" s="1"/>
  <c r="L194" i="1"/>
  <c r="R196" i="1"/>
  <c r="R204" i="1"/>
  <c r="I218" i="1"/>
  <c r="R224" i="1"/>
  <c r="O228" i="1"/>
  <c r="O257" i="1"/>
  <c r="R269" i="1"/>
  <c r="Q276" i="1"/>
  <c r="T276" i="1" s="1"/>
  <c r="O278" i="1"/>
  <c r="K7" i="1"/>
  <c r="O87" i="1"/>
  <c r="O109" i="1"/>
  <c r="O151" i="1"/>
  <c r="Q179" i="1"/>
  <c r="R179" i="1" s="1"/>
  <c r="L197" i="1"/>
  <c r="W224" i="1"/>
  <c r="K243" i="1"/>
  <c r="T30" i="1"/>
  <c r="R30" i="1"/>
  <c r="W86" i="1"/>
  <c r="U86" i="1"/>
  <c r="T61" i="1"/>
  <c r="R61" i="1"/>
  <c r="W21" i="1"/>
  <c r="U21" i="1"/>
  <c r="T39" i="1"/>
  <c r="R39" i="1"/>
  <c r="T51" i="1"/>
  <c r="R51" i="1"/>
  <c r="Q50" i="1"/>
  <c r="W64" i="1"/>
  <c r="U64" i="1"/>
  <c r="T36" i="1"/>
  <c r="R36" i="1"/>
  <c r="W48" i="1"/>
  <c r="U48" i="1"/>
  <c r="T47" i="1"/>
  <c r="U47" i="1" s="1"/>
  <c r="Z70" i="1"/>
  <c r="X70" i="1"/>
  <c r="T14" i="1"/>
  <c r="R14" i="1"/>
  <c r="Q13" i="1"/>
  <c r="W44" i="1"/>
  <c r="T17" i="1"/>
  <c r="R17" i="1"/>
  <c r="T40" i="1"/>
  <c r="R40" i="1"/>
  <c r="T45" i="1"/>
  <c r="R45" i="1"/>
  <c r="T46" i="1"/>
  <c r="R46" i="1"/>
  <c r="T63" i="1"/>
  <c r="R63" i="1"/>
  <c r="W29" i="1"/>
  <c r="U29" i="1"/>
  <c r="G6" i="1"/>
  <c r="R18" i="1"/>
  <c r="R29" i="1"/>
  <c r="T33" i="1"/>
  <c r="R33" i="1"/>
  <c r="O45" i="1"/>
  <c r="O51" i="1"/>
  <c r="T53" i="1"/>
  <c r="R53" i="1"/>
  <c r="Q67" i="1"/>
  <c r="O67" i="1"/>
  <c r="N66" i="1"/>
  <c r="O66" i="1" s="1"/>
  <c r="R69" i="1"/>
  <c r="O76" i="1"/>
  <c r="T85" i="1"/>
  <c r="R85" i="1"/>
  <c r="W87" i="1"/>
  <c r="U87" i="1"/>
  <c r="L17" i="1"/>
  <c r="L16" i="1" s="1"/>
  <c r="R38" i="1"/>
  <c r="O53" i="1"/>
  <c r="Q55" i="1"/>
  <c r="O55" i="1"/>
  <c r="Q57" i="1"/>
  <c r="O57" i="1"/>
  <c r="O64" i="1"/>
  <c r="Q74" i="1"/>
  <c r="R104" i="1"/>
  <c r="T104" i="1"/>
  <c r="J175" i="1"/>
  <c r="E172" i="1"/>
  <c r="E150" i="1" s="1"/>
  <c r="W83" i="1"/>
  <c r="U83" i="1"/>
  <c r="O17" i="1"/>
  <c r="L32" i="1"/>
  <c r="L27" i="1" s="1"/>
  <c r="O36" i="1"/>
  <c r="T101" i="1"/>
  <c r="U114" i="1"/>
  <c r="W114" i="1"/>
  <c r="K13" i="1"/>
  <c r="O15" i="1"/>
  <c r="N16" i="1"/>
  <c r="O16" i="1" s="1"/>
  <c r="Q24" i="1"/>
  <c r="O24" i="1"/>
  <c r="O28" i="1"/>
  <c r="O30" i="1"/>
  <c r="O40" i="1"/>
  <c r="O61" i="1"/>
  <c r="R70" i="1"/>
  <c r="T72" i="1"/>
  <c r="R72" i="1"/>
  <c r="T77" i="1"/>
  <c r="R77" i="1"/>
  <c r="Q12" i="1"/>
  <c r="O12" i="1"/>
  <c r="L14" i="1"/>
  <c r="L13" i="1" s="1"/>
  <c r="L6" i="1" s="1"/>
  <c r="Q28" i="1"/>
  <c r="L34" i="1"/>
  <c r="T68" i="1"/>
  <c r="R68" i="1"/>
  <c r="U70" i="1"/>
  <c r="T75" i="1"/>
  <c r="R75" i="1"/>
  <c r="R86" i="1"/>
  <c r="Q191" i="1"/>
  <c r="O191" i="1"/>
  <c r="N34" i="1"/>
  <c r="O34" i="1" s="1"/>
  <c r="T52" i="1"/>
  <c r="R52" i="1"/>
  <c r="T54" i="1"/>
  <c r="R54" i="1"/>
  <c r="O63" i="1"/>
  <c r="O68" i="1"/>
  <c r="N92" i="1"/>
  <c r="W105" i="1"/>
  <c r="U105" i="1"/>
  <c r="R120" i="1"/>
  <c r="T120" i="1"/>
  <c r="O50" i="1"/>
  <c r="O70" i="1"/>
  <c r="Q26" i="1"/>
  <c r="O26" i="1"/>
  <c r="N7" i="1"/>
  <c r="O8" i="1"/>
  <c r="K10" i="1"/>
  <c r="O14" i="1"/>
  <c r="R21" i="1"/>
  <c r="O35" i="1"/>
  <c r="O39" i="1"/>
  <c r="O46" i="1"/>
  <c r="F50" i="1"/>
  <c r="F43" i="1" s="1"/>
  <c r="F42" i="1" s="1"/>
  <c r="O52" i="1"/>
  <c r="O54" i="1"/>
  <c r="Q56" i="1"/>
  <c r="O56" i="1"/>
  <c r="Q58" i="1"/>
  <c r="O58" i="1"/>
  <c r="W84" i="1"/>
  <c r="U84" i="1"/>
  <c r="L164" i="1"/>
  <c r="T15" i="1"/>
  <c r="R15" i="1"/>
  <c r="N13" i="1"/>
  <c r="O13" i="1" s="1"/>
  <c r="L19" i="1"/>
  <c r="N23" i="1"/>
  <c r="Q35" i="1"/>
  <c r="L37" i="1"/>
  <c r="T106" i="1"/>
  <c r="R106" i="1"/>
  <c r="W8" i="1"/>
  <c r="U8" i="1"/>
  <c r="T7" i="1"/>
  <c r="T93" i="1"/>
  <c r="R93" i="1"/>
  <c r="Q92" i="1"/>
  <c r="R113" i="1"/>
  <c r="T113" i="1"/>
  <c r="U11" i="1"/>
  <c r="N37" i="1"/>
  <c r="O37" i="1" s="1"/>
  <c r="L45" i="1"/>
  <c r="Q73" i="1"/>
  <c r="O73" i="1"/>
  <c r="O93" i="1"/>
  <c r="O106" i="1"/>
  <c r="T117" i="1"/>
  <c r="R117" i="1"/>
  <c r="L206" i="1"/>
  <c r="Q25" i="1"/>
  <c r="O25" i="1"/>
  <c r="AC34" i="1"/>
  <c r="Q41" i="1"/>
  <c r="AC40" i="1" s="1"/>
  <c r="O41" i="1"/>
  <c r="W69" i="1"/>
  <c r="U69" i="1"/>
  <c r="T76" i="1"/>
  <c r="R76" i="1"/>
  <c r="Q81" i="1"/>
  <c r="O81" i="1"/>
  <c r="T79" i="1"/>
  <c r="R79" i="1"/>
  <c r="R177" i="1"/>
  <c r="L99" i="1"/>
  <c r="L98" i="1" s="1"/>
  <c r="K98" i="1"/>
  <c r="T134" i="1"/>
  <c r="R134" i="1"/>
  <c r="Q164" i="1"/>
  <c r="O164" i="1"/>
  <c r="Q182" i="1"/>
  <c r="O182" i="1"/>
  <c r="L189" i="1"/>
  <c r="X136" i="1"/>
  <c r="Z136" i="1"/>
  <c r="L151" i="1"/>
  <c r="T94" i="1"/>
  <c r="R94" i="1"/>
  <c r="H91" i="1"/>
  <c r="Z122" i="1"/>
  <c r="X122" i="1"/>
  <c r="W168" i="1"/>
  <c r="Q180" i="1"/>
  <c r="Q178" i="1" s="1"/>
  <c r="O180" i="1"/>
  <c r="N178" i="1"/>
  <c r="O178" i="1" s="1"/>
  <c r="Q253" i="1"/>
  <c r="N252" i="1"/>
  <c r="T78" i="1"/>
  <c r="R78" i="1"/>
  <c r="T80" i="1"/>
  <c r="R80" i="1"/>
  <c r="L89" i="1"/>
  <c r="L88" i="1" s="1"/>
  <c r="K88" i="1"/>
  <c r="O94" i="1"/>
  <c r="I91" i="1"/>
  <c r="I107" i="1" s="1"/>
  <c r="I124" i="1" s="1"/>
  <c r="O105" i="1"/>
  <c r="R109" i="1"/>
  <c r="Q130" i="1"/>
  <c r="T132" i="1"/>
  <c r="R132" i="1"/>
  <c r="O253" i="1"/>
  <c r="R84" i="1"/>
  <c r="T90" i="1"/>
  <c r="R105" i="1"/>
  <c r="T149" i="1"/>
  <c r="Q148" i="1"/>
  <c r="R149" i="1"/>
  <c r="T165" i="1"/>
  <c r="R165" i="1"/>
  <c r="L173" i="1"/>
  <c r="K172" i="1"/>
  <c r="K150" i="1" s="1"/>
  <c r="E263" i="1"/>
  <c r="L270" i="1"/>
  <c r="E91" i="1"/>
  <c r="T119" i="1"/>
  <c r="T123" i="1"/>
  <c r="R123" i="1"/>
  <c r="Q140" i="1"/>
  <c r="O140" i="1"/>
  <c r="T158" i="1"/>
  <c r="R158" i="1"/>
  <c r="Q173" i="1"/>
  <c r="F91" i="1"/>
  <c r="K92" i="1"/>
  <c r="L93" i="1"/>
  <c r="L92" i="1" s="1"/>
  <c r="Z109" i="1"/>
  <c r="X109" i="1"/>
  <c r="T139" i="1"/>
  <c r="R139" i="1"/>
  <c r="K144" i="1"/>
  <c r="K143" i="1" s="1"/>
  <c r="L145" i="1"/>
  <c r="L144" i="1" s="1"/>
  <c r="W184" i="1"/>
  <c r="U184" i="1"/>
  <c r="Q195" i="1"/>
  <c r="N193" i="1"/>
  <c r="N192" i="1" s="1"/>
  <c r="O195" i="1"/>
  <c r="O193" i="1" s="1"/>
  <c r="T145" i="1"/>
  <c r="R145" i="1"/>
  <c r="Q144" i="1"/>
  <c r="W177" i="1"/>
  <c r="U177" i="1"/>
  <c r="L177" i="1"/>
  <c r="I172" i="1"/>
  <c r="I150" i="1" s="1"/>
  <c r="W196" i="1"/>
  <c r="N111" i="1"/>
  <c r="O111" i="1" s="1"/>
  <c r="T133" i="1"/>
  <c r="R133" i="1"/>
  <c r="O143" i="1"/>
  <c r="T151" i="1"/>
  <c r="R151" i="1"/>
  <c r="O156" i="1"/>
  <c r="N154" i="1"/>
  <c r="Q159" i="1"/>
  <c r="O159" i="1"/>
  <c r="J166" i="1"/>
  <c r="L166" i="1" s="1"/>
  <c r="T206" i="1"/>
  <c r="R206" i="1"/>
  <c r="X224" i="1"/>
  <c r="Z224" i="1"/>
  <c r="T245" i="1"/>
  <c r="R245" i="1"/>
  <c r="N102" i="1"/>
  <c r="O102" i="1" s="1"/>
  <c r="O133" i="1"/>
  <c r="Q156" i="1"/>
  <c r="T162" i="1"/>
  <c r="X170" i="1"/>
  <c r="T175" i="1"/>
  <c r="U189" i="1"/>
  <c r="R197" i="1"/>
  <c r="L274" i="1"/>
  <c r="E281" i="1"/>
  <c r="L282" i="1"/>
  <c r="H172" i="1"/>
  <c r="H150" i="1" s="1"/>
  <c r="Q185" i="1"/>
  <c r="Z189" i="1"/>
  <c r="U204" i="1"/>
  <c r="W204" i="1"/>
  <c r="N108" i="1"/>
  <c r="O108" i="1" s="1"/>
  <c r="T200" i="1"/>
  <c r="R200" i="1"/>
  <c r="L209" i="1"/>
  <c r="T291" i="1"/>
  <c r="R291" i="1"/>
  <c r="O114" i="1"/>
  <c r="L131" i="1"/>
  <c r="L130" i="1" s="1"/>
  <c r="O132" i="1"/>
  <c r="T146" i="1"/>
  <c r="L160" i="1"/>
  <c r="L163" i="1"/>
  <c r="T179" i="1"/>
  <c r="G192" i="1"/>
  <c r="L198" i="1"/>
  <c r="T285" i="1"/>
  <c r="R285" i="1"/>
  <c r="Q284" i="1"/>
  <c r="R284" i="1" s="1"/>
  <c r="J155" i="1"/>
  <c r="E148" i="1"/>
  <c r="L149" i="1"/>
  <c r="L148" i="1" s="1"/>
  <c r="Q174" i="1"/>
  <c r="O174" i="1"/>
  <c r="Q183" i="1"/>
  <c r="O183" i="1"/>
  <c r="T188" i="1"/>
  <c r="R188" i="1"/>
  <c r="Q214" i="1"/>
  <c r="O214" i="1"/>
  <c r="Q223" i="1"/>
  <c r="Q201" i="1"/>
  <c r="O201" i="1"/>
  <c r="Q210" i="1"/>
  <c r="O210" i="1"/>
  <c r="N247" i="1"/>
  <c r="O247" i="1" s="1"/>
  <c r="Q248" i="1"/>
  <c r="O248" i="1"/>
  <c r="R258" i="1"/>
  <c r="T258" i="1"/>
  <c r="L272" i="1"/>
  <c r="L285" i="1"/>
  <c r="T290" i="1"/>
  <c r="R290" i="1"/>
  <c r="Q209" i="1"/>
  <c r="O209" i="1"/>
  <c r="N208" i="1"/>
  <c r="Q230" i="1"/>
  <c r="R256" i="1"/>
  <c r="T256" i="1"/>
  <c r="W269" i="1"/>
  <c r="U269" i="1"/>
  <c r="O134" i="1"/>
  <c r="O145" i="1"/>
  <c r="O165" i="1"/>
  <c r="Q225" i="1"/>
  <c r="O225" i="1"/>
  <c r="O230" i="1"/>
  <c r="W237" i="1"/>
  <c r="T262" i="1"/>
  <c r="R262" i="1"/>
  <c r="O135" i="1"/>
  <c r="O146" i="1"/>
  <c r="O160" i="1"/>
  <c r="J161" i="1"/>
  <c r="L161" i="1" s="1"/>
  <c r="O189" i="1"/>
  <c r="T190" i="1"/>
  <c r="W194" i="1"/>
  <c r="Q198" i="1"/>
  <c r="R237" i="1"/>
  <c r="Q249" i="1"/>
  <c r="O249" i="1"/>
  <c r="T270" i="1"/>
  <c r="R270" i="1"/>
  <c r="O136" i="1"/>
  <c r="O141" i="1"/>
  <c r="O149" i="1"/>
  <c r="R189" i="1"/>
  <c r="L216" i="1"/>
  <c r="L215" i="1" s="1"/>
  <c r="K215" i="1"/>
  <c r="X260" i="1"/>
  <c r="W267" i="1"/>
  <c r="Q246" i="1"/>
  <c r="Q243" i="1" s="1"/>
  <c r="R243" i="1" s="1"/>
  <c r="O246" i="1"/>
  <c r="T254" i="1"/>
  <c r="R254" i="1"/>
  <c r="T257" i="1"/>
  <c r="R257" i="1"/>
  <c r="R278" i="1"/>
  <c r="T278" i="1"/>
  <c r="AA226" i="1"/>
  <c r="T232" i="1"/>
  <c r="R232" i="1"/>
  <c r="J193" i="1"/>
  <c r="J192" i="1" s="1"/>
  <c r="L195" i="1"/>
  <c r="L210" i="1"/>
  <c r="F208" i="1"/>
  <c r="F207" i="1" s="1"/>
  <c r="K231" i="1"/>
  <c r="L233" i="1"/>
  <c r="L231" i="1" s="1"/>
  <c r="T241" i="1"/>
  <c r="R241" i="1"/>
  <c r="T244" i="1"/>
  <c r="R244" i="1"/>
  <c r="U268" i="1"/>
  <c r="W268" i="1"/>
  <c r="F263" i="1"/>
  <c r="L271" i="1"/>
  <c r="J207" i="1"/>
  <c r="W222" i="1"/>
  <c r="U222" i="1"/>
  <c r="O227" i="1"/>
  <c r="Q227" i="1"/>
  <c r="W238" i="1"/>
  <c r="U238" i="1"/>
  <c r="Q250" i="1"/>
  <c r="O250" i="1"/>
  <c r="R219" i="1"/>
  <c r="Z234" i="1"/>
  <c r="O240" i="1"/>
  <c r="N239" i="1"/>
  <c r="O239" i="1" s="1"/>
  <c r="Q240" i="1"/>
  <c r="L259" i="1"/>
  <c r="R273" i="1"/>
  <c r="T273" i="1"/>
  <c r="T283" i="1"/>
  <c r="O289" i="1"/>
  <c r="Q289" i="1"/>
  <c r="T219" i="1"/>
  <c r="L222" i="1"/>
  <c r="L218" i="1" s="1"/>
  <c r="AA298" i="1"/>
  <c r="W272" i="1"/>
  <c r="Q282" i="1"/>
  <c r="J292" i="1"/>
  <c r="L292" i="1" s="1"/>
  <c r="E218" i="1"/>
  <c r="E207" i="1" s="1"/>
  <c r="H229" i="1"/>
  <c r="K257" i="1"/>
  <c r="J263" i="1"/>
  <c r="R265" i="1"/>
  <c r="O268" i="1"/>
  <c r="R275" i="1"/>
  <c r="T275" i="1"/>
  <c r="U280" i="1"/>
  <c r="W280" i="1"/>
  <c r="T288" i="1"/>
  <c r="U295" i="1"/>
  <c r="R296" i="1"/>
  <c r="X297" i="1"/>
  <c r="L230" i="1"/>
  <c r="N231" i="1"/>
  <c r="O231" i="1" s="1"/>
  <c r="O237" i="1"/>
  <c r="F243" i="1"/>
  <c r="T265" i="1"/>
  <c r="O271" i="1"/>
  <c r="R287" i="1"/>
  <c r="T287" i="1"/>
  <c r="J291" i="1"/>
  <c r="L291" i="1" s="1"/>
  <c r="Z295" i="1"/>
  <c r="Z297" i="1"/>
  <c r="W271" i="1"/>
  <c r="Q279" i="1"/>
  <c r="Q277" i="1" s="1"/>
  <c r="R277" i="1" s="1"/>
  <c r="O279" i="1"/>
  <c r="O291" i="1"/>
  <c r="R292" i="1"/>
  <c r="Q294" i="1"/>
  <c r="O300" i="1"/>
  <c r="L243" i="1"/>
  <c r="O261" i="1"/>
  <c r="Q261" i="1"/>
  <c r="R267" i="1"/>
  <c r="T286" i="1"/>
  <c r="W292" i="1"/>
  <c r="R300" i="1"/>
  <c r="R236" i="1"/>
  <c r="L273" i="1"/>
  <c r="T274" i="1"/>
  <c r="L283" i="1"/>
  <c r="W300" i="1"/>
  <c r="L284" i="1" l="1"/>
  <c r="I229" i="1"/>
  <c r="I299" i="1" s="1"/>
  <c r="I301" i="1" s="1"/>
  <c r="I302" i="1" s="1"/>
  <c r="K207" i="1"/>
  <c r="T186" i="1"/>
  <c r="Q231" i="1"/>
  <c r="R89" i="1"/>
  <c r="T89" i="1"/>
  <c r="T259" i="1"/>
  <c r="R187" i="1"/>
  <c r="U160" i="1"/>
  <c r="X62" i="1"/>
  <c r="Q215" i="1"/>
  <c r="R215" i="1" s="1"/>
  <c r="T212" i="1"/>
  <c r="W212" i="1" s="1"/>
  <c r="T147" i="1"/>
  <c r="T102" i="1"/>
  <c r="U102" i="1" s="1"/>
  <c r="Q235" i="1"/>
  <c r="R235" i="1" s="1"/>
  <c r="R178" i="1"/>
  <c r="W115" i="1"/>
  <c r="Z115" i="1" s="1"/>
  <c r="AA115" i="1" s="1"/>
  <c r="Q108" i="1"/>
  <c r="R108" i="1" s="1"/>
  <c r="U103" i="1"/>
  <c r="Q102" i="1"/>
  <c r="T167" i="1"/>
  <c r="R218" i="1"/>
  <c r="W228" i="1"/>
  <c r="X228" i="1" s="1"/>
  <c r="Q88" i="1"/>
  <c r="R88" i="1" s="1"/>
  <c r="R233" i="1"/>
  <c r="N263" i="1"/>
  <c r="Q264" i="1"/>
  <c r="J172" i="1"/>
  <c r="J150" i="1" s="1"/>
  <c r="R231" i="1"/>
  <c r="Z60" i="1"/>
  <c r="AA60" i="1" s="1"/>
  <c r="Z211" i="1"/>
  <c r="Q111" i="1"/>
  <c r="R111" i="1" s="1"/>
  <c r="Q154" i="1"/>
  <c r="R154" i="1" s="1"/>
  <c r="R44" i="1"/>
  <c r="U157" i="1"/>
  <c r="L43" i="1"/>
  <c r="L42" i="1" s="1"/>
  <c r="W155" i="1"/>
  <c r="R216" i="1"/>
  <c r="L263" i="1"/>
  <c r="X157" i="1"/>
  <c r="U31" i="1"/>
  <c r="R32" i="1"/>
  <c r="U60" i="1"/>
  <c r="R115" i="1"/>
  <c r="L239" i="1"/>
  <c r="U112" i="1"/>
  <c r="W112" i="1"/>
  <c r="F229" i="1"/>
  <c r="F299" i="1" s="1"/>
  <c r="F301" i="1" s="1"/>
  <c r="R148" i="1"/>
  <c r="L22" i="1"/>
  <c r="X217" i="1"/>
  <c r="Z217" i="1"/>
  <c r="AA217" i="1" s="1"/>
  <c r="R31" i="1"/>
  <c r="U260" i="1"/>
  <c r="U255" i="1"/>
  <c r="L193" i="1"/>
  <c r="L192" i="1" s="1"/>
  <c r="J154" i="1"/>
  <c r="X118" i="1"/>
  <c r="R221" i="1"/>
  <c r="T221" i="1"/>
  <c r="T218" i="1" s="1"/>
  <c r="U218" i="1" s="1"/>
  <c r="L102" i="1"/>
  <c r="L91" i="1" s="1"/>
  <c r="R112" i="1"/>
  <c r="R20" i="1"/>
  <c r="R276" i="1"/>
  <c r="R266" i="1"/>
  <c r="R295" i="1"/>
  <c r="Q193" i="1"/>
  <c r="R193" i="1" s="1"/>
  <c r="E229" i="1"/>
  <c r="T20" i="1"/>
  <c r="U20" i="1" s="1"/>
  <c r="T18" i="1"/>
  <c r="W18" i="1" s="1"/>
  <c r="E299" i="1"/>
  <c r="E301" i="1" s="1"/>
  <c r="O263" i="1"/>
  <c r="U138" i="1"/>
  <c r="W138" i="1"/>
  <c r="U62" i="1"/>
  <c r="T181" i="1"/>
  <c r="R181" i="1"/>
  <c r="W235" i="1"/>
  <c r="N42" i="1"/>
  <c r="O42" i="1" s="1"/>
  <c r="R152" i="1"/>
  <c r="T152" i="1"/>
  <c r="G42" i="1"/>
  <c r="G107" i="1" s="1"/>
  <c r="G124" i="1" s="1"/>
  <c r="G302" i="1" s="1"/>
  <c r="F107" i="1"/>
  <c r="F124" i="1" s="1"/>
  <c r="X38" i="1"/>
  <c r="W82" i="1"/>
  <c r="U82" i="1"/>
  <c r="T163" i="1"/>
  <c r="R163" i="1"/>
  <c r="U116" i="1"/>
  <c r="W116" i="1"/>
  <c r="W121" i="1"/>
  <c r="U121" i="1"/>
  <c r="U65" i="1"/>
  <c r="W65" i="1"/>
  <c r="X236" i="1"/>
  <c r="R110" i="1"/>
  <c r="T235" i="1"/>
  <c r="U235" i="1" s="1"/>
  <c r="X141" i="1"/>
  <c r="Z141" i="1"/>
  <c r="AA141" i="1" s="1"/>
  <c r="W99" i="1"/>
  <c r="U99" i="1"/>
  <c r="E107" i="1"/>
  <c r="E109" i="1" s="1"/>
  <c r="E108" i="1" s="1"/>
  <c r="K91" i="1"/>
  <c r="K107" i="1" s="1"/>
  <c r="L143" i="1"/>
  <c r="N207" i="1"/>
  <c r="H107" i="1"/>
  <c r="H124" i="1" s="1"/>
  <c r="H302" i="1" s="1"/>
  <c r="K6" i="1"/>
  <c r="U135" i="1"/>
  <c r="W135" i="1"/>
  <c r="R131" i="1"/>
  <c r="T131" i="1"/>
  <c r="R137" i="1"/>
  <c r="T137" i="1"/>
  <c r="U71" i="1"/>
  <c r="W71" i="1"/>
  <c r="L9" i="1"/>
  <c r="G299" i="1"/>
  <c r="G301" i="1" s="1"/>
  <c r="O154" i="1"/>
  <c r="O208" i="1"/>
  <c r="O207" i="1" s="1"/>
  <c r="T199" i="1"/>
  <c r="R199" i="1"/>
  <c r="T100" i="1"/>
  <c r="R100" i="1"/>
  <c r="T205" i="1"/>
  <c r="U205" i="1" s="1"/>
  <c r="U38" i="1"/>
  <c r="U110" i="1"/>
  <c r="W110" i="1"/>
  <c r="Z161" i="1"/>
  <c r="AA161" i="1" s="1"/>
  <c r="X161" i="1"/>
  <c r="H299" i="1"/>
  <c r="H301" i="1" s="1"/>
  <c r="O192" i="1"/>
  <c r="Q95" i="1"/>
  <c r="R95" i="1" s="1"/>
  <c r="T97" i="1"/>
  <c r="R97" i="1"/>
  <c r="Q202" i="1"/>
  <c r="R202" i="1" s="1"/>
  <c r="R203" i="1"/>
  <c r="T242" i="1"/>
  <c r="R242" i="1"/>
  <c r="U142" i="1"/>
  <c r="W142" i="1"/>
  <c r="U153" i="1"/>
  <c r="W153" i="1"/>
  <c r="T81" i="1"/>
  <c r="R81" i="1"/>
  <c r="W113" i="1"/>
  <c r="U113" i="1"/>
  <c r="W15" i="1"/>
  <c r="U15" i="1"/>
  <c r="W54" i="1"/>
  <c r="U54" i="1"/>
  <c r="T12" i="1"/>
  <c r="R12" i="1"/>
  <c r="Q10" i="1"/>
  <c r="Z114" i="1"/>
  <c r="X114" i="1"/>
  <c r="X300" i="1"/>
  <c r="Z300" i="1"/>
  <c r="Z194" i="1"/>
  <c r="X194" i="1"/>
  <c r="Z237" i="1"/>
  <c r="X237" i="1"/>
  <c r="R209" i="1"/>
  <c r="Q208" i="1"/>
  <c r="T209" i="1"/>
  <c r="Z255" i="1"/>
  <c r="X255" i="1"/>
  <c r="L208" i="1"/>
  <c r="L207" i="1" s="1"/>
  <c r="W175" i="1"/>
  <c r="U175" i="1"/>
  <c r="AA224" i="1"/>
  <c r="Q143" i="1"/>
  <c r="R143" i="1" s="1"/>
  <c r="R144" i="1"/>
  <c r="W123" i="1"/>
  <c r="U123" i="1"/>
  <c r="T253" i="1"/>
  <c r="Q252" i="1"/>
  <c r="R253" i="1"/>
  <c r="T56" i="1"/>
  <c r="R56" i="1"/>
  <c r="T57" i="1"/>
  <c r="R57" i="1"/>
  <c r="W53" i="1"/>
  <c r="U53" i="1"/>
  <c r="W40" i="1"/>
  <c r="U40" i="1"/>
  <c r="W14" i="1"/>
  <c r="U14" i="1"/>
  <c r="T13" i="1"/>
  <c r="U13" i="1" s="1"/>
  <c r="Z21" i="1"/>
  <c r="X21" i="1"/>
  <c r="T250" i="1"/>
  <c r="R250" i="1"/>
  <c r="T198" i="1"/>
  <c r="R198" i="1"/>
  <c r="Z196" i="1"/>
  <c r="X196" i="1"/>
  <c r="AA38" i="1"/>
  <c r="W287" i="1"/>
  <c r="U287" i="1"/>
  <c r="W288" i="1"/>
  <c r="U288" i="1"/>
  <c r="R240" i="1"/>
  <c r="Q239" i="1"/>
  <c r="R239" i="1" s="1"/>
  <c r="T240" i="1"/>
  <c r="T227" i="1"/>
  <c r="R227" i="1"/>
  <c r="X267" i="1"/>
  <c r="Z267" i="1"/>
  <c r="W190" i="1"/>
  <c r="U190" i="1"/>
  <c r="Z269" i="1"/>
  <c r="X269" i="1"/>
  <c r="T248" i="1"/>
  <c r="Q247" i="1"/>
  <c r="R247" i="1" s="1"/>
  <c r="R248" i="1"/>
  <c r="AA211" i="1"/>
  <c r="U146" i="1"/>
  <c r="W146" i="1"/>
  <c r="W200" i="1"/>
  <c r="U200" i="1"/>
  <c r="W162" i="1"/>
  <c r="U162" i="1"/>
  <c r="W145" i="1"/>
  <c r="T144" i="1"/>
  <c r="U145" i="1"/>
  <c r="T111" i="1"/>
  <c r="W134" i="1"/>
  <c r="U134" i="1"/>
  <c r="AA62" i="1"/>
  <c r="W75" i="1"/>
  <c r="U75" i="1"/>
  <c r="W101" i="1"/>
  <c r="U101" i="1"/>
  <c r="L175" i="1"/>
  <c r="L172" i="1" s="1"/>
  <c r="T55" i="1"/>
  <c r="R55" i="1"/>
  <c r="W61" i="1"/>
  <c r="U61" i="1"/>
  <c r="L281" i="1"/>
  <c r="W151" i="1"/>
  <c r="U151" i="1"/>
  <c r="T148" i="1"/>
  <c r="U148" i="1" s="1"/>
  <c r="W149" i="1"/>
  <c r="U149" i="1"/>
  <c r="Z103" i="1"/>
  <c r="X103" i="1"/>
  <c r="Z87" i="1"/>
  <c r="X87" i="1"/>
  <c r="Z29" i="1"/>
  <c r="X29" i="1"/>
  <c r="Q263" i="1"/>
  <c r="R264" i="1"/>
  <c r="W259" i="1"/>
  <c r="U259" i="1"/>
  <c r="R214" i="1"/>
  <c r="T214" i="1"/>
  <c r="T156" i="1"/>
  <c r="R156" i="1"/>
  <c r="U206" i="1"/>
  <c r="W206" i="1"/>
  <c r="Z69" i="1"/>
  <c r="X69" i="1"/>
  <c r="T25" i="1"/>
  <c r="R25" i="1"/>
  <c r="T73" i="1"/>
  <c r="R73" i="1"/>
  <c r="W93" i="1"/>
  <c r="U93" i="1"/>
  <c r="T92" i="1"/>
  <c r="T35" i="1"/>
  <c r="R35" i="1"/>
  <c r="Q34" i="1"/>
  <c r="R34" i="1" s="1"/>
  <c r="O7" i="1"/>
  <c r="N6" i="1"/>
  <c r="O6" i="1" s="1"/>
  <c r="T24" i="1"/>
  <c r="R24" i="1"/>
  <c r="Q23" i="1"/>
  <c r="U104" i="1"/>
  <c r="W104" i="1"/>
  <c r="W102" i="1" s="1"/>
  <c r="X102" i="1" s="1"/>
  <c r="W85" i="1"/>
  <c r="U85" i="1"/>
  <c r="AA70" i="1"/>
  <c r="Z64" i="1"/>
  <c r="X64" i="1"/>
  <c r="W76" i="1"/>
  <c r="U76" i="1"/>
  <c r="R92" i="1"/>
  <c r="W52" i="1"/>
  <c r="U52" i="1"/>
  <c r="U274" i="1"/>
  <c r="W274" i="1"/>
  <c r="T294" i="1"/>
  <c r="Q293" i="1"/>
  <c r="R293" i="1" s="1"/>
  <c r="R294" i="1"/>
  <c r="Z280" i="1"/>
  <c r="X280" i="1"/>
  <c r="W219" i="1"/>
  <c r="U219" i="1"/>
  <c r="U241" i="1"/>
  <c r="W241" i="1"/>
  <c r="T225" i="1"/>
  <c r="R225" i="1"/>
  <c r="W256" i="1"/>
  <c r="U256" i="1"/>
  <c r="W233" i="1"/>
  <c r="U233" i="1"/>
  <c r="R201" i="1"/>
  <c r="T201" i="1"/>
  <c r="L155" i="1"/>
  <c r="L154" i="1" s="1"/>
  <c r="Z204" i="1"/>
  <c r="X204" i="1"/>
  <c r="W147" i="1"/>
  <c r="U147" i="1"/>
  <c r="U139" i="1"/>
  <c r="W139" i="1"/>
  <c r="T180" i="1"/>
  <c r="T178" i="1" s="1"/>
  <c r="U178" i="1" s="1"/>
  <c r="R180" i="1"/>
  <c r="W79" i="1"/>
  <c r="U79" i="1"/>
  <c r="N22" i="1"/>
  <c r="O22" i="1" s="1"/>
  <c r="O23" i="1"/>
  <c r="W32" i="1"/>
  <c r="U32" i="1"/>
  <c r="W33" i="1"/>
  <c r="U33" i="1"/>
  <c r="W63" i="1"/>
  <c r="U63" i="1"/>
  <c r="T223" i="1"/>
  <c r="R223" i="1"/>
  <c r="U245" i="1"/>
  <c r="W245" i="1"/>
  <c r="W270" i="1"/>
  <c r="U270" i="1"/>
  <c r="W290" i="1"/>
  <c r="U290" i="1"/>
  <c r="U133" i="1"/>
  <c r="W133" i="1"/>
  <c r="R195" i="1"/>
  <c r="T195" i="1"/>
  <c r="N172" i="1"/>
  <c r="O172" i="1" s="1"/>
  <c r="W90" i="1"/>
  <c r="U90" i="1"/>
  <c r="Z168" i="1"/>
  <c r="X168" i="1"/>
  <c r="W186" i="1"/>
  <c r="U186" i="1"/>
  <c r="T182" i="1"/>
  <c r="R182" i="1"/>
  <c r="U7" i="1"/>
  <c r="T26" i="1"/>
  <c r="R26" i="1"/>
  <c r="Z105" i="1"/>
  <c r="X105" i="1"/>
  <c r="W68" i="1"/>
  <c r="U68" i="1"/>
  <c r="W77" i="1"/>
  <c r="U77" i="1"/>
  <c r="R16" i="1"/>
  <c r="Q43" i="1"/>
  <c r="R50" i="1"/>
  <c r="Z86" i="1"/>
  <c r="X86" i="1"/>
  <c r="AA295" i="1"/>
  <c r="Z177" i="1"/>
  <c r="X177" i="1"/>
  <c r="Z238" i="1"/>
  <c r="X238" i="1"/>
  <c r="W244" i="1"/>
  <c r="U244" i="1"/>
  <c r="W119" i="1"/>
  <c r="U119" i="1"/>
  <c r="W94" i="1"/>
  <c r="U94" i="1"/>
  <c r="Z31" i="1"/>
  <c r="X31" i="1"/>
  <c r="W265" i="1"/>
  <c r="T264" i="1"/>
  <c r="U265" i="1"/>
  <c r="W275" i="1"/>
  <c r="U275" i="1"/>
  <c r="T289" i="1"/>
  <c r="R289" i="1"/>
  <c r="X222" i="1"/>
  <c r="Z222" i="1"/>
  <c r="X292" i="1"/>
  <c r="Z292" i="1"/>
  <c r="T282" i="1"/>
  <c r="R282" i="1"/>
  <c r="Q281" i="1"/>
  <c r="R281" i="1" s="1"/>
  <c r="AA234" i="1"/>
  <c r="W232" i="1"/>
  <c r="U232" i="1"/>
  <c r="T231" i="1"/>
  <c r="U231" i="1" s="1"/>
  <c r="U257" i="1"/>
  <c r="W257" i="1"/>
  <c r="AA189" i="1"/>
  <c r="T173" i="1"/>
  <c r="R173" i="1"/>
  <c r="Q172" i="1"/>
  <c r="AA157" i="1"/>
  <c r="J3" i="1"/>
  <c r="R102" i="1"/>
  <c r="T37" i="1"/>
  <c r="U37" i="1" s="1"/>
  <c r="W46" i="1"/>
  <c r="U46" i="1"/>
  <c r="W17" i="1"/>
  <c r="U17" i="1"/>
  <c r="Z48" i="1"/>
  <c r="X48" i="1"/>
  <c r="W47" i="1"/>
  <c r="X47" i="1" s="1"/>
  <c r="U286" i="1"/>
  <c r="W286" i="1"/>
  <c r="T279" i="1"/>
  <c r="T277" i="1" s="1"/>
  <c r="U277" i="1" s="1"/>
  <c r="R279" i="1"/>
  <c r="Z272" i="1"/>
  <c r="X272" i="1"/>
  <c r="U283" i="1"/>
  <c r="W283" i="1"/>
  <c r="R249" i="1"/>
  <c r="T249" i="1"/>
  <c r="W188" i="1"/>
  <c r="U188" i="1"/>
  <c r="W285" i="1"/>
  <c r="T284" i="1"/>
  <c r="U284" i="1" s="1"/>
  <c r="U285" i="1"/>
  <c r="W197" i="1"/>
  <c r="U197" i="1"/>
  <c r="Z184" i="1"/>
  <c r="X184" i="1"/>
  <c r="Z160" i="1"/>
  <c r="X160" i="1"/>
  <c r="T164" i="1"/>
  <c r="R164" i="1"/>
  <c r="T41" i="1"/>
  <c r="R41" i="1"/>
  <c r="X8" i="1"/>
  <c r="W7" i="1"/>
  <c r="O92" i="1"/>
  <c r="N91" i="1"/>
  <c r="O91" i="1" s="1"/>
  <c r="T191" i="1"/>
  <c r="R191" i="1"/>
  <c r="W72" i="1"/>
  <c r="U72" i="1"/>
  <c r="T74" i="1"/>
  <c r="R74" i="1"/>
  <c r="W51" i="1"/>
  <c r="U51" i="1"/>
  <c r="T50" i="1"/>
  <c r="W30" i="1"/>
  <c r="U30" i="1"/>
  <c r="U291" i="1"/>
  <c r="W291" i="1"/>
  <c r="W276" i="1"/>
  <c r="U276" i="1"/>
  <c r="W158" i="1"/>
  <c r="U158" i="1"/>
  <c r="W80" i="1"/>
  <c r="U80" i="1"/>
  <c r="X11" i="1"/>
  <c r="Z11" i="1"/>
  <c r="Z84" i="1"/>
  <c r="X84" i="1"/>
  <c r="T28" i="1"/>
  <c r="Q27" i="1"/>
  <c r="R27" i="1" s="1"/>
  <c r="R28" i="1"/>
  <c r="T67" i="1"/>
  <c r="R67" i="1"/>
  <c r="Q66" i="1"/>
  <c r="R66" i="1" s="1"/>
  <c r="N251" i="1"/>
  <c r="O252" i="1"/>
  <c r="W254" i="1"/>
  <c r="U254" i="1"/>
  <c r="X155" i="1"/>
  <c r="W117" i="1"/>
  <c r="U117" i="1"/>
  <c r="X271" i="1"/>
  <c r="Z271" i="1"/>
  <c r="J229" i="1"/>
  <c r="T202" i="1"/>
  <c r="U202" i="1" s="1"/>
  <c r="U203" i="1"/>
  <c r="W203" i="1"/>
  <c r="Z268" i="1"/>
  <c r="X268" i="1"/>
  <c r="U216" i="1"/>
  <c r="W216" i="1"/>
  <c r="T215" i="1"/>
  <c r="O144" i="1"/>
  <c r="T230" i="1"/>
  <c r="R230" i="1"/>
  <c r="U258" i="1"/>
  <c r="W258" i="1"/>
  <c r="T210" i="1"/>
  <c r="R210" i="1"/>
  <c r="T183" i="1"/>
  <c r="R183" i="1"/>
  <c r="T185" i="1"/>
  <c r="R185" i="1"/>
  <c r="W266" i="1"/>
  <c r="U266" i="1"/>
  <c r="AA122" i="1"/>
  <c r="R7" i="1"/>
  <c r="W106" i="1"/>
  <c r="U106" i="1"/>
  <c r="X83" i="1"/>
  <c r="Z83" i="1"/>
  <c r="Z44" i="1"/>
  <c r="X44" i="1"/>
  <c r="W36" i="1"/>
  <c r="U36" i="1"/>
  <c r="U278" i="1"/>
  <c r="W278" i="1"/>
  <c r="T174" i="1"/>
  <c r="R174" i="1"/>
  <c r="R130" i="1"/>
  <c r="W187" i="1"/>
  <c r="U187" i="1"/>
  <c r="T159" i="1"/>
  <c r="R159" i="1"/>
  <c r="AA109" i="1"/>
  <c r="T261" i="1"/>
  <c r="R261" i="1"/>
  <c r="Z296" i="1"/>
  <c r="AA297" i="1"/>
  <c r="K251" i="1"/>
  <c r="K229" i="1" s="1"/>
  <c r="L257" i="1"/>
  <c r="L251" i="1" s="1"/>
  <c r="U273" i="1"/>
  <c r="W273" i="1"/>
  <c r="R246" i="1"/>
  <c r="T246" i="1"/>
  <c r="T243" i="1" s="1"/>
  <c r="U243" i="1" s="1"/>
  <c r="W262" i="1"/>
  <c r="U262" i="1"/>
  <c r="W179" i="1"/>
  <c r="U179" i="1"/>
  <c r="R140" i="1"/>
  <c r="T140" i="1"/>
  <c r="W165" i="1"/>
  <c r="U165" i="1"/>
  <c r="W132" i="1"/>
  <c r="U132" i="1"/>
  <c r="W78" i="1"/>
  <c r="U78" i="1"/>
  <c r="AA136" i="1"/>
  <c r="T58" i="1"/>
  <c r="R58" i="1"/>
  <c r="W120" i="1"/>
  <c r="U120" i="1"/>
  <c r="U108" i="1"/>
  <c r="W45" i="1"/>
  <c r="U45" i="1"/>
  <c r="R13" i="1"/>
  <c r="N9" i="1"/>
  <c r="O9" i="1" s="1"/>
  <c r="W39" i="1"/>
  <c r="U39" i="1"/>
  <c r="R37" i="1"/>
  <c r="L107" i="1" l="1"/>
  <c r="K299" i="1"/>
  <c r="K301" i="1" s="1"/>
  <c r="U18" i="1"/>
  <c r="Q207" i="1"/>
  <c r="T19" i="1"/>
  <c r="U19" i="1" s="1"/>
  <c r="W20" i="1"/>
  <c r="U212" i="1"/>
  <c r="R263" i="1"/>
  <c r="U111" i="1"/>
  <c r="W89" i="1"/>
  <c r="U89" i="1"/>
  <c r="Q150" i="1"/>
  <c r="R150" i="1" s="1"/>
  <c r="W167" i="1"/>
  <c r="U167" i="1"/>
  <c r="Z228" i="1"/>
  <c r="AA228" i="1" s="1"/>
  <c r="X115" i="1"/>
  <c r="N150" i="1"/>
  <c r="U215" i="1"/>
  <c r="T16" i="1"/>
  <c r="U16" i="1" s="1"/>
  <c r="T88" i="1"/>
  <c r="U88" i="1" s="1"/>
  <c r="O150" i="1"/>
  <c r="F302" i="1"/>
  <c r="U221" i="1"/>
  <c r="W221" i="1"/>
  <c r="W218" i="1" s="1"/>
  <c r="X218" i="1" s="1"/>
  <c r="Q91" i="1"/>
  <c r="R91" i="1" s="1"/>
  <c r="X112" i="1"/>
  <c r="Z112" i="1"/>
  <c r="AA112" i="1" s="1"/>
  <c r="L229" i="1"/>
  <c r="R208" i="1"/>
  <c r="U242" i="1"/>
  <c r="W242" i="1"/>
  <c r="U152" i="1"/>
  <c r="W152" i="1"/>
  <c r="X235" i="1"/>
  <c r="W97" i="1"/>
  <c r="U97" i="1"/>
  <c r="T95" i="1"/>
  <c r="U95" i="1" s="1"/>
  <c r="U100" i="1"/>
  <c r="W100" i="1"/>
  <c r="T98" i="1"/>
  <c r="U98" i="1" s="1"/>
  <c r="E124" i="1"/>
  <c r="E302" i="1" s="1"/>
  <c r="Z99" i="1"/>
  <c r="AA99" i="1" s="1"/>
  <c r="X99" i="1"/>
  <c r="W181" i="1"/>
  <c r="U181" i="1"/>
  <c r="W205" i="1"/>
  <c r="Z205" i="1" s="1"/>
  <c r="Q192" i="1"/>
  <c r="R192" i="1" s="1"/>
  <c r="L109" i="1"/>
  <c r="L108" i="1" s="1"/>
  <c r="U199" i="1"/>
  <c r="W199" i="1"/>
  <c r="W131" i="1"/>
  <c r="U131" i="1"/>
  <c r="T130" i="1"/>
  <c r="U130" i="1" s="1"/>
  <c r="U163" i="1"/>
  <c r="W163" i="1"/>
  <c r="Z71" i="1"/>
  <c r="AA71" i="1" s="1"/>
  <c r="X71" i="1"/>
  <c r="Z121" i="1"/>
  <c r="AA121" i="1" s="1"/>
  <c r="X121" i="1"/>
  <c r="R207" i="1"/>
  <c r="Z116" i="1"/>
  <c r="AA116" i="1" s="1"/>
  <c r="X116" i="1"/>
  <c r="W137" i="1"/>
  <c r="U137" i="1"/>
  <c r="Z153" i="1"/>
  <c r="AA153" i="1" s="1"/>
  <c r="X153" i="1"/>
  <c r="Z138" i="1"/>
  <c r="AA138" i="1" s="1"/>
  <c r="X138" i="1"/>
  <c r="Z135" i="1"/>
  <c r="AA135" i="1" s="1"/>
  <c r="X135" i="1"/>
  <c r="X82" i="1"/>
  <c r="AA82" i="1"/>
  <c r="Z142" i="1"/>
  <c r="AA142" i="1" s="1"/>
  <c r="X142" i="1"/>
  <c r="L150" i="1"/>
  <c r="X110" i="1"/>
  <c r="Z110" i="1"/>
  <c r="W108" i="1"/>
  <c r="X108" i="1" s="1"/>
  <c r="X65" i="1"/>
  <c r="Z65" i="1"/>
  <c r="AA65" i="1" s="1"/>
  <c r="Z139" i="1"/>
  <c r="X139" i="1"/>
  <c r="J299" i="1"/>
  <c r="J301" i="1" s="1"/>
  <c r="J302" i="1" s="1"/>
  <c r="T239" i="1"/>
  <c r="U239" i="1" s="1"/>
  <c r="W240" i="1"/>
  <c r="U240" i="1"/>
  <c r="X14" i="1"/>
  <c r="W13" i="1"/>
  <c r="X13" i="1" s="1"/>
  <c r="Z14" i="1"/>
  <c r="T208" i="1"/>
  <c r="W209" i="1"/>
  <c r="U209" i="1"/>
  <c r="AA114" i="1"/>
  <c r="Z132" i="1"/>
  <c r="X132" i="1"/>
  <c r="AA83" i="1"/>
  <c r="AA271" i="1"/>
  <c r="AA84" i="1"/>
  <c r="W191" i="1"/>
  <c r="U191" i="1"/>
  <c r="AA160" i="1"/>
  <c r="W289" i="1"/>
  <c r="U289" i="1"/>
  <c r="X94" i="1"/>
  <c r="Z94" i="1"/>
  <c r="AA105" i="1"/>
  <c r="AA168" i="1"/>
  <c r="Z245" i="1"/>
  <c r="X245" i="1"/>
  <c r="Z274" i="1"/>
  <c r="X274" i="1"/>
  <c r="N107" i="1"/>
  <c r="U25" i="1"/>
  <c r="W25" i="1"/>
  <c r="W214" i="1"/>
  <c r="U214" i="1"/>
  <c r="AA103" i="1"/>
  <c r="W55" i="1"/>
  <c r="U55" i="1"/>
  <c r="Z123" i="1"/>
  <c r="X123" i="1"/>
  <c r="Q9" i="1"/>
  <c r="R9" i="1" s="1"/>
  <c r="R10" i="1"/>
  <c r="Q6" i="1"/>
  <c r="R6" i="1" s="1"/>
  <c r="W249" i="1"/>
  <c r="U249" i="1"/>
  <c r="W294" i="1"/>
  <c r="U294" i="1"/>
  <c r="T293" i="1"/>
  <c r="U293" i="1" s="1"/>
  <c r="Z262" i="1"/>
  <c r="X262" i="1"/>
  <c r="AA48" i="1"/>
  <c r="Z47" i="1"/>
  <c r="W248" i="1"/>
  <c r="T247" i="1"/>
  <c r="U247" i="1" s="1"/>
  <c r="U248" i="1"/>
  <c r="O251" i="1"/>
  <c r="N229" i="1"/>
  <c r="O229" i="1" s="1"/>
  <c r="O299" i="1" s="1"/>
  <c r="Z30" i="1"/>
  <c r="X30" i="1"/>
  <c r="AA184" i="1"/>
  <c r="Z275" i="1"/>
  <c r="X275" i="1"/>
  <c r="Z119" i="1"/>
  <c r="X119" i="1"/>
  <c r="U26" i="1"/>
  <c r="W26" i="1"/>
  <c r="X90" i="1"/>
  <c r="Z90" i="1"/>
  <c r="Z147" i="1"/>
  <c r="X147" i="1"/>
  <c r="X241" i="1"/>
  <c r="Z241" i="1"/>
  <c r="Z85" i="1"/>
  <c r="X85" i="1"/>
  <c r="AA69" i="1"/>
  <c r="X149" i="1"/>
  <c r="W148" i="1"/>
  <c r="X148" i="1" s="1"/>
  <c r="Z149" i="1"/>
  <c r="W144" i="1"/>
  <c r="Z145" i="1"/>
  <c r="X145" i="1"/>
  <c r="AA196" i="1"/>
  <c r="U12" i="1"/>
  <c r="W12" i="1"/>
  <c r="T10" i="1"/>
  <c r="X18" i="1"/>
  <c r="Z18" i="1"/>
  <c r="U230" i="1"/>
  <c r="W230" i="1"/>
  <c r="U225" i="1"/>
  <c r="W225" i="1"/>
  <c r="T143" i="1"/>
  <c r="U143" i="1" s="1"/>
  <c r="U144" i="1"/>
  <c r="U50" i="1"/>
  <c r="T43" i="1"/>
  <c r="Z283" i="1"/>
  <c r="X283" i="1"/>
  <c r="AA86" i="1"/>
  <c r="W223" i="1"/>
  <c r="U223" i="1"/>
  <c r="X52" i="1"/>
  <c r="Z52" i="1"/>
  <c r="Z104" i="1"/>
  <c r="Z102" i="1" s="1"/>
  <c r="X104" i="1"/>
  <c r="X259" i="1"/>
  <c r="Z259" i="1"/>
  <c r="Z101" i="1"/>
  <c r="X101" i="1"/>
  <c r="W98" i="1"/>
  <c r="AA269" i="1"/>
  <c r="Z288" i="1"/>
  <c r="X288" i="1"/>
  <c r="X53" i="1"/>
  <c r="Z53" i="1"/>
  <c r="AA237" i="1"/>
  <c r="Z235" i="1"/>
  <c r="W261" i="1"/>
  <c r="U261" i="1"/>
  <c r="Z40" i="1"/>
  <c r="X40" i="1"/>
  <c r="Z165" i="1"/>
  <c r="X165" i="1"/>
  <c r="U140" i="1"/>
  <c r="W140" i="1"/>
  <c r="Z117" i="1"/>
  <c r="X117" i="1"/>
  <c r="Z39" i="1"/>
  <c r="X39" i="1"/>
  <c r="W37" i="1"/>
  <c r="X37" i="1" s="1"/>
  <c r="Z120" i="1"/>
  <c r="X120" i="1"/>
  <c r="Z273" i="1"/>
  <c r="X273" i="1"/>
  <c r="W185" i="1"/>
  <c r="U185" i="1"/>
  <c r="W215" i="1"/>
  <c r="X215" i="1" s="1"/>
  <c r="Z216" i="1"/>
  <c r="X216" i="1"/>
  <c r="X7" i="1"/>
  <c r="X197" i="1"/>
  <c r="Z197" i="1"/>
  <c r="Z17" i="1"/>
  <c r="X17" i="1"/>
  <c r="W16" i="1"/>
  <c r="X16" i="1" s="1"/>
  <c r="U264" i="1"/>
  <c r="T263" i="1"/>
  <c r="U263" i="1" s="1"/>
  <c r="W195" i="1"/>
  <c r="U195" i="1"/>
  <c r="T193" i="1"/>
  <c r="AA204" i="1"/>
  <c r="Z162" i="1"/>
  <c r="X162" i="1"/>
  <c r="U198" i="1"/>
  <c r="W198" i="1"/>
  <c r="X54" i="1"/>
  <c r="Z54" i="1"/>
  <c r="Z32" i="1"/>
  <c r="X32" i="1"/>
  <c r="AA11" i="1"/>
  <c r="Z106" i="1"/>
  <c r="X106" i="1"/>
  <c r="AA155" i="1"/>
  <c r="U67" i="1"/>
  <c r="W67" i="1"/>
  <c r="T66" i="1"/>
  <c r="U66" i="1" s="1"/>
  <c r="Z80" i="1"/>
  <c r="X80" i="1"/>
  <c r="Z51" i="1"/>
  <c r="X51" i="1"/>
  <c r="W50" i="1"/>
  <c r="Z7" i="1"/>
  <c r="AA8" i="1"/>
  <c r="Z265" i="1"/>
  <c r="W264" i="1"/>
  <c r="X265" i="1"/>
  <c r="Z244" i="1"/>
  <c r="X244" i="1"/>
  <c r="R43" i="1"/>
  <c r="Q42" i="1"/>
  <c r="R42" i="1" s="1"/>
  <c r="X79" i="1"/>
  <c r="Z79" i="1"/>
  <c r="Z219" i="1"/>
  <c r="X219" i="1"/>
  <c r="Q22" i="1"/>
  <c r="R22" i="1" s="1"/>
  <c r="R23" i="1"/>
  <c r="W35" i="1"/>
  <c r="U35" i="1"/>
  <c r="T34" i="1"/>
  <c r="U34" i="1" s="1"/>
  <c r="Z75" i="1"/>
  <c r="X75" i="1"/>
  <c r="Z190" i="1"/>
  <c r="X190" i="1"/>
  <c r="Z287" i="1"/>
  <c r="X287" i="1"/>
  <c r="W57" i="1"/>
  <c r="U57" i="1"/>
  <c r="X270" i="1"/>
  <c r="Z270" i="1"/>
  <c r="Z278" i="1"/>
  <c r="X278" i="1"/>
  <c r="W58" i="1"/>
  <c r="U58" i="1"/>
  <c r="U159" i="1"/>
  <c r="W159" i="1"/>
  <c r="U183" i="1"/>
  <c r="W183" i="1"/>
  <c r="AA272" i="1"/>
  <c r="Z46" i="1"/>
  <c r="X46" i="1"/>
  <c r="W282" i="1"/>
  <c r="T281" i="1"/>
  <c r="U281" i="1" s="1"/>
  <c r="U282" i="1"/>
  <c r="X133" i="1"/>
  <c r="Z133" i="1"/>
  <c r="W201" i="1"/>
  <c r="U201" i="1"/>
  <c r="U92" i="1"/>
  <c r="Z206" i="1"/>
  <c r="X206" i="1"/>
  <c r="Z151" i="1"/>
  <c r="X151" i="1"/>
  <c r="Z200" i="1"/>
  <c r="X200" i="1"/>
  <c r="AA267" i="1"/>
  <c r="U250" i="1"/>
  <c r="W250" i="1"/>
  <c r="Z175" i="1"/>
  <c r="X175" i="1"/>
  <c r="AA194" i="1"/>
  <c r="Z15" i="1"/>
  <c r="X15" i="1"/>
  <c r="U174" i="1"/>
  <c r="W174" i="1"/>
  <c r="Z36" i="1"/>
  <c r="X36" i="1"/>
  <c r="AA268" i="1"/>
  <c r="X158" i="1"/>
  <c r="Z158" i="1"/>
  <c r="W74" i="1"/>
  <c r="U74" i="1"/>
  <c r="Z212" i="1"/>
  <c r="X212" i="1"/>
  <c r="AA292" i="1"/>
  <c r="AA238" i="1"/>
  <c r="Z63" i="1"/>
  <c r="X63" i="1"/>
  <c r="X76" i="1"/>
  <c r="Z76" i="1"/>
  <c r="U24" i="1"/>
  <c r="T23" i="1"/>
  <c r="W24" i="1"/>
  <c r="AA29" i="1"/>
  <c r="Z146" i="1"/>
  <c r="X146" i="1"/>
  <c r="W56" i="1"/>
  <c r="U56" i="1"/>
  <c r="AA300" i="1"/>
  <c r="X187" i="1"/>
  <c r="Z187" i="1"/>
  <c r="W210" i="1"/>
  <c r="U210" i="1"/>
  <c r="Z203" i="1"/>
  <c r="W202" i="1"/>
  <c r="X202" i="1" s="1"/>
  <c r="X203" i="1"/>
  <c r="K124" i="1"/>
  <c r="W41" i="1"/>
  <c r="U41" i="1"/>
  <c r="W284" i="1"/>
  <c r="X284" i="1" s="1"/>
  <c r="X285" i="1"/>
  <c r="Z285" i="1"/>
  <c r="U279" i="1"/>
  <c r="W279" i="1"/>
  <c r="R172" i="1"/>
  <c r="X77" i="1"/>
  <c r="Z77" i="1"/>
  <c r="W182" i="1"/>
  <c r="U182" i="1"/>
  <c r="AA280" i="1"/>
  <c r="Z93" i="1"/>
  <c r="X93" i="1"/>
  <c r="W92" i="1"/>
  <c r="AA21" i="1"/>
  <c r="Z113" i="1"/>
  <c r="X113" i="1"/>
  <c r="W111" i="1"/>
  <c r="X111" i="1" s="1"/>
  <c r="Z256" i="1"/>
  <c r="X256" i="1"/>
  <c r="Z266" i="1"/>
  <c r="X266" i="1"/>
  <c r="X232" i="1"/>
  <c r="W231" i="1"/>
  <c r="X231" i="1" s="1"/>
  <c r="Z232" i="1"/>
  <c r="Z45" i="1"/>
  <c r="X45" i="1"/>
  <c r="X179" i="1"/>
  <c r="AA44" i="1"/>
  <c r="Z258" i="1"/>
  <c r="X258" i="1"/>
  <c r="X254" i="1"/>
  <c r="Z254" i="1"/>
  <c r="Z276" i="1"/>
  <c r="X276" i="1"/>
  <c r="Z286" i="1"/>
  <c r="X286" i="1"/>
  <c r="Z20" i="1"/>
  <c r="X20" i="1"/>
  <c r="W19" i="1"/>
  <c r="X19" i="1" s="1"/>
  <c r="X257" i="1"/>
  <c r="Z257" i="1"/>
  <c r="AA222" i="1"/>
  <c r="AA177" i="1"/>
  <c r="X290" i="1"/>
  <c r="Z290" i="1"/>
  <c r="Z33" i="1"/>
  <c r="X33" i="1"/>
  <c r="W180" i="1"/>
  <c r="U180" i="1"/>
  <c r="Z233" i="1"/>
  <c r="X233" i="1"/>
  <c r="AA64" i="1"/>
  <c r="W156" i="1"/>
  <c r="U156" i="1"/>
  <c r="T154" i="1"/>
  <c r="AA87" i="1"/>
  <c r="Z134" i="1"/>
  <c r="X134" i="1"/>
  <c r="R252" i="1"/>
  <c r="Q251" i="1"/>
  <c r="Z291" i="1"/>
  <c r="X291" i="1"/>
  <c r="W246" i="1"/>
  <c r="U246" i="1"/>
  <c r="X78" i="1"/>
  <c r="Z78" i="1"/>
  <c r="AA296" i="1"/>
  <c r="W28" i="1"/>
  <c r="U28" i="1"/>
  <c r="T27" i="1"/>
  <c r="U27" i="1" s="1"/>
  <c r="Z72" i="1"/>
  <c r="X72" i="1"/>
  <c r="W164" i="1"/>
  <c r="U164" i="1"/>
  <c r="Z188" i="1"/>
  <c r="X188" i="1"/>
  <c r="W173" i="1"/>
  <c r="U173" i="1"/>
  <c r="T172" i="1"/>
  <c r="U172" i="1" s="1"/>
  <c r="AA31" i="1"/>
  <c r="Z68" i="1"/>
  <c r="X68" i="1"/>
  <c r="Z186" i="1"/>
  <c r="X186" i="1"/>
  <c r="U73" i="1"/>
  <c r="W73" i="1"/>
  <c r="Z61" i="1"/>
  <c r="X61" i="1"/>
  <c r="W227" i="1"/>
  <c r="U227" i="1"/>
  <c r="U253" i="1"/>
  <c r="T252" i="1"/>
  <c r="W253" i="1"/>
  <c r="AA255" i="1"/>
  <c r="U81" i="1"/>
  <c r="W81" i="1"/>
  <c r="L124" i="1" l="1"/>
  <c r="L126" i="1" s="1"/>
  <c r="L299" i="1"/>
  <c r="L301" i="1" s="1"/>
  <c r="L302" i="1" s="1"/>
  <c r="Z167" i="1"/>
  <c r="AA167" i="1" s="1"/>
  <c r="X167" i="1"/>
  <c r="Z89" i="1"/>
  <c r="AA89" i="1" s="1"/>
  <c r="X89" i="1"/>
  <c r="W88" i="1"/>
  <c r="X88" i="1" s="1"/>
  <c r="W130" i="1"/>
  <c r="T91" i="1"/>
  <c r="U91" i="1" s="1"/>
  <c r="X98" i="1"/>
  <c r="Z221" i="1"/>
  <c r="AA221" i="1" s="1"/>
  <c r="X221" i="1"/>
  <c r="K302" i="1"/>
  <c r="AA137" i="1"/>
  <c r="X137" i="1"/>
  <c r="X131" i="1"/>
  <c r="Z131" i="1"/>
  <c r="X100" i="1"/>
  <c r="Z100" i="1"/>
  <c r="AA100" i="1" s="1"/>
  <c r="Z181" i="1"/>
  <c r="AA181" i="1" s="1"/>
  <c r="X181" i="1"/>
  <c r="X163" i="1"/>
  <c r="Z163" i="1"/>
  <c r="AA163" i="1" s="1"/>
  <c r="Z152" i="1"/>
  <c r="AA152" i="1" s="1"/>
  <c r="X152" i="1"/>
  <c r="Z199" i="1"/>
  <c r="AA199" i="1" s="1"/>
  <c r="X199" i="1"/>
  <c r="W95" i="1"/>
  <c r="X95" i="1" s="1"/>
  <c r="X97" i="1"/>
  <c r="Z97" i="1"/>
  <c r="X205" i="1"/>
  <c r="AA110" i="1"/>
  <c r="Z108" i="1"/>
  <c r="AA108" i="1" s="1"/>
  <c r="X242" i="1"/>
  <c r="Z242" i="1"/>
  <c r="AA242" i="1" s="1"/>
  <c r="AA102" i="1"/>
  <c r="Z16" i="1"/>
  <c r="AA17" i="1"/>
  <c r="N124" i="1"/>
  <c r="O107" i="1"/>
  <c r="Z289" i="1"/>
  <c r="X289" i="1"/>
  <c r="Z240" i="1"/>
  <c r="X240" i="1"/>
  <c r="W239" i="1"/>
  <c r="X239" i="1" s="1"/>
  <c r="AA257" i="1"/>
  <c r="AA258" i="1"/>
  <c r="X92" i="1"/>
  <c r="X279" i="1"/>
  <c r="Z279" i="1"/>
  <c r="Z277" i="1" s="1"/>
  <c r="AA36" i="1"/>
  <c r="X201" i="1"/>
  <c r="Z201" i="1"/>
  <c r="X159" i="1"/>
  <c r="Z159" i="1"/>
  <c r="AA80" i="1"/>
  <c r="AA197" i="1"/>
  <c r="AA40" i="1"/>
  <c r="Z223" i="1"/>
  <c r="X223" i="1"/>
  <c r="AA145" i="1"/>
  <c r="Z144" i="1"/>
  <c r="AA147" i="1"/>
  <c r="AA132" i="1"/>
  <c r="AA146" i="1"/>
  <c r="AA273" i="1"/>
  <c r="X174" i="1"/>
  <c r="Z174" i="1"/>
  <c r="AA162" i="1"/>
  <c r="X230" i="1"/>
  <c r="Z230" i="1"/>
  <c r="AA266" i="1"/>
  <c r="Z92" i="1"/>
  <c r="AA93" i="1"/>
  <c r="Z284" i="1"/>
  <c r="AA285" i="1"/>
  <c r="AA187" i="1"/>
  <c r="W23" i="1"/>
  <c r="Z24" i="1"/>
  <c r="X24" i="1"/>
  <c r="AA265" i="1"/>
  <c r="Z264" i="1"/>
  <c r="W66" i="1"/>
  <c r="X66" i="1" s="1"/>
  <c r="X67" i="1"/>
  <c r="Z67" i="1"/>
  <c r="Z261" i="1"/>
  <c r="X261" i="1"/>
  <c r="Z148" i="1"/>
  <c r="AA149" i="1"/>
  <c r="AA90" i="1"/>
  <c r="Z88" i="1"/>
  <c r="AA262" i="1"/>
  <c r="AA291" i="1"/>
  <c r="X264" i="1"/>
  <c r="AA179" i="1"/>
  <c r="U23" i="1"/>
  <c r="T22" i="1"/>
  <c r="U22" i="1" s="1"/>
  <c r="AA212" i="1"/>
  <c r="AA200" i="1"/>
  <c r="AA287" i="1"/>
  <c r="AA30" i="1"/>
  <c r="Z55" i="1"/>
  <c r="X55" i="1"/>
  <c r="AA245" i="1"/>
  <c r="Z191" i="1"/>
  <c r="X191" i="1"/>
  <c r="AA139" i="1"/>
  <c r="U252" i="1"/>
  <c r="T251" i="1"/>
  <c r="AA203" i="1"/>
  <c r="Z202" i="1"/>
  <c r="R251" i="1"/>
  <c r="Q229" i="1"/>
  <c r="AA120" i="1"/>
  <c r="AA61" i="1"/>
  <c r="AA134" i="1"/>
  <c r="AA20" i="1"/>
  <c r="Z19" i="1"/>
  <c r="AA256" i="1"/>
  <c r="AA15" i="1"/>
  <c r="Z58" i="1"/>
  <c r="X58" i="1"/>
  <c r="AA219" i="1"/>
  <c r="AA32" i="1"/>
  <c r="U193" i="1"/>
  <c r="T192" i="1"/>
  <c r="U192" i="1" s="1"/>
  <c r="AA39" i="1"/>
  <c r="Z37" i="1"/>
  <c r="AA101" i="1"/>
  <c r="Z98" i="1"/>
  <c r="AA283" i="1"/>
  <c r="AA18" i="1"/>
  <c r="Z26" i="1"/>
  <c r="X26" i="1"/>
  <c r="AA233" i="1"/>
  <c r="X130" i="1"/>
  <c r="Z180" i="1"/>
  <c r="Z178" i="1" s="1"/>
  <c r="X180" i="1"/>
  <c r="AA33" i="1"/>
  <c r="AA76" i="1"/>
  <c r="Z74" i="1"/>
  <c r="X74" i="1"/>
  <c r="AA151" i="1"/>
  <c r="W281" i="1"/>
  <c r="X281" i="1" s="1"/>
  <c r="X282" i="1"/>
  <c r="Z282" i="1"/>
  <c r="AA190" i="1"/>
  <c r="AA79" i="1"/>
  <c r="AA235" i="1"/>
  <c r="AA259" i="1"/>
  <c r="T42" i="1"/>
  <c r="U42" i="1" s="1"/>
  <c r="U43" i="1"/>
  <c r="X294" i="1"/>
  <c r="W293" i="1"/>
  <c r="X293" i="1" s="1"/>
  <c r="Z294" i="1"/>
  <c r="Z209" i="1"/>
  <c r="X209" i="1"/>
  <c r="W208" i="1"/>
  <c r="Z28" i="1"/>
  <c r="X28" i="1"/>
  <c r="W27" i="1"/>
  <c r="X27" i="1" s="1"/>
  <c r="AA133" i="1"/>
  <c r="Z173" i="1"/>
  <c r="X173" i="1"/>
  <c r="W178" i="1"/>
  <c r="X178" i="1" s="1"/>
  <c r="Z81" i="1"/>
  <c r="X81" i="1"/>
  <c r="Z73" i="1"/>
  <c r="X73" i="1"/>
  <c r="AA188" i="1"/>
  <c r="AA78" i="1"/>
  <c r="AA290" i="1"/>
  <c r="AA286" i="1"/>
  <c r="Z182" i="1"/>
  <c r="X182" i="1"/>
  <c r="Z41" i="1"/>
  <c r="X41" i="1"/>
  <c r="AA158" i="1"/>
  <c r="AA278" i="1"/>
  <c r="AA205" i="1"/>
  <c r="X195" i="1"/>
  <c r="Z195" i="1"/>
  <c r="W193" i="1"/>
  <c r="Z215" i="1"/>
  <c r="AA216" i="1"/>
  <c r="AA117" i="1"/>
  <c r="T9" i="1"/>
  <c r="U9" i="1" s="1"/>
  <c r="U10" i="1"/>
  <c r="T6" i="1"/>
  <c r="U6" i="1" s="1"/>
  <c r="N299" i="1"/>
  <c r="N301" i="1" s="1"/>
  <c r="O301" i="1" s="1"/>
  <c r="U208" i="1"/>
  <c r="T207" i="1"/>
  <c r="U207" i="1" s="1"/>
  <c r="U154" i="1"/>
  <c r="T150" i="1"/>
  <c r="AA45" i="1"/>
  <c r="AA77" i="1"/>
  <c r="Z56" i="1"/>
  <c r="X56" i="1"/>
  <c r="AA46" i="1"/>
  <c r="W277" i="1"/>
  <c r="X277" i="1" s="1"/>
  <c r="AA75" i="1"/>
  <c r="AA7" i="1"/>
  <c r="Z140" i="1"/>
  <c r="X140" i="1"/>
  <c r="Z12" i="1"/>
  <c r="X12" i="1"/>
  <c r="W10" i="1"/>
  <c r="AA119" i="1"/>
  <c r="Z249" i="1"/>
  <c r="X249" i="1"/>
  <c r="Z13" i="1"/>
  <c r="AA14" i="1"/>
  <c r="AA288" i="1"/>
  <c r="Z210" i="1"/>
  <c r="X210" i="1"/>
  <c r="Z57" i="1"/>
  <c r="X57" i="1"/>
  <c r="W143" i="1"/>
  <c r="X143" i="1" s="1"/>
  <c r="X144" i="1"/>
  <c r="Z164" i="1"/>
  <c r="X164" i="1"/>
  <c r="AA206" i="1"/>
  <c r="X50" i="1"/>
  <c r="W43" i="1"/>
  <c r="AA106" i="1"/>
  <c r="AA54" i="1"/>
  <c r="AA53" i="1"/>
  <c r="AA104" i="1"/>
  <c r="AA85" i="1"/>
  <c r="Q107" i="1"/>
  <c r="Z214" i="1"/>
  <c r="X214" i="1"/>
  <c r="AA94" i="1"/>
  <c r="AA68" i="1"/>
  <c r="AA123" i="1"/>
  <c r="Z227" i="1"/>
  <c r="X227" i="1"/>
  <c r="AA186" i="1"/>
  <c r="Z246" i="1"/>
  <c r="Z243" i="1" s="1"/>
  <c r="X246" i="1"/>
  <c r="Z156" i="1"/>
  <c r="X156" i="1"/>
  <c r="W154" i="1"/>
  <c r="AA254" i="1"/>
  <c r="AA113" i="1"/>
  <c r="Z111" i="1"/>
  <c r="AA63" i="1"/>
  <c r="AA175" i="1"/>
  <c r="Z185" i="1"/>
  <c r="X185" i="1"/>
  <c r="AA52" i="1"/>
  <c r="AA241" i="1"/>
  <c r="AA275" i="1"/>
  <c r="X248" i="1"/>
  <c r="Z248" i="1"/>
  <c r="W247" i="1"/>
  <c r="X247" i="1" s="1"/>
  <c r="Z25" i="1"/>
  <c r="X25" i="1"/>
  <c r="AA244" i="1"/>
  <c r="Z225" i="1"/>
  <c r="X225" i="1"/>
  <c r="AA274" i="1"/>
  <c r="AA276" i="1"/>
  <c r="X253" i="1"/>
  <c r="W252" i="1"/>
  <c r="Z253" i="1"/>
  <c r="AA72" i="1"/>
  <c r="AA232" i="1"/>
  <c r="Z231" i="1"/>
  <c r="X250" i="1"/>
  <c r="Z250" i="1"/>
  <c r="Z183" i="1"/>
  <c r="X183" i="1"/>
  <c r="AA270" i="1"/>
  <c r="X35" i="1"/>
  <c r="W34" i="1"/>
  <c r="X34" i="1" s="1"/>
  <c r="W243" i="1"/>
  <c r="X243" i="1" s="1"/>
  <c r="Z50" i="1"/>
  <c r="AA51" i="1"/>
  <c r="Z198" i="1"/>
  <c r="X198" i="1"/>
  <c r="AA165" i="1"/>
  <c r="AA47" i="1"/>
  <c r="Z218" i="1" l="1"/>
  <c r="AA218" i="1" s="1"/>
  <c r="W91" i="1"/>
  <c r="X91" i="1" s="1"/>
  <c r="W172" i="1"/>
  <c r="X172" i="1" s="1"/>
  <c r="AA97" i="1"/>
  <c r="Z95" i="1"/>
  <c r="AA95" i="1" s="1"/>
  <c r="AA131" i="1"/>
  <c r="Z130" i="1"/>
  <c r="AA130" i="1" s="1"/>
  <c r="AA178" i="1"/>
  <c r="AA227" i="1"/>
  <c r="Z172" i="1"/>
  <c r="AA173" i="1"/>
  <c r="AA58" i="1"/>
  <c r="AA284" i="1"/>
  <c r="Z239" i="1"/>
  <c r="AA240" i="1"/>
  <c r="AA164" i="1"/>
  <c r="AA277" i="1"/>
  <c r="R229" i="1"/>
  <c r="Q299" i="1"/>
  <c r="AA279" i="1"/>
  <c r="AA289" i="1"/>
  <c r="AA67" i="1"/>
  <c r="Z66" i="1"/>
  <c r="Z252" i="1"/>
  <c r="AA253" i="1"/>
  <c r="AA249" i="1"/>
  <c r="AA191" i="1"/>
  <c r="AA88" i="1"/>
  <c r="AA264" i="1"/>
  <c r="Z263" i="1"/>
  <c r="AA92" i="1"/>
  <c r="AA111" i="1"/>
  <c r="AA35" i="1"/>
  <c r="Z34" i="1"/>
  <c r="W251" i="1"/>
  <c r="X251" i="1" s="1"/>
  <c r="X252" i="1"/>
  <c r="AA25" i="1"/>
  <c r="X154" i="1"/>
  <c r="W150" i="1"/>
  <c r="U150" i="1"/>
  <c r="AA50" i="1"/>
  <c r="Z43" i="1"/>
  <c r="AA215" i="1"/>
  <c r="AA28" i="1"/>
  <c r="Z27" i="1"/>
  <c r="AA74" i="1"/>
  <c r="AA26" i="1"/>
  <c r="AA19" i="1"/>
  <c r="N302" i="1"/>
  <c r="O302" i="1" s="1"/>
  <c r="O124" i="1"/>
  <c r="AA56" i="1"/>
  <c r="AA37" i="1"/>
  <c r="AA248" i="1"/>
  <c r="Z247" i="1"/>
  <c r="AA185" i="1"/>
  <c r="AA156" i="1"/>
  <c r="Z154" i="1"/>
  <c r="AA57" i="1"/>
  <c r="X10" i="1"/>
  <c r="W9" i="1"/>
  <c r="X9" i="1" s="1"/>
  <c r="W6" i="1"/>
  <c r="X6" i="1" s="1"/>
  <c r="X193" i="1"/>
  <c r="W192" i="1"/>
  <c r="X192" i="1" s="1"/>
  <c r="AA41" i="1"/>
  <c r="AA73" i="1"/>
  <c r="W207" i="1"/>
  <c r="X207" i="1" s="1"/>
  <c r="X208" i="1"/>
  <c r="AA24" i="1"/>
  <c r="Z23" i="1"/>
  <c r="AA230" i="1"/>
  <c r="AA174" i="1"/>
  <c r="AA13" i="1"/>
  <c r="AA223" i="1"/>
  <c r="AA195" i="1"/>
  <c r="Z193" i="1"/>
  <c r="AA55" i="1"/>
  <c r="AA148" i="1"/>
  <c r="X23" i="1"/>
  <c r="W22" i="1"/>
  <c r="X22" i="1" s="1"/>
  <c r="AA243" i="1"/>
  <c r="AA250" i="1"/>
  <c r="AA246" i="1"/>
  <c r="AA210" i="1"/>
  <c r="AA12" i="1"/>
  <c r="Z10" i="1"/>
  <c r="AA182" i="1"/>
  <c r="AA81" i="1"/>
  <c r="AA209" i="1"/>
  <c r="Z208" i="1"/>
  <c r="AA202" i="1"/>
  <c r="AA159" i="1"/>
  <c r="AA16" i="1"/>
  <c r="AA225" i="1"/>
  <c r="AA180" i="1"/>
  <c r="AA183" i="1"/>
  <c r="W42" i="1"/>
  <c r="X42" i="1" s="1"/>
  <c r="X43" i="1"/>
  <c r="AA294" i="1"/>
  <c r="Z293" i="1"/>
  <c r="AA231" i="1"/>
  <c r="AA198" i="1"/>
  <c r="AA214" i="1"/>
  <c r="Q124" i="1"/>
  <c r="R107" i="1"/>
  <c r="AA140" i="1"/>
  <c r="T107" i="1"/>
  <c r="Z281" i="1"/>
  <c r="AA282" i="1"/>
  <c r="AA98" i="1"/>
  <c r="U251" i="1"/>
  <c r="T229" i="1"/>
  <c r="U229" i="1" s="1"/>
  <c r="W263" i="1"/>
  <c r="X263" i="1" s="1"/>
  <c r="AA261" i="1"/>
  <c r="AA144" i="1"/>
  <c r="Z143" i="1"/>
  <c r="AA201" i="1"/>
  <c r="Z91" i="1" l="1"/>
  <c r="AA91" i="1" s="1"/>
  <c r="R124" i="1"/>
  <c r="Z42" i="1"/>
  <c r="Z107" i="1" s="1"/>
  <c r="AA43" i="1"/>
  <c r="AA247" i="1"/>
  <c r="Q301" i="1"/>
  <c r="R301" i="1" s="1"/>
  <c r="R299" i="1"/>
  <c r="X150" i="1"/>
  <c r="W299" i="1"/>
  <c r="AA208" i="1"/>
  <c r="Z207" i="1"/>
  <c r="AA193" i="1"/>
  <c r="Z192" i="1"/>
  <c r="Z22" i="1"/>
  <c r="AA23" i="1"/>
  <c r="W107" i="1"/>
  <c r="T299" i="1"/>
  <c r="AA172" i="1"/>
  <c r="AA27" i="1"/>
  <c r="Z251" i="1"/>
  <c r="AA252" i="1"/>
  <c r="AA281" i="1"/>
  <c r="AA263" i="1"/>
  <c r="AA66" i="1"/>
  <c r="AA143" i="1"/>
  <c r="T124" i="1"/>
  <c r="U107" i="1"/>
  <c r="W229" i="1"/>
  <c r="X229" i="1" s="1"/>
  <c r="AA154" i="1"/>
  <c r="Z150" i="1"/>
  <c r="AA239" i="1"/>
  <c r="AA293" i="1"/>
  <c r="Z9" i="1"/>
  <c r="AA10" i="1"/>
  <c r="Z6" i="1"/>
  <c r="AA34" i="1"/>
  <c r="AA107" i="1" l="1"/>
  <c r="Z124" i="1"/>
  <c r="W124" i="1"/>
  <c r="X107" i="1"/>
  <c r="AA251" i="1"/>
  <c r="Z229" i="1"/>
  <c r="AA192" i="1"/>
  <c r="AA150" i="1"/>
  <c r="U124" i="1"/>
  <c r="AA22" i="1"/>
  <c r="AA42" i="1"/>
  <c r="AA6" i="1"/>
  <c r="AA207" i="1"/>
  <c r="AA9" i="1"/>
  <c r="T301" i="1"/>
  <c r="U301" i="1" s="1"/>
  <c r="U299" i="1"/>
  <c r="Q302" i="1"/>
  <c r="X299" i="1"/>
  <c r="W301" i="1"/>
  <c r="X301" i="1" s="1"/>
  <c r="AA229" i="1" l="1"/>
  <c r="W302" i="1"/>
  <c r="X124" i="1"/>
  <c r="T302" i="1"/>
  <c r="R302" i="1"/>
  <c r="AA124" i="1"/>
  <c r="Z299" i="1"/>
  <c r="AA299" i="1" l="1"/>
  <c r="Z301" i="1"/>
  <c r="X302" i="1"/>
  <c r="U302" i="1"/>
  <c r="AA301" i="1" l="1"/>
  <c r="Z302" i="1"/>
  <c r="AA3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46" authorId="0" shapeId="0" xr:uid="{794DD89A-70AA-4EC5-873C-BB634EF80224}">
      <text>
        <r>
          <rPr>
            <b/>
            <sz val="9"/>
            <color indexed="81"/>
            <rFont val="Tahoma"/>
            <family val="2"/>
            <charset val="186"/>
          </rPr>
          <t>Sarmīte Mūze:</t>
        </r>
        <r>
          <rPr>
            <sz val="9"/>
            <color indexed="81"/>
            <rFont val="Tahoma"/>
            <family val="2"/>
            <charset val="186"/>
          </rPr>
          <t xml:space="preserve">
33'476 Nod. 0970
49'493 Carnikavas skola
166'307 Ādažu pamatsk</t>
        </r>
      </text>
    </comment>
    <comment ref="E51" authorId="0" shapeId="0" xr:uid="{57AA62E9-FB13-4D6D-B13D-425934D403CD}">
      <text>
        <r>
          <rPr>
            <b/>
            <sz val="9"/>
            <color indexed="81"/>
            <rFont val="Tahoma"/>
            <family val="2"/>
            <charset val="186"/>
          </rPr>
          <t>Sarmīte Mūze:</t>
        </r>
        <r>
          <rPr>
            <sz val="9"/>
            <color indexed="81"/>
            <rFont val="Tahoma"/>
            <family val="2"/>
            <charset val="186"/>
          </rPr>
          <t xml:space="preserve">
EUR 1843 nodaļa 0901
EUR 540 nodaļa 0902
EUR 60 nodaļa 0910
EUR 4 nodaļa 0920
EUR 8'241 nodaļa 0952</t>
        </r>
      </text>
    </comment>
    <comment ref="E52" authorId="0" shapeId="0" xr:uid="{49312BE4-C6D5-472A-AF6A-F68F6A32F04B}">
      <text>
        <r>
          <rPr>
            <b/>
            <sz val="9"/>
            <color indexed="81"/>
            <rFont val="Tahoma"/>
            <family val="2"/>
            <charset val="186"/>
          </rPr>
          <t>Sarmīte Mūze:</t>
        </r>
        <r>
          <rPr>
            <sz val="9"/>
            <color indexed="81"/>
            <rFont val="Tahoma"/>
            <family val="2"/>
            <charset val="186"/>
          </rPr>
          <t xml:space="preserve">
0954 EUR 65'816;
09821 EUR 15'567
</t>
        </r>
      </text>
    </comment>
    <comment ref="E65" authorId="0" shapeId="0" xr:uid="{275DF37A-BE07-4419-BCF4-CE7659270685}">
      <text>
        <r>
          <rPr>
            <b/>
            <sz val="9"/>
            <color indexed="81"/>
            <rFont val="Tahoma"/>
            <family val="2"/>
            <charset val="186"/>
          </rPr>
          <t>Sarmīte Mūze:</t>
        </r>
        <r>
          <rPr>
            <sz val="9"/>
            <color indexed="81"/>
            <rFont val="Tahoma"/>
            <family val="2"/>
            <charset val="186"/>
          </rPr>
          <t xml:space="preserve">
Piekrastes apsaimniekošana (0630); Kontakts (0930); EUCF 42'000; 
 </t>
        </r>
      </text>
    </comment>
    <comment ref="F65" authorId="0" shapeId="0" xr:uid="{88DC2207-D97A-4C8A-BE3A-BCA622862A15}">
      <text>
        <r>
          <rPr>
            <b/>
            <sz val="9"/>
            <color indexed="81"/>
            <rFont val="Tahoma"/>
            <family val="2"/>
            <charset val="186"/>
          </rPr>
          <t>Sarmīte Mūze:</t>
        </r>
        <r>
          <rPr>
            <sz val="9"/>
            <color indexed="81"/>
            <rFont val="Tahoma"/>
            <family val="2"/>
            <charset val="186"/>
          </rPr>
          <t xml:space="preserve">
Soc. Dienesta pabalsti; 16'000 Uzņēmējdarbības veicināšana (0630); skolēnu nodarbinātība (0930.2)
</t>
        </r>
      </text>
    </comment>
    <comment ref="G106" authorId="0" shapeId="0" xr:uid="{8DDDAAB4-F483-49BF-AC3C-461A80C0EC9E}">
      <text>
        <r>
          <rPr>
            <b/>
            <sz val="9"/>
            <color indexed="81"/>
            <rFont val="Tahoma"/>
            <family val="2"/>
            <charset val="186"/>
          </rPr>
          <t>Sarmīte Mūze:</t>
        </r>
        <r>
          <rPr>
            <sz val="9"/>
            <color indexed="81"/>
            <rFont val="Tahoma"/>
            <family val="2"/>
            <charset val="186"/>
          </rPr>
          <t xml:space="preserve">
10'621 Piekrastes apsaimniekošana (0630); </t>
        </r>
      </text>
    </comment>
    <comment ref="I106" authorId="0" shapeId="0" xr:uid="{1B0D94BE-73B4-4F33-9463-4A72D73E8868}">
      <text>
        <r>
          <rPr>
            <b/>
            <sz val="9"/>
            <color indexed="81"/>
            <rFont val="Tahoma"/>
            <family val="2"/>
            <charset val="186"/>
          </rPr>
          <t>Sarmīte Mūze:</t>
        </r>
        <r>
          <rPr>
            <sz val="9"/>
            <color indexed="81"/>
            <rFont val="Tahoma"/>
            <family val="2"/>
            <charset val="186"/>
          </rPr>
          <t xml:space="preserve">
25'000 no saimnieciskās darbības</t>
        </r>
      </text>
    </comment>
    <comment ref="E155" authorId="0" shapeId="0" xr:uid="{C37F91EF-FDBC-47C2-85BB-0674C37F914A}">
      <text>
        <r>
          <rPr>
            <b/>
            <sz val="9"/>
            <color indexed="81"/>
            <rFont val="Tahoma"/>
            <family val="2"/>
            <charset val="186"/>
          </rPr>
          <t>Sarmīte Mūze:</t>
        </r>
        <r>
          <rPr>
            <sz val="9"/>
            <color indexed="81"/>
            <rFont val="Tahoma"/>
            <family val="2"/>
            <charset val="186"/>
          </rPr>
          <t xml:space="preserve">
EUR 10'621 Piekrastes apsaimniekošanas projekts
</t>
        </r>
      </text>
    </comment>
    <comment ref="F155" authorId="0" shapeId="0" xr:uid="{A8AE1DB0-02CA-4561-83FB-241861F83C9D}">
      <text>
        <r>
          <rPr>
            <b/>
            <sz val="9"/>
            <color indexed="81"/>
            <rFont val="Tahoma"/>
            <family val="2"/>
            <charset val="186"/>
          </rPr>
          <t>Sarmīte Mūze:</t>
        </r>
        <r>
          <rPr>
            <sz val="9"/>
            <color indexed="81"/>
            <rFont val="Tahoma"/>
            <family val="2"/>
            <charset val="186"/>
          </rPr>
          <t xml:space="preserve">
16'000 Uzņēmējdarbības veicināšana (0630)</t>
        </r>
      </text>
    </comment>
    <comment ref="J155" authorId="0" shapeId="0" xr:uid="{9B57715C-4FC0-4611-84B9-C0176B26082F}">
      <text>
        <r>
          <rPr>
            <b/>
            <sz val="9"/>
            <color indexed="81"/>
            <rFont val="Tahoma"/>
            <family val="2"/>
            <charset val="186"/>
          </rPr>
          <t>Sarmīte Mūze:</t>
        </r>
        <r>
          <rPr>
            <sz val="9"/>
            <color indexed="81"/>
            <rFont val="Tahoma"/>
            <family val="2"/>
            <charset val="186"/>
          </rPr>
          <t xml:space="preserve">
Piekrastes apsaimn; Krastupes iela; Uzņēmējdarbības veicināšana u.c.</t>
        </r>
      </text>
    </comment>
    <comment ref="J173" authorId="0" shapeId="0" xr:uid="{0722E262-75F7-44EA-AF21-6F0023751C63}">
      <text>
        <r>
          <rPr>
            <b/>
            <sz val="9"/>
            <color indexed="81"/>
            <rFont val="Tahoma"/>
            <family val="2"/>
            <charset val="186"/>
          </rPr>
          <t>Sarmīte Mūze:</t>
        </r>
        <r>
          <rPr>
            <sz val="9"/>
            <color indexed="81"/>
            <rFont val="Tahoma"/>
            <family val="2"/>
            <charset val="186"/>
          </rPr>
          <t xml:space="preserve">
NĪ iegāde Podniekos</t>
        </r>
      </text>
    </comment>
    <comment ref="I178" authorId="0" shapeId="0" xr:uid="{19A53A9F-2507-43FA-8BAF-732D3E95325D}">
      <text>
        <r>
          <rPr>
            <b/>
            <sz val="9"/>
            <color indexed="81"/>
            <rFont val="Tahoma"/>
            <family val="2"/>
            <charset val="186"/>
          </rPr>
          <t>Sarmīte Mūze:</t>
        </r>
        <r>
          <rPr>
            <sz val="9"/>
            <color indexed="81"/>
            <rFont val="Tahoma"/>
            <family val="2"/>
            <charset val="186"/>
          </rPr>
          <t xml:space="preserve">
CKS+0649 (Bāze)</t>
        </r>
      </text>
    </comment>
    <comment ref="I179" authorId="0" shapeId="0" xr:uid="{2E12C388-6D86-4A7E-BBB2-AB644FEEC131}">
      <text>
        <r>
          <rPr>
            <b/>
            <sz val="9"/>
            <color indexed="81"/>
            <rFont val="Tahoma"/>
            <family val="2"/>
            <charset val="186"/>
          </rPr>
          <t>Sarmīte Mūze:</t>
        </r>
        <r>
          <rPr>
            <sz val="9"/>
            <color indexed="81"/>
            <rFont val="Tahoma"/>
            <family val="2"/>
            <charset val="186"/>
          </rPr>
          <t xml:space="preserve">
CKS</t>
        </r>
      </text>
    </comment>
    <comment ref="I180" authorId="0" shapeId="0" xr:uid="{A66C7589-556F-486E-8FDB-A028CE33E92A}">
      <text>
        <r>
          <rPr>
            <b/>
            <sz val="9"/>
            <color indexed="81"/>
            <rFont val="Tahoma"/>
            <family val="2"/>
            <charset val="186"/>
          </rPr>
          <t>Sarmīte Mūze:</t>
        </r>
        <r>
          <rPr>
            <sz val="9"/>
            <color indexed="81"/>
            <rFont val="Tahoma"/>
            <family val="2"/>
            <charset val="186"/>
          </rPr>
          <t xml:space="preserve">
0649 (Bāze)</t>
        </r>
      </text>
    </comment>
    <comment ref="J181" authorId="0" shapeId="0" xr:uid="{CA52C45C-BC72-4E08-8C7C-CDBF713DC79E}">
      <text>
        <r>
          <rPr>
            <b/>
            <sz val="9"/>
            <color indexed="81"/>
            <rFont val="Tahoma"/>
            <family val="2"/>
            <charset val="186"/>
          </rPr>
          <t>Sarmīte Mūze:</t>
        </r>
        <r>
          <rPr>
            <sz val="9"/>
            <color indexed="81"/>
            <rFont val="Tahoma"/>
            <family val="2"/>
            <charset val="186"/>
          </rPr>
          <t xml:space="preserve">
Ēku siltināšana; Ķiršu iela (pārlikts uz CKS)</t>
        </r>
      </text>
    </comment>
    <comment ref="J196" authorId="0" shapeId="0" xr:uid="{6B7D3300-A267-414E-9A1A-771F749B2C0C}">
      <text>
        <r>
          <rPr>
            <b/>
            <sz val="9"/>
            <color indexed="81"/>
            <rFont val="Tahoma"/>
            <family val="2"/>
            <charset val="186"/>
          </rPr>
          <t>Sarmīte Mūze:</t>
        </r>
        <r>
          <rPr>
            <sz val="9"/>
            <color indexed="81"/>
            <rFont val="Tahoma"/>
            <family val="2"/>
            <charset val="186"/>
          </rPr>
          <t xml:space="preserve">
VKKF ekspozīcija</t>
        </r>
      </text>
    </comment>
    <comment ref="J197" authorId="0" shapeId="0" xr:uid="{6A46F27D-69B3-4045-BF28-F28F8842C9D3}">
      <text>
        <r>
          <rPr>
            <b/>
            <sz val="9"/>
            <color indexed="81"/>
            <rFont val="Tahoma"/>
            <family val="2"/>
            <charset val="186"/>
          </rPr>
          <t>Sarmīte Mūze:</t>
        </r>
        <r>
          <rPr>
            <sz val="9"/>
            <color indexed="81"/>
            <rFont val="Tahoma"/>
            <family val="2"/>
            <charset val="186"/>
          </rPr>
          <t xml:space="preserve">
Interreg</t>
        </r>
      </text>
    </comment>
    <comment ref="E248" authorId="0" shapeId="0" xr:uid="{7363C3E6-B3A4-478F-B652-D6884024B0D3}">
      <text>
        <r>
          <rPr>
            <b/>
            <sz val="9"/>
            <color indexed="81"/>
            <rFont val="Tahoma"/>
            <family val="2"/>
            <charset val="186"/>
          </rPr>
          <t>Sarmīte Mūze:</t>
        </r>
        <r>
          <rPr>
            <sz val="9"/>
            <color indexed="81"/>
            <rFont val="Tahoma"/>
            <family val="2"/>
            <charset val="186"/>
          </rPr>
          <t xml:space="preserve">
Ēdināšana</t>
        </r>
      </text>
    </comment>
    <comment ref="F248" authorId="0" shapeId="0" xr:uid="{92A59480-561F-4E6A-BB71-9E42B1DC73BD}">
      <text>
        <r>
          <rPr>
            <b/>
            <sz val="9"/>
            <color indexed="81"/>
            <rFont val="Tahoma"/>
            <family val="2"/>
            <charset val="186"/>
          </rPr>
          <t>Sarmīte Mūze:</t>
        </r>
        <r>
          <rPr>
            <sz val="9"/>
            <color indexed="81"/>
            <rFont val="Tahoma"/>
            <family val="2"/>
            <charset val="186"/>
          </rPr>
          <t xml:space="preserve">
Interešu izgl. 44'403, ēdināšana</t>
        </r>
      </text>
    </comment>
    <comment ref="F252" authorId="0" shapeId="0" xr:uid="{9EF1EFB3-753C-49F1-90A2-626F1A745714}">
      <text>
        <r>
          <rPr>
            <b/>
            <sz val="9"/>
            <color indexed="81"/>
            <rFont val="Tahoma"/>
            <family val="2"/>
            <charset val="186"/>
          </rPr>
          <t>Sarmīte Mūze:</t>
        </r>
        <r>
          <rPr>
            <sz val="9"/>
            <color indexed="81"/>
            <rFont val="Tahoma"/>
            <family val="2"/>
            <charset val="186"/>
          </rPr>
          <t xml:space="preserve">
Interešu; pedagogi</t>
        </r>
      </text>
    </comment>
    <comment ref="F264" authorId="0" shapeId="0" xr:uid="{5E31F37F-60F9-4760-9A9B-7A3F190FDCB1}">
      <text>
        <r>
          <rPr>
            <b/>
            <sz val="9"/>
            <color indexed="81"/>
            <rFont val="Tahoma"/>
            <family val="2"/>
            <charset val="186"/>
          </rPr>
          <t>Sarmīte Mūze:</t>
        </r>
        <r>
          <rPr>
            <sz val="9"/>
            <color indexed="81"/>
            <rFont val="Tahoma"/>
            <family val="2"/>
            <charset val="186"/>
          </rPr>
          <t xml:space="preserve">
Interešu; pedagogi</t>
        </r>
      </text>
    </comment>
    <comment ref="M291" authorId="0" shapeId="0" xr:uid="{94BC0595-99CC-4760-AB46-05BDE1557084}">
      <text>
        <r>
          <rPr>
            <b/>
            <sz val="9"/>
            <color indexed="81"/>
            <rFont val="Tahoma"/>
            <family val="2"/>
            <charset val="186"/>
          </rPr>
          <t>Sarmīte Mūze:</t>
        </r>
        <r>
          <rPr>
            <sz val="9"/>
            <color indexed="81"/>
            <rFont val="Tahoma"/>
            <family val="2"/>
            <charset val="186"/>
          </rPr>
          <t xml:space="preserve">
Šis ir jāizņem no 0930 un jāliek 0982 algā.
</t>
        </r>
      </text>
    </comment>
    <comment ref="N291" authorId="0" shapeId="0" xr:uid="{D63BD95B-9014-49C9-82EE-CD22DB653D33}">
      <text>
        <r>
          <rPr>
            <b/>
            <sz val="9"/>
            <color indexed="81"/>
            <rFont val="Tahoma"/>
            <family val="2"/>
            <charset val="186"/>
          </rPr>
          <t>Sarmīte Mūze:</t>
        </r>
        <r>
          <rPr>
            <sz val="9"/>
            <color indexed="81"/>
            <rFont val="Tahoma"/>
            <family val="2"/>
            <charset val="186"/>
          </rPr>
          <t xml:space="preserve">
Šis ir jāizņem no 0930 un jāliek 0982 algā.
</t>
        </r>
      </text>
    </comment>
    <comment ref="Q291" authorId="0" shapeId="0" xr:uid="{88E3D4E4-102C-4257-B07E-EDE976926C35}">
      <text>
        <r>
          <rPr>
            <b/>
            <sz val="9"/>
            <color indexed="81"/>
            <rFont val="Tahoma"/>
            <family val="2"/>
            <charset val="186"/>
          </rPr>
          <t>Sarmīte Mūze:</t>
        </r>
        <r>
          <rPr>
            <sz val="9"/>
            <color indexed="81"/>
            <rFont val="Tahoma"/>
            <family val="2"/>
            <charset val="186"/>
          </rPr>
          <t xml:space="preserve">
Šis ir jāizņem no 0930 un jāliek 0982 algā.
</t>
        </r>
      </text>
    </comment>
    <comment ref="T291" authorId="0" shapeId="0" xr:uid="{A7415DD6-981F-4E17-A8CE-777AE357AC11}">
      <text>
        <r>
          <rPr>
            <b/>
            <sz val="9"/>
            <color indexed="81"/>
            <rFont val="Tahoma"/>
            <family val="2"/>
            <charset val="186"/>
          </rPr>
          <t>Sarmīte Mūze:</t>
        </r>
        <r>
          <rPr>
            <sz val="9"/>
            <color indexed="81"/>
            <rFont val="Tahoma"/>
            <family val="2"/>
            <charset val="186"/>
          </rPr>
          <t xml:space="preserve">
Šis ir jāizņem no 0930 un jāliek 0982 algā.
</t>
        </r>
      </text>
    </comment>
    <comment ref="W291" authorId="0" shapeId="0" xr:uid="{B7FD4C8F-D0EB-4FB7-A080-23E38C9F28F4}">
      <text>
        <r>
          <rPr>
            <b/>
            <sz val="9"/>
            <color indexed="81"/>
            <rFont val="Tahoma"/>
            <family val="2"/>
            <charset val="186"/>
          </rPr>
          <t>Sarmīte Mūze:</t>
        </r>
        <r>
          <rPr>
            <sz val="9"/>
            <color indexed="81"/>
            <rFont val="Tahoma"/>
            <family val="2"/>
            <charset val="186"/>
          </rPr>
          <t xml:space="preserve">
Šis ir jāizņem no 0930 un jāliek 0982 algā.
</t>
        </r>
      </text>
    </comment>
    <comment ref="Z291" authorId="0" shapeId="0" xr:uid="{DF038F9D-C3B5-4CE5-B291-C46AFA2540D1}">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<sst xmlns="http://schemas.openxmlformats.org/spreadsheetml/2006/main" count="1034" uniqueCount="799">
  <si>
    <t>Ādažu pašvaldības apvienotais budžets</t>
  </si>
  <si>
    <t>KA</t>
  </si>
  <si>
    <t>2024. gads</t>
  </si>
  <si>
    <t>AM</t>
  </si>
  <si>
    <t xml:space="preserve">Ieņēmumu daļa </t>
  </si>
  <si>
    <t>Brīvais KA</t>
  </si>
  <si>
    <t xml:space="preserve">N.p.k. </t>
  </si>
  <si>
    <t>Sadaļa</t>
  </si>
  <si>
    <t>KA 31.12.2023.</t>
  </si>
  <si>
    <t>Valsts finansējums (mērķdotācijas)</t>
  </si>
  <si>
    <t>Projektu finansējums</t>
  </si>
  <si>
    <t>Aizņēmumi</t>
  </si>
  <si>
    <t>CKS</t>
  </si>
  <si>
    <t>2024. ĀND investīcijas</t>
  </si>
  <si>
    <t>2024. ĀND bāze</t>
  </si>
  <si>
    <t>2024. gada budžets</t>
  </si>
  <si>
    <t>25.01.2024. grozījumi</t>
  </si>
  <si>
    <t>Izmaiņa 25.01.2024. - 28.12.2023.</t>
  </si>
  <si>
    <t xml:space="preserve">Komentāri </t>
  </si>
  <si>
    <t>28.03.2024. grozījumi</t>
  </si>
  <si>
    <t>Izmaiņa 28.03.2024. -25.01.2024.</t>
  </si>
  <si>
    <t>25.04.2024. grozījumi</t>
  </si>
  <si>
    <t>Izmaiņa 25.04.2024. -28.03.2024.</t>
  </si>
  <si>
    <t>27.06.2024. grozījumi</t>
  </si>
  <si>
    <t>Izmaiņa 27.06.2024. -25.04.2024.</t>
  </si>
  <si>
    <t>29.08.2024. grozījumi</t>
  </si>
  <si>
    <t>Izmaiņa 29.08.2024. -27.06.2024.</t>
  </si>
  <si>
    <t>1., 2., 3., 4., 5.1.</t>
  </si>
  <si>
    <t>Nodokļu ieņēmumi</t>
  </si>
  <si>
    <t>1.1.1.0.</t>
  </si>
  <si>
    <t>1.</t>
  </si>
  <si>
    <t>Iedzīvotāju ienākuma nodoklis</t>
  </si>
  <si>
    <t>PB</t>
  </si>
  <si>
    <t>01.1.1.2.</t>
  </si>
  <si>
    <t>1.1.</t>
  </si>
  <si>
    <t>pārskata gada</t>
  </si>
  <si>
    <t>Uz 06.03. IIN izpilde lielāka par plānoto šajā periodā.</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</si>
  <si>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</si>
  <si>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</si>
  <si>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</si>
  <si>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</si>
  <si>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</si>
  <si>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</si>
  <si>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</si>
  <si>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</si>
  <si>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</si>
  <si>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</si>
  <si>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</si>
  <si>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</si>
  <si>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</si>
  <si>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</si>
  <si>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</si>
  <si>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</si>
  <si>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</si>
  <si>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</si>
  <si>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</si>
  <si>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</si>
  <si>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</si>
  <si>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</si>
  <si>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</si>
  <si>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</si>
  <si>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</si>
  <si>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</si>
  <si>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</si>
  <si>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</si>
  <si>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</si>
  <si>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</si>
  <si>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</si>
  <si>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</si>
  <si>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</si>
  <si>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</si>
  <si>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</si>
  <si>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</si>
  <si>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</si>
  <si>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</si>
  <si>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</si>
  <si>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</si>
  <si>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</si>
  <si>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</si>
  <si>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</si>
  <si>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</si>
  <si>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</si>
  <si>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</si>
  <si>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</si>
  <si>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</si>
  <si>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</si>
  <si>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</si>
  <si>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</si>
  <si>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</si>
  <si>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</si>
  <si>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</si>
  <si>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</si>
  <si>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</si>
  <si>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</si>
  <si>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</si>
  <si>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</si>
  <si>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 xml:space="preserve">Saskaņā ar 28.03.2024. lēmumu Nr. 119, ieņēmumu palielinājums pārcelts arī uz izdevumu sadaļu GS rīkošanai. (EUR 21'000 (EUR 7'000 tirdzniecības nodevas; EUR 9'000 ieņēmumi par telpu nomu; 5'000 pārējie ieņēmumi)). </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</si>
  <si>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</si>
  <si>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</si>
  <si>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</si>
  <si>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</si>
  <si>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</si>
  <si>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</si>
  <si>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</si>
  <si>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</si>
  <si>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</si>
  <si>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</si>
  <si>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</si>
  <si>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</si>
  <si>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</si>
  <si>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</si>
  <si>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Palielinājums, balstoties uz faktisko izpildi.</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</si>
  <si>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</si>
  <si>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</si>
  <si>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</si>
  <si>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</si>
  <si>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</si>
  <si>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</si>
  <si>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</si>
  <si>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</si>
  <si>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</si>
  <si>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</si>
  <si>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</si>
  <si>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Procentu ieņēmumi no nakts depozīta. (Saskaņā ar 30.05.2024. lēmumu Nr. 185 novirzīts projektam pastaigu celiņa izbūve gar Gaujas-Baltezera kanālu)</t>
  </si>
  <si>
    <t>1) Procentu ieņēmumi no nakts depozīta (šobrīd + EUR 26'000 pret plānoto).
2) Iedzīvotāju līdzfinansējums Mežmalas ielas atjaunošanai EUR 31'000.</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</si>
  <si>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</si>
  <si>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</si>
  <si>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</si>
  <si>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</si>
  <si>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</si>
  <si>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</si>
  <si>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</si>
  <si>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</si>
  <si>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</si>
  <si>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10.</t>
  </si>
  <si>
    <t>Valsts budžeta transferti un projektu finansējums</t>
  </si>
  <si>
    <t>10.1.</t>
  </si>
  <si>
    <t>Valsts budžeta transferti</t>
  </si>
  <si>
    <t>mērķdotācija</t>
  </si>
  <si>
    <t>18.6.2.3.</t>
  </si>
  <si>
    <t>10.1.1.</t>
  </si>
  <si>
    <t>dotācija mākslas skolas algām</t>
  </si>
  <si>
    <t>Precizēta MD</t>
  </si>
  <si>
    <t>18.6.2.4.</t>
  </si>
  <si>
    <t>10.1.2.</t>
  </si>
  <si>
    <t>dotācija sporta skolai</t>
  </si>
  <si>
    <t xml:space="preserve">Precizēta MD </t>
  </si>
  <si>
    <t>18.6.2.10.; 18.6.2.11</t>
  </si>
  <si>
    <t>10.1.3.</t>
  </si>
  <si>
    <t>dotācija skolēnu ēdināšanai</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</si>
  <si>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</si>
  <si>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</si>
  <si>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</si>
  <si>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</si>
  <si>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</si>
  <si>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</si>
  <si>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</si>
  <si>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</si>
  <si>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</si>
  <si>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</si>
  <si>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</si>
  <si>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</si>
  <si>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</si>
  <si>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</si>
  <si>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</si>
  <si>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</si>
  <si>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</si>
  <si>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</si>
  <si>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</si>
  <si>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</si>
  <si>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</si>
  <si>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</si>
  <si>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</si>
  <si>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</si>
  <si>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</si>
  <si>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</si>
  <si>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</si>
  <si>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</si>
  <si>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</si>
  <si>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</si>
  <si>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</si>
  <si>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</si>
  <si>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</si>
  <si>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</si>
  <si>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</si>
  <si>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</si>
  <si>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</si>
  <si>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</si>
  <si>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</si>
  <si>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</si>
  <si>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</si>
  <si>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</si>
  <si>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</si>
  <si>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</si>
  <si>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18.6.2.6.1.</t>
  </si>
  <si>
    <t>10.1.14.</t>
  </si>
  <si>
    <t>Dotācija nodarbinātības pasākumiem</t>
  </si>
  <si>
    <t>0630</t>
  </si>
  <si>
    <t>18.6.2.9.;</t>
  </si>
  <si>
    <t>10.1.15.</t>
  </si>
  <si>
    <t>pārējās dotācijas</t>
  </si>
  <si>
    <t>Valsts finansējums parakstu vākšanai tautas nobalsošanas ierosināšanai par apturēto likumu “Grozījumi Notariāta likumā”</t>
  </si>
  <si>
    <t>CVK finansējums Eiropas parlamenta vēlēšanu nodrošināšanai</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</si>
  <si>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</si>
  <si>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</si>
  <si>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</si>
  <si>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</si>
  <si>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</si>
  <si>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</si>
  <si>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</si>
  <si>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</si>
  <si>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</si>
  <si>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</si>
  <si>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</si>
  <si>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</si>
  <si>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</si>
  <si>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</si>
  <si>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</si>
  <si>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</si>
  <si>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</si>
  <si>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</si>
  <si>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</si>
  <si>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</si>
  <si>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</si>
  <si>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</si>
  <si>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</si>
  <si>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</si>
  <si>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</si>
  <si>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</si>
  <si>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</si>
  <si>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</si>
  <si>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</si>
  <si>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</si>
  <si>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</si>
  <si>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</si>
  <si>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</si>
  <si>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</si>
  <si>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</si>
  <si>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</si>
  <si>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</si>
  <si>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</si>
  <si>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</si>
  <si>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</si>
  <si>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</si>
  <si>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</si>
  <si>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</si>
  <si>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</si>
  <si>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</si>
  <si>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</si>
  <si>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</si>
  <si>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</si>
  <si>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</si>
  <si>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</si>
  <si>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</si>
  <si>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</si>
  <si>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Pēc lēmuma precizēta naudas plūsma.</t>
  </si>
  <si>
    <t>18.6.4.0.</t>
  </si>
  <si>
    <t>10.3.</t>
  </si>
  <si>
    <t>IIN budžeta dotācija</t>
  </si>
  <si>
    <t>11.</t>
  </si>
  <si>
    <t>Pašvaldību budžeta transferti</t>
  </si>
  <si>
    <t>19.2.1.0.</t>
  </si>
  <si>
    <t>11.1.</t>
  </si>
  <si>
    <t>no citām pašvaldībām izglītības funkciju nodrošināšanai</t>
  </si>
  <si>
    <t>Balstoties uz precizētajiem aprēķiniem.</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</si>
  <si>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</si>
  <si>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</si>
  <si>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</si>
  <si>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</si>
  <si>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</si>
  <si>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</si>
  <si>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</si>
  <si>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</si>
  <si>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</si>
  <si>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</si>
  <si>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</si>
  <si>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</si>
  <si>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</si>
  <si>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</si>
  <si>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</si>
  <si>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</si>
  <si>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</si>
  <si>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</si>
  <si>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</si>
  <si>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</si>
  <si>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</si>
  <si>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</si>
  <si>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</si>
  <si>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</si>
  <si>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</si>
  <si>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</si>
  <si>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</si>
  <si>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</si>
  <si>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Balstoties uz faktisko izpildi un precizētajiem aprēķiniem.</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</si>
  <si>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</si>
  <si>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</si>
  <si>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</si>
  <si>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</si>
  <si>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</si>
  <si>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</si>
  <si>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</si>
  <si>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</si>
  <si>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</si>
  <si>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</si>
  <si>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</si>
  <si>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</si>
  <si>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</si>
  <si>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</si>
  <si>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21.3.9.4.</t>
  </si>
  <si>
    <t>12.4.3.</t>
  </si>
  <si>
    <t>ieņēmumi no dzīvokļu un komunālajiem pakalpojumiem ©</t>
  </si>
  <si>
    <t>KA nepalielina izdevumus, bet samazina plānotos ieņēmumus</t>
  </si>
  <si>
    <t>Atlikta saimnieciskās darbības nodalīšana no CKS EUR 680'342 (ieņēmumu un izdevumu sadaļā)</t>
  </si>
  <si>
    <t>21.3.9.9.; CKS</t>
  </si>
  <si>
    <t>12.5.</t>
  </si>
  <si>
    <t>pārējie ieņēmumi/stāvvietu ieņēmumi</t>
  </si>
  <si>
    <t>Finansējums Piekrastes apsaimniekošanai ieskaitīts 2023.gada beigās (stāv KA)</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</si>
  <si>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</si>
  <si>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</si>
  <si>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</si>
  <si>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</si>
  <si>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</si>
  <si>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</si>
  <si>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</si>
  <si>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</si>
  <si>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</si>
  <si>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</si>
  <si>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</si>
  <si>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</si>
  <si>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</si>
  <si>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</si>
  <si>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Līgums ar CFLA nav noslēgts, līdz ar to zināms, ka projektēšana pilnā apmērā jāmaksā no pašvaldības.</t>
  </si>
  <si>
    <t>F40321210</t>
  </si>
  <si>
    <t>SAM 5.1.1. Pretplūdu pasākumi Ādažu centra polderī, Ādažu novadā</t>
  </si>
  <si>
    <t>Precizēta aizņēmumu summa pēc līguma summas pārcelšanas no 2023.gada</t>
  </si>
  <si>
    <t>14.5.</t>
  </si>
  <si>
    <t>14.6.</t>
  </si>
  <si>
    <t>Carnikavas stadiona rekonstrukcija</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</si>
  <si>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</si>
  <si>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</si>
  <si>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</si>
  <si>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</si>
  <si>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</si>
  <si>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</si>
  <si>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</si>
  <si>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</si>
  <si>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</si>
  <si>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</si>
  <si>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</si>
  <si>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</si>
  <si>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</si>
  <si>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KA:</t>
  </si>
  <si>
    <t xml:space="preserve">Izdevumu daļa </t>
  </si>
  <si>
    <t>2023. ĀND bāze</t>
  </si>
  <si>
    <t>Izmaiņa 23.03.2023. - 26.01.2023.</t>
  </si>
  <si>
    <t>Komentāri</t>
  </si>
  <si>
    <t>Izmaiņa 27.03.2024. -25.01.2024.</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</si>
  <si>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</si>
  <si>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</si>
  <si>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</si>
  <si>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</si>
  <si>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</si>
  <si>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</si>
  <si>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</si>
  <si>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</si>
  <si>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</si>
  <si>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</si>
  <si>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</si>
  <si>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</si>
  <si>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</si>
  <si>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</si>
  <si>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</si>
  <si>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</si>
  <si>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</si>
  <si>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</si>
  <si>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</si>
  <si>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</si>
  <si>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EUR 50'687 aizņēmumu % maksājumu plānotās kopsummas samazinājums uz projekta Pastaigu taka gar Baltezera kanālu budžetu (30.05.2024. ĀND lēmums # 185)</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</si>
  <si>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</si>
  <si>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</si>
  <si>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</si>
  <si>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</si>
  <si>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</si>
  <si>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</si>
  <si>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</si>
  <si>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</si>
  <si>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</si>
  <si>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</si>
  <si>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</si>
  <si>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</si>
  <si>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</si>
  <si>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</si>
  <si>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EUR 102 uzturēšana, ko veic CKS</t>
  </si>
  <si>
    <t>Papildus līdzekļi klaiņojošo dzīvnieku veterinājajai aprūpei.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</si>
  <si>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</si>
  <si>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</si>
  <si>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</si>
  <si>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</si>
  <si>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</si>
  <si>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</si>
  <si>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</si>
  <si>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</si>
  <si>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</si>
  <si>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</si>
  <si>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</si>
  <si>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</si>
  <si>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</si>
  <si>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</si>
  <si>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</si>
  <si>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</si>
  <si>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</si>
  <si>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</si>
  <si>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</si>
  <si>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</si>
  <si>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</si>
  <si>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</si>
  <si>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</si>
  <si>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</si>
  <si>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</si>
  <si>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</si>
  <si>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</si>
  <si>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</si>
  <si>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</si>
  <si>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</si>
  <si>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</si>
  <si>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</si>
  <si>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</si>
  <si>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</si>
  <si>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</si>
  <si>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</si>
  <si>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</si>
  <si>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</si>
  <si>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</si>
  <si>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</si>
  <si>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Noslēdzies iepirkums uzņēmējdarbības konkursa tehniskā projekta izstrādāšanai par summu EUR 23'293 (aprīļa grozījumos šim mērķim tika pārcelti EUR 26'640 no mobilitātes punkta projekta). Starpība EUR 3'347 atgriezts mobilitātes projektam.</t>
  </si>
  <si>
    <t>0633.2</t>
  </si>
  <si>
    <t>6.4.6.</t>
  </si>
  <si>
    <t>0631.1</t>
  </si>
  <si>
    <t>6.4.7.</t>
  </si>
  <si>
    <t>EUR 22'000 no ieņēmumu palielinājuma (KA % ieņēmumu palielinājums). (30.05.2024. ĀND lēmums # 185)
EUR 50'687 no aizņēmumu % maksājumu plānotās kopsummas.</t>
  </si>
  <si>
    <t>0632.7</t>
  </si>
  <si>
    <t>6.4.8.</t>
  </si>
  <si>
    <t>EUR 5'801 no Attīstības nodaļas (ekonomija uz vakancēm) uz projektu Mākslu skolas ārtelpas labiekārtošana (30.05.2024. ĀND lēmums # 223)</t>
  </si>
  <si>
    <t>6.4.9.</t>
  </si>
  <si>
    <t>6.4.10.</t>
  </si>
  <si>
    <t>6.4.11.</t>
  </si>
  <si>
    <t>6.4.12.</t>
  </si>
  <si>
    <t>6.4.13.</t>
  </si>
  <si>
    <t>6.4.14.</t>
  </si>
  <si>
    <t>ANM pasākuma "Atbalsta pasākumi cilvēkiem ar invaliditāti mājokļu vides pieejamības nodrošināšanai" projekts</t>
  </si>
  <si>
    <t xml:space="preserve">EUR 44'284 - ANM pasākuma "Atbalsta pasākumi cilvēkiem ar invaliditāti mājokļu vides pieejamības nodrošināšanai" projekts - jūnijā pārcelts uz jaunu struktūru 1018 - jāceļ no izceltā projekta nevis attīst. daļas. 
</t>
  </si>
  <si>
    <t>0631.2</t>
  </si>
  <si>
    <t>6.4.15.</t>
  </si>
  <si>
    <t>Krastupes ielas projekts</t>
  </si>
  <si>
    <t xml:space="preserve">EUR 85'085 - Krastupes ielas projekts - Pārcelts uz atsevišķu struktūru 0631.2; 
</t>
  </si>
  <si>
    <t>6.4.16.</t>
  </si>
  <si>
    <t>Pārrobežu EST-LAT projekts "Militārais mantojums ©</t>
  </si>
  <si>
    <t>0633.5</t>
  </si>
  <si>
    <t>6.5.</t>
  </si>
  <si>
    <t>Objektu un teritorijas apsaimniekošana un uzturēšana</t>
  </si>
  <si>
    <t>0670</t>
  </si>
  <si>
    <t>6.5.1.</t>
  </si>
  <si>
    <t xml:space="preserve">Nekustamā īpašumas nodaļa </t>
  </si>
  <si>
    <t>EUR 2400 uzlādes stacijām piedāvāto nekustamo īpašumu novētēšanai (25.07.2024. domes lēmums)</t>
  </si>
  <si>
    <t>0648</t>
  </si>
  <si>
    <t>6.5.2.</t>
  </si>
  <si>
    <t>Vecštāles ceļa rekonstrukcija</t>
  </si>
  <si>
    <t>6.5.3.</t>
  </si>
  <si>
    <t>precizēts KA, VK aizņēmuma summa un atlikušais ienākošais ERAF finansējums</t>
  </si>
  <si>
    <t>0634.1</t>
  </si>
  <si>
    <t>6.5.4.</t>
  </si>
  <si>
    <t>Jaunais plūdu projekts - 2.1.3.2. "Nacionālas nozīmes plūdu un krasta erozijas pasākumi" 1.daļa</t>
  </si>
  <si>
    <t xml:space="preserve">EUR 120'000 - Jaunais plūdu projekts - Pārcelts uz atsevišķu struktūru 0634.1; 
</t>
  </si>
  <si>
    <t>CKS_apsaimniek</t>
  </si>
  <si>
    <t>6.5.5.</t>
  </si>
  <si>
    <t>Pašvaldības aģentūra "Carnikavas Komunālserviss"</t>
  </si>
  <si>
    <t>KA nepalielina izdevumus, bet samazina plānotos ieņēmumsu</t>
  </si>
  <si>
    <t>6.5.6.</t>
  </si>
  <si>
    <t>P/A "Carnikavas komunālserviss" teritorijas un īpašumu apsaimniekošana</t>
  </si>
  <si>
    <t>6.5.6.1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</si>
  <si>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</si>
  <si>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</si>
  <si>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</si>
  <si>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
3) + EUR 11'000 atbalstīts zemsv. aktivit. - (Mākslu skolas starpsienu izbūve)</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</si>
  <si>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</si>
  <si>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6.5.6.2.</t>
  </si>
  <si>
    <t>Dotācija CKS ceļu uzturēšanai</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</si>
  <si>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</si>
  <si>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6.5.6.3.</t>
  </si>
  <si>
    <t>Teritorijas uzturēšana (Dome)</t>
  </si>
  <si>
    <t>1) Energoefektivitātes pasākumu daudzdzīvokļu mājām un pagalmu labiekārtošanai - līdzfinansējums papildus EUR 13'000.
2) Tā kā Gaujas 16 netiek vēl pieslēgta centrālai apkurei, tad atlikušie EUR 6'000 uz apkures apmaksu, ko maksā dome nevis CKS.</t>
  </si>
  <si>
    <t>6.5.7.</t>
  </si>
  <si>
    <t>Tirgus laukuma lietus kanalizācijas izbūve Ādažos</t>
  </si>
  <si>
    <t>6.5.8.</t>
  </si>
  <si>
    <t>Viršu ielas/atzars uz Sproģu ielu asfaltbetona seguma atjaunošana posmā no Dzērveņu ielas līdz Serģu iela (980 m)</t>
  </si>
  <si>
    <t>Viršu ielas prognozētās palielinātās izmaksas</t>
  </si>
  <si>
    <t>6.5.9.</t>
  </si>
  <si>
    <t>Liepu alejas rekonstrukcija</t>
  </si>
  <si>
    <t>6.5.10.</t>
  </si>
  <si>
    <t>Dzirnupes ielas tilta projekts, Carnikava</t>
  </si>
  <si>
    <t>6.5.11.</t>
  </si>
  <si>
    <t>EUR 15'000 no plānotajiem līdzekļiem Draudzības ielas rekonstrukcijai uz Kļavu ielas divkāršās virsmas apstrādes veikšanu. (08.08.2024. protokollēmums)</t>
  </si>
  <si>
    <t>6.5.12.</t>
  </si>
  <si>
    <t>Attekas ielas turpinājums 0,5 km - projektēšana</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</si>
  <si>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</si>
  <si>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 xml:space="preserve">Apgaismes stabi Attekas ielas savienojumā no Ķiršu līdz Draudzības ielai. </t>
  </si>
  <si>
    <t>6.5.13.</t>
  </si>
  <si>
    <t>6.5.14.</t>
  </si>
  <si>
    <t>Kļavu ielā divkārtas virsmas apstrāde 0.35km</t>
  </si>
  <si>
    <t>Atbalstīts zemsvītras projekts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</si>
  <si>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</si>
  <si>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0633.4</t>
  </si>
  <si>
    <t>6.5.15.</t>
  </si>
  <si>
    <t>Mežmalas ielas seguma vienkāršotā atjaunošana, 0.22km, Alderi</t>
  </si>
  <si>
    <t>1) Iedzīvotāju līdzfinansējums Mežmalas ielas atjaunošanai EUR 31'000.
2) No Attekas ielas projektēšanas EUR 10'022 Mežmalas ielas atjaunošanai pašvaldības līdzfinansējums.</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</si>
  <si>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</si>
  <si>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</si>
  <si>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</si>
  <si>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</si>
  <si>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</si>
  <si>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</si>
  <si>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</si>
  <si>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</si>
  <si>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</si>
  <si>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EUR 165 t/n Ozolaine uzturēšana, ko veic CKS</t>
  </si>
  <si>
    <t>0841.3</t>
  </si>
  <si>
    <t>7.1.3.</t>
  </si>
  <si>
    <t>Muzejs un Carnikavas novadpētniecības centrs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</si>
  <si>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</si>
  <si>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</si>
  <si>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</si>
  <si>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</si>
  <si>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</si>
  <si>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</si>
  <si>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</si>
  <si>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</si>
  <si>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</si>
  <si>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</si>
  <si>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</si>
  <si>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</si>
  <si>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</si>
  <si>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EUR 276 Ādažu bibliotēkas uzturēšana, ko veic CKS</t>
  </si>
  <si>
    <t>0831</t>
  </si>
  <si>
    <t>7.6.</t>
  </si>
  <si>
    <t xml:space="preserve">Carnikavas bibliotēka </t>
  </si>
  <si>
    <t>EUR 62 Carnikavas bibliotēkas uzturēšana, ko veic CKS</t>
  </si>
  <si>
    <t>7.8.</t>
  </si>
  <si>
    <t>Sporta daļa</t>
  </si>
  <si>
    <t>7.8.1.</t>
  </si>
  <si>
    <t>-  sporta funkcijas nodrošināšana</t>
  </si>
  <si>
    <t>Atalgojums, kas pāriet uz CKS</t>
  </si>
  <si>
    <t>EUR 43'878 Sporta centra uzturēšana, ko veic CKS</t>
  </si>
  <si>
    <t>Latvijas Jaunatnes Olimpiāde Valmierā - NENOTIKS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</si>
  <si>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</si>
  <si>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7.8.2.</t>
  </si>
  <si>
    <t>- uzturēšanas izmaksas (CKS)</t>
  </si>
  <si>
    <t>EUR 926 Sporta centra uzturēšana, ko veic CKS</t>
  </si>
  <si>
    <t>0880</t>
  </si>
  <si>
    <t>7.9.</t>
  </si>
  <si>
    <t>Evaņģēliski luteriskās draudzes</t>
  </si>
  <si>
    <t>0843</t>
  </si>
  <si>
    <t>7.10.</t>
  </si>
  <si>
    <t>Multihalle</t>
  </si>
  <si>
    <t>Sociālā aizsardzība</t>
  </si>
  <si>
    <t>Sociālais dienests</t>
  </si>
  <si>
    <t>8.1.1.</t>
  </si>
  <si>
    <t xml:space="preserve">Sociālās funkcijas nodrošināšana </t>
  </si>
  <si>
    <t>EUR 1'186 Soc. dienesta uzturēšana, ko veic CKS</t>
  </si>
  <si>
    <t>8.1.2.</t>
  </si>
  <si>
    <t>Pabalsti</t>
  </si>
  <si>
    <t>8.1.3.</t>
  </si>
  <si>
    <t>Mērķdotācija</t>
  </si>
  <si>
    <t>8.1.5.</t>
  </si>
  <si>
    <t>Asistentu pakalpojumi</t>
  </si>
  <si>
    <t>8.1.6.</t>
  </si>
  <si>
    <t>Uzturēšanas izdevumi (CKS)</t>
  </si>
  <si>
    <t>8.1.7.</t>
  </si>
  <si>
    <t>Sociālā centra "Kadiķis" uzturēšana</t>
  </si>
  <si>
    <t>EUR 28 Kadiķis uzturēšana, ko veic CKS</t>
  </si>
  <si>
    <t>Stipendiāti / bezdarbnieki</t>
  </si>
  <si>
    <t>8.2.1.</t>
  </si>
  <si>
    <t>Domes finansējums</t>
  </si>
  <si>
    <t>8.2.2.</t>
  </si>
  <si>
    <t>NVA finansējums</t>
  </si>
  <si>
    <t>SAM 9311 Deinstitucionalizācija - Dienas centrs</t>
  </si>
  <si>
    <t>1014.3</t>
  </si>
  <si>
    <t>8.3.1.</t>
  </si>
  <si>
    <t>DI centra uzturēšanas izdevumi</t>
  </si>
  <si>
    <t>EUR 3'745 DI centra uzturēšana, ko veic CKS</t>
  </si>
  <si>
    <t>8.3.2.</t>
  </si>
  <si>
    <t>DI centra uzturēšanas izdevumi (CKS)</t>
  </si>
  <si>
    <t>8.3.3.</t>
  </si>
  <si>
    <t>DI projekts- specializētās darbnīcas</t>
  </si>
  <si>
    <t>DI projekta KA</t>
  </si>
  <si>
    <t>1014.1</t>
  </si>
  <si>
    <t>8.3.4.</t>
  </si>
  <si>
    <t>DI centra pakalpojumi (projekts)</t>
  </si>
  <si>
    <t>8.4.</t>
  </si>
  <si>
    <t>Bāriņtiesa</t>
  </si>
  <si>
    <t>8.5.</t>
  </si>
  <si>
    <t>8.6.</t>
  </si>
  <si>
    <t>8.7.</t>
  </si>
  <si>
    <t>EUR 44'284 - ANM pasākuma "Atbalsta pasākumi cilvēkiem ar invaliditāti mājokļu vides pieejamības nodrošināšanai" projekts - Pārcelts uz jaunu struktūru 1018</t>
  </si>
  <si>
    <t>1013.1</t>
  </si>
  <si>
    <t>8.8.</t>
  </si>
  <si>
    <t>SAM 9.2.4.2. projekts "Pasākumi vietējās sabiedrības veselības veicināšanai Ādažu novada pašvaldības Ādažu pagastā"</t>
  </si>
  <si>
    <t>1013.2</t>
  </si>
  <si>
    <t>8.9.</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</si>
  <si>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</si>
  <si>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</si>
  <si>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</si>
  <si>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</si>
  <si>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</si>
  <si>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</si>
  <si>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</si>
  <si>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</si>
  <si>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</si>
  <si>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</si>
  <si>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</si>
  <si>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</si>
  <si>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</si>
  <si>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</si>
  <si>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</si>
  <si>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</si>
  <si>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</si>
  <si>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EUR 7'811 ĀPII uzturēšana, ko veic CKS</t>
  </si>
  <si>
    <t>Strautiņš terases sienu remontam EUR 2'978 no Garās ielas 20 remontiem paredzētajiem līdzekļiem uz PII "Strautiņš" terases balsta sienu remontdarbiem un EUR 11'222 (iekš. groz.) no plānotā piekļuves sisitēmas automatizācijas izmaksām.</t>
  </si>
  <si>
    <t>9.2.3.</t>
  </si>
  <si>
    <t>uzturēšanas izmaksas (CKS)</t>
  </si>
  <si>
    <t>9.3.</t>
  </si>
  <si>
    <t>Kadagas PII</t>
  </si>
  <si>
    <t>0921</t>
  </si>
  <si>
    <t>9.3.1.</t>
  </si>
  <si>
    <t>0920</t>
  </si>
  <si>
    <t>9.3.2.</t>
  </si>
  <si>
    <t>EUR 64'977 KPII uzturēšana, ko veic CKS</t>
  </si>
  <si>
    <t>9.3.3.</t>
  </si>
  <si>
    <t>EUR 4'600 no tāmēšanas darbiem paredzētā finansējuma uz PII "Mežavēji" ēkas un telpu remontdarbiem.</t>
  </si>
  <si>
    <t>9.4.</t>
  </si>
  <si>
    <t>Pirmsskolas izglītības iestāde "Riekstiņš"</t>
  </si>
  <si>
    <t>09011</t>
  </si>
  <si>
    <t>9.4.1.</t>
  </si>
  <si>
    <t>MD mācību līdzekļiem 2024.gadam</t>
  </si>
  <si>
    <t>0901; 650_0901</t>
  </si>
  <si>
    <t>9.4.2.</t>
  </si>
  <si>
    <t>Grīdas kopšanas ierīces iegādi un Nosūces uzstādīšanu realizēs CKS</t>
  </si>
  <si>
    <t>EUR 3'150 no Ādažu vidusskolas PII uz PII Riekstiņš izglītojamo skaita palielinājumam. Saskaņā ar 30.05.2024. lēmumu Nr. 216 "Par izglītojamo skaita palielināšanu PII "Riekstiņš"</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</si>
  <si>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</si>
  <si>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</si>
  <si>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</si>
  <si>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</si>
  <si>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</si>
  <si>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</si>
  <si>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</si>
  <si>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</si>
  <si>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</si>
  <si>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</si>
  <si>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</si>
  <si>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</si>
  <si>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</si>
  <si>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</si>
  <si>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</si>
  <si>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</si>
  <si>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0940.2</t>
  </si>
  <si>
    <t>9.6.2.</t>
  </si>
  <si>
    <t xml:space="preserve">Pārējās privātās PII </t>
  </si>
  <si>
    <t>0940.3</t>
  </si>
  <si>
    <t>9.6.3.</t>
  </si>
  <si>
    <t>Pārējās privātās vidējās izglītības iestādes</t>
  </si>
  <si>
    <t>9.7.</t>
  </si>
  <si>
    <t>09821</t>
  </si>
  <si>
    <t>9.7.1.</t>
  </si>
  <si>
    <t>9.7.1.1.</t>
  </si>
  <si>
    <t>MD pedagogiem</t>
  </si>
  <si>
    <t>9.7.1.2.</t>
  </si>
  <si>
    <t>MD interešu izglītība</t>
  </si>
  <si>
    <t>9.7.1.3.</t>
  </si>
  <si>
    <t>MD mācību līdzekļiem</t>
  </si>
  <si>
    <t>9.7.2.</t>
  </si>
  <si>
    <t>ēdināšana (mērķdotācija)</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</si>
  <si>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</si>
  <si>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</si>
  <si>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</si>
  <si>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</si>
  <si>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</si>
  <si>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</si>
  <si>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</si>
  <si>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</si>
  <si>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</si>
  <si>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</si>
  <si>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</si>
  <si>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</si>
  <si>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</si>
  <si>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</si>
  <si>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</si>
  <si>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</si>
  <si>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</si>
  <si>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</si>
  <si>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Stadiona labiekārtošanas darbi veikti caur CKS, pārcelts EUR 6'629 uz CKS teritorijas labiekārtošanas sadaļu.</t>
  </si>
  <si>
    <t>9.9.</t>
  </si>
  <si>
    <t>Ādažu vidusskola</t>
  </si>
  <si>
    <t>9.9.1.</t>
  </si>
  <si>
    <t>9.9.1.1.</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</si>
  <si>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</si>
  <si>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</si>
  <si>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</si>
  <si>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</si>
  <si>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</si>
  <si>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</si>
  <si>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</si>
  <si>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EUR 6'000 ĀVS uzturēšana, ko veic CKS</t>
  </si>
  <si>
    <t>EUR 5'600 tualešu remontam uz CKS uzturēšanas izmaksu pozīciju</t>
  </si>
  <si>
    <t>9.9.3.</t>
  </si>
  <si>
    <t>1) EUR 10'919 no CKS teritorijas kopšanas nodaļas uz CKS AVS uzturēšanas nodaļu.
2) EUR 146'203 ĀVS uzturēšana, ko veic CKS</t>
  </si>
  <si>
    <t>0957</t>
  </si>
  <si>
    <t>9.9.4.</t>
  </si>
  <si>
    <t>projekts Erasmus+</t>
  </si>
  <si>
    <t>0951</t>
  </si>
  <si>
    <t>9.9.5.</t>
  </si>
  <si>
    <t>9.9.6.</t>
  </si>
  <si>
    <t>Decembra rēķins izrakstīts 30.12., samaksa pārceļas uz 2024.gadu</t>
  </si>
  <si>
    <t>9.9.7.</t>
  </si>
  <si>
    <t>0981</t>
  </si>
  <si>
    <t>9.9.8.</t>
  </si>
  <si>
    <t>sākumskolas uzturēšanas izmaksas</t>
  </si>
  <si>
    <t>Atalgojums, kas pāriet uz CKS; atalgojuma korekcija, dalot likes MD</t>
  </si>
  <si>
    <t>EUR 58'159 ĀVS sākumskolas uzturēšana, ko veic CKS</t>
  </si>
  <si>
    <t>9.9.9.</t>
  </si>
  <si>
    <t>sākumskolas uzturēšanas izmaksas (CKS)</t>
  </si>
  <si>
    <t>1) EUR 19'453 no CKS teritorijas kopšanas nodaļas uz CKS AVS sākumskolas uzturēšanas nodaļu.
2) EUR 58'159 ĀVS sākumskolas uzturēšana, ko veic CKS</t>
  </si>
  <si>
    <t>9.9.10.</t>
  </si>
  <si>
    <t>sākumskolas ēdināšana (mērķdotācija)</t>
  </si>
  <si>
    <t>9.9.11.</t>
  </si>
  <si>
    <t xml:space="preserve">PII </t>
  </si>
  <si>
    <t>0952.1</t>
  </si>
  <si>
    <t>9.9.11.1.</t>
  </si>
  <si>
    <t>- pedagogu algas, māc. līdzekļi (mērķdotācija)</t>
  </si>
  <si>
    <t>0952</t>
  </si>
  <si>
    <t>9.9.11.2.</t>
  </si>
  <si>
    <t>-  uzturēšana</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</si>
  <si>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</si>
  <si>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</si>
  <si>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</si>
  <si>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</si>
  <si>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</si>
  <si>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</si>
  <si>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</si>
  <si>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</si>
  <si>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</si>
  <si>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4'000 atbalstīts zemsv. aktivit. - (EUR 11'000 sienu un durvju aiļu izbūve ar durvju uzst. Garā 20 (pie CKS), EUR 4'000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</si>
  <si>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</si>
  <si>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</si>
  <si>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</si>
  <si>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</si>
  <si>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</si>
  <si>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</si>
  <si>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</si>
  <si>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</si>
  <si>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</si>
  <si>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</si>
  <si>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</si>
  <si>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</si>
  <si>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</si>
  <si>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</si>
  <si>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</si>
  <si>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</si>
  <si>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</si>
  <si>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</si>
  <si>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</si>
  <si>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</si>
  <si>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</si>
  <si>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</si>
  <si>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</si>
  <si>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</si>
  <si>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</si>
  <si>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</si>
  <si>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</si>
  <si>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</si>
  <si>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</si>
  <si>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</si>
  <si>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</si>
  <si>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</si>
  <si>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</si>
  <si>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</si>
  <si>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</si>
  <si>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</si>
  <si>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</si>
  <si>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</si>
  <si>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</si>
  <si>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</si>
  <si>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</si>
  <si>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</si>
  <si>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Precizēta projektu naudas plūsma, balstoties uz noslēgtajiem līgumiem - izdevumos zem Carnikavas vidusskolas</t>
  </si>
  <si>
    <t>Carnikavas vidusskola</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</si>
  <si>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t>
  </si>
  <si>
    <t>Balstoties uz prognozēm, ka IIN gada griezumā varētu būt lielāks kā sākotnēji plānots. Saskaņā ar lēmumu par finanšu un ekonomisko aprēķinu jaunās skolas būvniecībai tiks novirzīts šim mērķim.</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</si>
  <si>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</si>
  <si>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Balstoties uz faktisko izpildi veidojas ekonomija, kas tiks novirzīts katlu mājas remontam.</t>
  </si>
  <si>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5. No Attekas ielas projektēšanas EUR 19'000 Gāzes katla remontam.
6. Tā kā Gaujas 16 netiek vēl pieslēgta centrālai apkurei, tad atlikušie EUR 6'000 uz apkures apmaksu, ko maksā dome nevis 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</si>
</sst>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sz val="11"/>
      <color rgb="FFFF0000"/>
      <name val="Times New Roman"/>
      <family val="1"/>
      <charset val="186"/>
    </font>
    <font>
      <sz val="9"/>
      <color theme="1"/>
      <name val="Arial"/>
      <family val="2"/>
      <charset val="186"/>
    </font>
    <font>
      <sz val="11"/>
      <color indexed="8"/>
      <name val="Calibri"/>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sz val="11"/>
      <color indexed="10"/>
      <name val="Times New Roman"/>
      <family val="1"/>
      <charset val="186"/>
    </font>
    <font>
      <u/>
      <sz val="11"/>
      <name val="Times New Roman"/>
      <family val="1"/>
      <charset val="186"/>
    </font>
    <font>
      <b/>
      <u/>
      <sz val="11"/>
      <name val="Times New Roman"/>
      <family val="1"/>
      <charset val="186"/>
    </font>
    <font>
      <i/>
      <sz val="11"/>
      <name val="Times New Roman"/>
      <family val="1"/>
      <charset val="186"/>
    </font>
    <font>
      <i/>
      <sz val="11"/>
      <color rgb="FFFF0000"/>
      <name val="Times New Roman"/>
      <family val="1"/>
      <charset val="186"/>
    </font>
    <font>
      <b/>
      <i/>
      <u/>
      <sz val="11"/>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20"/>
      <name val="Times New Roman"/>
      <family val="1"/>
      <charset val="186"/>
    </font>
  </fonts>
  <fills count="19">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CC66"/>
        <bgColor indexed="64"/>
      </patternFill>
    </fill>
    <fill>
      <patternFill patternType="solid">
        <fgColor rgb="FF92D050"/>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9">
    <xf numFmtId="0" fontId="0" fillId="0" borderId="0"/>
    <xf numFmtId="43" fontId="5"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xf numFmtId="0" fontId="10" fillId="0" borderId="0" applyNumberFormat="0" applyFill="0" applyBorder="0" applyAlignment="0" applyProtection="0"/>
    <xf numFmtId="0" fontId="11" fillId="0" borderId="0"/>
    <xf numFmtId="9" fontId="6" fillId="0" borderId="0" applyFont="0" applyFill="0" applyBorder="0" applyAlignment="0" applyProtection="0"/>
  </cellStyleXfs>
  <cellXfs count="284">
    <xf numFmtId="0" fontId="0" fillId="0" borderId="0" xfId="0"/>
    <xf numFmtId="0" fontId="2" fillId="0" borderId="0" xfId="2" applyFont="1"/>
    <xf numFmtId="0" fontId="3" fillId="0" borderId="0" xfId="3" applyFont="1"/>
    <xf numFmtId="0" fontId="2" fillId="0" borderId="0" xfId="2" applyFont="1" applyAlignment="1">
      <alignment wrapText="1"/>
    </xf>
    <xf numFmtId="0" fontId="4" fillId="0" borderId="0" xfId="2" applyFont="1" applyAlignment="1">
      <alignment wrapText="1"/>
    </xf>
    <xf numFmtId="3" fontId="4" fillId="0" borderId="0" xfId="2" applyNumberFormat="1" applyFont="1"/>
    <xf numFmtId="164" fontId="4" fillId="0" borderId="0" xfId="1" applyNumberFormat="1" applyFont="1" applyAlignment="1">
      <alignment wrapText="1"/>
    </xf>
    <xf numFmtId="164" fontId="2" fillId="0" borderId="0" xfId="1" applyNumberFormat="1" applyFont="1" applyAlignment="1">
      <alignment wrapText="1"/>
    </xf>
    <xf numFmtId="9" fontId="4" fillId="0" borderId="0" xfId="4" applyFont="1" applyAlignment="1">
      <alignment wrapText="1"/>
    </xf>
    <xf numFmtId="9" fontId="2" fillId="0" borderId="0" xfId="4" applyFont="1" applyAlignment="1">
      <alignment wrapText="1"/>
    </xf>
    <xf numFmtId="3" fontId="2" fillId="0" borderId="0" xfId="2" applyNumberFormat="1" applyFont="1"/>
    <xf numFmtId="164" fontId="4" fillId="0" borderId="0" xfId="1" applyNumberFormat="1" applyFont="1"/>
    <xf numFmtId="164" fontId="2" fillId="0" borderId="0" xfId="1" applyNumberFormat="1" applyFont="1"/>
    <xf numFmtId="1" fontId="4" fillId="0" borderId="0" xfId="4" applyNumberFormat="1" applyFont="1" applyFill="1"/>
    <xf numFmtId="1" fontId="2" fillId="0" borderId="0" xfId="4" applyNumberFormat="1" applyFont="1" applyFill="1"/>
    <xf numFmtId="164" fontId="8" fillId="0" borderId="0" xfId="5" applyNumberFormat="1" applyFont="1"/>
    <xf numFmtId="164" fontId="9" fillId="0" borderId="0" xfId="5" applyNumberFormat="1" applyFont="1"/>
    <xf numFmtId="164" fontId="4" fillId="0" borderId="0" xfId="2" applyNumberFormat="1" applyFont="1" applyAlignment="1">
      <alignment wrapText="1"/>
    </xf>
    <xf numFmtId="164" fontId="9" fillId="0" borderId="0" xfId="1" applyNumberFormat="1" applyFont="1"/>
    <xf numFmtId="164" fontId="8" fillId="0" borderId="0" xfId="1" applyNumberFormat="1" applyFont="1"/>
    <xf numFmtId="9" fontId="4" fillId="0" borderId="0" xfId="4" applyFont="1"/>
    <xf numFmtId="9" fontId="2" fillId="0" borderId="0" xfId="4" applyFont="1"/>
    <xf numFmtId="0" fontId="10" fillId="0" borderId="0" xfId="6"/>
    <xf numFmtId="0" fontId="8" fillId="0" borderId="1" xfId="2" applyFont="1" applyBorder="1" applyAlignment="1">
      <alignment horizontal="center" vertical="center"/>
    </xf>
    <xf numFmtId="0" fontId="8" fillId="0" borderId="2" xfId="2" applyFont="1" applyBorder="1" applyAlignment="1">
      <alignment horizontal="center" vertical="center" wrapText="1"/>
    </xf>
    <xf numFmtId="0" fontId="8" fillId="0" borderId="3" xfId="7" applyFont="1" applyBorder="1" applyAlignment="1">
      <alignment horizontal="center" vertical="center" wrapText="1"/>
    </xf>
    <xf numFmtId="164" fontId="8" fillId="0" borderId="3" xfId="1" applyNumberFormat="1" applyFont="1" applyBorder="1" applyAlignment="1">
      <alignment horizontal="center" vertical="center" wrapText="1"/>
    </xf>
    <xf numFmtId="9" fontId="9" fillId="0" borderId="3" xfId="4" applyFont="1" applyBorder="1" applyAlignment="1">
      <alignment horizontal="center" vertical="center" wrapText="1"/>
    </xf>
    <xf numFmtId="9" fontId="8" fillId="0" borderId="3" xfId="4" applyFont="1" applyBorder="1" applyAlignment="1">
      <alignment horizontal="center" vertical="center" wrapText="1"/>
    </xf>
    <xf numFmtId="0" fontId="8" fillId="2" borderId="4" xfId="2" applyFont="1" applyFill="1" applyBorder="1"/>
    <xf numFmtId="0" fontId="8" fillId="2" borderId="5" xfId="2" applyFont="1" applyFill="1" applyBorder="1" applyAlignment="1">
      <alignment wrapText="1"/>
    </xf>
    <xf numFmtId="164" fontId="8" fillId="2" borderId="6" xfId="1" applyNumberFormat="1" applyFont="1" applyFill="1" applyBorder="1"/>
    <xf numFmtId="3" fontId="8" fillId="2" borderId="6" xfId="2" applyNumberFormat="1" applyFont="1" applyFill="1" applyBorder="1"/>
    <xf numFmtId="9" fontId="4" fillId="2" borderId="6" xfId="4" applyFont="1" applyFill="1" applyBorder="1" applyAlignment="1">
      <alignment wrapText="1"/>
    </xf>
    <xf numFmtId="9" fontId="2" fillId="2" borderId="6" xfId="4" applyFont="1" applyFill="1" applyBorder="1" applyAlignment="1">
      <alignment wrapText="1"/>
    </xf>
    <xf numFmtId="0" fontId="8" fillId="3" borderId="4" xfId="2" quotePrefix="1" applyFont="1" applyFill="1" applyBorder="1"/>
    <xf numFmtId="0" fontId="8" fillId="3" borderId="5" xfId="2" applyFont="1" applyFill="1" applyBorder="1" applyAlignment="1">
      <alignment wrapText="1"/>
    </xf>
    <xf numFmtId="3" fontId="8" fillId="3" borderId="6" xfId="2" applyNumberFormat="1" applyFont="1" applyFill="1" applyBorder="1"/>
    <xf numFmtId="164" fontId="8" fillId="3" borderId="6" xfId="1" applyNumberFormat="1" applyFont="1" applyFill="1" applyBorder="1"/>
    <xf numFmtId="9" fontId="9" fillId="3" borderId="6" xfId="4" applyFont="1" applyFill="1" applyBorder="1"/>
    <xf numFmtId="9" fontId="8" fillId="3" borderId="6" xfId="4" applyFont="1" applyFill="1" applyBorder="1"/>
    <xf numFmtId="0" fontId="12" fillId="0" borderId="0" xfId="2" applyFont="1"/>
    <xf numFmtId="0" fontId="2" fillId="0" borderId="7" xfId="2" applyFont="1" applyBorder="1" applyAlignment="1">
      <alignment horizontal="left" indent="1"/>
    </xf>
    <xf numFmtId="0" fontId="2" fillId="0" borderId="8" xfId="2" applyFont="1" applyBorder="1" applyAlignment="1">
      <alignment horizontal="left" wrapText="1" indent="2"/>
    </xf>
    <xf numFmtId="3" fontId="2" fillId="0" borderId="9" xfId="2" applyNumberFormat="1" applyFont="1" applyBorder="1"/>
    <xf numFmtId="164" fontId="2" fillId="0" borderId="9" xfId="1" applyNumberFormat="1" applyFont="1" applyBorder="1"/>
    <xf numFmtId="9" fontId="4" fillId="0" borderId="9" xfId="4" applyFont="1" applyFill="1" applyBorder="1"/>
    <xf numFmtId="9" fontId="2" fillId="0" borderId="9" xfId="4" applyFont="1" applyFill="1" applyBorder="1"/>
    <xf numFmtId="0" fontId="8" fillId="3" borderId="7" xfId="2" applyFont="1" applyFill="1" applyBorder="1"/>
    <xf numFmtId="0" fontId="8" fillId="3" borderId="8" xfId="2" applyFont="1" applyFill="1" applyBorder="1" applyAlignment="1">
      <alignment wrapText="1"/>
    </xf>
    <xf numFmtId="3" fontId="8" fillId="3" borderId="9" xfId="2" applyNumberFormat="1" applyFont="1" applyFill="1" applyBorder="1"/>
    <xf numFmtId="164" fontId="8" fillId="3" borderId="9" xfId="1" applyNumberFormat="1" applyFont="1" applyFill="1" applyBorder="1"/>
    <xf numFmtId="9" fontId="9" fillId="3" borderId="9" xfId="4" applyFont="1" applyFill="1" applyBorder="1"/>
    <xf numFmtId="9" fontId="8" fillId="3" borderId="9" xfId="4" applyFont="1" applyFill="1" applyBorder="1"/>
    <xf numFmtId="3" fontId="9" fillId="3" borderId="9" xfId="2" applyNumberFormat="1" applyFont="1" applyFill="1" applyBorder="1"/>
    <xf numFmtId="9" fontId="4" fillId="0" borderId="9" xfId="4" applyFont="1" applyBorder="1"/>
    <xf numFmtId="9" fontId="2" fillId="0" borderId="9" xfId="4" applyFont="1" applyBorder="1"/>
    <xf numFmtId="3" fontId="4" fillId="0" borderId="9" xfId="2" applyNumberFormat="1" applyFont="1" applyBorder="1"/>
    <xf numFmtId="9" fontId="4" fillId="0" borderId="10" xfId="4" applyFont="1" applyFill="1" applyBorder="1"/>
    <xf numFmtId="9" fontId="2" fillId="0" borderId="10" xfId="4" applyFont="1" applyFill="1" applyBorder="1"/>
    <xf numFmtId="0" fontId="1" fillId="0" borderId="0" xfId="2"/>
    <xf numFmtId="9" fontId="4" fillId="0" borderId="10" xfId="4" applyFont="1" applyFill="1" applyBorder="1" applyAlignment="1">
      <alignment wrapText="1"/>
    </xf>
    <xf numFmtId="9" fontId="2" fillId="0" borderId="10" xfId="4" applyFont="1" applyFill="1" applyBorder="1" applyAlignment="1">
      <alignment wrapText="1"/>
    </xf>
    <xf numFmtId="0" fontId="13" fillId="0" borderId="7" xfId="2" applyFont="1" applyBorder="1" applyAlignment="1">
      <alignment horizontal="left" indent="2"/>
    </xf>
    <xf numFmtId="0" fontId="13" fillId="0" borderId="8" xfId="2" applyFont="1" applyBorder="1" applyAlignment="1">
      <alignment horizontal="left" wrapText="1" indent="3"/>
    </xf>
    <xf numFmtId="0" fontId="12" fillId="0" borderId="0" xfId="2" quotePrefix="1" applyFont="1"/>
    <xf numFmtId="9" fontId="2" fillId="0" borderId="9" xfId="4" applyFont="1" applyBorder="1" applyAlignment="1">
      <alignment wrapText="1"/>
    </xf>
    <xf numFmtId="9" fontId="4" fillId="3" borderId="9" xfId="4" applyFont="1" applyFill="1" applyBorder="1" applyAlignment="1">
      <alignment wrapText="1"/>
    </xf>
    <xf numFmtId="9" fontId="2" fillId="3" borderId="9" xfId="4" applyFont="1" applyFill="1" applyBorder="1" applyAlignment="1">
      <alignment wrapText="1"/>
    </xf>
    <xf numFmtId="0" fontId="2" fillId="4" borderId="8" xfId="2" applyFont="1" applyFill="1" applyBorder="1" applyAlignment="1">
      <alignment horizontal="left" wrapText="1" indent="2"/>
    </xf>
    <xf numFmtId="9" fontId="4" fillId="0" borderId="9" xfId="4" applyFont="1" applyFill="1" applyBorder="1" applyAlignment="1">
      <alignment wrapText="1"/>
    </xf>
    <xf numFmtId="9" fontId="2" fillId="0" borderId="9" xfId="4" applyFont="1" applyFill="1" applyBorder="1" applyAlignment="1">
      <alignment wrapText="1"/>
    </xf>
    <xf numFmtId="0" fontId="8" fillId="3" borderId="7" xfId="2" quotePrefix="1" applyFont="1" applyFill="1" applyBorder="1"/>
    <xf numFmtId="0" fontId="2" fillId="2" borderId="7" xfId="2" applyFont="1" applyFill="1" applyBorder="1" applyAlignment="1">
      <alignment horizontal="left" indent="1"/>
    </xf>
    <xf numFmtId="0" fontId="2" fillId="2" borderId="8" xfId="2" applyFont="1" applyFill="1" applyBorder="1" applyAlignment="1">
      <alignment horizontal="left" wrapText="1" indent="2"/>
    </xf>
    <xf numFmtId="3" fontId="2" fillId="2" borderId="9" xfId="2" applyNumberFormat="1" applyFont="1" applyFill="1" applyBorder="1"/>
    <xf numFmtId="164" fontId="2" fillId="5" borderId="9" xfId="1" applyNumberFormat="1" applyFont="1" applyFill="1" applyBorder="1"/>
    <xf numFmtId="3" fontId="2" fillId="5" borderId="9" xfId="2" applyNumberFormat="1" applyFont="1" applyFill="1" applyBorder="1"/>
    <xf numFmtId="3" fontId="4" fillId="5" borderId="9" xfId="2" applyNumberFormat="1" applyFont="1" applyFill="1" applyBorder="1"/>
    <xf numFmtId="164" fontId="4" fillId="0" borderId="9" xfId="1" applyNumberFormat="1" applyFont="1" applyBorder="1"/>
    <xf numFmtId="3" fontId="2" fillId="6" borderId="9" xfId="2" applyNumberFormat="1" applyFont="1" applyFill="1" applyBorder="1"/>
    <xf numFmtId="164" fontId="2" fillId="6" borderId="9" xfId="1" applyNumberFormat="1" applyFont="1" applyFill="1" applyBorder="1"/>
    <xf numFmtId="3" fontId="4" fillId="6" borderId="9" xfId="2" applyNumberFormat="1" applyFont="1" applyFill="1" applyBorder="1" applyAlignment="1">
      <alignment wrapText="1"/>
    </xf>
    <xf numFmtId="3" fontId="2" fillId="6" borderId="9" xfId="2" applyNumberFormat="1" applyFont="1" applyFill="1" applyBorder="1" applyAlignment="1">
      <alignment wrapText="1"/>
    </xf>
    <xf numFmtId="3" fontId="13" fillId="7" borderId="9" xfId="2" applyNumberFormat="1" applyFont="1" applyFill="1" applyBorder="1"/>
    <xf numFmtId="164" fontId="13" fillId="7" borderId="9" xfId="1" applyNumberFormat="1" applyFont="1" applyFill="1" applyBorder="1"/>
    <xf numFmtId="9" fontId="14" fillId="7" borderId="9" xfId="4" applyFont="1" applyFill="1" applyBorder="1" applyAlignment="1">
      <alignment wrapText="1"/>
    </xf>
    <xf numFmtId="9" fontId="13" fillId="7" borderId="9" xfId="4" applyFont="1" applyFill="1" applyBorder="1" applyAlignment="1">
      <alignment wrapText="1"/>
    </xf>
    <xf numFmtId="0" fontId="13" fillId="0" borderId="0" xfId="2" applyFont="1"/>
    <xf numFmtId="9" fontId="13" fillId="8" borderId="9" xfId="4" applyFont="1" applyFill="1" applyBorder="1"/>
    <xf numFmtId="3" fontId="13" fillId="9" borderId="9" xfId="2" applyNumberFormat="1" applyFont="1" applyFill="1" applyBorder="1"/>
    <xf numFmtId="9" fontId="13" fillId="9" borderId="9" xfId="4" applyFont="1" applyFill="1" applyBorder="1"/>
    <xf numFmtId="0" fontId="2" fillId="0" borderId="0" xfId="2" quotePrefix="1" applyFont="1"/>
    <xf numFmtId="0" fontId="2" fillId="10" borderId="8" xfId="2" applyFont="1" applyFill="1" applyBorder="1" applyAlignment="1">
      <alignment horizontal="left" wrapText="1" indent="2"/>
    </xf>
    <xf numFmtId="164" fontId="2" fillId="0" borderId="9" xfId="1" applyNumberFormat="1" applyFont="1" applyFill="1" applyBorder="1"/>
    <xf numFmtId="3" fontId="2" fillId="11" borderId="9" xfId="2" applyNumberFormat="1" applyFont="1" applyFill="1" applyBorder="1"/>
    <xf numFmtId="3" fontId="2" fillId="12" borderId="9" xfId="2" applyNumberFormat="1" applyFont="1" applyFill="1" applyBorder="1"/>
    <xf numFmtId="0" fontId="2" fillId="0" borderId="8" xfId="2" applyFont="1" applyBorder="1" applyAlignment="1">
      <alignment horizontal="left" wrapText="1" indent="3"/>
    </xf>
    <xf numFmtId="9" fontId="4" fillId="13" borderId="9" xfId="4" applyFont="1" applyFill="1" applyBorder="1" applyAlignment="1">
      <alignment wrapText="1"/>
    </xf>
    <xf numFmtId="9" fontId="2" fillId="13" borderId="9" xfId="4" applyFont="1" applyFill="1" applyBorder="1" applyAlignment="1">
      <alignment wrapText="1"/>
    </xf>
    <xf numFmtId="9" fontId="2" fillId="8" borderId="9" xfId="4" applyFont="1" applyFill="1" applyBorder="1" applyAlignment="1">
      <alignment wrapText="1"/>
    </xf>
    <xf numFmtId="164" fontId="2" fillId="2" borderId="9" xfId="1" applyNumberFormat="1" applyFont="1" applyFill="1" applyBorder="1"/>
    <xf numFmtId="9" fontId="4" fillId="2" borderId="9" xfId="4" applyFont="1" applyFill="1" applyBorder="1" applyAlignment="1">
      <alignment wrapText="1"/>
    </xf>
    <xf numFmtId="9" fontId="2" fillId="2" borderId="9" xfId="4" applyFont="1" applyFill="1" applyBorder="1" applyAlignment="1">
      <alignment wrapText="1"/>
    </xf>
    <xf numFmtId="0" fontId="4" fillId="0" borderId="0" xfId="2" applyFont="1"/>
    <xf numFmtId="9" fontId="2" fillId="8" borderId="10" xfId="4" applyFont="1" applyFill="1" applyBorder="1" applyAlignment="1">
      <alignment wrapText="1"/>
    </xf>
    <xf numFmtId="9" fontId="4" fillId="0" borderId="13" xfId="4" applyFont="1" applyFill="1" applyBorder="1"/>
    <xf numFmtId="9" fontId="2" fillId="0" borderId="13" xfId="4" applyFont="1" applyFill="1" applyBorder="1"/>
    <xf numFmtId="0" fontId="1" fillId="12" borderId="0" xfId="2" applyFill="1"/>
    <xf numFmtId="0" fontId="2" fillId="10" borderId="8" xfId="2" applyFont="1" applyFill="1" applyBorder="1" applyAlignment="1">
      <alignment horizontal="left" wrapText="1" indent="3"/>
    </xf>
    <xf numFmtId="0" fontId="2" fillId="4" borderId="7" xfId="2" applyFont="1" applyFill="1" applyBorder="1" applyAlignment="1">
      <alignment horizontal="left" indent="2"/>
    </xf>
    <xf numFmtId="0" fontId="2" fillId="4" borderId="8" xfId="2" applyFont="1" applyFill="1" applyBorder="1" applyAlignment="1">
      <alignment horizontal="left" wrapText="1" indent="3"/>
    </xf>
    <xf numFmtId="1" fontId="4" fillId="0" borderId="9" xfId="4" applyNumberFormat="1" applyFont="1" applyFill="1" applyBorder="1"/>
    <xf numFmtId="1" fontId="2" fillId="0" borderId="9" xfId="4" applyNumberFormat="1" applyFont="1" applyFill="1" applyBorder="1"/>
    <xf numFmtId="3" fontId="2" fillId="14" borderId="9" xfId="2" applyNumberFormat="1" applyFont="1" applyFill="1" applyBorder="1"/>
    <xf numFmtId="0" fontId="8" fillId="0" borderId="14" xfId="2" applyFont="1" applyBorder="1"/>
    <xf numFmtId="0" fontId="8" fillId="0" borderId="15" xfId="2" applyFont="1" applyBorder="1" applyAlignment="1">
      <alignment horizontal="right" wrapText="1"/>
    </xf>
    <xf numFmtId="3" fontId="8" fillId="0" borderId="3" xfId="2" applyNumberFormat="1" applyFont="1" applyBorder="1"/>
    <xf numFmtId="164" fontId="8" fillId="0" borderId="3" xfId="1" applyNumberFormat="1" applyFont="1" applyBorder="1"/>
    <xf numFmtId="9" fontId="9" fillId="0" borderId="3" xfId="4" applyFont="1" applyBorder="1"/>
    <xf numFmtId="9" fontId="8" fillId="0" borderId="3" xfId="4" applyFont="1" applyBorder="1"/>
    <xf numFmtId="0" fontId="8" fillId="0" borderId="16" xfId="2" quotePrefix="1" applyFont="1" applyBorder="1"/>
    <xf numFmtId="0" fontId="8" fillId="0" borderId="17" xfId="2" applyFont="1" applyBorder="1" applyAlignment="1">
      <alignment wrapText="1"/>
    </xf>
    <xf numFmtId="3" fontId="8" fillId="0" borderId="18" xfId="2" applyNumberFormat="1" applyFont="1" applyBorder="1"/>
    <xf numFmtId="164" fontId="8" fillId="0" borderId="18" xfId="1" applyNumberFormat="1" applyFont="1" applyBorder="1"/>
    <xf numFmtId="9" fontId="9" fillId="0" borderId="18" xfId="4" applyFont="1" applyFill="1" applyBorder="1"/>
    <xf numFmtId="9" fontId="8" fillId="0" borderId="18" xfId="4" applyFont="1" applyFill="1" applyBorder="1"/>
    <xf numFmtId="0" fontId="8" fillId="3" borderId="19" xfId="2" applyFont="1" applyFill="1" applyBorder="1" applyAlignment="1">
      <alignment wrapText="1"/>
    </xf>
    <xf numFmtId="3" fontId="8" fillId="3" borderId="13" xfId="2" applyNumberFormat="1" applyFont="1" applyFill="1" applyBorder="1"/>
    <xf numFmtId="164" fontId="8" fillId="3" borderId="13" xfId="1" applyNumberFormat="1" applyFont="1" applyFill="1" applyBorder="1"/>
    <xf numFmtId="49" fontId="2" fillId="0" borderId="19" xfId="2" applyNumberFormat="1" applyFont="1" applyBorder="1" applyAlignment="1">
      <alignment horizontal="left" wrapText="1" indent="4"/>
    </xf>
    <xf numFmtId="3" fontId="2" fillId="0" borderId="13" xfId="2" applyNumberFormat="1" applyFont="1" applyBorder="1"/>
    <xf numFmtId="3" fontId="4" fillId="0" borderId="13" xfId="2" applyNumberFormat="1" applyFont="1" applyBorder="1"/>
    <xf numFmtId="43" fontId="2" fillId="0" borderId="13" xfId="1" applyFont="1" applyBorder="1"/>
    <xf numFmtId="3" fontId="2" fillId="0" borderId="19" xfId="2" applyNumberFormat="1" applyFont="1" applyBorder="1"/>
    <xf numFmtId="164" fontId="2" fillId="0" borderId="13" xfId="1" applyNumberFormat="1" applyFont="1" applyBorder="1"/>
    <xf numFmtId="49" fontId="2" fillId="15" borderId="19" xfId="2" applyNumberFormat="1" applyFont="1" applyFill="1" applyBorder="1" applyAlignment="1">
      <alignment horizontal="left" wrapText="1" indent="4"/>
    </xf>
    <xf numFmtId="3" fontId="2" fillId="0" borderId="20" xfId="2" applyNumberFormat="1" applyFont="1" applyBorder="1"/>
    <xf numFmtId="9" fontId="4" fillId="0" borderId="21" xfId="4" applyFont="1" applyFill="1" applyBorder="1"/>
    <xf numFmtId="49" fontId="2" fillId="0" borderId="22" xfId="2" applyNumberFormat="1" applyFont="1" applyBorder="1" applyAlignment="1">
      <alignment horizontal="left" wrapText="1" indent="4"/>
    </xf>
    <xf numFmtId="3" fontId="2" fillId="0" borderId="23" xfId="2" applyNumberFormat="1" applyFont="1" applyBorder="1"/>
    <xf numFmtId="164" fontId="2" fillId="0" borderId="23" xfId="1" applyNumberFormat="1" applyFont="1" applyBorder="1"/>
    <xf numFmtId="9" fontId="4" fillId="0" borderId="12" xfId="4" applyFont="1" applyFill="1" applyBorder="1" applyAlignment="1">
      <alignment wrapText="1"/>
    </xf>
    <xf numFmtId="49" fontId="2" fillId="0" borderId="8" xfId="2" applyNumberFormat="1" applyFont="1" applyBorder="1" applyAlignment="1">
      <alignment horizontal="left" wrapText="1" indent="4"/>
    </xf>
    <xf numFmtId="3" fontId="2" fillId="0" borderId="8" xfId="2" applyNumberFormat="1" applyFont="1" applyBorder="1"/>
    <xf numFmtId="164" fontId="2" fillId="0" borderId="8" xfId="1" applyNumberFormat="1" applyFont="1" applyBorder="1"/>
    <xf numFmtId="164" fontId="2" fillId="0" borderId="19" xfId="1" applyNumberFormat="1" applyFont="1" applyBorder="1"/>
    <xf numFmtId="164" fontId="2" fillId="0" borderId="10" xfId="1" applyNumberFormat="1" applyFont="1" applyBorder="1"/>
    <xf numFmtId="3" fontId="4" fillId="0" borderId="8" xfId="2" applyNumberFormat="1" applyFont="1" applyBorder="1"/>
    <xf numFmtId="9" fontId="4" fillId="0" borderId="6" xfId="4" applyFont="1" applyFill="1" applyBorder="1"/>
    <xf numFmtId="3" fontId="2" fillId="0" borderId="10" xfId="2" applyNumberFormat="1" applyFont="1" applyBorder="1"/>
    <xf numFmtId="3" fontId="2" fillId="0" borderId="24" xfId="2" applyNumberFormat="1" applyFont="1" applyBorder="1"/>
    <xf numFmtId="164" fontId="2" fillId="0" borderId="25" xfId="1" applyNumberFormat="1" applyFont="1" applyBorder="1"/>
    <xf numFmtId="3" fontId="2" fillId="0" borderId="21" xfId="2" applyNumberFormat="1" applyFont="1" applyBorder="1"/>
    <xf numFmtId="9" fontId="2" fillId="0" borderId="8" xfId="4" applyFont="1" applyFill="1" applyBorder="1"/>
    <xf numFmtId="0" fontId="2" fillId="4" borderId="26" xfId="2" applyFont="1" applyFill="1" applyBorder="1" applyAlignment="1">
      <alignment horizontal="left" indent="2"/>
    </xf>
    <xf numFmtId="9" fontId="2" fillId="0" borderId="8" xfId="4" applyFont="1" applyFill="1" applyBorder="1" applyAlignment="1">
      <alignment wrapText="1"/>
    </xf>
    <xf numFmtId="0" fontId="8" fillId="0" borderId="27" xfId="2" applyFont="1" applyBorder="1"/>
    <xf numFmtId="0" fontId="8" fillId="0" borderId="28" xfId="2" applyFont="1" applyBorder="1" applyAlignment="1">
      <alignment horizontal="right" wrapText="1"/>
    </xf>
    <xf numFmtId="9" fontId="9" fillId="0" borderId="18" xfId="4" applyFont="1" applyBorder="1"/>
    <xf numFmtId="9" fontId="8" fillId="0" borderId="18" xfId="4" applyFont="1" applyBorder="1"/>
    <xf numFmtId="0" fontId="8" fillId="0" borderId="0" xfId="2" applyFont="1"/>
    <xf numFmtId="10" fontId="2" fillId="0" borderId="0" xfId="8" applyNumberFormat="1" applyFont="1"/>
    <xf numFmtId="10" fontId="4" fillId="0" borderId="0" xfId="8" applyNumberFormat="1" applyFont="1"/>
    <xf numFmtId="49" fontId="8" fillId="3" borderId="29" xfId="2" applyNumberFormat="1" applyFont="1" applyFill="1" applyBorder="1" applyAlignment="1">
      <alignment horizontal="left" indent="2"/>
    </xf>
    <xf numFmtId="49" fontId="8" fillId="3" borderId="30" xfId="2" applyNumberFormat="1" applyFont="1" applyFill="1" applyBorder="1" applyAlignment="1">
      <alignment wrapText="1"/>
    </xf>
    <xf numFmtId="3" fontId="8" fillId="3" borderId="31" xfId="2" applyNumberFormat="1" applyFont="1" applyFill="1" applyBorder="1"/>
    <xf numFmtId="164" fontId="8" fillId="3" borderId="31" xfId="1" applyNumberFormat="1" applyFont="1" applyFill="1" applyBorder="1"/>
    <xf numFmtId="9" fontId="9" fillId="3" borderId="31" xfId="4" applyFont="1" applyFill="1" applyBorder="1"/>
    <xf numFmtId="9" fontId="8" fillId="3" borderId="31" xfId="4" applyFont="1" applyFill="1" applyBorder="1"/>
    <xf numFmtId="49" fontId="2" fillId="2" borderId="7" xfId="2" applyNumberFormat="1" applyFont="1" applyFill="1" applyBorder="1" applyAlignment="1">
      <alignment horizontal="left" indent="1"/>
    </xf>
    <xf numFmtId="49" fontId="2" fillId="2" borderId="8" xfId="2" applyNumberFormat="1" applyFont="1" applyFill="1" applyBorder="1" applyAlignment="1">
      <alignment horizontal="left" wrapText="1" indent="2"/>
    </xf>
    <xf numFmtId="9" fontId="4" fillId="2" borderId="9" xfId="4" applyFont="1" applyFill="1" applyBorder="1"/>
    <xf numFmtId="9" fontId="2" fillId="2" borderId="9" xfId="4" applyFont="1" applyFill="1" applyBorder="1"/>
    <xf numFmtId="3" fontId="4" fillId="2" borderId="9" xfId="2" applyNumberFormat="1" applyFont="1" applyFill="1" applyBorder="1"/>
    <xf numFmtId="49" fontId="8" fillId="3" borderId="7" xfId="2" applyNumberFormat="1" applyFont="1" applyFill="1" applyBorder="1"/>
    <xf numFmtId="49" fontId="8" fillId="3" borderId="8" xfId="2" applyNumberFormat="1" applyFont="1" applyFill="1" applyBorder="1" applyAlignment="1">
      <alignment wrapText="1"/>
    </xf>
    <xf numFmtId="0" fontId="15" fillId="0" borderId="0" xfId="2" applyFont="1"/>
    <xf numFmtId="49" fontId="2" fillId="0" borderId="7" xfId="2" applyNumberFormat="1" applyFont="1" applyBorder="1" applyAlignment="1">
      <alignment horizontal="left" indent="2"/>
    </xf>
    <xf numFmtId="49" fontId="2" fillId="0" borderId="8" xfId="2" applyNumberFormat="1" applyFont="1" applyBorder="1" applyAlignment="1">
      <alignment horizontal="left" wrapText="1" indent="2"/>
    </xf>
    <xf numFmtId="49" fontId="8" fillId="2" borderId="8" xfId="2" applyNumberFormat="1" applyFont="1" applyFill="1" applyBorder="1" applyAlignment="1">
      <alignment horizontal="left" wrapText="1" indent="2"/>
    </xf>
    <xf numFmtId="3" fontId="8" fillId="2" borderId="9" xfId="2" applyNumberFormat="1" applyFont="1" applyFill="1" applyBorder="1"/>
    <xf numFmtId="164" fontId="8" fillId="2" borderId="9" xfId="1" applyNumberFormat="1" applyFont="1" applyFill="1" applyBorder="1"/>
    <xf numFmtId="9" fontId="2" fillId="2" borderId="9" xfId="4" quotePrefix="1" applyFont="1" applyFill="1" applyBorder="1" applyAlignment="1">
      <alignment wrapText="1"/>
    </xf>
    <xf numFmtId="3" fontId="9" fillId="2" borderId="9" xfId="2" applyNumberFormat="1" applyFont="1" applyFill="1" applyBorder="1"/>
    <xf numFmtId="9" fontId="4" fillId="0" borderId="9" xfId="4" applyFont="1" applyBorder="1" applyAlignment="1">
      <alignment wrapText="1"/>
    </xf>
    <xf numFmtId="49" fontId="2" fillId="16" borderId="7" xfId="2" applyNumberFormat="1" applyFont="1" applyFill="1" applyBorder="1" applyAlignment="1">
      <alignment horizontal="left" indent="2"/>
    </xf>
    <xf numFmtId="0" fontId="2" fillId="12" borderId="0" xfId="2" quotePrefix="1" applyFont="1" applyFill="1"/>
    <xf numFmtId="0" fontId="2" fillId="13" borderId="8" xfId="2" applyFont="1" applyFill="1" applyBorder="1" applyAlignment="1">
      <alignment horizontal="left" wrapText="1" indent="3"/>
    </xf>
    <xf numFmtId="9" fontId="2" fillId="0" borderId="10" xfId="4" applyFont="1" applyBorder="1" applyAlignment="1">
      <alignment wrapText="1"/>
    </xf>
    <xf numFmtId="9" fontId="2" fillId="0" borderId="12" xfId="4" applyFont="1" applyBorder="1" applyAlignment="1">
      <alignment wrapText="1"/>
    </xf>
    <xf numFmtId="9" fontId="9" fillId="2" borderId="9" xfId="4" applyFont="1" applyFill="1" applyBorder="1"/>
    <xf numFmtId="9" fontId="8" fillId="2" borderId="9" xfId="4" applyFont="1" applyFill="1" applyBorder="1"/>
    <xf numFmtId="9" fontId="4" fillId="0" borderId="12" xfId="4" applyFont="1" applyBorder="1" applyAlignment="1">
      <alignment wrapText="1"/>
    </xf>
    <xf numFmtId="3" fontId="2" fillId="16" borderId="9" xfId="2" applyNumberFormat="1" applyFont="1" applyFill="1" applyBorder="1"/>
    <xf numFmtId="3" fontId="2" fillId="17" borderId="9" xfId="2" applyNumberFormat="1" applyFont="1" applyFill="1" applyBorder="1"/>
    <xf numFmtId="164" fontId="2" fillId="14" borderId="9" xfId="1" applyNumberFormat="1" applyFont="1" applyFill="1" applyBorder="1"/>
    <xf numFmtId="0" fontId="18" fillId="0" borderId="0" xfId="2" quotePrefix="1" applyFont="1"/>
    <xf numFmtId="49" fontId="18" fillId="0" borderId="7" xfId="2" applyNumberFormat="1" applyFont="1" applyBorder="1" applyAlignment="1">
      <alignment horizontal="left" indent="3"/>
    </xf>
    <xf numFmtId="0" fontId="18" fillId="13" borderId="8" xfId="2" applyFont="1" applyFill="1" applyBorder="1" applyAlignment="1">
      <alignment horizontal="left" wrapText="1" indent="6"/>
    </xf>
    <xf numFmtId="3" fontId="18" fillId="0" borderId="9" xfId="2" applyNumberFormat="1" applyFont="1" applyBorder="1"/>
    <xf numFmtId="3" fontId="18" fillId="12" borderId="9" xfId="2" applyNumberFormat="1" applyFont="1" applyFill="1" applyBorder="1"/>
    <xf numFmtId="3" fontId="18" fillId="16" borderId="9" xfId="2" applyNumberFormat="1" applyFont="1" applyFill="1" applyBorder="1"/>
    <xf numFmtId="164" fontId="18" fillId="14" borderId="9" xfId="1" applyNumberFormat="1" applyFont="1" applyFill="1" applyBorder="1"/>
    <xf numFmtId="9" fontId="19" fillId="0" borderId="9" xfId="4" applyFont="1" applyBorder="1" applyAlignment="1">
      <alignment wrapText="1"/>
    </xf>
    <xf numFmtId="3" fontId="18" fillId="14" borderId="9" xfId="2" applyNumberFormat="1" applyFont="1" applyFill="1" applyBorder="1"/>
    <xf numFmtId="9" fontId="18" fillId="0" borderId="9" xfId="4" applyFont="1" applyBorder="1" applyAlignment="1">
      <alignment wrapText="1"/>
    </xf>
    <xf numFmtId="0" fontId="18" fillId="0" borderId="0" xfId="2" applyFont="1"/>
    <xf numFmtId="3" fontId="2" fillId="13" borderId="9" xfId="2" applyNumberFormat="1" applyFont="1" applyFill="1" applyBorder="1"/>
    <xf numFmtId="9" fontId="2" fillId="0" borderId="9" xfId="4" quotePrefix="1" applyFont="1" applyBorder="1" applyAlignment="1">
      <alignment wrapText="1"/>
    </xf>
    <xf numFmtId="9" fontId="19" fillId="0" borderId="9" xfId="4" applyFont="1" applyFill="1" applyBorder="1" applyAlignment="1">
      <alignment wrapText="1"/>
    </xf>
    <xf numFmtId="9" fontId="18" fillId="0" borderId="9" xfId="4" applyFont="1" applyFill="1" applyBorder="1" applyAlignment="1">
      <alignment wrapText="1"/>
    </xf>
    <xf numFmtId="49" fontId="2" fillId="16" borderId="7" xfId="2" applyNumberFormat="1" applyFont="1" applyFill="1" applyBorder="1" applyAlignment="1">
      <alignment horizontal="left" indent="1"/>
    </xf>
    <xf numFmtId="9" fontId="19" fillId="12" borderId="9" xfId="4" applyFont="1" applyFill="1" applyBorder="1" applyAlignment="1">
      <alignment wrapText="1"/>
    </xf>
    <xf numFmtId="9" fontId="18" fillId="2" borderId="9" xfId="4" applyFont="1" applyFill="1" applyBorder="1" applyAlignment="1">
      <alignment wrapText="1"/>
    </xf>
    <xf numFmtId="9" fontId="19" fillId="2" borderId="9" xfId="4" applyFont="1" applyFill="1" applyBorder="1" applyAlignment="1">
      <alignment wrapText="1"/>
    </xf>
    <xf numFmtId="0" fontId="2" fillId="13" borderId="8" xfId="2" applyFont="1" applyFill="1" applyBorder="1" applyAlignment="1">
      <alignment horizontal="left" indent="2"/>
    </xf>
    <xf numFmtId="0" fontId="12" fillId="13" borderId="8" xfId="2" applyFont="1" applyFill="1" applyBorder="1" applyAlignment="1">
      <alignment horizontal="left" indent="2"/>
    </xf>
    <xf numFmtId="0" fontId="12" fillId="13" borderId="0" xfId="2" applyFont="1" applyFill="1"/>
    <xf numFmtId="0" fontId="2" fillId="13" borderId="32" xfId="2" applyFont="1" applyFill="1" applyBorder="1" applyAlignment="1">
      <alignment horizontal="left" indent="3"/>
    </xf>
    <xf numFmtId="164" fontId="2" fillId="13" borderId="9" xfId="1" applyNumberFormat="1" applyFont="1" applyFill="1" applyBorder="1"/>
    <xf numFmtId="9" fontId="4" fillId="13" borderId="9" xfId="4" applyFont="1" applyFill="1" applyBorder="1"/>
    <xf numFmtId="3" fontId="4" fillId="13" borderId="9" xfId="2" applyNumberFormat="1" applyFont="1" applyFill="1" applyBorder="1"/>
    <xf numFmtId="9" fontId="2" fillId="13" borderId="9" xfId="4" applyFont="1" applyFill="1" applyBorder="1"/>
    <xf numFmtId="0" fontId="12" fillId="0" borderId="8" xfId="2" applyFont="1" applyBorder="1" applyAlignment="1">
      <alignment horizontal="left" indent="2"/>
    </xf>
    <xf numFmtId="0" fontId="2" fillId="0" borderId="32" xfId="2" applyFont="1" applyBorder="1" applyAlignment="1">
      <alignment horizontal="left" indent="3"/>
    </xf>
    <xf numFmtId="0" fontId="12" fillId="16" borderId="8" xfId="2" applyFont="1" applyFill="1" applyBorder="1" applyAlignment="1">
      <alignment horizontal="left" indent="2"/>
    </xf>
    <xf numFmtId="0" fontId="2" fillId="0" borderId="0" xfId="2" applyFont="1" applyAlignment="1">
      <alignment horizontal="right"/>
    </xf>
    <xf numFmtId="3" fontId="2" fillId="18" borderId="9" xfId="2" applyNumberFormat="1" applyFont="1" applyFill="1" applyBorder="1"/>
    <xf numFmtId="3" fontId="2" fillId="4" borderId="9" xfId="2" applyNumberFormat="1" applyFont="1" applyFill="1" applyBorder="1"/>
    <xf numFmtId="164" fontId="2" fillId="4" borderId="9" xfId="1" applyNumberFormat="1" applyFont="1" applyFill="1" applyBorder="1"/>
    <xf numFmtId="9" fontId="4" fillId="4" borderId="9" xfId="4" applyFont="1" applyFill="1" applyBorder="1" applyAlignment="1">
      <alignment wrapText="1"/>
    </xf>
    <xf numFmtId="49" fontId="8" fillId="2" borderId="7" xfId="2" applyNumberFormat="1" applyFont="1" applyFill="1" applyBorder="1" applyAlignment="1">
      <alignment horizontal="left" indent="1"/>
    </xf>
    <xf numFmtId="0" fontId="2" fillId="4" borderId="0" xfId="2" quotePrefix="1" applyFont="1" applyFill="1"/>
    <xf numFmtId="0" fontId="2" fillId="4" borderId="0" xfId="2" applyFont="1" applyFill="1"/>
    <xf numFmtId="49" fontId="2" fillId="4" borderId="7" xfId="2" applyNumberFormat="1" applyFont="1" applyFill="1" applyBorder="1" applyAlignment="1">
      <alignment horizontal="left" indent="2"/>
    </xf>
    <xf numFmtId="49" fontId="2" fillId="4" borderId="8" xfId="2" applyNumberFormat="1" applyFont="1" applyFill="1" applyBorder="1" applyAlignment="1">
      <alignment horizontal="left" wrapText="1" indent="4"/>
    </xf>
    <xf numFmtId="0" fontId="21" fillId="0" borderId="0" xfId="2" quotePrefix="1" applyFont="1"/>
    <xf numFmtId="164" fontId="18" fillId="0" borderId="9" xfId="1" applyNumberFormat="1" applyFont="1" applyBorder="1"/>
    <xf numFmtId="9" fontId="18" fillId="8" borderId="9" xfId="4" applyFont="1" applyFill="1" applyBorder="1" applyAlignment="1">
      <alignment wrapText="1"/>
    </xf>
    <xf numFmtId="0" fontId="21" fillId="0" borderId="0" xfId="2" applyFont="1"/>
    <xf numFmtId="9" fontId="2" fillId="12" borderId="9" xfId="4" applyFont="1" applyFill="1" applyBorder="1" applyAlignment="1">
      <alignment wrapText="1"/>
    </xf>
    <xf numFmtId="9" fontId="2" fillId="0" borderId="9" xfId="4" quotePrefix="1" applyFont="1" applyFill="1" applyBorder="1" applyAlignment="1">
      <alignment wrapText="1"/>
    </xf>
    <xf numFmtId="0" fontId="22" fillId="0" borderId="0" xfId="2" applyFont="1"/>
    <xf numFmtId="0" fontId="22" fillId="0" borderId="0" xfId="2" quotePrefix="1" applyFont="1"/>
    <xf numFmtId="49" fontId="8" fillId="0" borderId="7" xfId="2" applyNumberFormat="1" applyFont="1" applyBorder="1" applyAlignment="1">
      <alignment horizontal="left" indent="2"/>
    </xf>
    <xf numFmtId="49" fontId="8" fillId="0" borderId="8" xfId="2" applyNumberFormat="1" applyFont="1" applyBorder="1" applyAlignment="1">
      <alignment horizontal="left" wrapText="1" indent="4"/>
    </xf>
    <xf numFmtId="3" fontId="8" fillId="0" borderId="9" xfId="2" applyNumberFormat="1" applyFont="1" applyBorder="1"/>
    <xf numFmtId="164" fontId="8" fillId="0" borderId="9" xfId="1" applyNumberFormat="1" applyFont="1" applyBorder="1"/>
    <xf numFmtId="3" fontId="9" fillId="0" borderId="9" xfId="2" applyNumberFormat="1" applyFont="1" applyBorder="1"/>
    <xf numFmtId="0" fontId="23" fillId="0" borderId="0" xfId="2" applyFont="1"/>
    <xf numFmtId="49" fontId="2" fillId="0" borderId="7" xfId="2" applyNumberFormat="1" applyFont="1" applyBorder="1" applyAlignment="1">
      <alignment horizontal="left" indent="3"/>
    </xf>
    <xf numFmtId="9" fontId="13" fillId="0" borderId="9" xfId="4" applyFont="1" applyFill="1" applyBorder="1" applyAlignment="1">
      <alignment wrapText="1"/>
    </xf>
    <xf numFmtId="49" fontId="24" fillId="2" borderId="7" xfId="2" applyNumberFormat="1" applyFont="1" applyFill="1" applyBorder="1" applyAlignment="1">
      <alignment horizontal="left" indent="1"/>
    </xf>
    <xf numFmtId="49" fontId="8" fillId="0" borderId="14" xfId="2" applyNumberFormat="1" applyFont="1" applyBorder="1"/>
    <xf numFmtId="49" fontId="8" fillId="0" borderId="15" xfId="2" applyNumberFormat="1" applyFont="1" applyBorder="1" applyAlignment="1">
      <alignment horizontal="right" wrapText="1"/>
    </xf>
    <xf numFmtId="3" fontId="8" fillId="0" borderId="33" xfId="2" applyNumberFormat="1" applyFont="1" applyBorder="1"/>
    <xf numFmtId="164" fontId="8" fillId="0" borderId="33" xfId="1" applyNumberFormat="1" applyFont="1" applyBorder="1"/>
    <xf numFmtId="9" fontId="8" fillId="0" borderId="33" xfId="4" applyFont="1" applyBorder="1"/>
    <xf numFmtId="3" fontId="8" fillId="0" borderId="0" xfId="2" applyNumberFormat="1" applyFont="1"/>
    <xf numFmtId="9" fontId="4" fillId="15" borderId="9" xfId="4" applyFont="1" applyFill="1" applyBorder="1" applyAlignment="1">
      <alignment wrapText="1"/>
    </xf>
    <xf numFmtId="3" fontId="8" fillId="0" borderId="34" xfId="2" applyNumberFormat="1" applyFont="1" applyBorder="1"/>
    <xf numFmtId="3" fontId="9" fillId="0" borderId="34" xfId="2" applyNumberFormat="1" applyFont="1" applyBorder="1"/>
    <xf numFmtId="164" fontId="8" fillId="0" borderId="34" xfId="1" applyNumberFormat="1" applyFont="1" applyBorder="1"/>
    <xf numFmtId="9" fontId="2" fillId="0" borderId="34" xfId="4" applyFont="1" applyBorder="1"/>
    <xf numFmtId="49" fontId="8" fillId="3" borderId="35" xfId="2" applyNumberFormat="1" applyFont="1" applyFill="1" applyBorder="1" applyAlignment="1">
      <alignment horizontal="center"/>
    </xf>
    <xf numFmtId="49" fontId="8" fillId="3" borderId="36" xfId="2" applyNumberFormat="1" applyFont="1" applyFill="1" applyBorder="1" applyAlignment="1">
      <alignment wrapText="1"/>
    </xf>
    <xf numFmtId="3" fontId="8" fillId="3" borderId="37" xfId="2" applyNumberFormat="1" applyFont="1" applyFill="1" applyBorder="1"/>
    <xf numFmtId="164" fontId="8" fillId="3" borderId="37" xfId="1" applyNumberFormat="1" applyFont="1" applyFill="1" applyBorder="1"/>
    <xf numFmtId="9" fontId="8" fillId="3" borderId="37" xfId="4" applyFont="1" applyFill="1" applyBorder="1"/>
    <xf numFmtId="0" fontId="27" fillId="0" borderId="0" xfId="3" applyFont="1"/>
    <xf numFmtId="0" fontId="2" fillId="0" borderId="5" xfId="2" applyFont="1" applyBorder="1" applyAlignment="1">
      <alignment horizontal="left" wrapText="1" indent="2"/>
    </xf>
    <xf numFmtId="49" fontId="2" fillId="15" borderId="8" xfId="2" applyNumberFormat="1" applyFont="1" applyFill="1" applyBorder="1" applyAlignment="1">
      <alignment horizontal="left" wrapText="1" indent="4"/>
    </xf>
    <xf numFmtId="49" fontId="2" fillId="0" borderId="24" xfId="2" applyNumberFormat="1" applyFont="1" applyBorder="1" applyAlignment="1">
      <alignment horizontal="left" wrapText="1" indent="4"/>
    </xf>
    <xf numFmtId="9" fontId="2" fillId="0" borderId="13" xfId="4" applyFont="1" applyFill="1" applyBorder="1" applyAlignment="1">
      <alignment wrapText="1"/>
    </xf>
    <xf numFmtId="9" fontId="2" fillId="15" borderId="11" xfId="4" applyFont="1" applyFill="1" applyBorder="1" applyAlignment="1">
      <alignment horizontal="left" wrapText="1"/>
    </xf>
    <xf numFmtId="9" fontId="2" fillId="15" borderId="12" xfId="4" applyFont="1" applyFill="1" applyBorder="1" applyAlignment="1">
      <alignment horizontal="left" wrapText="1"/>
    </xf>
    <xf numFmtId="9" fontId="2" fillId="0" borderId="11" xfId="4" applyFont="1" applyFill="1" applyBorder="1" applyAlignment="1">
      <alignment horizontal="left" vertical="center" wrapText="1"/>
    </xf>
    <xf numFmtId="9" fontId="2" fillId="0" borderId="12" xfId="4" applyFont="1" applyFill="1" applyBorder="1" applyAlignment="1">
      <alignment horizontal="left" vertical="center" wrapText="1"/>
    </xf>
    <xf numFmtId="0" fontId="3" fillId="0" borderId="0" xfId="3" applyFont="1"/>
    <xf numFmtId="0" fontId="7" fillId="0" borderId="0" xfId="3" applyFont="1"/>
    <xf numFmtId="0" fontId="1" fillId="0" borderId="0" xfId="2"/>
    <xf numFmtId="9" fontId="2" fillId="0" borderId="11" xfId="4" applyFont="1" applyFill="1" applyBorder="1" applyAlignment="1">
      <alignment horizontal="left" wrapText="1"/>
    </xf>
    <xf numFmtId="9" fontId="2" fillId="0" borderId="12" xfId="4" applyFont="1" applyFill="1" applyBorder="1" applyAlignment="1">
      <alignment horizontal="left" wrapText="1"/>
    </xf>
  </cellXfs>
  <cellStyles count="9">
    <cellStyle name="Comma" xfId="1" builtinId="3"/>
    <cellStyle name="Hyperlink" xfId="6" builtinId="8"/>
    <cellStyle name="Komats 10" xfId="5" xr:uid="{F5610AE8-EAC7-42FD-B296-C153535BE7CD}"/>
    <cellStyle name="Normal" xfId="0" builtinId="0"/>
    <cellStyle name="Normal 2 2" xfId="7" xr:uid="{81B7C8EE-CE0F-4479-A4D7-2E72F615B556}"/>
    <cellStyle name="Parasts 2 2 5" xfId="2" xr:uid="{6342F3A4-EB76-4702-95A8-884991062F52}"/>
    <cellStyle name="Parasts 2 2 5 2" xfId="3" xr:uid="{26FF9C05-6C85-4C1E-ABAD-D1C3F017F53C}"/>
    <cellStyle name="Percent 4" xfId="8" xr:uid="{B3B380B7-EF04-4B37-AC13-814A45F8514B}"/>
    <cellStyle name="Procenti 2 3" xfId="4" xr:uid="{6195D90F-EC5A-4C53-BDFE-DD8979CE1A14}"/>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2024\08_2024\1_Budzets_2024_Augusts.xlsx" TargetMode="External"/><Relationship Id="rId1" Type="http://schemas.openxmlformats.org/officeDocument/2006/relationships/externalLinkPath" Target="/Users/Sarmite.Muze/Nextcloud/Finansu%20nodala%20kopmape/2024/08_2024/1_Budzets_2024_Augu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
      <sheetName val="Izpilde"/>
      <sheetName val="IIN_PFIF"/>
      <sheetName val="Filtri"/>
      <sheetName val="Faila apraksts"/>
      <sheetName val="INPUT_nekopet"/>
      <sheetName val="BAZE_2024"/>
      <sheetName val="Nodalas"/>
      <sheetName val="EKK"/>
      <sheetName val="Investīcijas_2024"/>
      <sheetName val="Ieņēmumi_28122023"/>
      <sheetName val="Tames"/>
      <sheetName val="2024.gada budzeta plans_apvieno"/>
      <sheetName val="Grafiki_budžeta_izpilde"/>
      <sheetName val="2022-2027"/>
      <sheetName val="KA_31122023"/>
      <sheetName val="CKS"/>
      <sheetName val="Grafiki"/>
      <sheetName val="Grafiki_2024"/>
      <sheetName val="PII_mac_lidz"/>
      <sheetName val="0630_Tāmes"/>
      <sheetName val="0930_Tāmes"/>
      <sheetName val="0812_Sporta pasākumi_komandas"/>
      <sheetName val="0812_Subsīdijas sportam"/>
      <sheetName val="0841.1_Svētku tāmes paraugs"/>
      <sheetName val="0841ĀKC Skatuves gaismu sistēma"/>
      <sheetName val="Investicijas_2023_2026"/>
      <sheetName val="31122022_final"/>
      <sheetName val="Algas_2024"/>
      <sheetName val="5.piel.EKK"/>
      <sheetName val="Deputāti"/>
      <sheetName val="Velesanu_komis_loc"/>
      <sheetName val="Adm_komisija"/>
      <sheetName val="Iepirk_komisija"/>
      <sheetName val="Komisijas"/>
    </sheetNames>
    <sheetDataSet>
      <sheetData sheetId="0"/>
      <sheetData sheetId="1"/>
      <sheetData sheetId="2"/>
      <sheetData sheetId="3"/>
      <sheetData sheetId="4"/>
      <sheetData sheetId="5"/>
      <sheetData sheetId="6">
        <row r="4">
          <cell r="G4">
            <v>34831773</v>
          </cell>
        </row>
        <row r="7">
          <cell r="G7">
            <v>1900000</v>
          </cell>
        </row>
        <row r="8">
          <cell r="G8">
            <v>140017.74</v>
          </cell>
        </row>
        <row r="10">
          <cell r="G10">
            <v>350989</v>
          </cell>
        </row>
        <row r="11">
          <cell r="G11">
            <v>59977.93</v>
          </cell>
        </row>
        <row r="13">
          <cell r="G13">
            <v>650000</v>
          </cell>
        </row>
        <row r="14">
          <cell r="G14">
            <v>71865.94</v>
          </cell>
        </row>
        <row r="18">
          <cell r="G18">
            <v>6453</v>
          </cell>
        </row>
        <row r="19">
          <cell r="G19">
            <v>5856</v>
          </cell>
        </row>
        <row r="25">
          <cell r="G25">
            <v>295000</v>
          </cell>
        </row>
        <row r="29">
          <cell r="G29">
            <v>24000</v>
          </cell>
        </row>
        <row r="30">
          <cell r="G30">
            <v>125000</v>
          </cell>
        </row>
        <row r="35">
          <cell r="G35">
            <v>143000</v>
          </cell>
        </row>
        <row r="36">
          <cell r="G36">
            <v>36000</v>
          </cell>
        </row>
        <row r="37">
          <cell r="G37">
            <v>1000</v>
          </cell>
        </row>
        <row r="39">
          <cell r="G39">
            <v>135600</v>
          </cell>
        </row>
        <row r="40">
          <cell r="G40">
            <v>2500</v>
          </cell>
        </row>
        <row r="41">
          <cell r="G41">
            <v>1574037</v>
          </cell>
        </row>
        <row r="42">
          <cell r="G42">
            <v>102000</v>
          </cell>
        </row>
        <row r="65">
          <cell r="G65">
            <v>1983486.7499856404</v>
          </cell>
        </row>
        <row r="70">
          <cell r="G70">
            <v>376850.10523802938</v>
          </cell>
        </row>
        <row r="71">
          <cell r="G71">
            <v>62511.517776000001</v>
          </cell>
        </row>
        <row r="76">
          <cell r="G76">
            <v>45277.369875199998</v>
          </cell>
        </row>
        <row r="77">
          <cell r="G77">
            <v>8039.5</v>
          </cell>
        </row>
        <row r="78">
          <cell r="G78">
            <v>53045.204242480002</v>
          </cell>
        </row>
        <row r="81">
          <cell r="G81">
            <v>2229302</v>
          </cell>
        </row>
        <row r="82">
          <cell r="G82">
            <v>6416104</v>
          </cell>
        </row>
        <row r="83">
          <cell r="G83">
            <v>410306.54376110004</v>
          </cell>
        </row>
        <row r="88">
          <cell r="G88">
            <v>1025367.7769225</v>
          </cell>
        </row>
        <row r="94">
          <cell r="G94">
            <v>177686.07229136</v>
          </cell>
        </row>
        <row r="97">
          <cell r="G97">
            <v>29227</v>
          </cell>
        </row>
        <row r="107">
          <cell r="G107">
            <v>70000</v>
          </cell>
        </row>
        <row r="108">
          <cell r="G108">
            <v>315451.62734220002</v>
          </cell>
        </row>
        <row r="113">
          <cell r="G113">
            <v>424516.63014720002</v>
          </cell>
        </row>
        <row r="137">
          <cell r="G137">
            <v>313928.73621730006</v>
          </cell>
        </row>
        <row r="142">
          <cell r="G142">
            <v>162200.02932750003</v>
          </cell>
        </row>
        <row r="147">
          <cell r="G147">
            <v>244892.73560000001</v>
          </cell>
        </row>
        <row r="150">
          <cell r="G150">
            <v>4642694.9826302836</v>
          </cell>
        </row>
        <row r="155">
          <cell r="G155">
            <v>1574037</v>
          </cell>
        </row>
        <row r="161">
          <cell r="G161">
            <v>350000</v>
          </cell>
        </row>
        <row r="173">
          <cell r="G173">
            <v>444020.85509206675</v>
          </cell>
        </row>
        <row r="181">
          <cell r="G181">
            <v>282270.86028633331</v>
          </cell>
        </row>
        <row r="188">
          <cell r="G188">
            <v>153395.37309000001</v>
          </cell>
        </row>
        <row r="193">
          <cell r="G193">
            <v>64813.521870000011</v>
          </cell>
        </row>
        <row r="198">
          <cell r="G198">
            <v>590629.98647050001</v>
          </cell>
        </row>
        <row r="208">
          <cell r="G208">
            <v>169588.07466400001</v>
          </cell>
        </row>
        <row r="214">
          <cell r="G214">
            <v>27540</v>
          </cell>
        </row>
        <row r="228">
          <cell r="G228">
            <v>1661745.0633929078</v>
          </cell>
        </row>
        <row r="231">
          <cell r="G231">
            <v>1063173</v>
          </cell>
        </row>
        <row r="236">
          <cell r="G236">
            <v>402246.62317695009</v>
          </cell>
        </row>
        <row r="249">
          <cell r="G249">
            <v>6220</v>
          </cell>
        </row>
        <row r="253">
          <cell r="G253">
            <v>1407</v>
          </cell>
        </row>
        <row r="256">
          <cell r="G256">
            <v>139599.07449700119</v>
          </cell>
        </row>
        <row r="268">
          <cell r="G268">
            <v>750000</v>
          </cell>
        </row>
        <row r="269">
          <cell r="G269">
            <v>1804783.5649073652</v>
          </cell>
        </row>
        <row r="277">
          <cell r="G277">
            <v>19228.173900000002</v>
          </cell>
        </row>
        <row r="281">
          <cell r="G281">
            <v>1289102.9786112006</v>
          </cell>
        </row>
        <row r="288">
          <cell r="G288">
            <v>1345065.4529886562</v>
          </cell>
        </row>
        <row r="291">
          <cell r="G291">
            <v>154032</v>
          </cell>
        </row>
        <row r="295">
          <cell r="G295">
            <v>1299156.1020564402</v>
          </cell>
        </row>
        <row r="298">
          <cell r="G298">
            <v>144835</v>
          </cell>
        </row>
        <row r="302">
          <cell r="G302">
            <v>370450.2170532</v>
          </cell>
        </row>
        <row r="310">
          <cell r="G310">
            <v>755440.5</v>
          </cell>
        </row>
        <row r="313">
          <cell r="G313">
            <v>1865620</v>
          </cell>
        </row>
        <row r="314">
          <cell r="G314">
            <v>162750</v>
          </cell>
        </row>
        <row r="315">
          <cell r="G315">
            <v>1006133.6654766668</v>
          </cell>
        </row>
        <row r="322">
          <cell r="G322">
            <v>880759.47414999991</v>
          </cell>
        </row>
        <row r="325">
          <cell r="G325">
            <v>283797</v>
          </cell>
        </row>
        <row r="334">
          <cell r="G334">
            <v>1291398.8621271863</v>
          </cell>
        </row>
        <row r="344">
          <cell r="G344">
            <v>987089.57675100002</v>
          </cell>
        </row>
        <row r="352">
          <cell r="G352">
            <v>391971.94149168005</v>
          </cell>
        </row>
        <row r="358">
          <cell r="G358">
            <v>323579.07160460006</v>
          </cell>
        </row>
        <row r="364">
          <cell r="G364">
            <v>11050.17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D720-4B7F-4121-B398-5CC9B706BD69}">
  <sheetPr>
    <tabColor rgb="FF92D050"/>
    <pageSetUpPr fitToPage="1"/>
  </sheetPr>
  <dimension ref="A1:AC302"/>
  <sheetViews>
    <sheetView tabSelected="1" zoomScaleNormal="100" zoomScaleSheetLayoutView="80" workbookViewId="0">
      <pane xSplit="4" ySplit="5" topLeftCell="Q6" activePane="bottomRight" state="frozen"/>
      <selection activeCell="C1" sqref="C1"/>
      <selection pane="topRight" activeCell="E1" sqref="E1"/>
      <selection pane="bottomLeft" activeCell="C6" sqref="C6"/>
      <selection pane="bottomRight" activeCell="Z2" sqref="Z2"/>
    </sheetView>
  </sheetViews>
  <sheetFormatPr defaultRowHeight="13.8" outlineLevelRow="1" outlineLevelCol="2" x14ac:dyDescent="0.25"/>
  <cols>
    <col min="1" max="1" width="7.875" style="1" hidden="1" customWidth="1" outlineLevel="2"/>
    <col min="2" max="2" width="11.375" style="1" hidden="1" customWidth="1" outlineLevel="2"/>
    <col min="3" max="3" width="12.75" style="161" customWidth="1" collapsed="1"/>
    <col min="4" max="4" width="48.625" style="3" customWidth="1"/>
    <col min="5" max="5" width="14.875" style="1" hidden="1" customWidth="1" outlineLevel="2"/>
    <col min="6" max="6" width="16.625" style="1" hidden="1" customWidth="1" outlineLevel="2"/>
    <col min="7" max="8" width="14.875" style="104" hidden="1" customWidth="1" outlineLevel="2"/>
    <col min="9" max="9" width="14.875" style="1" hidden="1" customWidth="1" outlineLevel="2"/>
    <col min="10" max="10" width="14.875" style="104" hidden="1" customWidth="1" outlineLevel="2"/>
    <col min="11" max="11" width="14.875" style="1" hidden="1" customWidth="1" outlineLevel="2"/>
    <col min="12" max="12" width="14.875" style="104" hidden="1" customWidth="1" outlineLevel="1"/>
    <col min="13" max="13" width="14.875" style="11" customWidth="1" collapsed="1"/>
    <col min="14" max="14" width="14.875" style="12" customWidth="1" collapsed="1"/>
    <col min="15" max="15" width="14.875" style="1" hidden="1" customWidth="1" outlineLevel="1"/>
    <col min="16" max="16" width="54" style="20" hidden="1" customWidth="1" outlineLevel="1" collapsed="1"/>
    <col min="17" max="17" width="14.875" style="1" customWidth="1" collapsed="1"/>
    <col min="18" max="18" width="14.875" style="1" hidden="1" customWidth="1" outlineLevel="1"/>
    <col min="19" max="19" width="56.375" style="21" hidden="1" customWidth="1" outlineLevel="1" collapsed="1"/>
    <col min="20" max="20" width="14.875" style="1" customWidth="1" collapsed="1"/>
    <col min="21" max="21" width="14.875" style="1" hidden="1" customWidth="1" outlineLevel="1"/>
    <col min="22" max="22" width="64.875" style="21" hidden="1" customWidth="1" outlineLevel="1" collapsed="1"/>
    <col min="23" max="23" width="14.875" style="1" customWidth="1" collapsed="1"/>
    <col min="24" max="24" width="14.875" style="1" hidden="1" customWidth="1" outlineLevel="1"/>
    <col min="25" max="25" width="56.375" style="21" hidden="1" customWidth="1" outlineLevel="1" collapsed="1"/>
    <col min="26" max="26" width="14.875" style="1" customWidth="1" collapsed="1"/>
    <col min="27" max="27" width="14.875" style="1" customWidth="1"/>
    <col min="28" max="28" width="68.875" style="21" customWidth="1" collapsed="1"/>
    <col min="29" max="194" width="9.125" style="1"/>
    <col min="195" max="196" width="0" style="1" hidden="1" customWidth="1"/>
    <col min="197" max="197" width="13.75" style="1" customWidth="1"/>
    <col min="198" max="198" width="52.875" style="1" customWidth="1"/>
    <col min="199" max="238" width="0" style="1" hidden="1" customWidth="1"/>
    <col min="239" max="240" width="14.875" style="1" customWidth="1"/>
    <col min="241" max="242" width="0" style="1" hidden="1" customWidth="1"/>
    <col min="243" max="243" width="14.875" style="1" customWidth="1"/>
    <col min="244" max="245" width="0" style="1" hidden="1" customWidth="1"/>
    <col min="246" max="246" width="14.875" style="1" customWidth="1"/>
    <col min="247" max="248" width="0" style="1" hidden="1" customWidth="1"/>
    <col min="249" max="249" width="14.875" style="1" customWidth="1"/>
    <col min="250" max="251" width="0" style="1" hidden="1" customWidth="1"/>
    <col min="252" max="252" width="14.875" style="1" customWidth="1"/>
    <col min="253" max="254" width="0" style="1" hidden="1" customWidth="1"/>
    <col min="255" max="256" width="14.875" style="1" customWidth="1"/>
    <col min="257" max="257" width="44.375" style="1" customWidth="1"/>
    <col min="258" max="262" width="14.875" style="1" customWidth="1"/>
    <col min="263" max="263" width="63.875" style="1" customWidth="1"/>
    <col min="264" max="264" width="13.25" style="1" customWidth="1"/>
    <col min="265" max="450" width="9.125" style="1"/>
    <col min="451" max="452" width="0" style="1" hidden="1" customWidth="1"/>
    <col min="453" max="453" width="13.75" style="1" customWidth="1"/>
    <col min="454" max="454" width="52.875" style="1" customWidth="1"/>
    <col min="455" max="494" width="0" style="1" hidden="1" customWidth="1"/>
    <col min="495" max="496" width="14.875" style="1" customWidth="1"/>
    <col min="497" max="498" width="0" style="1" hidden="1" customWidth="1"/>
    <col min="499" max="499" width="14.875" style="1" customWidth="1"/>
    <col min="500" max="501" width="0" style="1" hidden="1" customWidth="1"/>
    <col min="502" max="502" width="14.875" style="1" customWidth="1"/>
    <col min="503" max="504" width="0" style="1" hidden="1" customWidth="1"/>
    <col min="505" max="505" width="14.875" style="1" customWidth="1"/>
    <col min="506" max="507" width="0" style="1" hidden="1" customWidth="1"/>
    <col min="508" max="508" width="14.875" style="1" customWidth="1"/>
    <col min="509" max="510" width="0" style="1" hidden="1" customWidth="1"/>
    <col min="511" max="512" width="14.875" style="1" customWidth="1"/>
    <col min="513" max="513" width="44.375" style="1" customWidth="1"/>
    <col min="514" max="518" width="14.875" style="1" customWidth="1"/>
    <col min="519" max="519" width="63.875" style="1" customWidth="1"/>
    <col min="520" max="520" width="13.25" style="1" customWidth="1"/>
    <col min="521" max="706" width="9.125" style="1"/>
    <col min="707" max="708" width="0" style="1" hidden="1" customWidth="1"/>
    <col min="709" max="709" width="13.75" style="1" customWidth="1"/>
    <col min="710" max="710" width="52.875" style="1" customWidth="1"/>
    <col min="711" max="750" width="0" style="1" hidden="1" customWidth="1"/>
    <col min="751" max="752" width="14.875" style="1" customWidth="1"/>
    <col min="753" max="754" width="0" style="1" hidden="1" customWidth="1"/>
    <col min="755" max="755" width="14.875" style="1" customWidth="1"/>
    <col min="756" max="757" width="0" style="1" hidden="1" customWidth="1"/>
    <col min="758" max="758" width="14.875" style="1" customWidth="1"/>
    <col min="759" max="760" width="0" style="1" hidden="1" customWidth="1"/>
    <col min="761" max="761" width="14.875" style="1" customWidth="1"/>
    <col min="762" max="763" width="0" style="1" hidden="1" customWidth="1"/>
    <col min="764" max="764" width="14.875" style="1" customWidth="1"/>
    <col min="765" max="766" width="0" style="1" hidden="1" customWidth="1"/>
    <col min="767" max="768" width="14.875" style="1" customWidth="1"/>
    <col min="769" max="769" width="44.375" style="1" customWidth="1"/>
    <col min="770" max="774" width="14.875" style="1" customWidth="1"/>
    <col min="775" max="775" width="63.875" style="1" customWidth="1"/>
    <col min="776" max="776" width="13.25" style="1" customWidth="1"/>
    <col min="777" max="962" width="9.125" style="1"/>
    <col min="963" max="964" width="0" style="1" hidden="1" customWidth="1"/>
    <col min="965" max="965" width="13.75" style="1" customWidth="1"/>
    <col min="966" max="966" width="52.875" style="1" customWidth="1"/>
    <col min="967" max="1006" width="0" style="1" hidden="1" customWidth="1"/>
    <col min="1007" max="1008" width="14.875" style="1" customWidth="1"/>
    <col min="1009" max="1010" width="0" style="1" hidden="1" customWidth="1"/>
    <col min="1011" max="1011" width="14.875" style="1" customWidth="1"/>
    <col min="1012" max="1013" width="0" style="1" hidden="1" customWidth="1"/>
    <col min="1014" max="1014" width="14.875" style="1" customWidth="1"/>
    <col min="1015" max="1016" width="0" style="1" hidden="1" customWidth="1"/>
    <col min="1017" max="1017" width="14.875" style="1" customWidth="1"/>
    <col min="1018" max="1019" width="0" style="1" hidden="1" customWidth="1"/>
    <col min="1020" max="1020" width="14.875" style="1" customWidth="1"/>
    <col min="1021" max="1022" width="0" style="1" hidden="1" customWidth="1"/>
    <col min="1023" max="1024" width="14.875" style="1" customWidth="1"/>
    <col min="1025" max="1025" width="44.375" style="1" customWidth="1"/>
    <col min="1026" max="1030" width="14.875" style="1" customWidth="1"/>
    <col min="1031" max="1031" width="63.875" style="1" customWidth="1"/>
    <col min="1032" max="1032" width="13.25" style="1" customWidth="1"/>
    <col min="1033" max="1218" width="9.125" style="1"/>
    <col min="1219" max="1220" width="0" style="1" hidden="1" customWidth="1"/>
    <col min="1221" max="1221" width="13.75" style="1" customWidth="1"/>
    <col min="1222" max="1222" width="52.875" style="1" customWidth="1"/>
    <col min="1223" max="1262" width="0" style="1" hidden="1" customWidth="1"/>
    <col min="1263" max="1264" width="14.875" style="1" customWidth="1"/>
    <col min="1265" max="1266" width="0" style="1" hidden="1" customWidth="1"/>
    <col min="1267" max="1267" width="14.875" style="1" customWidth="1"/>
    <col min="1268" max="1269" width="0" style="1" hidden="1" customWidth="1"/>
    <col min="1270" max="1270" width="14.875" style="1" customWidth="1"/>
    <col min="1271" max="1272" width="0" style="1" hidden="1" customWidth="1"/>
    <col min="1273" max="1273" width="14.875" style="1" customWidth="1"/>
    <col min="1274" max="1275" width="0" style="1" hidden="1" customWidth="1"/>
    <col min="1276" max="1276" width="14.875" style="1" customWidth="1"/>
    <col min="1277" max="1278" width="0" style="1" hidden="1" customWidth="1"/>
    <col min="1279" max="1280" width="14.875" style="1" customWidth="1"/>
    <col min="1281" max="1281" width="44.375" style="1" customWidth="1"/>
    <col min="1282" max="1286" width="14.875" style="1" customWidth="1"/>
    <col min="1287" max="1287" width="63.875" style="1" customWidth="1"/>
    <col min="1288" max="1288" width="13.25" style="1" customWidth="1"/>
    <col min="1289" max="1474" width="9.125" style="1"/>
    <col min="1475" max="1476" width="0" style="1" hidden="1" customWidth="1"/>
    <col min="1477" max="1477" width="13.75" style="1" customWidth="1"/>
    <col min="1478" max="1478" width="52.875" style="1" customWidth="1"/>
    <col min="1479" max="1518" width="0" style="1" hidden="1" customWidth="1"/>
    <col min="1519" max="1520" width="14.875" style="1" customWidth="1"/>
    <col min="1521" max="1522" width="0" style="1" hidden="1" customWidth="1"/>
    <col min="1523" max="1523" width="14.875" style="1" customWidth="1"/>
    <col min="1524" max="1525" width="0" style="1" hidden="1" customWidth="1"/>
    <col min="1526" max="1526" width="14.875" style="1" customWidth="1"/>
    <col min="1527" max="1528" width="0" style="1" hidden="1" customWidth="1"/>
    <col min="1529" max="1529" width="14.875" style="1" customWidth="1"/>
    <col min="1530" max="1531" width="0" style="1" hidden="1" customWidth="1"/>
    <col min="1532" max="1532" width="14.875" style="1" customWidth="1"/>
    <col min="1533" max="1534" width="0" style="1" hidden="1" customWidth="1"/>
    <col min="1535" max="1536" width="14.875" style="1" customWidth="1"/>
    <col min="1537" max="1537" width="44.375" style="1" customWidth="1"/>
    <col min="1538" max="1542" width="14.875" style="1" customWidth="1"/>
    <col min="1543" max="1543" width="63.875" style="1" customWidth="1"/>
    <col min="1544" max="1544" width="13.25" style="1" customWidth="1"/>
    <col min="1545" max="1730" width="9.125" style="1"/>
    <col min="1731" max="1732" width="0" style="1" hidden="1" customWidth="1"/>
    <col min="1733" max="1733" width="13.75" style="1" customWidth="1"/>
    <col min="1734" max="1734" width="52.875" style="1" customWidth="1"/>
    <col min="1735" max="1774" width="0" style="1" hidden="1" customWidth="1"/>
    <col min="1775" max="1776" width="14.875" style="1" customWidth="1"/>
    <col min="1777" max="1778" width="0" style="1" hidden="1" customWidth="1"/>
    <col min="1779" max="1779" width="14.875" style="1" customWidth="1"/>
    <col min="1780" max="1781" width="0" style="1" hidden="1" customWidth="1"/>
    <col min="1782" max="1782" width="14.875" style="1" customWidth="1"/>
    <col min="1783" max="1784" width="0" style="1" hidden="1" customWidth="1"/>
    <col min="1785" max="1785" width="14.875" style="1" customWidth="1"/>
    <col min="1786" max="1787" width="0" style="1" hidden="1" customWidth="1"/>
    <col min="1788" max="1788" width="14.875" style="1" customWidth="1"/>
    <col min="1789" max="1790" width="0" style="1" hidden="1" customWidth="1"/>
    <col min="1791" max="1792" width="14.875" style="1" customWidth="1"/>
    <col min="1793" max="1793" width="44.375" style="1" customWidth="1"/>
    <col min="1794" max="1798" width="14.875" style="1" customWidth="1"/>
    <col min="1799" max="1799" width="63.875" style="1" customWidth="1"/>
    <col min="1800" max="1800" width="13.25" style="1" customWidth="1"/>
    <col min="1801" max="1986" width="9.125" style="1"/>
    <col min="1987" max="1988" width="0" style="1" hidden="1" customWidth="1"/>
    <col min="1989" max="1989" width="13.75" style="1" customWidth="1"/>
    <col min="1990" max="1990" width="52.875" style="1" customWidth="1"/>
    <col min="1991" max="2030" width="0" style="1" hidden="1" customWidth="1"/>
    <col min="2031" max="2032" width="14.875" style="1" customWidth="1"/>
    <col min="2033" max="2034" width="0" style="1" hidden="1" customWidth="1"/>
    <col min="2035" max="2035" width="14.875" style="1" customWidth="1"/>
    <col min="2036" max="2037" width="0" style="1" hidden="1" customWidth="1"/>
    <col min="2038" max="2038" width="14.875" style="1" customWidth="1"/>
    <col min="2039" max="2040" width="0" style="1" hidden="1" customWidth="1"/>
    <col min="2041" max="2041" width="14.875" style="1" customWidth="1"/>
    <col min="2042" max="2043" width="0" style="1" hidden="1" customWidth="1"/>
    <col min="2044" max="2044" width="14.875" style="1" customWidth="1"/>
    <col min="2045" max="2046" width="0" style="1" hidden="1" customWidth="1"/>
    <col min="2047" max="2048" width="14.875" style="1" customWidth="1"/>
    <col min="2049" max="2049" width="44.375" style="1" customWidth="1"/>
    <col min="2050" max="2054" width="14.875" style="1" customWidth="1"/>
    <col min="2055" max="2055" width="63.875" style="1" customWidth="1"/>
    <col min="2056" max="2056" width="13.25" style="1" customWidth="1"/>
    <col min="2057" max="2242" width="9.125" style="1"/>
    <col min="2243" max="2244" width="0" style="1" hidden="1" customWidth="1"/>
    <col min="2245" max="2245" width="13.75" style="1" customWidth="1"/>
    <col min="2246" max="2246" width="52.875" style="1" customWidth="1"/>
    <col min="2247" max="2286" width="0" style="1" hidden="1" customWidth="1"/>
    <col min="2287" max="2288" width="14.875" style="1" customWidth="1"/>
    <col min="2289" max="2290" width="0" style="1" hidden="1" customWidth="1"/>
    <col min="2291" max="2291" width="14.875" style="1" customWidth="1"/>
    <col min="2292" max="2293" width="0" style="1" hidden="1" customWidth="1"/>
    <col min="2294" max="2294" width="14.875" style="1" customWidth="1"/>
    <col min="2295" max="2296" width="0" style="1" hidden="1" customWidth="1"/>
    <col min="2297" max="2297" width="14.875" style="1" customWidth="1"/>
    <col min="2298" max="2299" width="0" style="1" hidden="1" customWidth="1"/>
    <col min="2300" max="2300" width="14.875" style="1" customWidth="1"/>
    <col min="2301" max="2302" width="0" style="1" hidden="1" customWidth="1"/>
    <col min="2303" max="2304" width="14.875" style="1" customWidth="1"/>
    <col min="2305" max="2305" width="44.375" style="1" customWidth="1"/>
    <col min="2306" max="2310" width="14.875" style="1" customWidth="1"/>
    <col min="2311" max="2311" width="63.875" style="1" customWidth="1"/>
    <col min="2312" max="2312" width="13.25" style="1" customWidth="1"/>
    <col min="2313" max="2498" width="9.125" style="1"/>
    <col min="2499" max="2500" width="0" style="1" hidden="1" customWidth="1"/>
    <col min="2501" max="2501" width="13.75" style="1" customWidth="1"/>
    <col min="2502" max="2502" width="52.875" style="1" customWidth="1"/>
    <col min="2503" max="2542" width="0" style="1" hidden="1" customWidth="1"/>
    <col min="2543" max="2544" width="14.875" style="1" customWidth="1"/>
    <col min="2545" max="2546" width="0" style="1" hidden="1" customWidth="1"/>
    <col min="2547" max="2547" width="14.875" style="1" customWidth="1"/>
    <col min="2548" max="2549" width="0" style="1" hidden="1" customWidth="1"/>
    <col min="2550" max="2550" width="14.875" style="1" customWidth="1"/>
    <col min="2551" max="2552" width="0" style="1" hidden="1" customWidth="1"/>
    <col min="2553" max="2553" width="14.875" style="1" customWidth="1"/>
    <col min="2554" max="2555" width="0" style="1" hidden="1" customWidth="1"/>
    <col min="2556" max="2556" width="14.875" style="1" customWidth="1"/>
    <col min="2557" max="2558" width="0" style="1" hidden="1" customWidth="1"/>
    <col min="2559" max="2560" width="14.875" style="1" customWidth="1"/>
    <col min="2561" max="2561" width="44.375" style="1" customWidth="1"/>
    <col min="2562" max="2566" width="14.875" style="1" customWidth="1"/>
    <col min="2567" max="2567" width="63.875" style="1" customWidth="1"/>
    <col min="2568" max="2568" width="13.25" style="1" customWidth="1"/>
    <col min="2569" max="2754" width="9.125" style="1"/>
    <col min="2755" max="2756" width="0" style="1" hidden="1" customWidth="1"/>
    <col min="2757" max="2757" width="13.75" style="1" customWidth="1"/>
    <col min="2758" max="2758" width="52.875" style="1" customWidth="1"/>
    <col min="2759" max="2798" width="0" style="1" hidden="1" customWidth="1"/>
    <col min="2799" max="2800" width="14.875" style="1" customWidth="1"/>
    <col min="2801" max="2802" width="0" style="1" hidden="1" customWidth="1"/>
    <col min="2803" max="2803" width="14.875" style="1" customWidth="1"/>
    <col min="2804" max="2805" width="0" style="1" hidden="1" customWidth="1"/>
    <col min="2806" max="2806" width="14.875" style="1" customWidth="1"/>
    <col min="2807" max="2808" width="0" style="1" hidden="1" customWidth="1"/>
    <col min="2809" max="2809" width="14.875" style="1" customWidth="1"/>
    <col min="2810" max="2811" width="0" style="1" hidden="1" customWidth="1"/>
    <col min="2812" max="2812" width="14.875" style="1" customWidth="1"/>
    <col min="2813" max="2814" width="0" style="1" hidden="1" customWidth="1"/>
    <col min="2815" max="2816" width="14.875" style="1" customWidth="1"/>
    <col min="2817" max="2817" width="44.375" style="1" customWidth="1"/>
    <col min="2818" max="2822" width="14.875" style="1" customWidth="1"/>
    <col min="2823" max="2823" width="63.875" style="1" customWidth="1"/>
    <col min="2824" max="2824" width="13.25" style="1" customWidth="1"/>
    <col min="2825" max="3010" width="9.125" style="1"/>
    <col min="3011" max="3012" width="0" style="1" hidden="1" customWidth="1"/>
    <col min="3013" max="3013" width="13.75" style="1" customWidth="1"/>
    <col min="3014" max="3014" width="52.875" style="1" customWidth="1"/>
    <col min="3015" max="3054" width="0" style="1" hidden="1" customWidth="1"/>
    <col min="3055" max="3056" width="14.875" style="1" customWidth="1"/>
    <col min="3057" max="3058" width="0" style="1" hidden="1" customWidth="1"/>
    <col min="3059" max="3059" width="14.875" style="1" customWidth="1"/>
    <col min="3060" max="3061" width="0" style="1" hidden="1" customWidth="1"/>
    <col min="3062" max="3062" width="14.875" style="1" customWidth="1"/>
    <col min="3063" max="3064" width="0" style="1" hidden="1" customWidth="1"/>
    <col min="3065" max="3065" width="14.875" style="1" customWidth="1"/>
    <col min="3066" max="3067" width="0" style="1" hidden="1" customWidth="1"/>
    <col min="3068" max="3068" width="14.875" style="1" customWidth="1"/>
    <col min="3069" max="3070" width="0" style="1" hidden="1" customWidth="1"/>
    <col min="3071" max="3072" width="14.875" style="1" customWidth="1"/>
    <col min="3073" max="3073" width="44.375" style="1" customWidth="1"/>
    <col min="3074" max="3078" width="14.875" style="1" customWidth="1"/>
    <col min="3079" max="3079" width="63.875" style="1" customWidth="1"/>
    <col min="3080" max="3080" width="13.25" style="1" customWidth="1"/>
    <col min="3081" max="3266" width="9.125" style="1"/>
    <col min="3267" max="3268" width="0" style="1" hidden="1" customWidth="1"/>
    <col min="3269" max="3269" width="13.75" style="1" customWidth="1"/>
    <col min="3270" max="3270" width="52.875" style="1" customWidth="1"/>
    <col min="3271" max="3310" width="0" style="1" hidden="1" customWidth="1"/>
    <col min="3311" max="3312" width="14.875" style="1" customWidth="1"/>
    <col min="3313" max="3314" width="0" style="1" hidden="1" customWidth="1"/>
    <col min="3315" max="3315" width="14.875" style="1" customWidth="1"/>
    <col min="3316" max="3317" width="0" style="1" hidden="1" customWidth="1"/>
    <col min="3318" max="3318" width="14.875" style="1" customWidth="1"/>
    <col min="3319" max="3320" width="0" style="1" hidden="1" customWidth="1"/>
    <col min="3321" max="3321" width="14.875" style="1" customWidth="1"/>
    <col min="3322" max="3323" width="0" style="1" hidden="1" customWidth="1"/>
    <col min="3324" max="3324" width="14.875" style="1" customWidth="1"/>
    <col min="3325" max="3326" width="0" style="1" hidden="1" customWidth="1"/>
    <col min="3327" max="3328" width="14.875" style="1" customWidth="1"/>
    <col min="3329" max="3329" width="44.375" style="1" customWidth="1"/>
    <col min="3330" max="3334" width="14.875" style="1" customWidth="1"/>
    <col min="3335" max="3335" width="63.875" style="1" customWidth="1"/>
    <col min="3336" max="3336" width="13.25" style="1" customWidth="1"/>
    <col min="3337" max="3522" width="9.125" style="1"/>
    <col min="3523" max="3524" width="0" style="1" hidden="1" customWidth="1"/>
    <col min="3525" max="3525" width="13.75" style="1" customWidth="1"/>
    <col min="3526" max="3526" width="52.875" style="1" customWidth="1"/>
    <col min="3527" max="3566" width="0" style="1" hidden="1" customWidth="1"/>
    <col min="3567" max="3568" width="14.875" style="1" customWidth="1"/>
    <col min="3569" max="3570" width="0" style="1" hidden="1" customWidth="1"/>
    <col min="3571" max="3571" width="14.875" style="1" customWidth="1"/>
    <col min="3572" max="3573" width="0" style="1" hidden="1" customWidth="1"/>
    <col min="3574" max="3574" width="14.875" style="1" customWidth="1"/>
    <col min="3575" max="3576" width="0" style="1" hidden="1" customWidth="1"/>
    <col min="3577" max="3577" width="14.875" style="1" customWidth="1"/>
    <col min="3578" max="3579" width="0" style="1" hidden="1" customWidth="1"/>
    <col min="3580" max="3580" width="14.875" style="1" customWidth="1"/>
    <col min="3581" max="3582" width="0" style="1" hidden="1" customWidth="1"/>
    <col min="3583" max="3584" width="14.875" style="1" customWidth="1"/>
    <col min="3585" max="3585" width="44.375" style="1" customWidth="1"/>
    <col min="3586" max="3590" width="14.875" style="1" customWidth="1"/>
    <col min="3591" max="3591" width="63.875" style="1" customWidth="1"/>
    <col min="3592" max="3592" width="13.25" style="1" customWidth="1"/>
    <col min="3593" max="3778" width="9.125" style="1"/>
    <col min="3779" max="3780" width="0" style="1" hidden="1" customWidth="1"/>
    <col min="3781" max="3781" width="13.75" style="1" customWidth="1"/>
    <col min="3782" max="3782" width="52.875" style="1" customWidth="1"/>
    <col min="3783" max="3822" width="0" style="1" hidden="1" customWidth="1"/>
    <col min="3823" max="3824" width="14.875" style="1" customWidth="1"/>
    <col min="3825" max="3826" width="0" style="1" hidden="1" customWidth="1"/>
    <col min="3827" max="3827" width="14.875" style="1" customWidth="1"/>
    <col min="3828" max="3829" width="0" style="1" hidden="1" customWidth="1"/>
    <col min="3830" max="3830" width="14.875" style="1" customWidth="1"/>
    <col min="3831" max="3832" width="0" style="1" hidden="1" customWidth="1"/>
    <col min="3833" max="3833" width="14.875" style="1" customWidth="1"/>
    <col min="3834" max="3835" width="0" style="1" hidden="1" customWidth="1"/>
    <col min="3836" max="3836" width="14.875" style="1" customWidth="1"/>
    <col min="3837" max="3838" width="0" style="1" hidden="1" customWidth="1"/>
    <col min="3839" max="3840" width="14.875" style="1" customWidth="1"/>
    <col min="3841" max="3841" width="44.375" style="1" customWidth="1"/>
    <col min="3842" max="3846" width="14.875" style="1" customWidth="1"/>
    <col min="3847" max="3847" width="63.875" style="1" customWidth="1"/>
    <col min="3848" max="3848" width="13.25" style="1" customWidth="1"/>
    <col min="3849" max="4034" width="9.125" style="1"/>
    <col min="4035" max="4036" width="0" style="1" hidden="1" customWidth="1"/>
    <col min="4037" max="4037" width="13.75" style="1" customWidth="1"/>
    <col min="4038" max="4038" width="52.875" style="1" customWidth="1"/>
    <col min="4039" max="4078" width="0" style="1" hidden="1" customWidth="1"/>
    <col min="4079" max="4080" width="14.875" style="1" customWidth="1"/>
    <col min="4081" max="4082" width="0" style="1" hidden="1" customWidth="1"/>
    <col min="4083" max="4083" width="14.875" style="1" customWidth="1"/>
    <col min="4084" max="4085" width="0" style="1" hidden="1" customWidth="1"/>
    <col min="4086" max="4086" width="14.875" style="1" customWidth="1"/>
    <col min="4087" max="4088" width="0" style="1" hidden="1" customWidth="1"/>
    <col min="4089" max="4089" width="14.875" style="1" customWidth="1"/>
    <col min="4090" max="4091" width="0" style="1" hidden="1" customWidth="1"/>
    <col min="4092" max="4092" width="14.875" style="1" customWidth="1"/>
    <col min="4093" max="4094" width="0" style="1" hidden="1" customWidth="1"/>
    <col min="4095" max="4096" width="14.875" style="1" customWidth="1"/>
    <col min="4097" max="4097" width="44.375" style="1" customWidth="1"/>
    <col min="4098" max="4102" width="14.875" style="1" customWidth="1"/>
    <col min="4103" max="4103" width="63.875" style="1" customWidth="1"/>
    <col min="4104" max="4104" width="13.25" style="1" customWidth="1"/>
    <col min="4105" max="4290" width="9.125" style="1"/>
    <col min="4291" max="4292" width="0" style="1" hidden="1" customWidth="1"/>
    <col min="4293" max="4293" width="13.75" style="1" customWidth="1"/>
    <col min="4294" max="4294" width="52.875" style="1" customWidth="1"/>
    <col min="4295" max="4334" width="0" style="1" hidden="1" customWidth="1"/>
    <col min="4335" max="4336" width="14.875" style="1" customWidth="1"/>
    <col min="4337" max="4338" width="0" style="1" hidden="1" customWidth="1"/>
    <col min="4339" max="4339" width="14.875" style="1" customWidth="1"/>
    <col min="4340" max="4341" width="0" style="1" hidden="1" customWidth="1"/>
    <col min="4342" max="4342" width="14.875" style="1" customWidth="1"/>
    <col min="4343" max="4344" width="0" style="1" hidden="1" customWidth="1"/>
    <col min="4345" max="4345" width="14.875" style="1" customWidth="1"/>
    <col min="4346" max="4347" width="0" style="1" hidden="1" customWidth="1"/>
    <col min="4348" max="4348" width="14.875" style="1" customWidth="1"/>
    <col min="4349" max="4350" width="0" style="1" hidden="1" customWidth="1"/>
    <col min="4351" max="4352" width="14.875" style="1" customWidth="1"/>
    <col min="4353" max="4353" width="44.375" style="1" customWidth="1"/>
    <col min="4354" max="4358" width="14.875" style="1" customWidth="1"/>
    <col min="4359" max="4359" width="63.875" style="1" customWidth="1"/>
    <col min="4360" max="4360" width="13.25" style="1" customWidth="1"/>
    <col min="4361" max="4546" width="9.125" style="1"/>
    <col min="4547" max="4548" width="0" style="1" hidden="1" customWidth="1"/>
    <col min="4549" max="4549" width="13.75" style="1" customWidth="1"/>
    <col min="4550" max="4550" width="52.875" style="1" customWidth="1"/>
    <col min="4551" max="4590" width="0" style="1" hidden="1" customWidth="1"/>
    <col min="4591" max="4592" width="14.875" style="1" customWidth="1"/>
    <col min="4593" max="4594" width="0" style="1" hidden="1" customWidth="1"/>
    <col min="4595" max="4595" width="14.875" style="1" customWidth="1"/>
    <col min="4596" max="4597" width="0" style="1" hidden="1" customWidth="1"/>
    <col min="4598" max="4598" width="14.875" style="1" customWidth="1"/>
    <col min="4599" max="4600" width="0" style="1" hidden="1" customWidth="1"/>
    <col min="4601" max="4601" width="14.875" style="1" customWidth="1"/>
    <col min="4602" max="4603" width="0" style="1" hidden="1" customWidth="1"/>
    <col min="4604" max="4604" width="14.875" style="1" customWidth="1"/>
    <col min="4605" max="4606" width="0" style="1" hidden="1" customWidth="1"/>
    <col min="4607" max="4608" width="14.875" style="1" customWidth="1"/>
    <col min="4609" max="4609" width="44.375" style="1" customWidth="1"/>
    <col min="4610" max="4614" width="14.875" style="1" customWidth="1"/>
    <col min="4615" max="4615" width="63.875" style="1" customWidth="1"/>
    <col min="4616" max="4616" width="13.25" style="1" customWidth="1"/>
    <col min="4617" max="4802" width="9.125" style="1"/>
    <col min="4803" max="4804" width="0" style="1" hidden="1" customWidth="1"/>
    <col min="4805" max="4805" width="13.75" style="1" customWidth="1"/>
    <col min="4806" max="4806" width="52.875" style="1" customWidth="1"/>
    <col min="4807" max="4846" width="0" style="1" hidden="1" customWidth="1"/>
    <col min="4847" max="4848" width="14.875" style="1" customWidth="1"/>
    <col min="4849" max="4850" width="0" style="1" hidden="1" customWidth="1"/>
    <col min="4851" max="4851" width="14.875" style="1" customWidth="1"/>
    <col min="4852" max="4853" width="0" style="1" hidden="1" customWidth="1"/>
    <col min="4854" max="4854" width="14.875" style="1" customWidth="1"/>
    <col min="4855" max="4856" width="0" style="1" hidden="1" customWidth="1"/>
    <col min="4857" max="4857" width="14.875" style="1" customWidth="1"/>
    <col min="4858" max="4859" width="0" style="1" hidden="1" customWidth="1"/>
    <col min="4860" max="4860" width="14.875" style="1" customWidth="1"/>
    <col min="4861" max="4862" width="0" style="1" hidden="1" customWidth="1"/>
    <col min="4863" max="4864" width="14.875" style="1" customWidth="1"/>
    <col min="4865" max="4865" width="44.375" style="1" customWidth="1"/>
    <col min="4866" max="4870" width="14.875" style="1" customWidth="1"/>
    <col min="4871" max="4871" width="63.875" style="1" customWidth="1"/>
    <col min="4872" max="4872" width="13.25" style="1" customWidth="1"/>
    <col min="4873" max="5058" width="9.125" style="1"/>
    <col min="5059" max="5060" width="0" style="1" hidden="1" customWidth="1"/>
    <col min="5061" max="5061" width="13.75" style="1" customWidth="1"/>
    <col min="5062" max="5062" width="52.875" style="1" customWidth="1"/>
    <col min="5063" max="5102" width="0" style="1" hidden="1" customWidth="1"/>
    <col min="5103" max="5104" width="14.875" style="1" customWidth="1"/>
    <col min="5105" max="5106" width="0" style="1" hidden="1" customWidth="1"/>
    <col min="5107" max="5107" width="14.875" style="1" customWidth="1"/>
    <col min="5108" max="5109" width="0" style="1" hidden="1" customWidth="1"/>
    <col min="5110" max="5110" width="14.875" style="1" customWidth="1"/>
    <col min="5111" max="5112" width="0" style="1" hidden="1" customWidth="1"/>
    <col min="5113" max="5113" width="14.875" style="1" customWidth="1"/>
    <col min="5114" max="5115" width="0" style="1" hidden="1" customWidth="1"/>
    <col min="5116" max="5116" width="14.875" style="1" customWidth="1"/>
    <col min="5117" max="5118" width="0" style="1" hidden="1" customWidth="1"/>
    <col min="5119" max="5120" width="14.875" style="1" customWidth="1"/>
    <col min="5121" max="5121" width="44.375" style="1" customWidth="1"/>
    <col min="5122" max="5126" width="14.875" style="1" customWidth="1"/>
    <col min="5127" max="5127" width="63.875" style="1" customWidth="1"/>
    <col min="5128" max="5128" width="13.25" style="1" customWidth="1"/>
    <col min="5129" max="5314" width="9.125" style="1"/>
    <col min="5315" max="5316" width="0" style="1" hidden="1" customWidth="1"/>
    <col min="5317" max="5317" width="13.75" style="1" customWidth="1"/>
    <col min="5318" max="5318" width="52.875" style="1" customWidth="1"/>
    <col min="5319" max="5358" width="0" style="1" hidden="1" customWidth="1"/>
    <col min="5359" max="5360" width="14.875" style="1" customWidth="1"/>
    <col min="5361" max="5362" width="0" style="1" hidden="1" customWidth="1"/>
    <col min="5363" max="5363" width="14.875" style="1" customWidth="1"/>
    <col min="5364" max="5365" width="0" style="1" hidden="1" customWidth="1"/>
    <col min="5366" max="5366" width="14.875" style="1" customWidth="1"/>
    <col min="5367" max="5368" width="0" style="1" hidden="1" customWidth="1"/>
    <col min="5369" max="5369" width="14.875" style="1" customWidth="1"/>
    <col min="5370" max="5371" width="0" style="1" hidden="1" customWidth="1"/>
    <col min="5372" max="5372" width="14.875" style="1" customWidth="1"/>
    <col min="5373" max="5374" width="0" style="1" hidden="1" customWidth="1"/>
    <col min="5375" max="5376" width="14.875" style="1" customWidth="1"/>
    <col min="5377" max="5377" width="44.375" style="1" customWidth="1"/>
    <col min="5378" max="5382" width="14.875" style="1" customWidth="1"/>
    <col min="5383" max="5383" width="63.875" style="1" customWidth="1"/>
    <col min="5384" max="5384" width="13.25" style="1" customWidth="1"/>
    <col min="5385" max="5570" width="9.125" style="1"/>
    <col min="5571" max="5572" width="0" style="1" hidden="1" customWidth="1"/>
    <col min="5573" max="5573" width="13.75" style="1" customWidth="1"/>
    <col min="5574" max="5574" width="52.875" style="1" customWidth="1"/>
    <col min="5575" max="5614" width="0" style="1" hidden="1" customWidth="1"/>
    <col min="5615" max="5616" width="14.875" style="1" customWidth="1"/>
    <col min="5617" max="5618" width="0" style="1" hidden="1" customWidth="1"/>
    <col min="5619" max="5619" width="14.875" style="1" customWidth="1"/>
    <col min="5620" max="5621" width="0" style="1" hidden="1" customWidth="1"/>
    <col min="5622" max="5622" width="14.875" style="1" customWidth="1"/>
    <col min="5623" max="5624" width="0" style="1" hidden="1" customWidth="1"/>
    <col min="5625" max="5625" width="14.875" style="1" customWidth="1"/>
    <col min="5626" max="5627" width="0" style="1" hidden="1" customWidth="1"/>
    <col min="5628" max="5628" width="14.875" style="1" customWidth="1"/>
    <col min="5629" max="5630" width="0" style="1" hidden="1" customWidth="1"/>
    <col min="5631" max="5632" width="14.875" style="1" customWidth="1"/>
    <col min="5633" max="5633" width="44.375" style="1" customWidth="1"/>
    <col min="5634" max="5638" width="14.875" style="1" customWidth="1"/>
    <col min="5639" max="5639" width="63.875" style="1" customWidth="1"/>
    <col min="5640" max="5640" width="13.25" style="1" customWidth="1"/>
    <col min="5641" max="5826" width="9.125" style="1"/>
    <col min="5827" max="5828" width="0" style="1" hidden="1" customWidth="1"/>
    <col min="5829" max="5829" width="13.75" style="1" customWidth="1"/>
    <col min="5830" max="5830" width="52.875" style="1" customWidth="1"/>
    <col min="5831" max="5870" width="0" style="1" hidden="1" customWidth="1"/>
    <col min="5871" max="5872" width="14.875" style="1" customWidth="1"/>
    <col min="5873" max="5874" width="0" style="1" hidden="1" customWidth="1"/>
    <col min="5875" max="5875" width="14.875" style="1" customWidth="1"/>
    <col min="5876" max="5877" width="0" style="1" hidden="1" customWidth="1"/>
    <col min="5878" max="5878" width="14.875" style="1" customWidth="1"/>
    <col min="5879" max="5880" width="0" style="1" hidden="1" customWidth="1"/>
    <col min="5881" max="5881" width="14.875" style="1" customWidth="1"/>
    <col min="5882" max="5883" width="0" style="1" hidden="1" customWidth="1"/>
    <col min="5884" max="5884" width="14.875" style="1" customWidth="1"/>
    <col min="5885" max="5886" width="0" style="1" hidden="1" customWidth="1"/>
    <col min="5887" max="5888" width="14.875" style="1" customWidth="1"/>
    <col min="5889" max="5889" width="44.375" style="1" customWidth="1"/>
    <col min="5890" max="5894" width="14.875" style="1" customWidth="1"/>
    <col min="5895" max="5895" width="63.875" style="1" customWidth="1"/>
    <col min="5896" max="5896" width="13.25" style="1" customWidth="1"/>
    <col min="5897" max="6082" width="9.125" style="1"/>
    <col min="6083" max="6084" width="0" style="1" hidden="1" customWidth="1"/>
    <col min="6085" max="6085" width="13.75" style="1" customWidth="1"/>
    <col min="6086" max="6086" width="52.875" style="1" customWidth="1"/>
    <col min="6087" max="6126" width="0" style="1" hidden="1" customWidth="1"/>
    <col min="6127" max="6128" width="14.875" style="1" customWidth="1"/>
    <col min="6129" max="6130" width="0" style="1" hidden="1" customWidth="1"/>
    <col min="6131" max="6131" width="14.875" style="1" customWidth="1"/>
    <col min="6132" max="6133" width="0" style="1" hidden="1" customWidth="1"/>
    <col min="6134" max="6134" width="14.875" style="1" customWidth="1"/>
    <col min="6135" max="6136" width="0" style="1" hidden="1" customWidth="1"/>
    <col min="6137" max="6137" width="14.875" style="1" customWidth="1"/>
    <col min="6138" max="6139" width="0" style="1" hidden="1" customWidth="1"/>
    <col min="6140" max="6140" width="14.875" style="1" customWidth="1"/>
    <col min="6141" max="6142" width="0" style="1" hidden="1" customWidth="1"/>
    <col min="6143" max="6144" width="14.875" style="1" customWidth="1"/>
    <col min="6145" max="6145" width="44.375" style="1" customWidth="1"/>
    <col min="6146" max="6150" width="14.875" style="1" customWidth="1"/>
    <col min="6151" max="6151" width="63.875" style="1" customWidth="1"/>
    <col min="6152" max="6152" width="13.25" style="1" customWidth="1"/>
    <col min="6153" max="6338" width="9.125" style="1"/>
    <col min="6339" max="6340" width="0" style="1" hidden="1" customWidth="1"/>
    <col min="6341" max="6341" width="13.75" style="1" customWidth="1"/>
    <col min="6342" max="6342" width="52.875" style="1" customWidth="1"/>
    <col min="6343" max="6382" width="0" style="1" hidden="1" customWidth="1"/>
    <col min="6383" max="6384" width="14.875" style="1" customWidth="1"/>
    <col min="6385" max="6386" width="0" style="1" hidden="1" customWidth="1"/>
    <col min="6387" max="6387" width="14.875" style="1" customWidth="1"/>
    <col min="6388" max="6389" width="0" style="1" hidden="1" customWidth="1"/>
    <col min="6390" max="6390" width="14.875" style="1" customWidth="1"/>
    <col min="6391" max="6392" width="0" style="1" hidden="1" customWidth="1"/>
    <col min="6393" max="6393" width="14.875" style="1" customWidth="1"/>
    <col min="6394" max="6395" width="0" style="1" hidden="1" customWidth="1"/>
    <col min="6396" max="6396" width="14.875" style="1" customWidth="1"/>
    <col min="6397" max="6398" width="0" style="1" hidden="1" customWidth="1"/>
    <col min="6399" max="6400" width="14.875" style="1" customWidth="1"/>
    <col min="6401" max="6401" width="44.375" style="1" customWidth="1"/>
    <col min="6402" max="6406" width="14.875" style="1" customWidth="1"/>
    <col min="6407" max="6407" width="63.875" style="1" customWidth="1"/>
    <col min="6408" max="6408" width="13.25" style="1" customWidth="1"/>
    <col min="6409" max="6594" width="9.125" style="1"/>
    <col min="6595" max="6596" width="0" style="1" hidden="1" customWidth="1"/>
    <col min="6597" max="6597" width="13.75" style="1" customWidth="1"/>
    <col min="6598" max="6598" width="52.875" style="1" customWidth="1"/>
    <col min="6599" max="6638" width="0" style="1" hidden="1" customWidth="1"/>
    <col min="6639" max="6640" width="14.875" style="1" customWidth="1"/>
    <col min="6641" max="6642" width="0" style="1" hidden="1" customWidth="1"/>
    <col min="6643" max="6643" width="14.875" style="1" customWidth="1"/>
    <col min="6644" max="6645" width="0" style="1" hidden="1" customWidth="1"/>
    <col min="6646" max="6646" width="14.875" style="1" customWidth="1"/>
    <col min="6647" max="6648" width="0" style="1" hidden="1" customWidth="1"/>
    <col min="6649" max="6649" width="14.875" style="1" customWidth="1"/>
    <col min="6650" max="6651" width="0" style="1" hidden="1" customWidth="1"/>
    <col min="6652" max="6652" width="14.875" style="1" customWidth="1"/>
    <col min="6653" max="6654" width="0" style="1" hidden="1" customWidth="1"/>
    <col min="6655" max="6656" width="14.875" style="1" customWidth="1"/>
    <col min="6657" max="6657" width="44.375" style="1" customWidth="1"/>
    <col min="6658" max="6662" width="14.875" style="1" customWidth="1"/>
    <col min="6663" max="6663" width="63.875" style="1" customWidth="1"/>
    <col min="6664" max="6664" width="13.25" style="1" customWidth="1"/>
    <col min="6665" max="6850" width="9.125" style="1"/>
    <col min="6851" max="6852" width="0" style="1" hidden="1" customWidth="1"/>
    <col min="6853" max="6853" width="13.75" style="1" customWidth="1"/>
    <col min="6854" max="6854" width="52.875" style="1" customWidth="1"/>
    <col min="6855" max="6894" width="0" style="1" hidden="1" customWidth="1"/>
    <col min="6895" max="6896" width="14.875" style="1" customWidth="1"/>
    <col min="6897" max="6898" width="0" style="1" hidden="1" customWidth="1"/>
    <col min="6899" max="6899" width="14.875" style="1" customWidth="1"/>
    <col min="6900" max="6901" width="0" style="1" hidden="1" customWidth="1"/>
    <col min="6902" max="6902" width="14.875" style="1" customWidth="1"/>
    <col min="6903" max="6904" width="0" style="1" hidden="1" customWidth="1"/>
    <col min="6905" max="6905" width="14.875" style="1" customWidth="1"/>
    <col min="6906" max="6907" width="0" style="1" hidden="1" customWidth="1"/>
    <col min="6908" max="6908" width="14.875" style="1" customWidth="1"/>
    <col min="6909" max="6910" width="0" style="1" hidden="1" customWidth="1"/>
    <col min="6911" max="6912" width="14.875" style="1" customWidth="1"/>
    <col min="6913" max="6913" width="44.375" style="1" customWidth="1"/>
    <col min="6914" max="6918" width="14.875" style="1" customWidth="1"/>
    <col min="6919" max="6919" width="63.875" style="1" customWidth="1"/>
    <col min="6920" max="6920" width="13.25" style="1" customWidth="1"/>
    <col min="6921" max="7106" width="9.125" style="1"/>
    <col min="7107" max="7108" width="0" style="1" hidden="1" customWidth="1"/>
    <col min="7109" max="7109" width="13.75" style="1" customWidth="1"/>
    <col min="7110" max="7110" width="52.875" style="1" customWidth="1"/>
    <col min="7111" max="7150" width="0" style="1" hidden="1" customWidth="1"/>
    <col min="7151" max="7152" width="14.875" style="1" customWidth="1"/>
    <col min="7153" max="7154" width="0" style="1" hidden="1" customWidth="1"/>
    <col min="7155" max="7155" width="14.875" style="1" customWidth="1"/>
    <col min="7156" max="7157" width="0" style="1" hidden="1" customWidth="1"/>
    <col min="7158" max="7158" width="14.875" style="1" customWidth="1"/>
    <col min="7159" max="7160" width="0" style="1" hidden="1" customWidth="1"/>
    <col min="7161" max="7161" width="14.875" style="1" customWidth="1"/>
    <col min="7162" max="7163" width="0" style="1" hidden="1" customWidth="1"/>
    <col min="7164" max="7164" width="14.875" style="1" customWidth="1"/>
    <col min="7165" max="7166" width="0" style="1" hidden="1" customWidth="1"/>
    <col min="7167" max="7168" width="14.875" style="1" customWidth="1"/>
    <col min="7169" max="7169" width="44.375" style="1" customWidth="1"/>
    <col min="7170" max="7174" width="14.875" style="1" customWidth="1"/>
    <col min="7175" max="7175" width="63.875" style="1" customWidth="1"/>
    <col min="7176" max="7176" width="13.25" style="1" customWidth="1"/>
    <col min="7177" max="7362" width="9.125" style="1"/>
    <col min="7363" max="7364" width="0" style="1" hidden="1" customWidth="1"/>
    <col min="7365" max="7365" width="13.75" style="1" customWidth="1"/>
    <col min="7366" max="7366" width="52.875" style="1" customWidth="1"/>
    <col min="7367" max="7406" width="0" style="1" hidden="1" customWidth="1"/>
    <col min="7407" max="7408" width="14.875" style="1" customWidth="1"/>
    <col min="7409" max="7410" width="0" style="1" hidden="1" customWidth="1"/>
    <col min="7411" max="7411" width="14.875" style="1" customWidth="1"/>
    <col min="7412" max="7413" width="0" style="1" hidden="1" customWidth="1"/>
    <col min="7414" max="7414" width="14.875" style="1" customWidth="1"/>
    <col min="7415" max="7416" width="0" style="1" hidden="1" customWidth="1"/>
    <col min="7417" max="7417" width="14.875" style="1" customWidth="1"/>
    <col min="7418" max="7419" width="0" style="1" hidden="1" customWidth="1"/>
    <col min="7420" max="7420" width="14.875" style="1" customWidth="1"/>
    <col min="7421" max="7422" width="0" style="1" hidden="1" customWidth="1"/>
    <col min="7423" max="7424" width="14.875" style="1" customWidth="1"/>
    <col min="7425" max="7425" width="44.375" style="1" customWidth="1"/>
    <col min="7426" max="7430" width="14.875" style="1" customWidth="1"/>
    <col min="7431" max="7431" width="63.875" style="1" customWidth="1"/>
    <col min="7432" max="7432" width="13.25" style="1" customWidth="1"/>
    <col min="7433" max="7618" width="9.125" style="1"/>
    <col min="7619" max="7620" width="0" style="1" hidden="1" customWidth="1"/>
    <col min="7621" max="7621" width="13.75" style="1" customWidth="1"/>
    <col min="7622" max="7622" width="52.875" style="1" customWidth="1"/>
    <col min="7623" max="7662" width="0" style="1" hidden="1" customWidth="1"/>
    <col min="7663" max="7664" width="14.875" style="1" customWidth="1"/>
    <col min="7665" max="7666" width="0" style="1" hidden="1" customWidth="1"/>
    <col min="7667" max="7667" width="14.875" style="1" customWidth="1"/>
    <col min="7668" max="7669" width="0" style="1" hidden="1" customWidth="1"/>
    <col min="7670" max="7670" width="14.875" style="1" customWidth="1"/>
    <col min="7671" max="7672" width="0" style="1" hidden="1" customWidth="1"/>
    <col min="7673" max="7673" width="14.875" style="1" customWidth="1"/>
    <col min="7674" max="7675" width="0" style="1" hidden="1" customWidth="1"/>
    <col min="7676" max="7676" width="14.875" style="1" customWidth="1"/>
    <col min="7677" max="7678" width="0" style="1" hidden="1" customWidth="1"/>
    <col min="7679" max="7680" width="14.875" style="1" customWidth="1"/>
    <col min="7681" max="7681" width="44.375" style="1" customWidth="1"/>
    <col min="7682" max="7686" width="14.875" style="1" customWidth="1"/>
    <col min="7687" max="7687" width="63.875" style="1" customWidth="1"/>
    <col min="7688" max="7688" width="13.25" style="1" customWidth="1"/>
    <col min="7689" max="7874" width="9.125" style="1"/>
    <col min="7875" max="7876" width="0" style="1" hidden="1" customWidth="1"/>
    <col min="7877" max="7877" width="13.75" style="1" customWidth="1"/>
    <col min="7878" max="7878" width="52.875" style="1" customWidth="1"/>
    <col min="7879" max="7918" width="0" style="1" hidden="1" customWidth="1"/>
    <col min="7919" max="7920" width="14.875" style="1" customWidth="1"/>
    <col min="7921" max="7922" width="0" style="1" hidden="1" customWidth="1"/>
    <col min="7923" max="7923" width="14.875" style="1" customWidth="1"/>
    <col min="7924" max="7925" width="0" style="1" hidden="1" customWidth="1"/>
    <col min="7926" max="7926" width="14.875" style="1" customWidth="1"/>
    <col min="7927" max="7928" width="0" style="1" hidden="1" customWidth="1"/>
    <col min="7929" max="7929" width="14.875" style="1" customWidth="1"/>
    <col min="7930" max="7931" width="0" style="1" hidden="1" customWidth="1"/>
    <col min="7932" max="7932" width="14.875" style="1" customWidth="1"/>
    <col min="7933" max="7934" width="0" style="1" hidden="1" customWidth="1"/>
    <col min="7935" max="7936" width="14.875" style="1" customWidth="1"/>
    <col min="7937" max="7937" width="44.375" style="1" customWidth="1"/>
    <col min="7938" max="7942" width="14.875" style="1" customWidth="1"/>
    <col min="7943" max="7943" width="63.875" style="1" customWidth="1"/>
    <col min="7944" max="7944" width="13.25" style="1" customWidth="1"/>
    <col min="7945" max="8130" width="9.125" style="1"/>
    <col min="8131" max="8132" width="0" style="1" hidden="1" customWidth="1"/>
    <col min="8133" max="8133" width="13.75" style="1" customWidth="1"/>
    <col min="8134" max="8134" width="52.875" style="1" customWidth="1"/>
    <col min="8135" max="8174" width="0" style="1" hidden="1" customWidth="1"/>
    <col min="8175" max="8176" width="14.875" style="1" customWidth="1"/>
    <col min="8177" max="8178" width="0" style="1" hidden="1" customWidth="1"/>
    <col min="8179" max="8179" width="14.875" style="1" customWidth="1"/>
    <col min="8180" max="8181" width="0" style="1" hidden="1" customWidth="1"/>
    <col min="8182" max="8182" width="14.875" style="1" customWidth="1"/>
    <col min="8183" max="8184" width="0" style="1" hidden="1" customWidth="1"/>
    <col min="8185" max="8185" width="14.875" style="1" customWidth="1"/>
    <col min="8186" max="8187" width="0" style="1" hidden="1" customWidth="1"/>
    <col min="8188" max="8188" width="14.875" style="1" customWidth="1"/>
    <col min="8189" max="8190" width="0" style="1" hidden="1" customWidth="1"/>
    <col min="8191" max="8192" width="14.875" style="1" customWidth="1"/>
    <col min="8193" max="8193" width="44.375" style="1" customWidth="1"/>
    <col min="8194" max="8198" width="14.875" style="1" customWidth="1"/>
    <col min="8199" max="8199" width="63.875" style="1" customWidth="1"/>
    <col min="8200" max="8200" width="13.25" style="1" customWidth="1"/>
    <col min="8201" max="8386" width="9.125" style="1"/>
    <col min="8387" max="8388" width="0" style="1" hidden="1" customWidth="1"/>
    <col min="8389" max="8389" width="13.75" style="1" customWidth="1"/>
    <col min="8390" max="8390" width="52.875" style="1" customWidth="1"/>
    <col min="8391" max="8430" width="0" style="1" hidden="1" customWidth="1"/>
    <col min="8431" max="8432" width="14.875" style="1" customWidth="1"/>
    <col min="8433" max="8434" width="0" style="1" hidden="1" customWidth="1"/>
    <col min="8435" max="8435" width="14.875" style="1" customWidth="1"/>
    <col min="8436" max="8437" width="0" style="1" hidden="1" customWidth="1"/>
    <col min="8438" max="8438" width="14.875" style="1" customWidth="1"/>
    <col min="8439" max="8440" width="0" style="1" hidden="1" customWidth="1"/>
    <col min="8441" max="8441" width="14.875" style="1" customWidth="1"/>
    <col min="8442" max="8443" width="0" style="1" hidden="1" customWidth="1"/>
    <col min="8444" max="8444" width="14.875" style="1" customWidth="1"/>
    <col min="8445" max="8446" width="0" style="1" hidden="1" customWidth="1"/>
    <col min="8447" max="8448" width="14.875" style="1" customWidth="1"/>
    <col min="8449" max="8449" width="44.375" style="1" customWidth="1"/>
    <col min="8450" max="8454" width="14.875" style="1" customWidth="1"/>
    <col min="8455" max="8455" width="63.875" style="1" customWidth="1"/>
    <col min="8456" max="8456" width="13.25" style="1" customWidth="1"/>
    <col min="8457" max="8642" width="9.125" style="1"/>
    <col min="8643" max="8644" width="0" style="1" hidden="1" customWidth="1"/>
    <col min="8645" max="8645" width="13.75" style="1" customWidth="1"/>
    <col min="8646" max="8646" width="52.875" style="1" customWidth="1"/>
    <col min="8647" max="8686" width="0" style="1" hidden="1" customWidth="1"/>
    <col min="8687" max="8688" width="14.875" style="1" customWidth="1"/>
    <col min="8689" max="8690" width="0" style="1" hidden="1" customWidth="1"/>
    <col min="8691" max="8691" width="14.875" style="1" customWidth="1"/>
    <col min="8692" max="8693" width="0" style="1" hidden="1" customWidth="1"/>
    <col min="8694" max="8694" width="14.875" style="1" customWidth="1"/>
    <col min="8695" max="8696" width="0" style="1" hidden="1" customWidth="1"/>
    <col min="8697" max="8697" width="14.875" style="1" customWidth="1"/>
    <col min="8698" max="8699" width="0" style="1" hidden="1" customWidth="1"/>
    <col min="8700" max="8700" width="14.875" style="1" customWidth="1"/>
    <col min="8701" max="8702" width="0" style="1" hidden="1" customWidth="1"/>
    <col min="8703" max="8704" width="14.875" style="1" customWidth="1"/>
    <col min="8705" max="8705" width="44.375" style="1" customWidth="1"/>
    <col min="8706" max="8710" width="14.875" style="1" customWidth="1"/>
    <col min="8711" max="8711" width="63.875" style="1" customWidth="1"/>
    <col min="8712" max="8712" width="13.25" style="1" customWidth="1"/>
    <col min="8713" max="8898" width="9.125" style="1"/>
    <col min="8899" max="8900" width="0" style="1" hidden="1" customWidth="1"/>
    <col min="8901" max="8901" width="13.75" style="1" customWidth="1"/>
    <col min="8902" max="8902" width="52.875" style="1" customWidth="1"/>
    <col min="8903" max="8942" width="0" style="1" hidden="1" customWidth="1"/>
    <col min="8943" max="8944" width="14.875" style="1" customWidth="1"/>
    <col min="8945" max="8946" width="0" style="1" hidden="1" customWidth="1"/>
    <col min="8947" max="8947" width="14.875" style="1" customWidth="1"/>
    <col min="8948" max="8949" width="0" style="1" hidden="1" customWidth="1"/>
    <col min="8950" max="8950" width="14.875" style="1" customWidth="1"/>
    <col min="8951" max="8952" width="0" style="1" hidden="1" customWidth="1"/>
    <col min="8953" max="8953" width="14.875" style="1" customWidth="1"/>
    <col min="8954" max="8955" width="0" style="1" hidden="1" customWidth="1"/>
    <col min="8956" max="8956" width="14.875" style="1" customWidth="1"/>
    <col min="8957" max="8958" width="0" style="1" hidden="1" customWidth="1"/>
    <col min="8959" max="8960" width="14.875" style="1" customWidth="1"/>
    <col min="8961" max="8961" width="44.375" style="1" customWidth="1"/>
    <col min="8962" max="8966" width="14.875" style="1" customWidth="1"/>
    <col min="8967" max="8967" width="63.875" style="1" customWidth="1"/>
    <col min="8968" max="8968" width="13.25" style="1" customWidth="1"/>
    <col min="8969" max="9154" width="9.125" style="1"/>
    <col min="9155" max="9156" width="0" style="1" hidden="1" customWidth="1"/>
    <col min="9157" max="9157" width="13.75" style="1" customWidth="1"/>
    <col min="9158" max="9158" width="52.875" style="1" customWidth="1"/>
    <col min="9159" max="9198" width="0" style="1" hidden="1" customWidth="1"/>
    <col min="9199" max="9200" width="14.875" style="1" customWidth="1"/>
    <col min="9201" max="9202" width="0" style="1" hidden="1" customWidth="1"/>
    <col min="9203" max="9203" width="14.875" style="1" customWidth="1"/>
    <col min="9204" max="9205" width="0" style="1" hidden="1" customWidth="1"/>
    <col min="9206" max="9206" width="14.875" style="1" customWidth="1"/>
    <col min="9207" max="9208" width="0" style="1" hidden="1" customWidth="1"/>
    <col min="9209" max="9209" width="14.875" style="1" customWidth="1"/>
    <col min="9210" max="9211" width="0" style="1" hidden="1" customWidth="1"/>
    <col min="9212" max="9212" width="14.875" style="1" customWidth="1"/>
    <col min="9213" max="9214" width="0" style="1" hidden="1" customWidth="1"/>
    <col min="9215" max="9216" width="14.875" style="1" customWidth="1"/>
    <col min="9217" max="9217" width="44.375" style="1" customWidth="1"/>
    <col min="9218" max="9222" width="14.875" style="1" customWidth="1"/>
    <col min="9223" max="9223" width="63.875" style="1" customWidth="1"/>
    <col min="9224" max="9224" width="13.25" style="1" customWidth="1"/>
    <col min="9225" max="9410" width="9.125" style="1"/>
    <col min="9411" max="9412" width="0" style="1" hidden="1" customWidth="1"/>
    <col min="9413" max="9413" width="13.75" style="1" customWidth="1"/>
    <col min="9414" max="9414" width="52.875" style="1" customWidth="1"/>
    <col min="9415" max="9454" width="0" style="1" hidden="1" customWidth="1"/>
    <col min="9455" max="9456" width="14.875" style="1" customWidth="1"/>
    <col min="9457" max="9458" width="0" style="1" hidden="1" customWidth="1"/>
    <col min="9459" max="9459" width="14.875" style="1" customWidth="1"/>
    <col min="9460" max="9461" width="0" style="1" hidden="1" customWidth="1"/>
    <col min="9462" max="9462" width="14.875" style="1" customWidth="1"/>
    <col min="9463" max="9464" width="0" style="1" hidden="1" customWidth="1"/>
    <col min="9465" max="9465" width="14.875" style="1" customWidth="1"/>
    <col min="9466" max="9467" width="0" style="1" hidden="1" customWidth="1"/>
    <col min="9468" max="9468" width="14.875" style="1" customWidth="1"/>
    <col min="9469" max="9470" width="0" style="1" hidden="1" customWidth="1"/>
    <col min="9471" max="9472" width="14.875" style="1" customWidth="1"/>
    <col min="9473" max="9473" width="44.375" style="1" customWidth="1"/>
    <col min="9474" max="9478" width="14.875" style="1" customWidth="1"/>
    <col min="9479" max="9479" width="63.875" style="1" customWidth="1"/>
    <col min="9480" max="9480" width="13.25" style="1" customWidth="1"/>
    <col min="9481" max="9666" width="9.125" style="1"/>
    <col min="9667" max="9668" width="0" style="1" hidden="1" customWidth="1"/>
    <col min="9669" max="9669" width="13.75" style="1" customWidth="1"/>
    <col min="9670" max="9670" width="52.875" style="1" customWidth="1"/>
    <col min="9671" max="9710" width="0" style="1" hidden="1" customWidth="1"/>
    <col min="9711" max="9712" width="14.875" style="1" customWidth="1"/>
    <col min="9713" max="9714" width="0" style="1" hidden="1" customWidth="1"/>
    <col min="9715" max="9715" width="14.875" style="1" customWidth="1"/>
    <col min="9716" max="9717" width="0" style="1" hidden="1" customWidth="1"/>
    <col min="9718" max="9718" width="14.875" style="1" customWidth="1"/>
    <col min="9719" max="9720" width="0" style="1" hidden="1" customWidth="1"/>
    <col min="9721" max="9721" width="14.875" style="1" customWidth="1"/>
    <col min="9722" max="9723" width="0" style="1" hidden="1" customWidth="1"/>
    <col min="9724" max="9724" width="14.875" style="1" customWidth="1"/>
    <col min="9725" max="9726" width="0" style="1" hidden="1" customWidth="1"/>
    <col min="9727" max="9728" width="14.875" style="1" customWidth="1"/>
    <col min="9729" max="9729" width="44.375" style="1" customWidth="1"/>
    <col min="9730" max="9734" width="14.875" style="1" customWidth="1"/>
    <col min="9735" max="9735" width="63.875" style="1" customWidth="1"/>
    <col min="9736" max="9736" width="13.25" style="1" customWidth="1"/>
    <col min="9737" max="9922" width="9.125" style="1"/>
    <col min="9923" max="9924" width="0" style="1" hidden="1" customWidth="1"/>
    <col min="9925" max="9925" width="13.75" style="1" customWidth="1"/>
    <col min="9926" max="9926" width="52.875" style="1" customWidth="1"/>
    <col min="9927" max="9966" width="0" style="1" hidden="1" customWidth="1"/>
    <col min="9967" max="9968" width="14.875" style="1" customWidth="1"/>
    <col min="9969" max="9970" width="0" style="1" hidden="1" customWidth="1"/>
    <col min="9971" max="9971" width="14.875" style="1" customWidth="1"/>
    <col min="9972" max="9973" width="0" style="1" hidden="1" customWidth="1"/>
    <col min="9974" max="9974" width="14.875" style="1" customWidth="1"/>
    <col min="9975" max="9976" width="0" style="1" hidden="1" customWidth="1"/>
    <col min="9977" max="9977" width="14.875" style="1" customWidth="1"/>
    <col min="9978" max="9979" width="0" style="1" hidden="1" customWidth="1"/>
    <col min="9980" max="9980" width="14.875" style="1" customWidth="1"/>
    <col min="9981" max="9982" width="0" style="1" hidden="1" customWidth="1"/>
    <col min="9983" max="9984" width="14.875" style="1" customWidth="1"/>
    <col min="9985" max="9985" width="44.375" style="1" customWidth="1"/>
    <col min="9986" max="9990" width="14.875" style="1" customWidth="1"/>
    <col min="9991" max="9991" width="63.875" style="1" customWidth="1"/>
    <col min="9992" max="9992" width="13.25" style="1" customWidth="1"/>
    <col min="9993" max="10178" width="9.125" style="1"/>
    <col min="10179" max="10180" width="0" style="1" hidden="1" customWidth="1"/>
    <col min="10181" max="10181" width="13.75" style="1" customWidth="1"/>
    <col min="10182" max="10182" width="52.875" style="1" customWidth="1"/>
    <col min="10183" max="10222" width="0" style="1" hidden="1" customWidth="1"/>
    <col min="10223" max="10224" width="14.875" style="1" customWidth="1"/>
    <col min="10225" max="10226" width="0" style="1" hidden="1" customWidth="1"/>
    <col min="10227" max="10227" width="14.875" style="1" customWidth="1"/>
    <col min="10228" max="10229" width="0" style="1" hidden="1" customWidth="1"/>
    <col min="10230" max="10230" width="14.875" style="1" customWidth="1"/>
    <col min="10231" max="10232" width="0" style="1" hidden="1" customWidth="1"/>
    <col min="10233" max="10233" width="14.875" style="1" customWidth="1"/>
    <col min="10234" max="10235" width="0" style="1" hidden="1" customWidth="1"/>
    <col min="10236" max="10236" width="14.875" style="1" customWidth="1"/>
    <col min="10237" max="10238" width="0" style="1" hidden="1" customWidth="1"/>
    <col min="10239" max="10240" width="14.875" style="1" customWidth="1"/>
    <col min="10241" max="10241" width="44.375" style="1" customWidth="1"/>
    <col min="10242" max="10246" width="14.875" style="1" customWidth="1"/>
    <col min="10247" max="10247" width="63.875" style="1" customWidth="1"/>
    <col min="10248" max="10248" width="13.25" style="1" customWidth="1"/>
    <col min="10249" max="10434" width="9.125" style="1"/>
    <col min="10435" max="10436" width="0" style="1" hidden="1" customWidth="1"/>
    <col min="10437" max="10437" width="13.75" style="1" customWidth="1"/>
    <col min="10438" max="10438" width="52.875" style="1" customWidth="1"/>
    <col min="10439" max="10478" width="0" style="1" hidden="1" customWidth="1"/>
    <col min="10479" max="10480" width="14.875" style="1" customWidth="1"/>
    <col min="10481" max="10482" width="0" style="1" hidden="1" customWidth="1"/>
    <col min="10483" max="10483" width="14.875" style="1" customWidth="1"/>
    <col min="10484" max="10485" width="0" style="1" hidden="1" customWidth="1"/>
    <col min="10486" max="10486" width="14.875" style="1" customWidth="1"/>
    <col min="10487" max="10488" width="0" style="1" hidden="1" customWidth="1"/>
    <col min="10489" max="10489" width="14.875" style="1" customWidth="1"/>
    <col min="10490" max="10491" width="0" style="1" hidden="1" customWidth="1"/>
    <col min="10492" max="10492" width="14.875" style="1" customWidth="1"/>
    <col min="10493" max="10494" width="0" style="1" hidden="1" customWidth="1"/>
    <col min="10495" max="10496" width="14.875" style="1" customWidth="1"/>
    <col min="10497" max="10497" width="44.375" style="1" customWidth="1"/>
    <col min="10498" max="10502" width="14.875" style="1" customWidth="1"/>
    <col min="10503" max="10503" width="63.875" style="1" customWidth="1"/>
    <col min="10504" max="10504" width="13.25" style="1" customWidth="1"/>
    <col min="10505" max="10690" width="9.125" style="1"/>
    <col min="10691" max="10692" width="0" style="1" hidden="1" customWidth="1"/>
    <col min="10693" max="10693" width="13.75" style="1" customWidth="1"/>
    <col min="10694" max="10694" width="52.875" style="1" customWidth="1"/>
    <col min="10695" max="10734" width="0" style="1" hidden="1" customWidth="1"/>
    <col min="10735" max="10736" width="14.875" style="1" customWidth="1"/>
    <col min="10737" max="10738" width="0" style="1" hidden="1" customWidth="1"/>
    <col min="10739" max="10739" width="14.875" style="1" customWidth="1"/>
    <col min="10740" max="10741" width="0" style="1" hidden="1" customWidth="1"/>
    <col min="10742" max="10742" width="14.875" style="1" customWidth="1"/>
    <col min="10743" max="10744" width="0" style="1" hidden="1" customWidth="1"/>
    <col min="10745" max="10745" width="14.875" style="1" customWidth="1"/>
    <col min="10746" max="10747" width="0" style="1" hidden="1" customWidth="1"/>
    <col min="10748" max="10748" width="14.875" style="1" customWidth="1"/>
    <col min="10749" max="10750" width="0" style="1" hidden="1" customWidth="1"/>
    <col min="10751" max="10752" width="14.875" style="1" customWidth="1"/>
    <col min="10753" max="10753" width="44.375" style="1" customWidth="1"/>
    <col min="10754" max="10758" width="14.875" style="1" customWidth="1"/>
    <col min="10759" max="10759" width="63.875" style="1" customWidth="1"/>
    <col min="10760" max="10760" width="13.25" style="1" customWidth="1"/>
    <col min="10761" max="10946" width="9.125" style="1"/>
    <col min="10947" max="10948" width="0" style="1" hidden="1" customWidth="1"/>
    <col min="10949" max="10949" width="13.75" style="1" customWidth="1"/>
    <col min="10950" max="10950" width="52.875" style="1" customWidth="1"/>
    <col min="10951" max="10990" width="0" style="1" hidden="1" customWidth="1"/>
    <col min="10991" max="10992" width="14.875" style="1" customWidth="1"/>
    <col min="10993" max="10994" width="0" style="1" hidden="1" customWidth="1"/>
    <col min="10995" max="10995" width="14.875" style="1" customWidth="1"/>
    <col min="10996" max="10997" width="0" style="1" hidden="1" customWidth="1"/>
    <col min="10998" max="10998" width="14.875" style="1" customWidth="1"/>
    <col min="10999" max="11000" width="0" style="1" hidden="1" customWidth="1"/>
    <col min="11001" max="11001" width="14.875" style="1" customWidth="1"/>
    <col min="11002" max="11003" width="0" style="1" hidden="1" customWidth="1"/>
    <col min="11004" max="11004" width="14.875" style="1" customWidth="1"/>
    <col min="11005" max="11006" width="0" style="1" hidden="1" customWidth="1"/>
    <col min="11007" max="11008" width="14.875" style="1" customWidth="1"/>
    <col min="11009" max="11009" width="44.375" style="1" customWidth="1"/>
    <col min="11010" max="11014" width="14.875" style="1" customWidth="1"/>
    <col min="11015" max="11015" width="63.875" style="1" customWidth="1"/>
    <col min="11016" max="11016" width="13.25" style="1" customWidth="1"/>
    <col min="11017" max="11202" width="9.125" style="1"/>
    <col min="11203" max="11204" width="0" style="1" hidden="1" customWidth="1"/>
    <col min="11205" max="11205" width="13.75" style="1" customWidth="1"/>
    <col min="11206" max="11206" width="52.875" style="1" customWidth="1"/>
    <col min="11207" max="11246" width="0" style="1" hidden="1" customWidth="1"/>
    <col min="11247" max="11248" width="14.875" style="1" customWidth="1"/>
    <col min="11249" max="11250" width="0" style="1" hidden="1" customWidth="1"/>
    <col min="11251" max="11251" width="14.875" style="1" customWidth="1"/>
    <col min="11252" max="11253" width="0" style="1" hidden="1" customWidth="1"/>
    <col min="11254" max="11254" width="14.875" style="1" customWidth="1"/>
    <col min="11255" max="11256" width="0" style="1" hidden="1" customWidth="1"/>
    <col min="11257" max="11257" width="14.875" style="1" customWidth="1"/>
    <col min="11258" max="11259" width="0" style="1" hidden="1" customWidth="1"/>
    <col min="11260" max="11260" width="14.875" style="1" customWidth="1"/>
    <col min="11261" max="11262" width="0" style="1" hidden="1" customWidth="1"/>
    <col min="11263" max="11264" width="14.875" style="1" customWidth="1"/>
    <col min="11265" max="11265" width="44.375" style="1" customWidth="1"/>
    <col min="11266" max="11270" width="14.875" style="1" customWidth="1"/>
    <col min="11271" max="11271" width="63.875" style="1" customWidth="1"/>
    <col min="11272" max="11272" width="13.25" style="1" customWidth="1"/>
    <col min="11273" max="11458" width="9.125" style="1"/>
    <col min="11459" max="11460" width="0" style="1" hidden="1" customWidth="1"/>
    <col min="11461" max="11461" width="13.75" style="1" customWidth="1"/>
    <col min="11462" max="11462" width="52.875" style="1" customWidth="1"/>
    <col min="11463" max="11502" width="0" style="1" hidden="1" customWidth="1"/>
    <col min="11503" max="11504" width="14.875" style="1" customWidth="1"/>
    <col min="11505" max="11506" width="0" style="1" hidden="1" customWidth="1"/>
    <col min="11507" max="11507" width="14.875" style="1" customWidth="1"/>
    <col min="11508" max="11509" width="0" style="1" hidden="1" customWidth="1"/>
    <col min="11510" max="11510" width="14.875" style="1" customWidth="1"/>
    <col min="11511" max="11512" width="0" style="1" hidden="1" customWidth="1"/>
    <col min="11513" max="11513" width="14.875" style="1" customWidth="1"/>
    <col min="11514" max="11515" width="0" style="1" hidden="1" customWidth="1"/>
    <col min="11516" max="11516" width="14.875" style="1" customWidth="1"/>
    <col min="11517" max="11518" width="0" style="1" hidden="1" customWidth="1"/>
    <col min="11519" max="11520" width="14.875" style="1" customWidth="1"/>
    <col min="11521" max="11521" width="44.375" style="1" customWidth="1"/>
    <col min="11522" max="11526" width="14.875" style="1" customWidth="1"/>
    <col min="11527" max="11527" width="63.875" style="1" customWidth="1"/>
    <col min="11528" max="11528" width="13.25" style="1" customWidth="1"/>
    <col min="11529" max="11714" width="9.125" style="1"/>
    <col min="11715" max="11716" width="0" style="1" hidden="1" customWidth="1"/>
    <col min="11717" max="11717" width="13.75" style="1" customWidth="1"/>
    <col min="11718" max="11718" width="52.875" style="1" customWidth="1"/>
    <col min="11719" max="11758" width="0" style="1" hidden="1" customWidth="1"/>
    <col min="11759" max="11760" width="14.875" style="1" customWidth="1"/>
    <col min="11761" max="11762" width="0" style="1" hidden="1" customWidth="1"/>
    <col min="11763" max="11763" width="14.875" style="1" customWidth="1"/>
    <col min="11764" max="11765" width="0" style="1" hidden="1" customWidth="1"/>
    <col min="11766" max="11766" width="14.875" style="1" customWidth="1"/>
    <col min="11767" max="11768" width="0" style="1" hidden="1" customWidth="1"/>
    <col min="11769" max="11769" width="14.875" style="1" customWidth="1"/>
    <col min="11770" max="11771" width="0" style="1" hidden="1" customWidth="1"/>
    <col min="11772" max="11772" width="14.875" style="1" customWidth="1"/>
    <col min="11773" max="11774" width="0" style="1" hidden="1" customWidth="1"/>
    <col min="11775" max="11776" width="14.875" style="1" customWidth="1"/>
    <col min="11777" max="11777" width="44.375" style="1" customWidth="1"/>
    <col min="11778" max="11782" width="14.875" style="1" customWidth="1"/>
    <col min="11783" max="11783" width="63.875" style="1" customWidth="1"/>
    <col min="11784" max="11784" width="13.25" style="1" customWidth="1"/>
    <col min="11785" max="11970" width="9.125" style="1"/>
    <col min="11971" max="11972" width="0" style="1" hidden="1" customWidth="1"/>
    <col min="11973" max="11973" width="13.75" style="1" customWidth="1"/>
    <col min="11974" max="11974" width="52.875" style="1" customWidth="1"/>
    <col min="11975" max="12014" width="0" style="1" hidden="1" customWidth="1"/>
    <col min="12015" max="12016" width="14.875" style="1" customWidth="1"/>
    <col min="12017" max="12018" width="0" style="1" hidden="1" customWidth="1"/>
    <col min="12019" max="12019" width="14.875" style="1" customWidth="1"/>
    <col min="12020" max="12021" width="0" style="1" hidden="1" customWidth="1"/>
    <col min="12022" max="12022" width="14.875" style="1" customWidth="1"/>
    <col min="12023" max="12024" width="0" style="1" hidden="1" customWidth="1"/>
    <col min="12025" max="12025" width="14.875" style="1" customWidth="1"/>
    <col min="12026" max="12027" width="0" style="1" hidden="1" customWidth="1"/>
    <col min="12028" max="12028" width="14.875" style="1" customWidth="1"/>
    <col min="12029" max="12030" width="0" style="1" hidden="1" customWidth="1"/>
    <col min="12031" max="12032" width="14.875" style="1" customWidth="1"/>
    <col min="12033" max="12033" width="44.375" style="1" customWidth="1"/>
    <col min="12034" max="12038" width="14.875" style="1" customWidth="1"/>
    <col min="12039" max="12039" width="63.875" style="1" customWidth="1"/>
    <col min="12040" max="12040" width="13.25" style="1" customWidth="1"/>
    <col min="12041" max="12226" width="9.125" style="1"/>
    <col min="12227" max="12228" width="0" style="1" hidden="1" customWidth="1"/>
    <col min="12229" max="12229" width="13.75" style="1" customWidth="1"/>
    <col min="12230" max="12230" width="52.875" style="1" customWidth="1"/>
    <col min="12231" max="12270" width="0" style="1" hidden="1" customWidth="1"/>
    <col min="12271" max="12272" width="14.875" style="1" customWidth="1"/>
    <col min="12273" max="12274" width="0" style="1" hidden="1" customWidth="1"/>
    <col min="12275" max="12275" width="14.875" style="1" customWidth="1"/>
    <col min="12276" max="12277" width="0" style="1" hidden="1" customWidth="1"/>
    <col min="12278" max="12278" width="14.875" style="1" customWidth="1"/>
    <col min="12279" max="12280" width="0" style="1" hidden="1" customWidth="1"/>
    <col min="12281" max="12281" width="14.875" style="1" customWidth="1"/>
    <col min="12282" max="12283" width="0" style="1" hidden="1" customWidth="1"/>
    <col min="12284" max="12284" width="14.875" style="1" customWidth="1"/>
    <col min="12285" max="12286" width="0" style="1" hidden="1" customWidth="1"/>
    <col min="12287" max="12288" width="14.875" style="1" customWidth="1"/>
    <col min="12289" max="12289" width="44.375" style="1" customWidth="1"/>
    <col min="12290" max="12294" width="14.875" style="1" customWidth="1"/>
    <col min="12295" max="12295" width="63.875" style="1" customWidth="1"/>
    <col min="12296" max="12296" width="13.25" style="1" customWidth="1"/>
    <col min="12297" max="12482" width="9.125" style="1"/>
    <col min="12483" max="12484" width="0" style="1" hidden="1" customWidth="1"/>
    <col min="12485" max="12485" width="13.75" style="1" customWidth="1"/>
    <col min="12486" max="12486" width="52.875" style="1" customWidth="1"/>
    <col min="12487" max="12526" width="0" style="1" hidden="1" customWidth="1"/>
    <col min="12527" max="12528" width="14.875" style="1" customWidth="1"/>
    <col min="12529" max="12530" width="0" style="1" hidden="1" customWidth="1"/>
    <col min="12531" max="12531" width="14.875" style="1" customWidth="1"/>
    <col min="12532" max="12533" width="0" style="1" hidden="1" customWidth="1"/>
    <col min="12534" max="12534" width="14.875" style="1" customWidth="1"/>
    <col min="12535" max="12536" width="0" style="1" hidden="1" customWidth="1"/>
    <col min="12537" max="12537" width="14.875" style="1" customWidth="1"/>
    <col min="12538" max="12539" width="0" style="1" hidden="1" customWidth="1"/>
    <col min="12540" max="12540" width="14.875" style="1" customWidth="1"/>
    <col min="12541" max="12542" width="0" style="1" hidden="1" customWidth="1"/>
    <col min="12543" max="12544" width="14.875" style="1" customWidth="1"/>
    <col min="12545" max="12545" width="44.375" style="1" customWidth="1"/>
    <col min="12546" max="12550" width="14.875" style="1" customWidth="1"/>
    <col min="12551" max="12551" width="63.875" style="1" customWidth="1"/>
    <col min="12552" max="12552" width="13.25" style="1" customWidth="1"/>
    <col min="12553" max="12738" width="9.125" style="1"/>
    <col min="12739" max="12740" width="0" style="1" hidden="1" customWidth="1"/>
    <col min="12741" max="12741" width="13.75" style="1" customWidth="1"/>
    <col min="12742" max="12742" width="52.875" style="1" customWidth="1"/>
    <col min="12743" max="12782" width="0" style="1" hidden="1" customWidth="1"/>
    <col min="12783" max="12784" width="14.875" style="1" customWidth="1"/>
    <col min="12785" max="12786" width="0" style="1" hidden="1" customWidth="1"/>
    <col min="12787" max="12787" width="14.875" style="1" customWidth="1"/>
    <col min="12788" max="12789" width="0" style="1" hidden="1" customWidth="1"/>
    <col min="12790" max="12790" width="14.875" style="1" customWidth="1"/>
    <col min="12791" max="12792" width="0" style="1" hidden="1" customWidth="1"/>
    <col min="12793" max="12793" width="14.875" style="1" customWidth="1"/>
    <col min="12794" max="12795" width="0" style="1" hidden="1" customWidth="1"/>
    <col min="12796" max="12796" width="14.875" style="1" customWidth="1"/>
    <col min="12797" max="12798" width="0" style="1" hidden="1" customWidth="1"/>
    <col min="12799" max="12800" width="14.875" style="1" customWidth="1"/>
    <col min="12801" max="12801" width="44.375" style="1" customWidth="1"/>
    <col min="12802" max="12806" width="14.875" style="1" customWidth="1"/>
    <col min="12807" max="12807" width="63.875" style="1" customWidth="1"/>
    <col min="12808" max="12808" width="13.25" style="1" customWidth="1"/>
    <col min="12809" max="12994" width="9.125" style="1"/>
    <col min="12995" max="12996" width="0" style="1" hidden="1" customWidth="1"/>
    <col min="12997" max="12997" width="13.75" style="1" customWidth="1"/>
    <col min="12998" max="12998" width="52.875" style="1" customWidth="1"/>
    <col min="12999" max="13038" width="0" style="1" hidden="1" customWidth="1"/>
    <col min="13039" max="13040" width="14.875" style="1" customWidth="1"/>
    <col min="13041" max="13042" width="0" style="1" hidden="1" customWidth="1"/>
    <col min="13043" max="13043" width="14.875" style="1" customWidth="1"/>
    <col min="13044" max="13045" width="0" style="1" hidden="1" customWidth="1"/>
    <col min="13046" max="13046" width="14.875" style="1" customWidth="1"/>
    <col min="13047" max="13048" width="0" style="1" hidden="1" customWidth="1"/>
    <col min="13049" max="13049" width="14.875" style="1" customWidth="1"/>
    <col min="13050" max="13051" width="0" style="1" hidden="1" customWidth="1"/>
    <col min="13052" max="13052" width="14.875" style="1" customWidth="1"/>
    <col min="13053" max="13054" width="0" style="1" hidden="1" customWidth="1"/>
    <col min="13055" max="13056" width="14.875" style="1" customWidth="1"/>
    <col min="13057" max="13057" width="44.375" style="1" customWidth="1"/>
    <col min="13058" max="13062" width="14.875" style="1" customWidth="1"/>
    <col min="13063" max="13063" width="63.875" style="1" customWidth="1"/>
    <col min="13064" max="13064" width="13.25" style="1" customWidth="1"/>
    <col min="13065" max="13250" width="9.125" style="1"/>
    <col min="13251" max="13252" width="0" style="1" hidden="1" customWidth="1"/>
    <col min="13253" max="13253" width="13.75" style="1" customWidth="1"/>
    <col min="13254" max="13254" width="52.875" style="1" customWidth="1"/>
    <col min="13255" max="13294" width="0" style="1" hidden="1" customWidth="1"/>
    <col min="13295" max="13296" width="14.875" style="1" customWidth="1"/>
    <col min="13297" max="13298" width="0" style="1" hidden="1" customWidth="1"/>
    <col min="13299" max="13299" width="14.875" style="1" customWidth="1"/>
    <col min="13300" max="13301" width="0" style="1" hidden="1" customWidth="1"/>
    <col min="13302" max="13302" width="14.875" style="1" customWidth="1"/>
    <col min="13303" max="13304" width="0" style="1" hidden="1" customWidth="1"/>
    <col min="13305" max="13305" width="14.875" style="1" customWidth="1"/>
    <col min="13306" max="13307" width="0" style="1" hidden="1" customWidth="1"/>
    <col min="13308" max="13308" width="14.875" style="1" customWidth="1"/>
    <col min="13309" max="13310" width="0" style="1" hidden="1" customWidth="1"/>
    <col min="13311" max="13312" width="14.875" style="1" customWidth="1"/>
    <col min="13313" max="13313" width="44.375" style="1" customWidth="1"/>
    <col min="13314" max="13318" width="14.875" style="1" customWidth="1"/>
    <col min="13319" max="13319" width="63.875" style="1" customWidth="1"/>
    <col min="13320" max="13320" width="13.25" style="1" customWidth="1"/>
    <col min="13321" max="13506" width="9.125" style="1"/>
    <col min="13507" max="13508" width="0" style="1" hidden="1" customWidth="1"/>
    <col min="13509" max="13509" width="13.75" style="1" customWidth="1"/>
    <col min="13510" max="13510" width="52.875" style="1" customWidth="1"/>
    <col min="13511" max="13550" width="0" style="1" hidden="1" customWidth="1"/>
    <col min="13551" max="13552" width="14.875" style="1" customWidth="1"/>
    <col min="13553" max="13554" width="0" style="1" hidden="1" customWidth="1"/>
    <col min="13555" max="13555" width="14.875" style="1" customWidth="1"/>
    <col min="13556" max="13557" width="0" style="1" hidden="1" customWidth="1"/>
    <col min="13558" max="13558" width="14.875" style="1" customWidth="1"/>
    <col min="13559" max="13560" width="0" style="1" hidden="1" customWidth="1"/>
    <col min="13561" max="13561" width="14.875" style="1" customWidth="1"/>
    <col min="13562" max="13563" width="0" style="1" hidden="1" customWidth="1"/>
    <col min="13564" max="13564" width="14.875" style="1" customWidth="1"/>
    <col min="13565" max="13566" width="0" style="1" hidden="1" customWidth="1"/>
    <col min="13567" max="13568" width="14.875" style="1" customWidth="1"/>
    <col min="13569" max="13569" width="44.375" style="1" customWidth="1"/>
    <col min="13570" max="13574" width="14.875" style="1" customWidth="1"/>
    <col min="13575" max="13575" width="63.875" style="1" customWidth="1"/>
    <col min="13576" max="13576" width="13.25" style="1" customWidth="1"/>
    <col min="13577" max="13762" width="9.125" style="1"/>
    <col min="13763" max="13764" width="0" style="1" hidden="1" customWidth="1"/>
    <col min="13765" max="13765" width="13.75" style="1" customWidth="1"/>
    <col min="13766" max="13766" width="52.875" style="1" customWidth="1"/>
    <col min="13767" max="13806" width="0" style="1" hidden="1" customWidth="1"/>
    <col min="13807" max="13808" width="14.875" style="1" customWidth="1"/>
    <col min="13809" max="13810" width="0" style="1" hidden="1" customWidth="1"/>
    <col min="13811" max="13811" width="14.875" style="1" customWidth="1"/>
    <col min="13812" max="13813" width="0" style="1" hidden="1" customWidth="1"/>
    <col min="13814" max="13814" width="14.875" style="1" customWidth="1"/>
    <col min="13815" max="13816" width="0" style="1" hidden="1" customWidth="1"/>
    <col min="13817" max="13817" width="14.875" style="1" customWidth="1"/>
    <col min="13818" max="13819" width="0" style="1" hidden="1" customWidth="1"/>
    <col min="13820" max="13820" width="14.875" style="1" customWidth="1"/>
    <col min="13821" max="13822" width="0" style="1" hidden="1" customWidth="1"/>
    <col min="13823" max="13824" width="14.875" style="1" customWidth="1"/>
    <col min="13825" max="13825" width="44.375" style="1" customWidth="1"/>
    <col min="13826" max="13830" width="14.875" style="1" customWidth="1"/>
    <col min="13831" max="13831" width="63.875" style="1" customWidth="1"/>
    <col min="13832" max="13832" width="13.25" style="1" customWidth="1"/>
    <col min="13833" max="14018" width="9.125" style="1"/>
    <col min="14019" max="14020" width="0" style="1" hidden="1" customWidth="1"/>
    <col min="14021" max="14021" width="13.75" style="1" customWidth="1"/>
    <col min="14022" max="14022" width="52.875" style="1" customWidth="1"/>
    <col min="14023" max="14062" width="0" style="1" hidden="1" customWidth="1"/>
    <col min="14063" max="14064" width="14.875" style="1" customWidth="1"/>
    <col min="14065" max="14066" width="0" style="1" hidden="1" customWidth="1"/>
    <col min="14067" max="14067" width="14.875" style="1" customWidth="1"/>
    <col min="14068" max="14069" width="0" style="1" hidden="1" customWidth="1"/>
    <col min="14070" max="14070" width="14.875" style="1" customWidth="1"/>
    <col min="14071" max="14072" width="0" style="1" hidden="1" customWidth="1"/>
    <col min="14073" max="14073" width="14.875" style="1" customWidth="1"/>
    <col min="14074" max="14075" width="0" style="1" hidden="1" customWidth="1"/>
    <col min="14076" max="14076" width="14.875" style="1" customWidth="1"/>
    <col min="14077" max="14078" width="0" style="1" hidden="1" customWidth="1"/>
    <col min="14079" max="14080" width="14.875" style="1" customWidth="1"/>
    <col min="14081" max="14081" width="44.375" style="1" customWidth="1"/>
    <col min="14082" max="14086" width="14.875" style="1" customWidth="1"/>
    <col min="14087" max="14087" width="63.875" style="1" customWidth="1"/>
    <col min="14088" max="14088" width="13.25" style="1" customWidth="1"/>
    <col min="14089" max="14274" width="9.125" style="1"/>
    <col min="14275" max="14276" width="0" style="1" hidden="1" customWidth="1"/>
    <col min="14277" max="14277" width="13.75" style="1" customWidth="1"/>
    <col min="14278" max="14278" width="52.875" style="1" customWidth="1"/>
    <col min="14279" max="14318" width="0" style="1" hidden="1" customWidth="1"/>
    <col min="14319" max="14320" width="14.875" style="1" customWidth="1"/>
    <col min="14321" max="14322" width="0" style="1" hidden="1" customWidth="1"/>
    <col min="14323" max="14323" width="14.875" style="1" customWidth="1"/>
    <col min="14324" max="14325" width="0" style="1" hidden="1" customWidth="1"/>
    <col min="14326" max="14326" width="14.875" style="1" customWidth="1"/>
    <col min="14327" max="14328" width="0" style="1" hidden="1" customWidth="1"/>
    <col min="14329" max="14329" width="14.875" style="1" customWidth="1"/>
    <col min="14330" max="14331" width="0" style="1" hidden="1" customWidth="1"/>
    <col min="14332" max="14332" width="14.875" style="1" customWidth="1"/>
    <col min="14333" max="14334" width="0" style="1" hidden="1" customWidth="1"/>
    <col min="14335" max="14336" width="14.875" style="1" customWidth="1"/>
    <col min="14337" max="14337" width="44.375" style="1" customWidth="1"/>
    <col min="14338" max="14342" width="14.875" style="1" customWidth="1"/>
    <col min="14343" max="14343" width="63.875" style="1" customWidth="1"/>
    <col min="14344" max="14344" width="13.25" style="1" customWidth="1"/>
    <col min="14345" max="14530" width="9.125" style="1"/>
    <col min="14531" max="14532" width="0" style="1" hidden="1" customWidth="1"/>
    <col min="14533" max="14533" width="13.75" style="1" customWidth="1"/>
    <col min="14534" max="14534" width="52.875" style="1" customWidth="1"/>
    <col min="14535" max="14574" width="0" style="1" hidden="1" customWidth="1"/>
    <col min="14575" max="14576" width="14.875" style="1" customWidth="1"/>
    <col min="14577" max="14578" width="0" style="1" hidden="1" customWidth="1"/>
    <col min="14579" max="14579" width="14.875" style="1" customWidth="1"/>
    <col min="14580" max="14581" width="0" style="1" hidden="1" customWidth="1"/>
    <col min="14582" max="14582" width="14.875" style="1" customWidth="1"/>
    <col min="14583" max="14584" width="0" style="1" hidden="1" customWidth="1"/>
    <col min="14585" max="14585" width="14.875" style="1" customWidth="1"/>
    <col min="14586" max="14587" width="0" style="1" hidden="1" customWidth="1"/>
    <col min="14588" max="14588" width="14.875" style="1" customWidth="1"/>
    <col min="14589" max="14590" width="0" style="1" hidden="1" customWidth="1"/>
    <col min="14591" max="14592" width="14.875" style="1" customWidth="1"/>
    <col min="14593" max="14593" width="44.375" style="1" customWidth="1"/>
    <col min="14594" max="14598" width="14.875" style="1" customWidth="1"/>
    <col min="14599" max="14599" width="63.875" style="1" customWidth="1"/>
    <col min="14600" max="14600" width="13.25" style="1" customWidth="1"/>
    <col min="14601" max="14786" width="9.125" style="1"/>
    <col min="14787" max="14788" width="0" style="1" hidden="1" customWidth="1"/>
    <col min="14789" max="14789" width="13.75" style="1" customWidth="1"/>
    <col min="14790" max="14790" width="52.875" style="1" customWidth="1"/>
    <col min="14791" max="14830" width="0" style="1" hidden="1" customWidth="1"/>
    <col min="14831" max="14832" width="14.875" style="1" customWidth="1"/>
    <col min="14833" max="14834" width="0" style="1" hidden="1" customWidth="1"/>
    <col min="14835" max="14835" width="14.875" style="1" customWidth="1"/>
    <col min="14836" max="14837" width="0" style="1" hidden="1" customWidth="1"/>
    <col min="14838" max="14838" width="14.875" style="1" customWidth="1"/>
    <col min="14839" max="14840" width="0" style="1" hidden="1" customWidth="1"/>
    <col min="14841" max="14841" width="14.875" style="1" customWidth="1"/>
    <col min="14842" max="14843" width="0" style="1" hidden="1" customWidth="1"/>
    <col min="14844" max="14844" width="14.875" style="1" customWidth="1"/>
    <col min="14845" max="14846" width="0" style="1" hidden="1" customWidth="1"/>
    <col min="14847" max="14848" width="14.875" style="1" customWidth="1"/>
    <col min="14849" max="14849" width="44.375" style="1" customWidth="1"/>
    <col min="14850" max="14854" width="14.875" style="1" customWidth="1"/>
    <col min="14855" max="14855" width="63.875" style="1" customWidth="1"/>
    <col min="14856" max="14856" width="13.25" style="1" customWidth="1"/>
    <col min="14857" max="15042" width="9.125" style="1"/>
    <col min="15043" max="15044" width="0" style="1" hidden="1" customWidth="1"/>
    <col min="15045" max="15045" width="13.75" style="1" customWidth="1"/>
    <col min="15046" max="15046" width="52.875" style="1" customWidth="1"/>
    <col min="15047" max="15086" width="0" style="1" hidden="1" customWidth="1"/>
    <col min="15087" max="15088" width="14.875" style="1" customWidth="1"/>
    <col min="15089" max="15090" width="0" style="1" hidden="1" customWidth="1"/>
    <col min="15091" max="15091" width="14.875" style="1" customWidth="1"/>
    <col min="15092" max="15093" width="0" style="1" hidden="1" customWidth="1"/>
    <col min="15094" max="15094" width="14.875" style="1" customWidth="1"/>
    <col min="15095" max="15096" width="0" style="1" hidden="1" customWidth="1"/>
    <col min="15097" max="15097" width="14.875" style="1" customWidth="1"/>
    <col min="15098" max="15099" width="0" style="1" hidden="1" customWidth="1"/>
    <col min="15100" max="15100" width="14.875" style="1" customWidth="1"/>
    <col min="15101" max="15102" width="0" style="1" hidden="1" customWidth="1"/>
    <col min="15103" max="15104" width="14.875" style="1" customWidth="1"/>
    <col min="15105" max="15105" width="44.375" style="1" customWidth="1"/>
    <col min="15106" max="15110" width="14.875" style="1" customWidth="1"/>
    <col min="15111" max="15111" width="63.875" style="1" customWidth="1"/>
    <col min="15112" max="15112" width="13.25" style="1" customWidth="1"/>
    <col min="15113" max="15298" width="9.125" style="1"/>
    <col min="15299" max="15300" width="0" style="1" hidden="1" customWidth="1"/>
    <col min="15301" max="15301" width="13.75" style="1" customWidth="1"/>
    <col min="15302" max="15302" width="52.875" style="1" customWidth="1"/>
    <col min="15303" max="15342" width="0" style="1" hidden="1" customWidth="1"/>
    <col min="15343" max="15344" width="14.875" style="1" customWidth="1"/>
    <col min="15345" max="15346" width="0" style="1" hidden="1" customWidth="1"/>
    <col min="15347" max="15347" width="14.875" style="1" customWidth="1"/>
    <col min="15348" max="15349" width="0" style="1" hidden="1" customWidth="1"/>
    <col min="15350" max="15350" width="14.875" style="1" customWidth="1"/>
    <col min="15351" max="15352" width="0" style="1" hidden="1" customWidth="1"/>
    <col min="15353" max="15353" width="14.875" style="1" customWidth="1"/>
    <col min="15354" max="15355" width="0" style="1" hidden="1" customWidth="1"/>
    <col min="15356" max="15356" width="14.875" style="1" customWidth="1"/>
    <col min="15357" max="15358" width="0" style="1" hidden="1" customWidth="1"/>
    <col min="15359" max="15360" width="14.875" style="1" customWidth="1"/>
    <col min="15361" max="15361" width="44.375" style="1" customWidth="1"/>
    <col min="15362" max="15366" width="14.875" style="1" customWidth="1"/>
    <col min="15367" max="15367" width="63.875" style="1" customWidth="1"/>
    <col min="15368" max="15368" width="13.25" style="1" customWidth="1"/>
    <col min="15369" max="15554" width="9.125" style="1"/>
    <col min="15555" max="15556" width="0" style="1" hidden="1" customWidth="1"/>
    <col min="15557" max="15557" width="13.75" style="1" customWidth="1"/>
    <col min="15558" max="15558" width="52.875" style="1" customWidth="1"/>
    <col min="15559" max="15598" width="0" style="1" hidden="1" customWidth="1"/>
    <col min="15599" max="15600" width="14.875" style="1" customWidth="1"/>
    <col min="15601" max="15602" width="0" style="1" hidden="1" customWidth="1"/>
    <col min="15603" max="15603" width="14.875" style="1" customWidth="1"/>
    <col min="15604" max="15605" width="0" style="1" hidden="1" customWidth="1"/>
    <col min="15606" max="15606" width="14.875" style="1" customWidth="1"/>
    <col min="15607" max="15608" width="0" style="1" hidden="1" customWidth="1"/>
    <col min="15609" max="15609" width="14.875" style="1" customWidth="1"/>
    <col min="15610" max="15611" width="0" style="1" hidden="1" customWidth="1"/>
    <col min="15612" max="15612" width="14.875" style="1" customWidth="1"/>
    <col min="15613" max="15614" width="0" style="1" hidden="1" customWidth="1"/>
    <col min="15615" max="15616" width="14.875" style="1" customWidth="1"/>
    <col min="15617" max="15617" width="44.375" style="1" customWidth="1"/>
    <col min="15618" max="15622" width="14.875" style="1" customWidth="1"/>
    <col min="15623" max="15623" width="63.875" style="1" customWidth="1"/>
    <col min="15624" max="15624" width="13.25" style="1" customWidth="1"/>
    <col min="15625" max="15810" width="9.125" style="1"/>
    <col min="15811" max="15812" width="0" style="1" hidden="1" customWidth="1"/>
    <col min="15813" max="15813" width="13.75" style="1" customWidth="1"/>
    <col min="15814" max="15814" width="52.875" style="1" customWidth="1"/>
    <col min="15815" max="15854" width="0" style="1" hidden="1" customWidth="1"/>
    <col min="15855" max="15856" width="14.875" style="1" customWidth="1"/>
    <col min="15857" max="15858" width="0" style="1" hidden="1" customWidth="1"/>
    <col min="15859" max="15859" width="14.875" style="1" customWidth="1"/>
    <col min="15860" max="15861" width="0" style="1" hidden="1" customWidth="1"/>
    <col min="15862" max="15862" width="14.875" style="1" customWidth="1"/>
    <col min="15863" max="15864" width="0" style="1" hidden="1" customWidth="1"/>
    <col min="15865" max="15865" width="14.875" style="1" customWidth="1"/>
    <col min="15866" max="15867" width="0" style="1" hidden="1" customWidth="1"/>
    <col min="15868" max="15868" width="14.875" style="1" customWidth="1"/>
    <col min="15869" max="15870" width="0" style="1" hidden="1" customWidth="1"/>
    <col min="15871" max="15872" width="14.875" style="1" customWidth="1"/>
    <col min="15873" max="15873" width="44.375" style="1" customWidth="1"/>
    <col min="15874" max="15878" width="14.875" style="1" customWidth="1"/>
    <col min="15879" max="15879" width="63.875" style="1" customWidth="1"/>
    <col min="15880" max="15880" width="13.25" style="1" customWidth="1"/>
    <col min="15881" max="16066" width="9.125" style="1"/>
    <col min="16067" max="16068" width="0" style="1" hidden="1" customWidth="1"/>
    <col min="16069" max="16069" width="13.75" style="1" customWidth="1"/>
    <col min="16070" max="16070" width="52.875" style="1" customWidth="1"/>
    <col min="16071" max="16110" width="0" style="1" hidden="1" customWidth="1"/>
    <col min="16111" max="16112" width="14.875" style="1" customWidth="1"/>
    <col min="16113" max="16114" width="0" style="1" hidden="1" customWidth="1"/>
    <col min="16115" max="16115" width="14.875" style="1" customWidth="1"/>
    <col min="16116" max="16117" width="0" style="1" hidden="1" customWidth="1"/>
    <col min="16118" max="16118" width="14.875" style="1" customWidth="1"/>
    <col min="16119" max="16120" width="0" style="1" hidden="1" customWidth="1"/>
    <col min="16121" max="16121" width="14.875" style="1" customWidth="1"/>
    <col min="16122" max="16123" width="0" style="1" hidden="1" customWidth="1"/>
    <col min="16124" max="16124" width="14.875" style="1" customWidth="1"/>
    <col min="16125" max="16126" width="0" style="1" hidden="1" customWidth="1"/>
    <col min="16127" max="16128" width="14.875" style="1" customWidth="1"/>
    <col min="16129" max="16129" width="44.375" style="1" customWidth="1"/>
    <col min="16130" max="16134" width="14.875" style="1" customWidth="1"/>
    <col min="16135" max="16135" width="63.875" style="1" customWidth="1"/>
    <col min="16136" max="16136" width="13.25" style="1" customWidth="1"/>
    <col min="16137" max="16335" width="9.125" style="1"/>
    <col min="16336" max="16368" width="9.125" style="1" customWidth="1"/>
    <col min="16369" max="16376" width="9.125" style="1"/>
    <col min="16377" max="16381" width="9.125" style="1" customWidth="1"/>
    <col min="16382" max="16384" width="9.125" style="1"/>
  </cols>
  <sheetData>
    <row r="1" spans="1:28" ht="24.6" outlineLevel="1" x14ac:dyDescent="0.4">
      <c r="C1" s="2" t="s">
        <v>0</v>
      </c>
      <c r="D1" s="270"/>
      <c r="E1" s="3"/>
      <c r="F1" s="3"/>
      <c r="G1" s="4"/>
      <c r="H1" s="5"/>
      <c r="I1" s="3"/>
      <c r="J1" s="4"/>
      <c r="K1" s="3" t="s">
        <v>1</v>
      </c>
      <c r="L1" s="6">
        <v>8101283.4199999999</v>
      </c>
      <c r="M1" s="6"/>
      <c r="N1" s="7"/>
      <c r="O1" s="3"/>
      <c r="P1" s="8"/>
      <c r="Q1" s="3"/>
      <c r="R1" s="3"/>
      <c r="S1" s="3"/>
      <c r="T1" s="3"/>
      <c r="U1" s="3"/>
      <c r="V1" s="3"/>
      <c r="W1" s="3"/>
      <c r="X1" s="3"/>
      <c r="Y1" s="3"/>
      <c r="Z1" s="3"/>
      <c r="AA1" s="3"/>
      <c r="AB1" s="9"/>
    </row>
    <row r="2" spans="1:28" ht="24.6" outlineLevel="1" x14ac:dyDescent="0.4">
      <c r="C2" s="279" t="s">
        <v>2</v>
      </c>
      <c r="D2" s="279"/>
      <c r="E2" s="10"/>
      <c r="F2" s="10"/>
      <c r="G2" s="5"/>
      <c r="H2" s="5"/>
      <c r="I2" s="3"/>
      <c r="J2" s="4"/>
      <c r="K2" s="10" t="s">
        <v>3</v>
      </c>
      <c r="L2" s="5">
        <v>1875164.83</v>
      </c>
      <c r="O2" s="10"/>
      <c r="P2" s="13"/>
      <c r="Q2" s="10"/>
      <c r="R2" s="10"/>
      <c r="S2" s="10"/>
      <c r="T2" s="10"/>
      <c r="U2" s="10"/>
      <c r="V2" s="10"/>
      <c r="W2" s="10"/>
      <c r="X2" s="10"/>
      <c r="Y2" s="10"/>
      <c r="Z2" s="10"/>
      <c r="AA2" s="10"/>
      <c r="AB2" s="14"/>
    </row>
    <row r="3" spans="1:28" ht="20.399999999999999" outlineLevel="1" x14ac:dyDescent="0.35">
      <c r="C3" s="280" t="s">
        <v>4</v>
      </c>
      <c r="D3" s="280"/>
      <c r="E3" s="15"/>
      <c r="F3" s="15"/>
      <c r="G3" s="16"/>
      <c r="H3" s="5"/>
      <c r="I3" s="3"/>
      <c r="J3" s="17">
        <f>L3+M3</f>
        <v>6226118.5899999999</v>
      </c>
      <c r="K3" s="15" t="s">
        <v>5</v>
      </c>
      <c r="L3" s="16">
        <f>L1-L2</f>
        <v>6226118.5899999999</v>
      </c>
      <c r="M3" s="18"/>
      <c r="N3" s="19"/>
      <c r="O3" s="15"/>
      <c r="Q3" s="15"/>
      <c r="R3" s="15"/>
      <c r="S3" s="15"/>
      <c r="T3" s="15"/>
      <c r="U3" s="15"/>
      <c r="V3" s="15"/>
      <c r="W3" s="15"/>
      <c r="X3" s="15"/>
      <c r="Y3" s="15"/>
      <c r="Z3" s="15"/>
      <c r="AA3" s="15"/>
    </row>
    <row r="4" spans="1:28" ht="14.4" outlineLevel="1" thickBot="1" x14ac:dyDescent="0.3">
      <c r="C4" s="22"/>
      <c r="E4" s="21"/>
      <c r="F4" s="21"/>
      <c r="G4" s="16"/>
      <c r="H4" s="5"/>
      <c r="I4" s="3"/>
      <c r="J4" s="4"/>
      <c r="K4" s="21"/>
      <c r="L4" s="18"/>
      <c r="M4" s="18"/>
      <c r="N4" s="19"/>
      <c r="O4" s="21"/>
      <c r="Q4" s="19"/>
      <c r="R4" s="21"/>
      <c r="T4" s="19"/>
      <c r="U4" s="21"/>
      <c r="W4" s="19"/>
      <c r="X4" s="21"/>
      <c r="Z4" s="19"/>
      <c r="AA4" s="21"/>
    </row>
    <row r="5" spans="1:28" ht="55.2" customHeight="1" thickBot="1" x14ac:dyDescent="0.3">
      <c r="C5" s="23" t="s">
        <v>6</v>
      </c>
      <c r="D5" s="24" t="s">
        <v>7</v>
      </c>
      <c r="E5" s="25" t="s">
        <v>8</v>
      </c>
      <c r="F5" s="25" t="s">
        <v>9</v>
      </c>
      <c r="G5" s="25" t="s">
        <v>10</v>
      </c>
      <c r="H5" s="25" t="s">
        <v>11</v>
      </c>
      <c r="I5" s="25" t="s">
        <v>12</v>
      </c>
      <c r="J5" s="25" t="s">
        <v>13</v>
      </c>
      <c r="K5" s="25" t="s">
        <v>14</v>
      </c>
      <c r="L5" s="25" t="s">
        <v>15</v>
      </c>
      <c r="M5" s="26" t="s">
        <v>15</v>
      </c>
      <c r="N5" s="26" t="s">
        <v>16</v>
      </c>
      <c r="O5" s="25" t="s">
        <v>17</v>
      </c>
      <c r="P5" s="27" t="s">
        <v>18</v>
      </c>
      <c r="Q5" s="25" t="s">
        <v>19</v>
      </c>
      <c r="R5" s="25" t="s">
        <v>20</v>
      </c>
      <c r="S5" s="28" t="s">
        <v>18</v>
      </c>
      <c r="T5" s="25" t="s">
        <v>21</v>
      </c>
      <c r="U5" s="25" t="s">
        <v>22</v>
      </c>
      <c r="V5" s="28" t="s">
        <v>18</v>
      </c>
      <c r="W5" s="25" t="s">
        <v>23</v>
      </c>
      <c r="X5" s="25" t="s">
        <v>24</v>
      </c>
      <c r="Y5" s="28" t="s">
        <v>18</v>
      </c>
      <c r="Z5" s="25" t="s">
        <v>25</v>
      </c>
      <c r="AA5" s="25" t="s">
        <v>26</v>
      </c>
      <c r="AB5" s="28" t="s">
        <v>18</v>
      </c>
    </row>
    <row r="6" spans="1:28" x14ac:dyDescent="0.25">
      <c r="C6" s="29" t="s">
        <v>27</v>
      </c>
      <c r="D6" s="30" t="s">
        <v>28</v>
      </c>
      <c r="E6" s="31">
        <f t="shared" ref="E6:N6" si="0">ROUND((E7+E10+E13+E16+E19),0)</f>
        <v>0</v>
      </c>
      <c r="F6" s="31">
        <f t="shared" si="0"/>
        <v>70000</v>
      </c>
      <c r="G6" s="31">
        <f t="shared" si="0"/>
        <v>0</v>
      </c>
      <c r="H6" s="31">
        <f t="shared" si="0"/>
        <v>0</v>
      </c>
      <c r="I6" s="31">
        <f t="shared" si="0"/>
        <v>0</v>
      </c>
      <c r="J6" s="31">
        <f t="shared" si="0"/>
        <v>0</v>
      </c>
      <c r="K6" s="31">
        <f t="shared" si="0"/>
        <v>38004624</v>
      </c>
      <c r="L6" s="31">
        <f t="shared" si="0"/>
        <v>38074624</v>
      </c>
      <c r="M6" s="31">
        <v>38074624</v>
      </c>
      <c r="N6" s="31">
        <f t="shared" si="0"/>
        <v>38074624</v>
      </c>
      <c r="O6" s="32">
        <f>N6-M6</f>
        <v>0</v>
      </c>
      <c r="P6" s="33"/>
      <c r="Q6" s="31">
        <f>ROUND((Q7+Q10+Q13+Q16+Q19),0)</f>
        <v>38519847</v>
      </c>
      <c r="R6" s="32">
        <f>Q6-N6</f>
        <v>445223</v>
      </c>
      <c r="S6" s="34"/>
      <c r="T6" s="31">
        <f>ROUND((T7+T10+T13+T16+T19),0)</f>
        <v>38519847</v>
      </c>
      <c r="U6" s="32">
        <f>T6-Q6</f>
        <v>0</v>
      </c>
      <c r="V6" s="34"/>
      <c r="W6" s="31">
        <f>ROUND((W7+W10+W13+W16+W19),0)</f>
        <v>38519847</v>
      </c>
      <c r="X6" s="32">
        <f>W6-T6</f>
        <v>0</v>
      </c>
      <c r="Y6" s="34"/>
      <c r="Z6" s="31">
        <f>ROUND((Z7+Z10+Z13+Z16+Z19),0)</f>
        <v>38539687</v>
      </c>
      <c r="AA6" s="32">
        <f>Z6-W6</f>
        <v>19840</v>
      </c>
      <c r="AB6" s="34"/>
    </row>
    <row r="7" spans="1:28" x14ac:dyDescent="0.25">
      <c r="B7" s="1" t="s">
        <v>29</v>
      </c>
      <c r="C7" s="35" t="s">
        <v>30</v>
      </c>
      <c r="D7" s="36" t="s">
        <v>31</v>
      </c>
      <c r="E7" s="37">
        <f t="shared" ref="E7:N7" si="1">SUM(E8:E8)</f>
        <v>0</v>
      </c>
      <c r="F7" s="37">
        <f t="shared" si="1"/>
        <v>0</v>
      </c>
      <c r="G7" s="37">
        <f t="shared" si="1"/>
        <v>0</v>
      </c>
      <c r="H7" s="37">
        <f t="shared" si="1"/>
        <v>0</v>
      </c>
      <c r="I7" s="37">
        <f t="shared" si="1"/>
        <v>0</v>
      </c>
      <c r="J7" s="37">
        <f t="shared" si="1"/>
        <v>0</v>
      </c>
      <c r="K7" s="37">
        <f t="shared" si="1"/>
        <v>34831773</v>
      </c>
      <c r="L7" s="37">
        <f t="shared" si="1"/>
        <v>34831773</v>
      </c>
      <c r="M7" s="38">
        <v>34831773</v>
      </c>
      <c r="N7" s="38">
        <f t="shared" si="1"/>
        <v>34831773</v>
      </c>
      <c r="O7" s="37">
        <f t="shared" ref="O7:O71" si="2">N7-M7</f>
        <v>0</v>
      </c>
      <c r="P7" s="39"/>
      <c r="Q7" s="37">
        <f>SUM(Q8:Q8)</f>
        <v>35276996</v>
      </c>
      <c r="R7" s="37">
        <f>Q7-N7</f>
        <v>445223</v>
      </c>
      <c r="S7" s="40"/>
      <c r="T7" s="37">
        <f>SUM(T8:T8)</f>
        <v>35276996</v>
      </c>
      <c r="U7" s="37">
        <f>T7-Q7</f>
        <v>0</v>
      </c>
      <c r="V7" s="40"/>
      <c r="W7" s="37">
        <f>SUM(W8:W8)</f>
        <v>35276996</v>
      </c>
      <c r="X7" s="37">
        <f>W7-T7</f>
        <v>0</v>
      </c>
      <c r="Y7" s="40"/>
      <c r="Z7" s="37">
        <f>SUM(Z8:Z8)</f>
        <v>35296836</v>
      </c>
      <c r="AA7" s="37">
        <f>Z7-W7</f>
        <v>19840</v>
      </c>
      <c r="AB7" s="40"/>
    </row>
    <row r="8" spans="1:28" ht="50.25" customHeight="1" x14ac:dyDescent="0.25">
      <c r="A8" s="1" t="s">
        <v>32</v>
      </c>
      <c r="B8" s="41" t="s">
        <v>33</v>
      </c>
      <c r="C8" s="42" t="s">
        <v>34</v>
      </c>
      <c r="D8" s="43" t="s">
        <v>35</v>
      </c>
      <c r="E8" s="44"/>
      <c r="F8" s="44"/>
      <c r="G8" s="44"/>
      <c r="H8" s="44"/>
      <c r="I8" s="44"/>
      <c r="J8" s="44"/>
      <c r="K8" s="44">
        <f>[1]BAZE_2024!G4</f>
        <v>34831773</v>
      </c>
      <c r="L8" s="44">
        <f>F8+G8+H8+I8+J8+K8</f>
        <v>34831773</v>
      </c>
      <c r="M8" s="45">
        <v>34831773</v>
      </c>
      <c r="N8" s="45">
        <f>ROUND(M8,0)</f>
        <v>34831773</v>
      </c>
      <c r="O8" s="44">
        <f t="shared" si="2"/>
        <v>0</v>
      </c>
      <c r="P8" s="46"/>
      <c r="Q8" s="44">
        <f>ROUND(N8,0)+331540+113683</f>
        <v>35276996</v>
      </c>
      <c r="R8" s="44">
        <f>Q8-N8</f>
        <v>445223</v>
      </c>
      <c r="S8" s="47" t="s">
        <v>36</v>
      </c>
      <c r="T8" s="44">
        <f>ROUND(Q8,0)</f>
        <v>35276996</v>
      </c>
      <c r="U8" s="44">
        <f>T8-Q8</f>
        <v>0</v>
      </c>
      <c r="V8" s="47"/>
      <c r="W8" s="44">
        <f>ROUND(T8,0)</f>
        <v>35276996</v>
      </c>
      <c r="X8" s="44">
        <f>W8-T8</f>
        <v>0</v>
      </c>
      <c r="Y8" s="47"/>
      <c r="Z8" s="44">
        <f>ROUND(W8,0)+19840</f>
        <v>35296836</v>
      </c>
      <c r="AA8" s="44">
        <f>Z8-W8</f>
        <v>19840</v>
      </c>
      <c r="AB8" s="71" t="s">
        <v>795</v>
      </c>
    </row>
    <row r="9" spans="1:28" ht="32.4" customHeight="1" x14ac:dyDescent="0.25">
      <c r="C9" s="29" t="s">
        <v>37</v>
      </c>
      <c r="D9" s="30" t="s">
        <v>38</v>
      </c>
      <c r="E9" s="31"/>
      <c r="F9" s="31"/>
      <c r="G9" s="31"/>
      <c r="H9" s="31"/>
      <c r="I9" s="31"/>
      <c r="J9" s="31"/>
      <c r="K9" s="31"/>
      <c r="L9" s="31">
        <f>L10+L13+L16</f>
        <v>3172850.61</v>
      </c>
      <c r="M9" s="31">
        <v>3172850.61</v>
      </c>
      <c r="N9" s="31">
        <f>N10+N13+N16</f>
        <v>3172851</v>
      </c>
      <c r="O9" s="32">
        <f t="shared" si="2"/>
        <v>0.39000000013038516</v>
      </c>
      <c r="P9" s="33"/>
      <c r="Q9" s="31">
        <f>Q10+Q13+Q16</f>
        <v>3172851</v>
      </c>
      <c r="R9" s="32">
        <f t="shared" ref="R9:R76" si="3">Q9-N9</f>
        <v>0</v>
      </c>
      <c r="S9" s="34"/>
      <c r="T9" s="31">
        <f>T10+T13+T16</f>
        <v>3172851</v>
      </c>
      <c r="U9" s="32">
        <f t="shared" ref="U9:U76" si="4">T9-Q9</f>
        <v>0</v>
      </c>
      <c r="V9" s="34"/>
      <c r="W9" s="31">
        <f>W10+W13+W16</f>
        <v>3172851</v>
      </c>
      <c r="X9" s="32">
        <f t="shared" ref="X9:X76" si="5">W9-T9</f>
        <v>0</v>
      </c>
      <c r="Y9" s="34"/>
      <c r="Z9" s="31">
        <f>Z10+Z13+Z16</f>
        <v>3172851</v>
      </c>
      <c r="AA9" s="32">
        <f t="shared" ref="AA9:AA63" si="6">Z9-W9</f>
        <v>0</v>
      </c>
      <c r="AB9" s="34"/>
    </row>
    <row r="10" spans="1:28" x14ac:dyDescent="0.25">
      <c r="B10" s="1" t="s">
        <v>39</v>
      </c>
      <c r="C10" s="48" t="s">
        <v>40</v>
      </c>
      <c r="D10" s="49" t="s">
        <v>41</v>
      </c>
      <c r="E10" s="50">
        <f t="shared" ref="E10:K10" si="7">SUM(E11:E12)</f>
        <v>0</v>
      </c>
      <c r="F10" s="50">
        <f t="shared" si="7"/>
        <v>0</v>
      </c>
      <c r="G10" s="50">
        <f t="shared" si="7"/>
        <v>0</v>
      </c>
      <c r="H10" s="50">
        <f t="shared" si="7"/>
        <v>0</v>
      </c>
      <c r="I10" s="50">
        <f>SUM(I11:I12)</f>
        <v>0</v>
      </c>
      <c r="J10" s="50">
        <f t="shared" si="7"/>
        <v>0</v>
      </c>
      <c r="K10" s="50">
        <f t="shared" si="7"/>
        <v>2040017.74</v>
      </c>
      <c r="L10" s="50">
        <f>SUM(L11:L12)</f>
        <v>2040017.74</v>
      </c>
      <c r="M10" s="51">
        <v>2040017.74</v>
      </c>
      <c r="N10" s="51">
        <f>SUM(N11:N12)</f>
        <v>2040018</v>
      </c>
      <c r="O10" s="50">
        <f t="shared" si="2"/>
        <v>0.26000000000931323</v>
      </c>
      <c r="P10" s="52"/>
      <c r="Q10" s="50">
        <f>SUM(Q11:Q12)</f>
        <v>2040018</v>
      </c>
      <c r="R10" s="50">
        <f t="shared" si="3"/>
        <v>0</v>
      </c>
      <c r="S10" s="53"/>
      <c r="T10" s="50">
        <f>SUM(T11:T12)</f>
        <v>2040018</v>
      </c>
      <c r="U10" s="50">
        <f t="shared" si="4"/>
        <v>0</v>
      </c>
      <c r="V10" s="53"/>
      <c r="W10" s="50">
        <f>SUM(W11:W12)</f>
        <v>2040018</v>
      </c>
      <c r="X10" s="50">
        <f t="shared" si="5"/>
        <v>0</v>
      </c>
      <c r="Y10" s="53"/>
      <c r="Z10" s="50">
        <f>SUM(Z11:Z12)</f>
        <v>2040018</v>
      </c>
      <c r="AA10" s="50">
        <f t="shared" si="6"/>
        <v>0</v>
      </c>
      <c r="AB10" s="53"/>
    </row>
    <row r="11" spans="1:28" x14ac:dyDescent="0.25">
      <c r="A11" s="1" t="s">
        <v>32</v>
      </c>
      <c r="B11" s="41" t="s">
        <v>42</v>
      </c>
      <c r="C11" s="42" t="s">
        <v>43</v>
      </c>
      <c r="D11" s="43" t="s">
        <v>35</v>
      </c>
      <c r="E11" s="44"/>
      <c r="F11" s="44"/>
      <c r="G11" s="44"/>
      <c r="H11" s="44"/>
      <c r="I11" s="44"/>
      <c r="J11" s="44"/>
      <c r="K11" s="44">
        <f>[1]BAZE_2024!G7</f>
        <v>1900000</v>
      </c>
      <c r="L11" s="44">
        <f>F11+G11+H11+I11+J11+K11</f>
        <v>1900000</v>
      </c>
      <c r="M11" s="45">
        <v>1900000</v>
      </c>
      <c r="N11" s="45">
        <f>ROUND(M11,0)</f>
        <v>1900000</v>
      </c>
      <c r="O11" s="44">
        <f t="shared" si="2"/>
        <v>0</v>
      </c>
      <c r="P11" s="55"/>
      <c r="Q11" s="44">
        <f>ROUND(N11,0)</f>
        <v>1900000</v>
      </c>
      <c r="R11" s="44">
        <f t="shared" si="3"/>
        <v>0</v>
      </c>
      <c r="S11" s="56"/>
      <c r="T11" s="44">
        <f>ROUND(Q11,0)</f>
        <v>1900000</v>
      </c>
      <c r="U11" s="44">
        <f t="shared" si="4"/>
        <v>0</v>
      </c>
      <c r="V11" s="56"/>
      <c r="W11" s="44">
        <f>ROUND(T11,0)</f>
        <v>1900000</v>
      </c>
      <c r="X11" s="44">
        <f t="shared" si="5"/>
        <v>0</v>
      </c>
      <c r="Y11" s="56"/>
      <c r="Z11" s="44">
        <f>ROUND(W11,0)</f>
        <v>1900000</v>
      </c>
      <c r="AA11" s="44">
        <f t="shared" si="6"/>
        <v>0</v>
      </c>
      <c r="AB11" s="56"/>
    </row>
    <row r="12" spans="1:28" x14ac:dyDescent="0.25">
      <c r="A12" s="1" t="s">
        <v>32</v>
      </c>
      <c r="B12" s="41" t="s">
        <v>44</v>
      </c>
      <c r="C12" s="42" t="s">
        <v>45</v>
      </c>
      <c r="D12" s="43" t="s">
        <v>46</v>
      </c>
      <c r="E12" s="44"/>
      <c r="F12" s="44"/>
      <c r="G12" s="44"/>
      <c r="H12" s="44"/>
      <c r="I12" s="44"/>
      <c r="J12" s="44"/>
      <c r="K12" s="44">
        <f>[1]BAZE_2024!G8</f>
        <v>140017.74</v>
      </c>
      <c r="L12" s="44">
        <f>F12+G12+H12+I12+J12+K12</f>
        <v>140017.74</v>
      </c>
      <c r="M12" s="45">
        <v>140017.74</v>
      </c>
      <c r="N12" s="45">
        <f>ROUND(M12,0)</f>
        <v>140018</v>
      </c>
      <c r="O12" s="44">
        <f t="shared" si="2"/>
        <v>0.26000000000931323</v>
      </c>
      <c r="P12" s="46"/>
      <c r="Q12" s="44">
        <f>ROUND(N12,0)</f>
        <v>140018</v>
      </c>
      <c r="R12" s="44">
        <f t="shared" si="3"/>
        <v>0</v>
      </c>
      <c r="S12" s="47"/>
      <c r="T12" s="44">
        <f>ROUND(Q12,0)</f>
        <v>140018</v>
      </c>
      <c r="U12" s="44">
        <f t="shared" si="4"/>
        <v>0</v>
      </c>
      <c r="V12" s="47"/>
      <c r="W12" s="44">
        <f>ROUND(T12,0)</f>
        <v>140018</v>
      </c>
      <c r="X12" s="44">
        <f t="shared" si="5"/>
        <v>0</v>
      </c>
      <c r="Y12" s="47"/>
      <c r="Z12" s="44">
        <f>ROUND(W12,0)</f>
        <v>140018</v>
      </c>
      <c r="AA12" s="44">
        <f t="shared" si="6"/>
        <v>0</v>
      </c>
      <c r="AB12" s="47"/>
    </row>
    <row r="13" spans="1:28" x14ac:dyDescent="0.25">
      <c r="B13" s="1" t="s">
        <v>47</v>
      </c>
      <c r="C13" s="48" t="s">
        <v>48</v>
      </c>
      <c r="D13" s="49" t="s">
        <v>49</v>
      </c>
      <c r="E13" s="50">
        <f t="shared" ref="E13:K13" si="8">SUM(E14:E15)</f>
        <v>0</v>
      </c>
      <c r="F13" s="50">
        <f t="shared" si="8"/>
        <v>0</v>
      </c>
      <c r="G13" s="50">
        <f t="shared" si="8"/>
        <v>0</v>
      </c>
      <c r="H13" s="50">
        <f t="shared" si="8"/>
        <v>0</v>
      </c>
      <c r="I13" s="50">
        <f>SUM(I14:I15)</f>
        <v>0</v>
      </c>
      <c r="J13" s="50">
        <f t="shared" si="8"/>
        <v>0</v>
      </c>
      <c r="K13" s="50">
        <f t="shared" si="8"/>
        <v>410966.93</v>
      </c>
      <c r="L13" s="50">
        <f>SUM(L14:L15)</f>
        <v>410966.93</v>
      </c>
      <c r="M13" s="51">
        <v>410966.93</v>
      </c>
      <c r="N13" s="51">
        <f>SUM(N14:N15)</f>
        <v>410967</v>
      </c>
      <c r="O13" s="50">
        <f t="shared" si="2"/>
        <v>7.0000000006984919E-2</v>
      </c>
      <c r="P13" s="52"/>
      <c r="Q13" s="50">
        <f>SUM(Q14:Q15)</f>
        <v>410967</v>
      </c>
      <c r="R13" s="50">
        <f t="shared" si="3"/>
        <v>0</v>
      </c>
      <c r="S13" s="53"/>
      <c r="T13" s="50">
        <f>SUM(T14:T15)</f>
        <v>410967</v>
      </c>
      <c r="U13" s="50">
        <f t="shared" si="4"/>
        <v>0</v>
      </c>
      <c r="V13" s="53"/>
      <c r="W13" s="50">
        <f>SUM(W14:W15)</f>
        <v>410967</v>
      </c>
      <c r="X13" s="50">
        <f t="shared" si="5"/>
        <v>0</v>
      </c>
      <c r="Y13" s="53"/>
      <c r="Z13" s="50">
        <f>SUM(Z14:Z15)</f>
        <v>410967</v>
      </c>
      <c r="AA13" s="50">
        <f t="shared" si="6"/>
        <v>0</v>
      </c>
      <c r="AB13" s="53"/>
    </row>
    <row r="14" spans="1:28" x14ac:dyDescent="0.25">
      <c r="A14" s="1" t="s">
        <v>32</v>
      </c>
      <c r="B14" s="41" t="s">
        <v>50</v>
      </c>
      <c r="C14" s="42" t="s">
        <v>51</v>
      </c>
      <c r="D14" s="43" t="s">
        <v>52</v>
      </c>
      <c r="E14" s="44"/>
      <c r="F14" s="44"/>
      <c r="G14" s="44"/>
      <c r="H14" s="44"/>
      <c r="I14" s="44"/>
      <c r="J14" s="44"/>
      <c r="K14" s="44">
        <f>[1]BAZE_2024!G10</f>
        <v>350989</v>
      </c>
      <c r="L14" s="44">
        <f>F14+G14+H14+I14+J14+K14</f>
        <v>350989</v>
      </c>
      <c r="M14" s="45">
        <v>350989</v>
      </c>
      <c r="N14" s="45">
        <f>ROUND(M14,0)</f>
        <v>350989</v>
      </c>
      <c r="O14" s="44">
        <f t="shared" si="2"/>
        <v>0</v>
      </c>
      <c r="P14" s="58"/>
      <c r="Q14" s="44">
        <f>ROUND(N14,0)</f>
        <v>350989</v>
      </c>
      <c r="R14" s="44">
        <f t="shared" si="3"/>
        <v>0</v>
      </c>
      <c r="S14" s="59"/>
      <c r="T14" s="44">
        <f>ROUND(Q14,0)</f>
        <v>350989</v>
      </c>
      <c r="U14" s="44">
        <f t="shared" si="4"/>
        <v>0</v>
      </c>
      <c r="V14" s="59"/>
      <c r="W14" s="44">
        <f>ROUND(T14,0)</f>
        <v>350989</v>
      </c>
      <c r="X14" s="44">
        <f t="shared" si="5"/>
        <v>0</v>
      </c>
      <c r="Y14" s="59"/>
      <c r="Z14" s="44">
        <f>ROUND(W14,0)</f>
        <v>350989</v>
      </c>
      <c r="AA14" s="44">
        <f t="shared" si="6"/>
        <v>0</v>
      </c>
      <c r="AB14" s="59"/>
    </row>
    <row r="15" spans="1:28" x14ac:dyDescent="0.25">
      <c r="A15" s="1" t="s">
        <v>32</v>
      </c>
      <c r="B15" s="41" t="s">
        <v>53</v>
      </c>
      <c r="C15" s="42" t="s">
        <v>54</v>
      </c>
      <c r="D15" s="43" t="s">
        <v>46</v>
      </c>
      <c r="E15" s="44"/>
      <c r="F15" s="44"/>
      <c r="G15" s="44"/>
      <c r="H15" s="44"/>
      <c r="I15" s="44"/>
      <c r="J15" s="44"/>
      <c r="K15" s="44">
        <f>[1]BAZE_2024!G11</f>
        <v>59977.93</v>
      </c>
      <c r="L15" s="44">
        <f>F15+G15+H15+I15+J15+K15</f>
        <v>59977.93</v>
      </c>
      <c r="M15" s="45">
        <v>59977.93</v>
      </c>
      <c r="N15" s="45">
        <f>ROUND(M15,0)</f>
        <v>59978</v>
      </c>
      <c r="O15" s="44">
        <f t="shared" si="2"/>
        <v>6.9999999999708962E-2</v>
      </c>
      <c r="P15" s="46"/>
      <c r="Q15" s="44">
        <f>ROUND(N15,0)</f>
        <v>59978</v>
      </c>
      <c r="R15" s="44">
        <f t="shared" si="3"/>
        <v>0</v>
      </c>
      <c r="S15" s="47"/>
      <c r="T15" s="44">
        <f>ROUND(Q15,0)</f>
        <v>59978</v>
      </c>
      <c r="U15" s="44">
        <f t="shared" si="4"/>
        <v>0</v>
      </c>
      <c r="V15" s="47"/>
      <c r="W15" s="44">
        <f>ROUND(T15,0)</f>
        <v>59978</v>
      </c>
      <c r="X15" s="44">
        <f t="shared" si="5"/>
        <v>0</v>
      </c>
      <c r="Y15" s="47"/>
      <c r="Z15" s="44">
        <f>ROUND(W15,0)</f>
        <v>59978</v>
      </c>
      <c r="AA15" s="44">
        <f t="shared" si="6"/>
        <v>0</v>
      </c>
      <c r="AB15" s="47"/>
    </row>
    <row r="16" spans="1:28" ht="27.6" x14ac:dyDescent="0.25">
      <c r="B16" s="1" t="s">
        <v>55</v>
      </c>
      <c r="C16" s="48" t="s">
        <v>56</v>
      </c>
      <c r="D16" s="49" t="s">
        <v>57</v>
      </c>
      <c r="E16" s="50">
        <f t="shared" ref="E16:L16" si="9">SUM(E17:E18)</f>
        <v>0</v>
      </c>
      <c r="F16" s="50">
        <f t="shared" si="9"/>
        <v>0</v>
      </c>
      <c r="G16" s="50">
        <f t="shared" si="9"/>
        <v>0</v>
      </c>
      <c r="H16" s="50">
        <f t="shared" si="9"/>
        <v>0</v>
      </c>
      <c r="I16" s="50">
        <f>SUM(I17:I18)</f>
        <v>0</v>
      </c>
      <c r="J16" s="50">
        <f t="shared" si="9"/>
        <v>0</v>
      </c>
      <c r="K16" s="50">
        <f t="shared" si="9"/>
        <v>721865.94</v>
      </c>
      <c r="L16" s="50">
        <f t="shared" si="9"/>
        <v>721865.94</v>
      </c>
      <c r="M16" s="51">
        <v>721865.94</v>
      </c>
      <c r="N16" s="51">
        <f>SUM(N17:N18)</f>
        <v>721866</v>
      </c>
      <c r="O16" s="50">
        <f t="shared" si="2"/>
        <v>6.0000000055879354E-2</v>
      </c>
      <c r="P16" s="52"/>
      <c r="Q16" s="50">
        <f>SUM(Q17:Q18)</f>
        <v>721866</v>
      </c>
      <c r="R16" s="50">
        <f t="shared" si="3"/>
        <v>0</v>
      </c>
      <c r="S16" s="53"/>
      <c r="T16" s="50">
        <f>SUM(T17:T18)</f>
        <v>721866</v>
      </c>
      <c r="U16" s="50">
        <f t="shared" si="4"/>
        <v>0</v>
      </c>
      <c r="V16" s="53"/>
      <c r="W16" s="50">
        <f>SUM(W17:W18)</f>
        <v>721866</v>
      </c>
      <c r="X16" s="50">
        <f t="shared" si="5"/>
        <v>0</v>
      </c>
      <c r="Y16" s="53"/>
      <c r="Z16" s="50">
        <f>SUM(Z17:Z18)</f>
        <v>721866</v>
      </c>
      <c r="AA16" s="50">
        <f t="shared" si="6"/>
        <v>0</v>
      </c>
      <c r="AB16" s="53"/>
    </row>
    <row r="17" spans="1:28" ht="18.75" customHeight="1" x14ac:dyDescent="0.25">
      <c r="A17" s="1" t="s">
        <v>32</v>
      </c>
      <c r="B17" s="41" t="s">
        <v>58</v>
      </c>
      <c r="C17" s="42" t="s">
        <v>59</v>
      </c>
      <c r="D17" s="43" t="s">
        <v>52</v>
      </c>
      <c r="E17" s="44"/>
      <c r="F17" s="44"/>
      <c r="G17" s="44"/>
      <c r="H17" s="44"/>
      <c r="I17" s="44"/>
      <c r="J17" s="44"/>
      <c r="K17" s="44">
        <f>[1]BAZE_2024!G13</f>
        <v>650000</v>
      </c>
      <c r="L17" s="44">
        <f>F17+G17+H17+I17+J17+K17</f>
        <v>650000</v>
      </c>
      <c r="M17" s="45">
        <v>650000</v>
      </c>
      <c r="N17" s="45">
        <f>ROUND(M17,0)</f>
        <v>650000</v>
      </c>
      <c r="O17" s="44">
        <f t="shared" si="2"/>
        <v>0</v>
      </c>
      <c r="P17" s="58"/>
      <c r="Q17" s="44">
        <f>ROUND(N17,0)</f>
        <v>650000</v>
      </c>
      <c r="R17" s="44">
        <f t="shared" si="3"/>
        <v>0</v>
      </c>
      <c r="S17" s="59"/>
      <c r="T17" s="44">
        <f>ROUND(Q17,0)</f>
        <v>650000</v>
      </c>
      <c r="U17" s="44">
        <f t="shared" si="4"/>
        <v>0</v>
      </c>
      <c r="V17" s="59"/>
      <c r="W17" s="44">
        <f>ROUND(T17,0)</f>
        <v>650000</v>
      </c>
      <c r="X17" s="44">
        <f t="shared" si="5"/>
        <v>0</v>
      </c>
      <c r="Y17" s="59"/>
      <c r="Z17" s="44">
        <f>ROUND(W17,0)</f>
        <v>650000</v>
      </c>
      <c r="AA17" s="44">
        <f t="shared" si="6"/>
        <v>0</v>
      </c>
      <c r="AB17" s="59"/>
    </row>
    <row r="18" spans="1:28" x14ac:dyDescent="0.25">
      <c r="A18" s="1" t="s">
        <v>32</v>
      </c>
      <c r="B18" s="41" t="s">
        <v>60</v>
      </c>
      <c r="C18" s="42" t="s">
        <v>61</v>
      </c>
      <c r="D18" s="43" t="s">
        <v>46</v>
      </c>
      <c r="E18" s="44"/>
      <c r="F18" s="44"/>
      <c r="G18" s="44"/>
      <c r="H18" s="44"/>
      <c r="I18" s="44"/>
      <c r="J18" s="44"/>
      <c r="K18" s="44">
        <f>[1]BAZE_2024!G14</f>
        <v>71865.94</v>
      </c>
      <c r="L18" s="44">
        <f>F18+G18+H18+I18+J18+K18</f>
        <v>71865.94</v>
      </c>
      <c r="M18" s="45">
        <v>71865.94</v>
      </c>
      <c r="N18" s="45">
        <f>ROUND(M18,0)</f>
        <v>71866</v>
      </c>
      <c r="O18" s="44">
        <f t="shared" si="2"/>
        <v>5.9999999997671694E-2</v>
      </c>
      <c r="P18" s="55"/>
      <c r="Q18" s="44">
        <f>ROUND(N18,0)</f>
        <v>71866</v>
      </c>
      <c r="R18" s="44">
        <f t="shared" si="3"/>
        <v>0</v>
      </c>
      <c r="S18" s="56"/>
      <c r="T18" s="44">
        <f>ROUND(Q18,0)</f>
        <v>71866</v>
      </c>
      <c r="U18" s="44">
        <f t="shared" si="4"/>
        <v>0</v>
      </c>
      <c r="V18" s="56"/>
      <c r="W18" s="44">
        <f>ROUND(T18,0)</f>
        <v>71866</v>
      </c>
      <c r="X18" s="44">
        <f t="shared" si="5"/>
        <v>0</v>
      </c>
      <c r="Y18" s="56"/>
      <c r="Z18" s="44">
        <f>ROUND(W18,0)</f>
        <v>71866</v>
      </c>
      <c r="AA18" s="44">
        <f t="shared" si="6"/>
        <v>0</v>
      </c>
      <c r="AB18" s="56"/>
    </row>
    <row r="19" spans="1:28" ht="28.2" x14ac:dyDescent="0.3">
      <c r="B19" s="60"/>
      <c r="C19" s="48" t="s">
        <v>62</v>
      </c>
      <c r="D19" s="49" t="s">
        <v>63</v>
      </c>
      <c r="E19" s="50">
        <f t="shared" ref="E19:N19" si="10">SUM(E20:E21)</f>
        <v>0</v>
      </c>
      <c r="F19" s="50">
        <f t="shared" si="10"/>
        <v>70000</v>
      </c>
      <c r="G19" s="50">
        <f t="shared" si="10"/>
        <v>0</v>
      </c>
      <c r="H19" s="50">
        <f t="shared" si="10"/>
        <v>0</v>
      </c>
      <c r="I19" s="50">
        <f t="shared" si="10"/>
        <v>0</v>
      </c>
      <c r="J19" s="50">
        <f t="shared" si="10"/>
        <v>0</v>
      </c>
      <c r="K19" s="50">
        <f t="shared" si="10"/>
        <v>0</v>
      </c>
      <c r="L19" s="50">
        <f t="shared" si="10"/>
        <v>70000</v>
      </c>
      <c r="M19" s="51">
        <v>70000</v>
      </c>
      <c r="N19" s="51">
        <f t="shared" si="10"/>
        <v>70000</v>
      </c>
      <c r="O19" s="50">
        <f t="shared" si="2"/>
        <v>0</v>
      </c>
      <c r="P19" s="52"/>
      <c r="Q19" s="50">
        <f>SUM(Q20:Q21)</f>
        <v>70000</v>
      </c>
      <c r="R19" s="50">
        <f t="shared" si="3"/>
        <v>0</v>
      </c>
      <c r="S19" s="53"/>
      <c r="T19" s="50">
        <f>SUM(T20:T21)</f>
        <v>70000</v>
      </c>
      <c r="U19" s="50">
        <f t="shared" si="4"/>
        <v>0</v>
      </c>
      <c r="V19" s="53"/>
      <c r="W19" s="50">
        <f>SUM(W20:W21)</f>
        <v>70000</v>
      </c>
      <c r="X19" s="50">
        <f t="shared" si="5"/>
        <v>0</v>
      </c>
      <c r="Y19" s="53"/>
      <c r="Z19" s="50">
        <f>SUM(Z20:Z21)</f>
        <v>70000</v>
      </c>
      <c r="AA19" s="50">
        <f t="shared" si="6"/>
        <v>0</v>
      </c>
      <c r="AB19" s="53"/>
    </row>
    <row r="20" spans="1:28" ht="14.4" customHeight="1" outlineLevel="1" x14ac:dyDescent="0.25">
      <c r="B20" s="41" t="s">
        <v>64</v>
      </c>
      <c r="C20" s="42" t="s">
        <v>65</v>
      </c>
      <c r="D20" s="43" t="s">
        <v>66</v>
      </c>
      <c r="E20" s="44"/>
      <c r="F20" s="44"/>
      <c r="G20" s="44"/>
      <c r="H20" s="44"/>
      <c r="I20" s="44"/>
      <c r="J20" s="44"/>
      <c r="K20" s="44"/>
      <c r="L20" s="44">
        <f>F20+G20+H20+I20+J20+K20</f>
        <v>0</v>
      </c>
      <c r="M20" s="45">
        <v>0</v>
      </c>
      <c r="N20" s="45">
        <f>ROUND(M20,0)</f>
        <v>0</v>
      </c>
      <c r="O20" s="44">
        <f t="shared" si="2"/>
        <v>0</v>
      </c>
      <c r="P20" s="58"/>
      <c r="Q20" s="44">
        <f>ROUND(N20,0)</f>
        <v>0</v>
      </c>
      <c r="R20" s="44">
        <f t="shared" si="3"/>
        <v>0</v>
      </c>
      <c r="S20" s="59"/>
      <c r="T20" s="44">
        <f>ROUND(Q20,0)</f>
        <v>0</v>
      </c>
      <c r="U20" s="44">
        <f t="shared" si="4"/>
        <v>0</v>
      </c>
      <c r="V20" s="59"/>
      <c r="W20" s="44">
        <f>ROUND(T20,0)</f>
        <v>0</v>
      </c>
      <c r="X20" s="44">
        <f t="shared" si="5"/>
        <v>0</v>
      </c>
      <c r="Y20" s="59"/>
      <c r="Z20" s="44">
        <f>ROUND(W20,0)</f>
        <v>0</v>
      </c>
      <c r="AA20" s="44">
        <f t="shared" si="6"/>
        <v>0</v>
      </c>
      <c r="AB20" s="59"/>
    </row>
    <row r="21" spans="1:28" ht="15.6" customHeight="1" x14ac:dyDescent="0.25">
      <c r="B21" s="41" t="s">
        <v>67</v>
      </c>
      <c r="C21" s="42" t="s">
        <v>65</v>
      </c>
      <c r="D21" s="43" t="s">
        <v>68</v>
      </c>
      <c r="E21" s="44"/>
      <c r="F21" s="44">
        <v>70000</v>
      </c>
      <c r="G21" s="44"/>
      <c r="H21" s="44"/>
      <c r="I21" s="44"/>
      <c r="J21" s="44"/>
      <c r="K21" s="44"/>
      <c r="L21" s="44">
        <f>F21+G21+H21+I21+J21+K21</f>
        <v>70000</v>
      </c>
      <c r="M21" s="45">
        <v>70000</v>
      </c>
      <c r="N21" s="45">
        <f>ROUND(M21,0)</f>
        <v>70000</v>
      </c>
      <c r="O21" s="44">
        <f t="shared" si="2"/>
        <v>0</v>
      </c>
      <c r="P21" s="61"/>
      <c r="Q21" s="44">
        <f>ROUND(N21,0)</f>
        <v>70000</v>
      </c>
      <c r="R21" s="44">
        <f t="shared" si="3"/>
        <v>0</v>
      </c>
      <c r="S21" s="62"/>
      <c r="T21" s="44">
        <f>ROUND(Q21,0)</f>
        <v>70000</v>
      </c>
      <c r="U21" s="44">
        <f t="shared" si="4"/>
        <v>0</v>
      </c>
      <c r="V21" s="62"/>
      <c r="W21" s="44">
        <f>ROUND(T21,0)</f>
        <v>70000</v>
      </c>
      <c r="X21" s="44">
        <f t="shared" si="5"/>
        <v>0</v>
      </c>
      <c r="Y21" s="62"/>
      <c r="Z21" s="44">
        <f>ROUND(W21,0)</f>
        <v>70000</v>
      </c>
      <c r="AA21" s="44">
        <f t="shared" si="6"/>
        <v>0</v>
      </c>
      <c r="AB21" s="62"/>
    </row>
    <row r="22" spans="1:28" ht="15.75" customHeight="1" x14ac:dyDescent="0.25">
      <c r="B22" s="1" t="s">
        <v>69</v>
      </c>
      <c r="C22" s="48" t="s">
        <v>70</v>
      </c>
      <c r="D22" s="49" t="s">
        <v>71</v>
      </c>
      <c r="E22" s="50">
        <f t="shared" ref="E22:N22" si="11">E23+E27</f>
        <v>0</v>
      </c>
      <c r="F22" s="50">
        <f t="shared" si="11"/>
        <v>0</v>
      </c>
      <c r="G22" s="50">
        <f t="shared" si="11"/>
        <v>0</v>
      </c>
      <c r="H22" s="50">
        <f t="shared" si="11"/>
        <v>0</v>
      </c>
      <c r="I22" s="50">
        <f t="shared" si="11"/>
        <v>0</v>
      </c>
      <c r="J22" s="50">
        <f t="shared" si="11"/>
        <v>0</v>
      </c>
      <c r="K22" s="50">
        <f t="shared" si="11"/>
        <v>160000</v>
      </c>
      <c r="L22" s="50">
        <f t="shared" si="11"/>
        <v>160000</v>
      </c>
      <c r="M22" s="51">
        <v>160000</v>
      </c>
      <c r="N22" s="51">
        <f t="shared" si="11"/>
        <v>160000</v>
      </c>
      <c r="O22" s="50">
        <f t="shared" si="2"/>
        <v>0</v>
      </c>
      <c r="P22" s="52"/>
      <c r="Q22" s="50">
        <f>Q23+Q27</f>
        <v>160000</v>
      </c>
      <c r="R22" s="50">
        <f t="shared" si="3"/>
        <v>0</v>
      </c>
      <c r="S22" s="53"/>
      <c r="T22" s="50">
        <f>T23+T27</f>
        <v>160000</v>
      </c>
      <c r="U22" s="50">
        <f t="shared" si="4"/>
        <v>0</v>
      </c>
      <c r="V22" s="53"/>
      <c r="W22" s="50">
        <f>W23+W27</f>
        <v>167000</v>
      </c>
      <c r="X22" s="50">
        <f t="shared" si="5"/>
        <v>7000</v>
      </c>
      <c r="Y22" s="53"/>
      <c r="Z22" s="50">
        <f>Z23+Z27</f>
        <v>167000</v>
      </c>
      <c r="AA22" s="50">
        <f t="shared" si="6"/>
        <v>0</v>
      </c>
      <c r="AB22" s="53"/>
    </row>
    <row r="23" spans="1:28" x14ac:dyDescent="0.25">
      <c r="A23" s="1" t="s">
        <v>32</v>
      </c>
      <c r="B23" s="1" t="s">
        <v>72</v>
      </c>
      <c r="C23" s="42" t="s">
        <v>73</v>
      </c>
      <c r="D23" s="43" t="s">
        <v>74</v>
      </c>
      <c r="E23" s="44">
        <f>E24+E25+E26</f>
        <v>0</v>
      </c>
      <c r="F23" s="44">
        <f t="shared" ref="F23:L23" si="12">F24+F25+F26</f>
        <v>0</v>
      </c>
      <c r="G23" s="44">
        <f t="shared" si="12"/>
        <v>0</v>
      </c>
      <c r="H23" s="44">
        <f t="shared" si="12"/>
        <v>0</v>
      </c>
      <c r="I23" s="44">
        <f>I24+I25+I26</f>
        <v>0</v>
      </c>
      <c r="J23" s="44">
        <f t="shared" si="12"/>
        <v>0</v>
      </c>
      <c r="K23" s="44">
        <f t="shared" si="12"/>
        <v>6700</v>
      </c>
      <c r="L23" s="44">
        <f t="shared" si="12"/>
        <v>6700</v>
      </c>
      <c r="M23" s="45">
        <v>6700</v>
      </c>
      <c r="N23" s="45">
        <f>N24+N25+N26</f>
        <v>6700</v>
      </c>
      <c r="O23" s="44">
        <f>N23-M23</f>
        <v>0</v>
      </c>
      <c r="P23" s="55"/>
      <c r="Q23" s="44">
        <f>Q24+Q25+Q26</f>
        <v>6700</v>
      </c>
      <c r="R23" s="44">
        <f t="shared" si="3"/>
        <v>0</v>
      </c>
      <c r="S23" s="56"/>
      <c r="T23" s="44">
        <f>T24+T25+T26</f>
        <v>6700</v>
      </c>
      <c r="U23" s="44">
        <f t="shared" si="4"/>
        <v>0</v>
      </c>
      <c r="V23" s="56"/>
      <c r="W23" s="44">
        <f>W24+W25+W26</f>
        <v>6700</v>
      </c>
      <c r="X23" s="44">
        <f t="shared" si="5"/>
        <v>0</v>
      </c>
      <c r="Y23" s="56"/>
      <c r="Z23" s="44">
        <f>Z24+Z25+Z26</f>
        <v>6700</v>
      </c>
      <c r="AA23" s="44">
        <f t="shared" si="6"/>
        <v>0</v>
      </c>
      <c r="AB23" s="56"/>
    </row>
    <row r="24" spans="1:28" ht="26.4" x14ac:dyDescent="0.25">
      <c r="B24" s="41" t="s">
        <v>75</v>
      </c>
      <c r="C24" s="63" t="s">
        <v>76</v>
      </c>
      <c r="D24" s="64" t="s">
        <v>77</v>
      </c>
      <c r="E24" s="44"/>
      <c r="F24" s="44"/>
      <c r="G24" s="44"/>
      <c r="H24" s="44"/>
      <c r="I24" s="44"/>
      <c r="J24" s="44"/>
      <c r="K24" s="44">
        <v>1700</v>
      </c>
      <c r="L24" s="44">
        <f>F24+G24+H24+I24+J24+K24</f>
        <v>1700</v>
      </c>
      <c r="M24" s="45">
        <v>1700</v>
      </c>
      <c r="N24" s="45">
        <f>ROUND(M24,0)</f>
        <v>1700</v>
      </c>
      <c r="O24" s="44">
        <f t="shared" si="2"/>
        <v>0</v>
      </c>
      <c r="P24" s="55"/>
      <c r="Q24" s="44">
        <f>ROUND(N24,0)</f>
        <v>1700</v>
      </c>
      <c r="R24" s="44">
        <f t="shared" si="3"/>
        <v>0</v>
      </c>
      <c r="S24" s="56"/>
      <c r="T24" s="44">
        <f>ROUND(Q24,0)</f>
        <v>1700</v>
      </c>
      <c r="U24" s="44">
        <f t="shared" si="4"/>
        <v>0</v>
      </c>
      <c r="V24" s="56"/>
      <c r="W24" s="44">
        <f>ROUND(T24,0)</f>
        <v>1700</v>
      </c>
      <c r="X24" s="44">
        <f t="shared" si="5"/>
        <v>0</v>
      </c>
      <c r="Y24" s="56"/>
      <c r="Z24" s="44">
        <f>ROUND(W24,0)</f>
        <v>1700</v>
      </c>
      <c r="AA24" s="44">
        <f t="shared" si="6"/>
        <v>0</v>
      </c>
      <c r="AB24" s="56"/>
    </row>
    <row r="25" spans="1:28" ht="26.4" x14ac:dyDescent="0.25">
      <c r="B25" s="41" t="s">
        <v>78</v>
      </c>
      <c r="C25" s="63" t="s">
        <v>79</v>
      </c>
      <c r="D25" s="64" t="s">
        <v>80</v>
      </c>
      <c r="E25" s="44"/>
      <c r="F25" s="44"/>
      <c r="G25" s="44"/>
      <c r="H25" s="44"/>
      <c r="I25" s="44"/>
      <c r="J25" s="44"/>
      <c r="K25" s="44">
        <v>4500</v>
      </c>
      <c r="L25" s="44">
        <f>F25+G25+H25+I25+J25+K25</f>
        <v>4500</v>
      </c>
      <c r="M25" s="45">
        <v>4500</v>
      </c>
      <c r="N25" s="45">
        <f>ROUND(M25,0)</f>
        <v>4500</v>
      </c>
      <c r="O25" s="44">
        <f t="shared" si="2"/>
        <v>0</v>
      </c>
      <c r="P25" s="55"/>
      <c r="Q25" s="44">
        <f>ROUND(N25,0)</f>
        <v>4500</v>
      </c>
      <c r="R25" s="44">
        <f t="shared" si="3"/>
        <v>0</v>
      </c>
      <c r="S25" s="56"/>
      <c r="T25" s="44">
        <f>ROUND(Q25,0)</f>
        <v>4500</v>
      </c>
      <c r="U25" s="44">
        <f t="shared" si="4"/>
        <v>0</v>
      </c>
      <c r="V25" s="56"/>
      <c r="W25" s="44">
        <f>ROUND(T25,0)</f>
        <v>4500</v>
      </c>
      <c r="X25" s="44">
        <f t="shared" si="5"/>
        <v>0</v>
      </c>
      <c r="Y25" s="56"/>
      <c r="Z25" s="44">
        <f>ROUND(W25,0)</f>
        <v>4500</v>
      </c>
      <c r="AA25" s="44">
        <f t="shared" si="6"/>
        <v>0</v>
      </c>
      <c r="AB25" s="56"/>
    </row>
    <row r="26" spans="1:28" ht="26.4" x14ac:dyDescent="0.25">
      <c r="B26" s="41" t="s">
        <v>81</v>
      </c>
      <c r="C26" s="63" t="s">
        <v>82</v>
      </c>
      <c r="D26" s="64" t="s">
        <v>83</v>
      </c>
      <c r="E26" s="44"/>
      <c r="F26" s="44"/>
      <c r="G26" s="44"/>
      <c r="H26" s="44"/>
      <c r="I26" s="44"/>
      <c r="J26" s="44"/>
      <c r="K26" s="44">
        <v>500</v>
      </c>
      <c r="L26" s="44">
        <f>F26+G26+H26+I26+J26+K26</f>
        <v>500</v>
      </c>
      <c r="M26" s="45">
        <v>500</v>
      </c>
      <c r="N26" s="45">
        <f>ROUND(M26,0)</f>
        <v>500</v>
      </c>
      <c r="O26" s="44">
        <f t="shared" si="2"/>
        <v>0</v>
      </c>
      <c r="P26" s="55"/>
      <c r="Q26" s="44">
        <f>ROUND(N26,0)</f>
        <v>500</v>
      </c>
      <c r="R26" s="44">
        <f t="shared" si="3"/>
        <v>0</v>
      </c>
      <c r="S26" s="56"/>
      <c r="T26" s="44">
        <f>ROUND(Q26,0)</f>
        <v>500</v>
      </c>
      <c r="U26" s="44">
        <f t="shared" si="4"/>
        <v>0</v>
      </c>
      <c r="V26" s="56"/>
      <c r="W26" s="44">
        <f>ROUND(T26,0)</f>
        <v>500</v>
      </c>
      <c r="X26" s="44">
        <f t="shared" si="5"/>
        <v>0</v>
      </c>
      <c r="Y26" s="56"/>
      <c r="Z26" s="44">
        <f>ROUND(W26,0)</f>
        <v>500</v>
      </c>
      <c r="AA26" s="44">
        <f t="shared" si="6"/>
        <v>0</v>
      </c>
      <c r="AB26" s="56"/>
    </row>
    <row r="27" spans="1:28" x14ac:dyDescent="0.25">
      <c r="A27" s="1" t="s">
        <v>32</v>
      </c>
      <c r="B27" s="1" t="s">
        <v>84</v>
      </c>
      <c r="C27" s="42" t="s">
        <v>85</v>
      </c>
      <c r="D27" s="43" t="s">
        <v>86</v>
      </c>
      <c r="E27" s="44">
        <f t="shared" ref="E27:N27" si="13">SUM(E28:E33)</f>
        <v>0</v>
      </c>
      <c r="F27" s="44">
        <f t="shared" si="13"/>
        <v>0</v>
      </c>
      <c r="G27" s="44">
        <f t="shared" si="13"/>
        <v>0</v>
      </c>
      <c r="H27" s="44">
        <f t="shared" si="13"/>
        <v>0</v>
      </c>
      <c r="I27" s="44">
        <f t="shared" si="13"/>
        <v>0</v>
      </c>
      <c r="J27" s="44">
        <f t="shared" si="13"/>
        <v>0</v>
      </c>
      <c r="K27" s="44">
        <f t="shared" si="13"/>
        <v>153300</v>
      </c>
      <c r="L27" s="44">
        <f t="shared" si="13"/>
        <v>153300</v>
      </c>
      <c r="M27" s="45">
        <v>153300</v>
      </c>
      <c r="N27" s="45">
        <f t="shared" si="13"/>
        <v>153300</v>
      </c>
      <c r="O27" s="44">
        <f t="shared" si="2"/>
        <v>0</v>
      </c>
      <c r="P27" s="55"/>
      <c r="Q27" s="44">
        <f>SUM(Q28:Q33)</f>
        <v>153300</v>
      </c>
      <c r="R27" s="44">
        <f t="shared" si="3"/>
        <v>0</v>
      </c>
      <c r="S27" s="56"/>
      <c r="T27" s="44">
        <f>SUM(T28:T33)</f>
        <v>153300</v>
      </c>
      <c r="U27" s="44">
        <f t="shared" si="4"/>
        <v>0</v>
      </c>
      <c r="V27" s="56"/>
      <c r="W27" s="44">
        <f>SUM(W28:W33)</f>
        <v>160300</v>
      </c>
      <c r="X27" s="44">
        <f t="shared" si="5"/>
        <v>7000</v>
      </c>
      <c r="Y27" s="56"/>
      <c r="Z27" s="44">
        <f>SUM(Z28:Z33)</f>
        <v>160300</v>
      </c>
      <c r="AA27" s="44">
        <f t="shared" si="6"/>
        <v>0</v>
      </c>
      <c r="AB27" s="56"/>
    </row>
    <row r="28" spans="1:28" ht="26.4" x14ac:dyDescent="0.25">
      <c r="B28" s="41" t="s">
        <v>87</v>
      </c>
      <c r="C28" s="63" t="s">
        <v>88</v>
      </c>
      <c r="D28" s="64" t="s">
        <v>89</v>
      </c>
      <c r="E28" s="44"/>
      <c r="F28" s="44"/>
      <c r="G28" s="44"/>
      <c r="H28" s="44"/>
      <c r="I28" s="44"/>
      <c r="J28" s="44"/>
      <c r="K28" s="44">
        <v>350</v>
      </c>
      <c r="L28" s="44">
        <f t="shared" ref="L28:L33" si="14">F28+G28+H28+I28+J28+K28</f>
        <v>350</v>
      </c>
      <c r="M28" s="45">
        <v>350</v>
      </c>
      <c r="N28" s="45">
        <f t="shared" ref="N28:N33" si="15">ROUND(M28,0)</f>
        <v>350</v>
      </c>
      <c r="O28" s="44">
        <f t="shared" si="2"/>
        <v>0</v>
      </c>
      <c r="P28" s="55"/>
      <c r="Q28" s="44">
        <f t="shared" ref="Q28:Q33" si="16">ROUND(N28,0)</f>
        <v>350</v>
      </c>
      <c r="R28" s="44">
        <f t="shared" si="3"/>
        <v>0</v>
      </c>
      <c r="S28" s="56"/>
      <c r="T28" s="44">
        <f t="shared" ref="T28:T33" si="17">ROUND(Q28,0)</f>
        <v>350</v>
      </c>
      <c r="U28" s="44">
        <f t="shared" si="4"/>
        <v>0</v>
      </c>
      <c r="V28" s="56"/>
      <c r="W28" s="44">
        <f t="shared" ref="W28:W33" si="18">ROUND(T28,0)</f>
        <v>350</v>
      </c>
      <c r="X28" s="44">
        <f t="shared" si="5"/>
        <v>0</v>
      </c>
      <c r="Y28" s="56"/>
      <c r="Z28" s="44">
        <f t="shared" ref="Z28:Z33" si="19">ROUND(W28,0)</f>
        <v>350</v>
      </c>
      <c r="AA28" s="44">
        <f t="shared" si="6"/>
        <v>0</v>
      </c>
      <c r="AB28" s="56"/>
    </row>
    <row r="29" spans="1:28" ht="26.4" x14ac:dyDescent="0.25">
      <c r="B29" s="65" t="s">
        <v>90</v>
      </c>
      <c r="C29" s="63" t="s">
        <v>91</v>
      </c>
      <c r="D29" s="64" t="s">
        <v>92</v>
      </c>
      <c r="E29" s="44"/>
      <c r="F29" s="44"/>
      <c r="G29" s="44"/>
      <c r="H29" s="44"/>
      <c r="I29" s="44"/>
      <c r="J29" s="44"/>
      <c r="K29" s="44">
        <v>1100</v>
      </c>
      <c r="L29" s="44">
        <f t="shared" si="14"/>
        <v>1100</v>
      </c>
      <c r="M29" s="45">
        <v>1100</v>
      </c>
      <c r="N29" s="45">
        <f t="shared" si="15"/>
        <v>1100</v>
      </c>
      <c r="O29" s="44">
        <f t="shared" si="2"/>
        <v>0</v>
      </c>
      <c r="P29" s="55"/>
      <c r="Q29" s="44">
        <f t="shared" si="16"/>
        <v>1100</v>
      </c>
      <c r="R29" s="44">
        <f t="shared" si="3"/>
        <v>0</v>
      </c>
      <c r="S29" s="56"/>
      <c r="T29" s="44">
        <f t="shared" si="17"/>
        <v>1100</v>
      </c>
      <c r="U29" s="44">
        <f t="shared" si="4"/>
        <v>0</v>
      </c>
      <c r="V29" s="56"/>
      <c r="W29" s="44">
        <f t="shared" si="18"/>
        <v>1100</v>
      </c>
      <c r="X29" s="44">
        <f t="shared" si="5"/>
        <v>0</v>
      </c>
      <c r="Y29" s="56"/>
      <c r="Z29" s="44">
        <f t="shared" si="19"/>
        <v>1100</v>
      </c>
      <c r="AA29" s="44">
        <f t="shared" si="6"/>
        <v>0</v>
      </c>
      <c r="AB29" s="56"/>
    </row>
    <row r="30" spans="1:28" ht="55.2" x14ac:dyDescent="0.25">
      <c r="B30" s="41" t="s">
        <v>93</v>
      </c>
      <c r="C30" s="63" t="s">
        <v>94</v>
      </c>
      <c r="D30" s="64" t="s">
        <v>95</v>
      </c>
      <c r="E30" s="44"/>
      <c r="F30" s="44"/>
      <c r="G30" s="44"/>
      <c r="H30" s="44"/>
      <c r="I30" s="44"/>
      <c r="J30" s="44"/>
      <c r="K30" s="44">
        <v>27000</v>
      </c>
      <c r="L30" s="44">
        <f t="shared" si="14"/>
        <v>27000</v>
      </c>
      <c r="M30" s="45">
        <v>27000</v>
      </c>
      <c r="N30" s="45">
        <f t="shared" si="15"/>
        <v>27000</v>
      </c>
      <c r="O30" s="44">
        <f t="shared" si="2"/>
        <v>0</v>
      </c>
      <c r="P30" s="55"/>
      <c r="Q30" s="44">
        <f t="shared" si="16"/>
        <v>27000</v>
      </c>
      <c r="R30" s="44">
        <f t="shared" si="3"/>
        <v>0</v>
      </c>
      <c r="S30" s="56"/>
      <c r="T30" s="44">
        <f t="shared" si="17"/>
        <v>27000</v>
      </c>
      <c r="U30" s="44">
        <f t="shared" si="4"/>
        <v>0</v>
      </c>
      <c r="V30" s="56"/>
      <c r="W30" s="44">
        <f>ROUND(T30,0)+7000</f>
        <v>34000</v>
      </c>
      <c r="X30" s="44">
        <f t="shared" si="5"/>
        <v>7000</v>
      </c>
      <c r="Y30" s="66" t="s">
        <v>96</v>
      </c>
      <c r="Z30" s="44">
        <f t="shared" si="19"/>
        <v>34000</v>
      </c>
      <c r="AA30" s="44">
        <f t="shared" si="6"/>
        <v>0</v>
      </c>
      <c r="AB30" s="66"/>
    </row>
    <row r="31" spans="1:28" ht="26.4" x14ac:dyDescent="0.25">
      <c r="B31" s="41" t="s">
        <v>97</v>
      </c>
      <c r="C31" s="63" t="s">
        <v>98</v>
      </c>
      <c r="D31" s="64" t="s">
        <v>99</v>
      </c>
      <c r="E31" s="44"/>
      <c r="F31" s="44"/>
      <c r="G31" s="44"/>
      <c r="H31" s="44"/>
      <c r="I31" s="44"/>
      <c r="J31" s="44"/>
      <c r="K31" s="44">
        <v>11500</v>
      </c>
      <c r="L31" s="44">
        <f t="shared" si="14"/>
        <v>11500</v>
      </c>
      <c r="M31" s="45">
        <v>11500</v>
      </c>
      <c r="N31" s="45">
        <f t="shared" si="15"/>
        <v>11500</v>
      </c>
      <c r="O31" s="44">
        <f t="shared" si="2"/>
        <v>0</v>
      </c>
      <c r="P31" s="55"/>
      <c r="Q31" s="44">
        <f t="shared" si="16"/>
        <v>11500</v>
      </c>
      <c r="R31" s="44">
        <f t="shared" si="3"/>
        <v>0</v>
      </c>
      <c r="S31" s="56"/>
      <c r="T31" s="44">
        <f t="shared" si="17"/>
        <v>11500</v>
      </c>
      <c r="U31" s="44">
        <f t="shared" si="4"/>
        <v>0</v>
      </c>
      <c r="V31" s="56"/>
      <c r="W31" s="44">
        <f t="shared" si="18"/>
        <v>11500</v>
      </c>
      <c r="X31" s="44">
        <f t="shared" si="5"/>
        <v>0</v>
      </c>
      <c r="Y31" s="56"/>
      <c r="Z31" s="44">
        <f t="shared" si="19"/>
        <v>11500</v>
      </c>
      <c r="AA31" s="44">
        <f t="shared" si="6"/>
        <v>0</v>
      </c>
      <c r="AB31" s="56"/>
    </row>
    <row r="32" spans="1:28" x14ac:dyDescent="0.25">
      <c r="B32" s="41" t="s">
        <v>100</v>
      </c>
      <c r="C32" s="63" t="s">
        <v>101</v>
      </c>
      <c r="D32" s="64" t="s">
        <v>102</v>
      </c>
      <c r="E32" s="44"/>
      <c r="F32" s="44"/>
      <c r="G32" s="44"/>
      <c r="H32" s="44"/>
      <c r="I32" s="44"/>
      <c r="J32" s="44"/>
      <c r="K32" s="44">
        <f>100000-13150+19500</f>
        <v>106350</v>
      </c>
      <c r="L32" s="44">
        <f t="shared" si="14"/>
        <v>106350</v>
      </c>
      <c r="M32" s="45">
        <v>106350</v>
      </c>
      <c r="N32" s="45">
        <f t="shared" si="15"/>
        <v>106350</v>
      </c>
      <c r="O32" s="44">
        <f t="shared" si="2"/>
        <v>0</v>
      </c>
      <c r="P32" s="55"/>
      <c r="Q32" s="44">
        <f t="shared" si="16"/>
        <v>106350</v>
      </c>
      <c r="R32" s="44">
        <f t="shared" si="3"/>
        <v>0</v>
      </c>
      <c r="S32" s="56"/>
      <c r="T32" s="44">
        <f t="shared" si="17"/>
        <v>106350</v>
      </c>
      <c r="U32" s="44">
        <f t="shared" si="4"/>
        <v>0</v>
      </c>
      <c r="V32" s="56"/>
      <c r="W32" s="44">
        <f t="shared" si="18"/>
        <v>106350</v>
      </c>
      <c r="X32" s="44">
        <f t="shared" si="5"/>
        <v>0</v>
      </c>
      <c r="Y32" s="56"/>
      <c r="Z32" s="44">
        <f t="shared" si="19"/>
        <v>106350</v>
      </c>
      <c r="AA32" s="44">
        <f t="shared" si="6"/>
        <v>0</v>
      </c>
      <c r="AB32" s="56"/>
    </row>
    <row r="33" spans="1:29" x14ac:dyDescent="0.25">
      <c r="B33" s="41" t="s">
        <v>103</v>
      </c>
      <c r="C33" s="63" t="s">
        <v>104</v>
      </c>
      <c r="D33" s="64" t="s">
        <v>105</v>
      </c>
      <c r="E33" s="44"/>
      <c r="F33" s="44"/>
      <c r="G33" s="44"/>
      <c r="H33" s="44"/>
      <c r="I33" s="44"/>
      <c r="J33" s="44"/>
      <c r="K33" s="44">
        <v>7000</v>
      </c>
      <c r="L33" s="44">
        <f t="shared" si="14"/>
        <v>7000</v>
      </c>
      <c r="M33" s="45">
        <v>7000</v>
      </c>
      <c r="N33" s="45">
        <f t="shared" si="15"/>
        <v>7000</v>
      </c>
      <c r="O33" s="44">
        <f t="shared" si="2"/>
        <v>0</v>
      </c>
      <c r="P33" s="55"/>
      <c r="Q33" s="44">
        <f t="shared" si="16"/>
        <v>7000</v>
      </c>
      <c r="R33" s="44">
        <f t="shared" si="3"/>
        <v>0</v>
      </c>
      <c r="S33" s="56"/>
      <c r="T33" s="44">
        <f t="shared" si="17"/>
        <v>7000</v>
      </c>
      <c r="U33" s="44">
        <f t="shared" si="4"/>
        <v>0</v>
      </c>
      <c r="V33" s="56"/>
      <c r="W33" s="44">
        <f t="shared" si="18"/>
        <v>7000</v>
      </c>
      <c r="X33" s="44">
        <f t="shared" si="5"/>
        <v>0</v>
      </c>
      <c r="Y33" s="56"/>
      <c r="Z33" s="44">
        <f t="shared" si="19"/>
        <v>7000</v>
      </c>
      <c r="AA33" s="44">
        <f t="shared" si="6"/>
        <v>0</v>
      </c>
      <c r="AB33" s="56"/>
    </row>
    <row r="34" spans="1:29" ht="18" customHeight="1" x14ac:dyDescent="0.25">
      <c r="B34" s="1" t="s">
        <v>106</v>
      </c>
      <c r="C34" s="48" t="s">
        <v>107</v>
      </c>
      <c r="D34" s="49" t="s">
        <v>108</v>
      </c>
      <c r="E34" s="50">
        <f t="shared" ref="E34:L34" si="20">E35+E36</f>
        <v>0</v>
      </c>
      <c r="F34" s="50">
        <f t="shared" si="20"/>
        <v>0</v>
      </c>
      <c r="G34" s="50">
        <f t="shared" si="20"/>
        <v>0</v>
      </c>
      <c r="H34" s="50">
        <f t="shared" si="20"/>
        <v>0</v>
      </c>
      <c r="I34" s="50">
        <f>I35+I36</f>
        <v>0</v>
      </c>
      <c r="J34" s="50">
        <f t="shared" si="20"/>
        <v>0</v>
      </c>
      <c r="K34" s="50">
        <f t="shared" si="20"/>
        <v>65000</v>
      </c>
      <c r="L34" s="50">
        <f t="shared" si="20"/>
        <v>65000</v>
      </c>
      <c r="M34" s="51">
        <v>65000</v>
      </c>
      <c r="N34" s="51">
        <f>N35+N36</f>
        <v>65000</v>
      </c>
      <c r="O34" s="50">
        <f t="shared" si="2"/>
        <v>0</v>
      </c>
      <c r="P34" s="67"/>
      <c r="Q34" s="50">
        <f>Q35+Q36</f>
        <v>65000</v>
      </c>
      <c r="R34" s="50">
        <f t="shared" si="3"/>
        <v>0</v>
      </c>
      <c r="S34" s="68"/>
      <c r="T34" s="50">
        <f>T35+T36</f>
        <v>65000</v>
      </c>
      <c r="U34" s="50">
        <f t="shared" si="4"/>
        <v>0</v>
      </c>
      <c r="V34" s="68"/>
      <c r="W34" s="50">
        <f>W35+W36</f>
        <v>65000</v>
      </c>
      <c r="X34" s="50">
        <f t="shared" si="5"/>
        <v>0</v>
      </c>
      <c r="Y34" s="68"/>
      <c r="Z34" s="50">
        <f>Z35+Z36</f>
        <v>110000</v>
      </c>
      <c r="AA34" s="50">
        <f t="shared" si="6"/>
        <v>45000</v>
      </c>
      <c r="AB34" s="68"/>
      <c r="AC34" s="1" t="e">
        <f>#REF!*0.25</f>
        <v>#REF!</v>
      </c>
    </row>
    <row r="35" spans="1:29" ht="16.5" customHeight="1" x14ac:dyDescent="0.3">
      <c r="B35" s="60" t="s">
        <v>109</v>
      </c>
      <c r="C35" s="42" t="s">
        <v>110</v>
      </c>
      <c r="D35" s="43" t="s">
        <v>108</v>
      </c>
      <c r="E35" s="44"/>
      <c r="F35" s="44"/>
      <c r="G35" s="44"/>
      <c r="H35" s="44"/>
      <c r="I35" s="44"/>
      <c r="J35" s="44"/>
      <c r="K35" s="44">
        <v>31000</v>
      </c>
      <c r="L35" s="44">
        <f>F35+G35+H35+I35+J35+K35</f>
        <v>31000</v>
      </c>
      <c r="M35" s="45">
        <v>31000</v>
      </c>
      <c r="N35" s="45">
        <f>ROUND(M35,0)</f>
        <v>31000</v>
      </c>
      <c r="O35" s="44">
        <f t="shared" si="2"/>
        <v>0</v>
      </c>
      <c r="P35" s="46"/>
      <c r="Q35" s="44">
        <f>ROUND(N35,0)</f>
        <v>31000</v>
      </c>
      <c r="R35" s="44">
        <f t="shared" si="3"/>
        <v>0</v>
      </c>
      <c r="S35" s="47"/>
      <c r="T35" s="44">
        <f>ROUND(Q35,0)</f>
        <v>31000</v>
      </c>
      <c r="U35" s="44">
        <f t="shared" si="4"/>
        <v>0</v>
      </c>
      <c r="V35" s="47"/>
      <c r="W35" s="44">
        <f>ROUND(T35,0)</f>
        <v>31000</v>
      </c>
      <c r="X35" s="44">
        <f t="shared" si="5"/>
        <v>0</v>
      </c>
      <c r="Y35" s="47"/>
      <c r="Z35" s="44">
        <f>ROUND(W35,0)+45000</f>
        <v>76000</v>
      </c>
      <c r="AA35" s="44">
        <f t="shared" si="6"/>
        <v>45000</v>
      </c>
      <c r="AB35" s="47" t="s">
        <v>111</v>
      </c>
    </row>
    <row r="36" spans="1:29" ht="28.2" x14ac:dyDescent="0.3">
      <c r="B36" s="60" t="s">
        <v>112</v>
      </c>
      <c r="C36" s="42" t="s">
        <v>113</v>
      </c>
      <c r="D36" s="43" t="s">
        <v>114</v>
      </c>
      <c r="E36" s="44"/>
      <c r="F36" s="44"/>
      <c r="G36" s="44"/>
      <c r="H36" s="44"/>
      <c r="I36" s="44"/>
      <c r="J36" s="44"/>
      <c r="K36" s="44">
        <v>34000</v>
      </c>
      <c r="L36" s="44">
        <f>F36+G36+H36+I36+J36+K36</f>
        <v>34000</v>
      </c>
      <c r="M36" s="45">
        <v>34000</v>
      </c>
      <c r="N36" s="45">
        <f>ROUND(M36,0)</f>
        <v>34000</v>
      </c>
      <c r="O36" s="44">
        <f t="shared" si="2"/>
        <v>0</v>
      </c>
      <c r="P36" s="46"/>
      <c r="Q36" s="44">
        <f>ROUND(N36,0)</f>
        <v>34000</v>
      </c>
      <c r="R36" s="44">
        <f t="shared" si="3"/>
        <v>0</v>
      </c>
      <c r="S36" s="47"/>
      <c r="T36" s="44">
        <f>ROUND(Q36,0)</f>
        <v>34000</v>
      </c>
      <c r="U36" s="44">
        <f t="shared" si="4"/>
        <v>0</v>
      </c>
      <c r="V36" s="47"/>
      <c r="W36" s="44">
        <f>ROUND(T36,0)</f>
        <v>34000</v>
      </c>
      <c r="X36" s="44">
        <f t="shared" si="5"/>
        <v>0</v>
      </c>
      <c r="Y36" s="47"/>
      <c r="Z36" s="44">
        <f>ROUND(W36,0)</f>
        <v>34000</v>
      </c>
      <c r="AA36" s="44">
        <f t="shared" si="6"/>
        <v>0</v>
      </c>
      <c r="AB36" s="47"/>
    </row>
    <row r="37" spans="1:29" x14ac:dyDescent="0.25">
      <c r="B37" s="1" t="s">
        <v>115</v>
      </c>
      <c r="C37" s="48" t="s">
        <v>116</v>
      </c>
      <c r="D37" s="49" t="s">
        <v>117</v>
      </c>
      <c r="E37" s="50">
        <f t="shared" ref="E37:L37" si="21">E38+E39+E40</f>
        <v>0</v>
      </c>
      <c r="F37" s="50">
        <f t="shared" si="21"/>
        <v>0</v>
      </c>
      <c r="G37" s="50">
        <f t="shared" si="21"/>
        <v>0</v>
      </c>
      <c r="H37" s="50">
        <f t="shared" si="21"/>
        <v>0</v>
      </c>
      <c r="I37" s="50">
        <f>I38+I39+I40</f>
        <v>0</v>
      </c>
      <c r="J37" s="50">
        <f t="shared" si="21"/>
        <v>0</v>
      </c>
      <c r="K37" s="50">
        <f>[1]BAZE_2024!G18</f>
        <v>6453</v>
      </c>
      <c r="L37" s="50">
        <f t="shared" si="21"/>
        <v>6453</v>
      </c>
      <c r="M37" s="51">
        <v>6453</v>
      </c>
      <c r="N37" s="51">
        <f>N38+N39+N40</f>
        <v>6453</v>
      </c>
      <c r="O37" s="50">
        <f t="shared" si="2"/>
        <v>0</v>
      </c>
      <c r="P37" s="52"/>
      <c r="Q37" s="50">
        <f>Q38+Q39+Q40</f>
        <v>25797</v>
      </c>
      <c r="R37" s="50">
        <f t="shared" si="3"/>
        <v>19344</v>
      </c>
      <c r="S37" s="53"/>
      <c r="T37" s="50">
        <f>T38+T39+T40</f>
        <v>35106</v>
      </c>
      <c r="U37" s="50">
        <f t="shared" si="4"/>
        <v>9309</v>
      </c>
      <c r="V37" s="53"/>
      <c r="W37" s="50">
        <f>W38+W39+W40</f>
        <v>57106</v>
      </c>
      <c r="X37" s="50">
        <f t="shared" si="5"/>
        <v>22000</v>
      </c>
      <c r="Y37" s="53"/>
      <c r="Z37" s="50">
        <f>Z38+Z39+Z40</f>
        <v>124631</v>
      </c>
      <c r="AA37" s="50">
        <f t="shared" si="6"/>
        <v>67525</v>
      </c>
      <c r="AB37" s="53"/>
      <c r="AC37" s="10" t="e">
        <f>#REF!-Q37</f>
        <v>#REF!</v>
      </c>
    </row>
    <row r="38" spans="1:29" ht="49.5" customHeight="1" x14ac:dyDescent="0.25">
      <c r="A38" s="1" t="s">
        <v>32</v>
      </c>
      <c r="B38" s="3" t="s">
        <v>118</v>
      </c>
      <c r="C38" s="42" t="s">
        <v>119</v>
      </c>
      <c r="D38" s="69" t="s">
        <v>120</v>
      </c>
      <c r="E38" s="44"/>
      <c r="F38" s="44"/>
      <c r="G38" s="44"/>
      <c r="H38" s="44"/>
      <c r="I38" s="44"/>
      <c r="J38" s="44"/>
      <c r="K38" s="44"/>
      <c r="L38" s="44">
        <f>F38+G38+H38+I38+J38+K38</f>
        <v>0</v>
      </c>
      <c r="M38" s="45">
        <v>0</v>
      </c>
      <c r="N38" s="45">
        <f>ROUND(M38,0)</f>
        <v>0</v>
      </c>
      <c r="O38" s="44">
        <f t="shared" si="2"/>
        <v>0</v>
      </c>
      <c r="P38" s="70"/>
      <c r="Q38" s="44">
        <f>ROUND(N38,0)+19344</f>
        <v>19344</v>
      </c>
      <c r="R38" s="44">
        <f t="shared" si="3"/>
        <v>19344</v>
      </c>
      <c r="S38" s="71" t="s">
        <v>121</v>
      </c>
      <c r="T38" s="44">
        <f>ROUND(Q38,0)+9309</f>
        <v>28653</v>
      </c>
      <c r="U38" s="44">
        <f t="shared" si="4"/>
        <v>9309</v>
      </c>
      <c r="V38" s="71" t="s">
        <v>122</v>
      </c>
      <c r="W38" s="44">
        <f>ROUND(T38,0)+22000</f>
        <v>50653</v>
      </c>
      <c r="X38" s="44">
        <f t="shared" si="5"/>
        <v>22000</v>
      </c>
      <c r="Y38" s="71" t="s">
        <v>123</v>
      </c>
      <c r="Z38" s="44">
        <f>ROUND(W38,0)+(10000+20000)+31000</f>
        <v>111653</v>
      </c>
      <c r="AA38" s="44">
        <f t="shared" si="6"/>
        <v>61000</v>
      </c>
      <c r="AB38" s="71" t="s">
        <v>124</v>
      </c>
    </row>
    <row r="39" spans="1:29" ht="27.75" customHeight="1" x14ac:dyDescent="0.25">
      <c r="B39" s="1" t="s">
        <v>125</v>
      </c>
      <c r="C39" s="42" t="s">
        <v>126</v>
      </c>
      <c r="D39" s="43" t="s">
        <v>127</v>
      </c>
      <c r="E39" s="44"/>
      <c r="F39" s="44"/>
      <c r="G39" s="44"/>
      <c r="H39" s="44"/>
      <c r="I39" s="44"/>
      <c r="J39" s="44"/>
      <c r="K39" s="44">
        <v>500</v>
      </c>
      <c r="L39" s="44">
        <f>F39+G39+H39+I39+J39+K39</f>
        <v>500</v>
      </c>
      <c r="M39" s="45">
        <v>500</v>
      </c>
      <c r="N39" s="45">
        <f>ROUND(M39,0)</f>
        <v>500</v>
      </c>
      <c r="O39" s="44">
        <f t="shared" si="2"/>
        <v>0</v>
      </c>
      <c r="P39" s="70"/>
      <c r="Q39" s="44">
        <f>ROUND(N39,0)</f>
        <v>500</v>
      </c>
      <c r="R39" s="44">
        <f t="shared" si="3"/>
        <v>0</v>
      </c>
      <c r="S39" s="71"/>
      <c r="T39" s="44">
        <f>ROUND(Q39,0)</f>
        <v>500</v>
      </c>
      <c r="U39" s="44">
        <f t="shared" si="4"/>
        <v>0</v>
      </c>
      <c r="V39" s="71"/>
      <c r="W39" s="44">
        <f>ROUND(T39,0)</f>
        <v>500</v>
      </c>
      <c r="X39" s="44">
        <f t="shared" si="5"/>
        <v>0</v>
      </c>
      <c r="Y39" s="71"/>
      <c r="Z39" s="44">
        <f>ROUND(W39,0)</f>
        <v>500</v>
      </c>
      <c r="AA39" s="44">
        <f t="shared" si="6"/>
        <v>0</v>
      </c>
      <c r="AB39" s="71"/>
    </row>
    <row r="40" spans="1:29" x14ac:dyDescent="0.25">
      <c r="C40" s="42" t="s">
        <v>128</v>
      </c>
      <c r="D40" s="43" t="s">
        <v>129</v>
      </c>
      <c r="E40" s="44"/>
      <c r="F40" s="44"/>
      <c r="G40" s="44"/>
      <c r="H40" s="44"/>
      <c r="I40" s="44"/>
      <c r="J40" s="44"/>
      <c r="K40" s="44">
        <f>6453-K39</f>
        <v>5953</v>
      </c>
      <c r="L40" s="44">
        <f>F40+G40+H40+I40+J40+K40</f>
        <v>5953</v>
      </c>
      <c r="M40" s="45">
        <v>5953</v>
      </c>
      <c r="N40" s="45">
        <f>ROUND(M40,0)</f>
        <v>5953</v>
      </c>
      <c r="O40" s="44">
        <f t="shared" si="2"/>
        <v>0</v>
      </c>
      <c r="P40" s="46"/>
      <c r="Q40" s="44">
        <f>ROUND(N40,0)</f>
        <v>5953</v>
      </c>
      <c r="R40" s="44">
        <f t="shared" si="3"/>
        <v>0</v>
      </c>
      <c r="S40" s="47"/>
      <c r="T40" s="44">
        <f>ROUND(Q40,0)</f>
        <v>5953</v>
      </c>
      <c r="U40" s="44">
        <f t="shared" si="4"/>
        <v>0</v>
      </c>
      <c r="V40" s="47"/>
      <c r="W40" s="44">
        <f>ROUND(T40,0)</f>
        <v>5953</v>
      </c>
      <c r="X40" s="44">
        <f t="shared" si="5"/>
        <v>0</v>
      </c>
      <c r="Y40" s="47"/>
      <c r="Z40" s="44">
        <f>ROUND(W40,0)+6525</f>
        <v>12478</v>
      </c>
      <c r="AA40" s="44">
        <f t="shared" si="6"/>
        <v>6525</v>
      </c>
      <c r="AB40" s="47" t="s">
        <v>111</v>
      </c>
      <c r="AC40" s="10" t="e">
        <f>#REF!-Q41</f>
        <v>#REF!</v>
      </c>
    </row>
    <row r="41" spans="1:29" ht="26.4" customHeight="1" x14ac:dyDescent="0.25">
      <c r="B41" s="1" t="s">
        <v>130</v>
      </c>
      <c r="C41" s="72" t="s">
        <v>131</v>
      </c>
      <c r="D41" s="49" t="s">
        <v>132</v>
      </c>
      <c r="E41" s="50"/>
      <c r="F41" s="50"/>
      <c r="G41" s="50"/>
      <c r="H41" s="50"/>
      <c r="I41" s="50"/>
      <c r="J41" s="50"/>
      <c r="K41" s="50">
        <f>[1]BAZE_2024!G19</f>
        <v>5856</v>
      </c>
      <c r="L41" s="50">
        <f>F41+G41+H41+I41+J41+K41</f>
        <v>5856</v>
      </c>
      <c r="M41" s="51">
        <v>5856</v>
      </c>
      <c r="N41" s="51">
        <f>ROUND(M41,0)</f>
        <v>5856</v>
      </c>
      <c r="O41" s="50">
        <f t="shared" si="2"/>
        <v>0</v>
      </c>
      <c r="P41" s="67"/>
      <c r="Q41" s="50">
        <f>ROUND(N41,0)</f>
        <v>5856</v>
      </c>
      <c r="R41" s="50">
        <f t="shared" si="3"/>
        <v>0</v>
      </c>
      <c r="S41" s="68"/>
      <c r="T41" s="50">
        <f>ROUND(Q41,0)+23095</f>
        <v>28951</v>
      </c>
      <c r="U41" s="50">
        <f t="shared" si="4"/>
        <v>23095</v>
      </c>
      <c r="V41" s="68" t="s">
        <v>133</v>
      </c>
      <c r="W41" s="50">
        <f>ROUND(T41,0)</f>
        <v>28951</v>
      </c>
      <c r="X41" s="50">
        <f t="shared" si="5"/>
        <v>0</v>
      </c>
      <c r="Y41" s="68"/>
      <c r="Z41" s="50">
        <f>ROUND(W41,0)+30205</f>
        <v>59156</v>
      </c>
      <c r="AA41" s="50">
        <f t="shared" si="6"/>
        <v>30205</v>
      </c>
      <c r="AB41" s="68" t="s">
        <v>111</v>
      </c>
    </row>
    <row r="42" spans="1:29" ht="27.6" x14ac:dyDescent="0.25">
      <c r="C42" s="72" t="s">
        <v>134</v>
      </c>
      <c r="D42" s="49" t="s">
        <v>135</v>
      </c>
      <c r="E42" s="50">
        <f t="shared" ref="E42:N42" si="22">E43+E66+E87</f>
        <v>2707710.83</v>
      </c>
      <c r="F42" s="50">
        <f t="shared" si="22"/>
        <v>8993695.3728</v>
      </c>
      <c r="G42" s="50">
        <f t="shared" si="22"/>
        <v>1159816</v>
      </c>
      <c r="H42" s="50">
        <f t="shared" si="22"/>
        <v>0</v>
      </c>
      <c r="I42" s="50">
        <f t="shared" si="22"/>
        <v>0</v>
      </c>
      <c r="J42" s="50">
        <f t="shared" si="22"/>
        <v>0</v>
      </c>
      <c r="K42" s="50">
        <f t="shared" si="22"/>
        <v>0</v>
      </c>
      <c r="L42" s="50">
        <f t="shared" si="22"/>
        <v>10153511.3728</v>
      </c>
      <c r="M42" s="51">
        <v>10153512</v>
      </c>
      <c r="N42" s="51">
        <f t="shared" si="22"/>
        <v>10611779</v>
      </c>
      <c r="O42" s="50">
        <f t="shared" si="2"/>
        <v>458267</v>
      </c>
      <c r="P42" s="54"/>
      <c r="Q42" s="50">
        <f>Q43+Q66+Q87</f>
        <v>10715183</v>
      </c>
      <c r="R42" s="50">
        <f t="shared" si="3"/>
        <v>103404</v>
      </c>
      <c r="S42" s="50"/>
      <c r="T42" s="50">
        <f>T43+T66+T87</f>
        <v>10765964</v>
      </c>
      <c r="U42" s="50">
        <f t="shared" si="4"/>
        <v>50781</v>
      </c>
      <c r="V42" s="50"/>
      <c r="W42" s="50">
        <f>W43+W66+W87</f>
        <v>10765964</v>
      </c>
      <c r="X42" s="50">
        <f t="shared" si="5"/>
        <v>0</v>
      </c>
      <c r="Y42" s="50"/>
      <c r="Z42" s="50">
        <f>Z43+Z66+Z87</f>
        <v>10812064</v>
      </c>
      <c r="AA42" s="50">
        <f t="shared" si="6"/>
        <v>46100</v>
      </c>
      <c r="AB42" s="50"/>
    </row>
    <row r="43" spans="1:29" ht="17.399999999999999" customHeight="1" x14ac:dyDescent="0.25">
      <c r="B43" s="41"/>
      <c r="C43" s="73" t="s">
        <v>136</v>
      </c>
      <c r="D43" s="74" t="s">
        <v>137</v>
      </c>
      <c r="E43" s="75">
        <f>SUM(E44:E47)+E50+SUM(E54:E65)</f>
        <v>1888471.83</v>
      </c>
      <c r="F43" s="75">
        <f t="shared" ref="F43:N43" si="23">SUM(F44:F47)+F50+SUM(F54:F65)</f>
        <v>8993695.3728</v>
      </c>
      <c r="G43" s="75">
        <f t="shared" si="23"/>
        <v>0</v>
      </c>
      <c r="H43" s="75">
        <f t="shared" si="23"/>
        <v>0</v>
      </c>
      <c r="I43" s="75">
        <f t="shared" si="23"/>
        <v>0</v>
      </c>
      <c r="J43" s="75">
        <f t="shared" si="23"/>
        <v>0</v>
      </c>
      <c r="K43" s="75">
        <f t="shared" si="23"/>
        <v>0</v>
      </c>
      <c r="L43" s="75">
        <f t="shared" si="23"/>
        <v>8993695.3728</v>
      </c>
      <c r="M43" s="76">
        <v>8993696</v>
      </c>
      <c r="N43" s="76">
        <f t="shared" si="23"/>
        <v>9340698</v>
      </c>
      <c r="O43" s="77">
        <f t="shared" si="2"/>
        <v>347002</v>
      </c>
      <c r="P43" s="78"/>
      <c r="Q43" s="77">
        <f>SUM(Q44:Q47)+Q50+SUM(Q54:Q65)</f>
        <v>9468249</v>
      </c>
      <c r="R43" s="77">
        <f t="shared" si="3"/>
        <v>127551</v>
      </c>
      <c r="S43" s="77"/>
      <c r="T43" s="77">
        <f>SUM(T44:T47)+T50+SUM(T54:T65)</f>
        <v>9519030</v>
      </c>
      <c r="U43" s="77">
        <f t="shared" si="4"/>
        <v>50781</v>
      </c>
      <c r="V43" s="77"/>
      <c r="W43" s="77">
        <f>SUM(W44:W47)+W50+SUM(W54:W65)</f>
        <v>9519030</v>
      </c>
      <c r="X43" s="77">
        <f t="shared" si="5"/>
        <v>0</v>
      </c>
      <c r="Y43" s="77"/>
      <c r="Z43" s="77">
        <f>SUM(Z44:Z47)+Z50+SUM(Z54:Z65)</f>
        <v>9519030</v>
      </c>
      <c r="AA43" s="77">
        <f t="shared" si="6"/>
        <v>0</v>
      </c>
      <c r="AB43" s="77"/>
    </row>
    <row r="44" spans="1:29" ht="16.95" customHeight="1" x14ac:dyDescent="0.25">
      <c r="A44" s="1" t="s">
        <v>138</v>
      </c>
      <c r="B44" s="1" t="s">
        <v>139</v>
      </c>
      <c r="C44" s="63" t="s">
        <v>140</v>
      </c>
      <c r="D44" s="43" t="s">
        <v>141</v>
      </c>
      <c r="E44" s="44">
        <v>0</v>
      </c>
      <c r="F44" s="44">
        <f>43903*1.2359*12-1</f>
        <v>651115.61239999998</v>
      </c>
      <c r="G44" s="44"/>
      <c r="H44" s="44"/>
      <c r="I44" s="44"/>
      <c r="J44" s="44"/>
      <c r="K44" s="44"/>
      <c r="L44" s="44">
        <f>F44+G44+H44+I44+J44+K44</f>
        <v>651115.61239999998</v>
      </c>
      <c r="M44" s="45">
        <v>651116</v>
      </c>
      <c r="N44" s="45">
        <f>ROUND(M44,0)+142597</f>
        <v>793713</v>
      </c>
      <c r="O44" s="44">
        <f t="shared" si="2"/>
        <v>142597</v>
      </c>
      <c r="P44" s="71" t="s">
        <v>142</v>
      </c>
      <c r="Q44" s="44">
        <f>ROUND(N44,0)</f>
        <v>793713</v>
      </c>
      <c r="R44" s="44">
        <f t="shared" si="3"/>
        <v>0</v>
      </c>
      <c r="S44" s="71"/>
      <c r="T44" s="44">
        <f>ROUND(Q44,0)</f>
        <v>793713</v>
      </c>
      <c r="U44" s="44">
        <f t="shared" si="4"/>
        <v>0</v>
      </c>
      <c r="V44" s="71"/>
      <c r="W44" s="44">
        <f>ROUND(T44,0)</f>
        <v>793713</v>
      </c>
      <c r="X44" s="44">
        <f t="shared" si="5"/>
        <v>0</v>
      </c>
      <c r="Y44" s="71"/>
      <c r="Z44" s="44">
        <f>ROUND(W44,0)</f>
        <v>793713</v>
      </c>
      <c r="AA44" s="44">
        <f t="shared" si="6"/>
        <v>0</v>
      </c>
      <c r="AB44" s="71"/>
    </row>
    <row r="45" spans="1:29" ht="13.95" customHeight="1" x14ac:dyDescent="0.3">
      <c r="A45" s="1" t="s">
        <v>138</v>
      </c>
      <c r="B45" s="60" t="s">
        <v>143</v>
      </c>
      <c r="C45" s="63" t="s">
        <v>144</v>
      </c>
      <c r="D45" s="43" t="s">
        <v>145</v>
      </c>
      <c r="E45" s="44">
        <v>0</v>
      </c>
      <c r="F45" s="44">
        <f>21213*1.2359*12</f>
        <v>314605.76040000003</v>
      </c>
      <c r="G45" s="44"/>
      <c r="H45" s="44"/>
      <c r="I45" s="44"/>
      <c r="J45" s="44"/>
      <c r="K45" s="44"/>
      <c r="L45" s="44">
        <f>F45+G45+H45+I45+J45+K45</f>
        <v>314605.76040000003</v>
      </c>
      <c r="M45" s="45">
        <v>314606</v>
      </c>
      <c r="N45" s="45">
        <f>ROUND(M45,0)</f>
        <v>314606</v>
      </c>
      <c r="O45" s="44">
        <f t="shared" si="2"/>
        <v>0</v>
      </c>
      <c r="P45" s="46"/>
      <c r="Q45" s="44">
        <f>ROUND(N45,0)-22981</f>
        <v>291625</v>
      </c>
      <c r="R45" s="44">
        <f t="shared" si="3"/>
        <v>-22981</v>
      </c>
      <c r="S45" s="47" t="s">
        <v>146</v>
      </c>
      <c r="T45" s="44">
        <f>ROUND(Q45,0)</f>
        <v>291625</v>
      </c>
      <c r="U45" s="44">
        <f t="shared" si="4"/>
        <v>0</v>
      </c>
      <c r="V45" s="47"/>
      <c r="W45" s="44">
        <f>ROUND(T45,0)</f>
        <v>291625</v>
      </c>
      <c r="X45" s="44">
        <f t="shared" si="5"/>
        <v>0</v>
      </c>
      <c r="Y45" s="47"/>
      <c r="Z45" s="44">
        <f>ROUND(W45,0)</f>
        <v>291625</v>
      </c>
      <c r="AA45" s="44">
        <f t="shared" si="6"/>
        <v>0</v>
      </c>
      <c r="AB45" s="47"/>
    </row>
    <row r="46" spans="1:29" ht="14.4" x14ac:dyDescent="0.3">
      <c r="B46" s="60" t="s">
        <v>147</v>
      </c>
      <c r="C46" s="63" t="s">
        <v>148</v>
      </c>
      <c r="D46" s="43" t="s">
        <v>149</v>
      </c>
      <c r="E46" s="44">
        <v>0</v>
      </c>
      <c r="F46" s="44">
        <f>49493+166307+33476</f>
        <v>249276</v>
      </c>
      <c r="G46" s="44"/>
      <c r="H46" s="44"/>
      <c r="I46" s="44"/>
      <c r="J46" s="44"/>
      <c r="K46" s="44"/>
      <c r="L46" s="44">
        <f>F46+G46+H46+I46+J46+K46</f>
        <v>249276</v>
      </c>
      <c r="M46" s="45">
        <v>249276</v>
      </c>
      <c r="N46" s="45">
        <f>ROUND(M46,0)</f>
        <v>249276</v>
      </c>
      <c r="O46" s="44">
        <f t="shared" si="2"/>
        <v>0</v>
      </c>
      <c r="P46" s="70"/>
      <c r="Q46" s="44">
        <f>ROUND(N46,0)</f>
        <v>249276</v>
      </c>
      <c r="R46" s="44">
        <f t="shared" si="3"/>
        <v>0</v>
      </c>
      <c r="S46" s="71"/>
      <c r="T46" s="44">
        <f>ROUND(Q46,0)</f>
        <v>249276</v>
      </c>
      <c r="U46" s="44">
        <f t="shared" si="4"/>
        <v>0</v>
      </c>
      <c r="V46" s="71"/>
      <c r="W46" s="44">
        <f>ROUND(T46,0)</f>
        <v>249276</v>
      </c>
      <c r="X46" s="44">
        <f t="shared" si="5"/>
        <v>0</v>
      </c>
      <c r="Y46" s="71"/>
      <c r="Z46" s="44">
        <f>ROUND(W46,0)</f>
        <v>249276</v>
      </c>
      <c r="AA46" s="44">
        <f t="shared" si="6"/>
        <v>0</v>
      </c>
      <c r="AB46" s="71"/>
    </row>
    <row r="47" spans="1:29" ht="14.25" customHeight="1" x14ac:dyDescent="0.3">
      <c r="A47" s="1" t="s">
        <v>138</v>
      </c>
      <c r="B47" s="60" t="s">
        <v>150</v>
      </c>
      <c r="C47" s="63" t="s">
        <v>151</v>
      </c>
      <c r="D47" s="43" t="s">
        <v>152</v>
      </c>
      <c r="E47" s="44">
        <f>E48+E49</f>
        <v>0</v>
      </c>
      <c r="F47" s="44">
        <f t="shared" ref="F47:N47" si="24">F48+F49</f>
        <v>0</v>
      </c>
      <c r="G47" s="44">
        <f t="shared" si="24"/>
        <v>0</v>
      </c>
      <c r="H47" s="44">
        <f t="shared" si="24"/>
        <v>0</v>
      </c>
      <c r="I47" s="44">
        <f t="shared" si="24"/>
        <v>0</v>
      </c>
      <c r="J47" s="44">
        <f t="shared" si="24"/>
        <v>0</v>
      </c>
      <c r="K47" s="44">
        <f t="shared" si="24"/>
        <v>0</v>
      </c>
      <c r="L47" s="44">
        <f t="shared" si="24"/>
        <v>0</v>
      </c>
      <c r="M47" s="44">
        <v>0</v>
      </c>
      <c r="N47" s="45">
        <f t="shared" si="24"/>
        <v>0</v>
      </c>
      <c r="O47" s="44">
        <f t="shared" si="2"/>
        <v>0</v>
      </c>
      <c r="P47" s="57"/>
      <c r="Q47" s="44">
        <f>Q48+Q49</f>
        <v>112839</v>
      </c>
      <c r="R47" s="44">
        <f t="shared" si="3"/>
        <v>112839</v>
      </c>
      <c r="S47" s="44" t="s">
        <v>153</v>
      </c>
      <c r="T47" s="44">
        <f>T48+T49</f>
        <v>112839</v>
      </c>
      <c r="U47" s="44">
        <f t="shared" si="4"/>
        <v>0</v>
      </c>
      <c r="V47" s="44"/>
      <c r="W47" s="44">
        <f>W48+W49</f>
        <v>112839</v>
      </c>
      <c r="X47" s="44">
        <f t="shared" si="5"/>
        <v>0</v>
      </c>
      <c r="Y47" s="44"/>
      <c r="Z47" s="44">
        <f>Z48+Z49</f>
        <v>112839</v>
      </c>
      <c r="AA47" s="44">
        <f t="shared" si="6"/>
        <v>0</v>
      </c>
      <c r="AB47" s="44"/>
    </row>
    <row r="48" spans="1:29" ht="14.25" customHeight="1" x14ac:dyDescent="0.3">
      <c r="B48" s="60"/>
      <c r="C48" s="63" t="s">
        <v>154</v>
      </c>
      <c r="D48" s="64" t="s">
        <v>155</v>
      </c>
      <c r="E48" s="44"/>
      <c r="F48" s="44"/>
      <c r="G48" s="44"/>
      <c r="H48" s="44"/>
      <c r="I48" s="44"/>
      <c r="J48" s="44"/>
      <c r="K48" s="44"/>
      <c r="L48" s="44"/>
      <c r="M48" s="79"/>
      <c r="N48" s="45"/>
      <c r="O48" s="44">
        <f t="shared" si="2"/>
        <v>0</v>
      </c>
      <c r="P48" s="70"/>
      <c r="Q48" s="44">
        <f>3025+2989+4538+2468+7380+112+71355+538+851+19583</f>
        <v>112839</v>
      </c>
      <c r="R48" s="44">
        <f t="shared" si="3"/>
        <v>112839</v>
      </c>
      <c r="S48" s="71"/>
      <c r="T48" s="44">
        <f>ROUND(Q48,0)</f>
        <v>112839</v>
      </c>
      <c r="U48" s="44">
        <f t="shared" si="4"/>
        <v>0</v>
      </c>
      <c r="V48" s="71"/>
      <c r="W48" s="44">
        <f>ROUND(T48,0)</f>
        <v>112839</v>
      </c>
      <c r="X48" s="44">
        <f t="shared" si="5"/>
        <v>0</v>
      </c>
      <c r="Y48" s="71"/>
      <c r="Z48" s="44">
        <f>ROUND(W48,0)</f>
        <v>112839</v>
      </c>
      <c r="AA48" s="44">
        <f t="shared" si="6"/>
        <v>0</v>
      </c>
      <c r="AB48" s="71"/>
    </row>
    <row r="49" spans="1:28" ht="17.399999999999999" customHeight="1" x14ac:dyDescent="0.3">
      <c r="B49" s="60"/>
      <c r="C49" s="63" t="s">
        <v>156</v>
      </c>
      <c r="D49" s="64" t="s">
        <v>157</v>
      </c>
      <c r="E49" s="44">
        <v>0</v>
      </c>
      <c r="F49" s="44"/>
      <c r="G49" s="44"/>
      <c r="H49" s="44"/>
      <c r="I49" s="44"/>
      <c r="J49" s="44"/>
      <c r="K49" s="44"/>
      <c r="L49" s="44"/>
      <c r="M49" s="79"/>
      <c r="N49" s="45"/>
      <c r="O49" s="44">
        <f t="shared" si="2"/>
        <v>0</v>
      </c>
      <c r="P49" s="70"/>
      <c r="Q49" s="44"/>
      <c r="R49" s="44">
        <f t="shared" si="3"/>
        <v>0</v>
      </c>
      <c r="S49" s="71"/>
      <c r="T49" s="44">
        <f>ROUND(Q49,0)</f>
        <v>0</v>
      </c>
      <c r="U49" s="44">
        <f t="shared" si="4"/>
        <v>0</v>
      </c>
      <c r="V49" s="71"/>
      <c r="W49" s="44"/>
      <c r="X49" s="44">
        <f t="shared" si="5"/>
        <v>0</v>
      </c>
      <c r="Y49" s="71"/>
      <c r="Z49" s="44"/>
      <c r="AA49" s="44">
        <f t="shared" si="6"/>
        <v>0</v>
      </c>
      <c r="AB49" s="71"/>
    </row>
    <row r="50" spans="1:28" ht="13.95" customHeight="1" x14ac:dyDescent="0.25">
      <c r="B50" s="1" t="s">
        <v>158</v>
      </c>
      <c r="C50" s="63" t="s">
        <v>159</v>
      </c>
      <c r="D50" s="43" t="s">
        <v>160</v>
      </c>
      <c r="E50" s="80">
        <f t="shared" ref="E50:L50" si="25">E51+E52+E53</f>
        <v>0</v>
      </c>
      <c r="F50" s="80">
        <f t="shared" si="25"/>
        <v>6510554</v>
      </c>
      <c r="G50" s="80">
        <f t="shared" si="25"/>
        <v>0</v>
      </c>
      <c r="H50" s="80">
        <f t="shared" si="25"/>
        <v>0</v>
      </c>
      <c r="I50" s="80">
        <f>I51+I52+I53</f>
        <v>0</v>
      </c>
      <c r="J50" s="80">
        <f t="shared" si="25"/>
        <v>0</v>
      </c>
      <c r="K50" s="80">
        <f t="shared" si="25"/>
        <v>0</v>
      </c>
      <c r="L50" s="80">
        <f t="shared" si="25"/>
        <v>6510554</v>
      </c>
      <c r="M50" s="81">
        <v>6510554</v>
      </c>
      <c r="N50" s="81">
        <f>N51+N52+N53</f>
        <v>6646187</v>
      </c>
      <c r="O50" s="80">
        <f t="shared" si="2"/>
        <v>135633</v>
      </c>
      <c r="P50" s="82"/>
      <c r="Q50" s="80">
        <f>Q51+Q52+Q53</f>
        <v>6646187</v>
      </c>
      <c r="R50" s="80">
        <f t="shared" si="3"/>
        <v>0</v>
      </c>
      <c r="S50" s="83"/>
      <c r="T50" s="80">
        <f>T51+T52+T53</f>
        <v>6646187</v>
      </c>
      <c r="U50" s="80">
        <f t="shared" si="4"/>
        <v>0</v>
      </c>
      <c r="V50" s="83"/>
      <c r="W50" s="80">
        <f>W51+W52+W53</f>
        <v>6646187</v>
      </c>
      <c r="X50" s="80">
        <f t="shared" si="5"/>
        <v>0</v>
      </c>
      <c r="Y50" s="83"/>
      <c r="Z50" s="80">
        <f>Z51+Z52+Z53</f>
        <v>6646187</v>
      </c>
      <c r="AA50" s="80">
        <f t="shared" si="6"/>
        <v>0</v>
      </c>
      <c r="AB50" s="83"/>
    </row>
    <row r="51" spans="1:28" s="88" customFormat="1" ht="14.4" x14ac:dyDescent="0.3">
      <c r="A51" s="1" t="s">
        <v>138</v>
      </c>
      <c r="B51" s="60" t="s">
        <v>161</v>
      </c>
      <c r="C51" s="63" t="s">
        <v>162</v>
      </c>
      <c r="D51" s="64" t="s">
        <v>163</v>
      </c>
      <c r="E51" s="84">
        <v>0</v>
      </c>
      <c r="F51" s="84">
        <f>152284+238164+407268+158733+138119+6194</f>
        <v>1100762</v>
      </c>
      <c r="G51" s="84"/>
      <c r="H51" s="84"/>
      <c r="I51" s="84"/>
      <c r="J51" s="84"/>
      <c r="K51" s="84"/>
      <c r="L51" s="84">
        <f>F51+G51+H51+I51+J51+K51</f>
        <v>1100762</v>
      </c>
      <c r="M51" s="85">
        <v>1100762</v>
      </c>
      <c r="N51" s="85">
        <f t="shared" ref="N51:N64" si="26">ROUND(M51,0)</f>
        <v>1100762</v>
      </c>
      <c r="O51" s="84">
        <f t="shared" si="2"/>
        <v>0</v>
      </c>
      <c r="P51" s="86"/>
      <c r="Q51" s="84">
        <f t="shared" ref="Q51:Q58" si="27">ROUND(N51,0)</f>
        <v>1100762</v>
      </c>
      <c r="R51" s="84">
        <f t="shared" si="3"/>
        <v>0</v>
      </c>
      <c r="S51" s="87"/>
      <c r="T51" s="84">
        <f t="shared" ref="T51:T58" si="28">ROUND(Q51,0)</f>
        <v>1100762</v>
      </c>
      <c r="U51" s="84">
        <f t="shared" si="4"/>
        <v>0</v>
      </c>
      <c r="V51" s="87"/>
      <c r="W51" s="84">
        <f t="shared" ref="W51:W58" si="29">ROUND(T51,0)</f>
        <v>1100762</v>
      </c>
      <c r="X51" s="84">
        <f t="shared" si="5"/>
        <v>0</v>
      </c>
      <c r="Y51" s="87"/>
      <c r="Z51" s="84">
        <f t="shared" ref="Z51:Z58" si="30">ROUND(W51,0)</f>
        <v>1100762</v>
      </c>
      <c r="AA51" s="84">
        <f t="shared" si="6"/>
        <v>0</v>
      </c>
      <c r="AB51" s="87"/>
    </row>
    <row r="52" spans="1:28" s="88" customFormat="1" ht="14.4" x14ac:dyDescent="0.3">
      <c r="A52" s="1" t="s">
        <v>138</v>
      </c>
      <c r="B52" s="60" t="s">
        <v>164</v>
      </c>
      <c r="C52" s="63" t="s">
        <v>165</v>
      </c>
      <c r="D52" s="64" t="s">
        <v>166</v>
      </c>
      <c r="E52" s="84">
        <v>0</v>
      </c>
      <c r="F52" s="84">
        <f>4021527+1070901</f>
        <v>5092428</v>
      </c>
      <c r="G52" s="84"/>
      <c r="H52" s="84"/>
      <c r="I52" s="84"/>
      <c r="J52" s="84"/>
      <c r="K52" s="84"/>
      <c r="L52" s="84">
        <f>F52+G52+H52+I52+J52+K52</f>
        <v>5092428</v>
      </c>
      <c r="M52" s="85">
        <v>5092428</v>
      </c>
      <c r="N52" s="85">
        <f>ROUND(M52,0)+17418</f>
        <v>5109846</v>
      </c>
      <c r="O52" s="84">
        <f t="shared" si="2"/>
        <v>17418</v>
      </c>
      <c r="P52" s="89" t="s">
        <v>142</v>
      </c>
      <c r="Q52" s="84">
        <f t="shared" si="27"/>
        <v>5109846</v>
      </c>
      <c r="R52" s="84">
        <f t="shared" si="3"/>
        <v>0</v>
      </c>
      <c r="S52" s="87"/>
      <c r="T52" s="84">
        <f t="shared" si="28"/>
        <v>5109846</v>
      </c>
      <c r="U52" s="84">
        <f t="shared" si="4"/>
        <v>0</v>
      </c>
      <c r="V52" s="87"/>
      <c r="W52" s="84">
        <f t="shared" si="29"/>
        <v>5109846</v>
      </c>
      <c r="X52" s="84">
        <f t="shared" si="5"/>
        <v>0</v>
      </c>
      <c r="Y52" s="87"/>
      <c r="Z52" s="84">
        <f t="shared" si="30"/>
        <v>5109846</v>
      </c>
      <c r="AA52" s="84">
        <f t="shared" si="6"/>
        <v>0</v>
      </c>
      <c r="AB52" s="87"/>
    </row>
    <row r="53" spans="1:28" s="88" customFormat="1" x14ac:dyDescent="0.25">
      <c r="A53" s="1" t="s">
        <v>138</v>
      </c>
      <c r="B53" s="1"/>
      <c r="C53" s="63" t="s">
        <v>167</v>
      </c>
      <c r="D53" s="64" t="s">
        <v>168</v>
      </c>
      <c r="E53" s="84"/>
      <c r="F53" s="84">
        <v>317364</v>
      </c>
      <c r="G53" s="84"/>
      <c r="H53" s="84"/>
      <c r="I53" s="84"/>
      <c r="J53" s="84"/>
      <c r="K53" s="84"/>
      <c r="L53" s="84">
        <f>F53+G53+H53+I53+J53+K53</f>
        <v>317364</v>
      </c>
      <c r="M53" s="85">
        <v>317364</v>
      </c>
      <c r="N53" s="85">
        <f>ROUND(M53,0)-44403+110614+52004</f>
        <v>435579</v>
      </c>
      <c r="O53" s="90">
        <f t="shared" si="2"/>
        <v>118215</v>
      </c>
      <c r="P53" s="89" t="s">
        <v>142</v>
      </c>
      <c r="Q53" s="84">
        <f t="shared" si="27"/>
        <v>435579</v>
      </c>
      <c r="R53" s="90">
        <f t="shared" si="3"/>
        <v>0</v>
      </c>
      <c r="S53" s="91"/>
      <c r="T53" s="84">
        <f t="shared" si="28"/>
        <v>435579</v>
      </c>
      <c r="U53" s="90">
        <f t="shared" si="4"/>
        <v>0</v>
      </c>
      <c r="V53" s="91"/>
      <c r="W53" s="84">
        <f t="shared" si="29"/>
        <v>435579</v>
      </c>
      <c r="X53" s="90">
        <f t="shared" si="5"/>
        <v>0</v>
      </c>
      <c r="Y53" s="91"/>
      <c r="Z53" s="84">
        <f t="shared" si="30"/>
        <v>435579</v>
      </c>
      <c r="AA53" s="90">
        <f t="shared" si="6"/>
        <v>0</v>
      </c>
      <c r="AB53" s="91"/>
    </row>
    <row r="54" spans="1:28" ht="31.5" customHeight="1" x14ac:dyDescent="0.25">
      <c r="A54" s="1" t="s">
        <v>138</v>
      </c>
      <c r="B54" s="1" t="s">
        <v>169</v>
      </c>
      <c r="C54" s="63" t="s">
        <v>170</v>
      </c>
      <c r="D54" s="43" t="s">
        <v>171</v>
      </c>
      <c r="E54" s="44"/>
      <c r="F54" s="44">
        <v>13088</v>
      </c>
      <c r="G54" s="57"/>
      <c r="H54" s="57"/>
      <c r="I54" s="44"/>
      <c r="J54" s="57"/>
      <c r="K54" s="44"/>
      <c r="L54" s="44">
        <f>F54+G54+H54+I54+J54+K54</f>
        <v>13088</v>
      </c>
      <c r="M54" s="45">
        <v>13088</v>
      </c>
      <c r="N54" s="45">
        <f t="shared" si="26"/>
        <v>13088</v>
      </c>
      <c r="O54" s="44">
        <f t="shared" si="2"/>
        <v>0</v>
      </c>
      <c r="P54" s="55"/>
      <c r="Q54" s="44">
        <f t="shared" si="27"/>
        <v>13088</v>
      </c>
      <c r="R54" s="44">
        <f t="shared" si="3"/>
        <v>0</v>
      </c>
      <c r="S54" s="56"/>
      <c r="T54" s="44">
        <f t="shared" si="28"/>
        <v>13088</v>
      </c>
      <c r="U54" s="44">
        <f t="shared" si="4"/>
        <v>0</v>
      </c>
      <c r="V54" s="56"/>
      <c r="W54" s="44">
        <f t="shared" si="29"/>
        <v>13088</v>
      </c>
      <c r="X54" s="44">
        <f t="shared" si="5"/>
        <v>0</v>
      </c>
      <c r="Y54" s="56"/>
      <c r="Z54" s="44">
        <f t="shared" si="30"/>
        <v>13088</v>
      </c>
      <c r="AA54" s="44">
        <f t="shared" si="6"/>
        <v>0</v>
      </c>
      <c r="AB54" s="56"/>
    </row>
    <row r="55" spans="1:28" ht="19.2" customHeight="1" x14ac:dyDescent="0.3">
      <c r="A55" s="1" t="s">
        <v>138</v>
      </c>
      <c r="B55" s="60" t="s">
        <v>172</v>
      </c>
      <c r="C55" s="63" t="s">
        <v>173</v>
      </c>
      <c r="D55" s="43" t="s">
        <v>174</v>
      </c>
      <c r="E55" s="44">
        <v>0</v>
      </c>
      <c r="F55" s="44">
        <v>14485</v>
      </c>
      <c r="G55" s="44"/>
      <c r="H55" s="44"/>
      <c r="I55" s="44"/>
      <c r="J55" s="44"/>
      <c r="K55" s="44"/>
      <c r="L55" s="44">
        <f>F55+G55+H55+I55+J55+K55</f>
        <v>14485</v>
      </c>
      <c r="M55" s="45">
        <v>14485</v>
      </c>
      <c r="N55" s="45">
        <f>ROUND(M55,0)</f>
        <v>14485</v>
      </c>
      <c r="O55" s="44">
        <f t="shared" si="2"/>
        <v>0</v>
      </c>
      <c r="P55" s="46"/>
      <c r="Q55" s="44">
        <f>ROUND(N55,0)+26175</f>
        <v>40660</v>
      </c>
      <c r="R55" s="44">
        <f t="shared" si="3"/>
        <v>26175</v>
      </c>
      <c r="S55" s="47" t="s">
        <v>175</v>
      </c>
      <c r="T55" s="44">
        <f t="shared" si="28"/>
        <v>40660</v>
      </c>
      <c r="U55" s="44">
        <f t="shared" si="4"/>
        <v>0</v>
      </c>
      <c r="V55" s="47"/>
      <c r="W55" s="44">
        <f t="shared" si="29"/>
        <v>40660</v>
      </c>
      <c r="X55" s="44">
        <f t="shared" si="5"/>
        <v>0</v>
      </c>
      <c r="Y55" s="47"/>
      <c r="Z55" s="44">
        <f t="shared" si="30"/>
        <v>40660</v>
      </c>
      <c r="AA55" s="44">
        <f t="shared" si="6"/>
        <v>0</v>
      </c>
      <c r="AB55" s="47"/>
    </row>
    <row r="56" spans="1:28" ht="19.2" customHeight="1" x14ac:dyDescent="0.3">
      <c r="B56" s="60"/>
      <c r="C56" s="63" t="s">
        <v>176</v>
      </c>
      <c r="D56" s="43" t="s">
        <v>177</v>
      </c>
      <c r="E56" s="44"/>
      <c r="F56" s="44">
        <v>3668</v>
      </c>
      <c r="G56" s="44"/>
      <c r="H56" s="44"/>
      <c r="I56" s="44"/>
      <c r="J56" s="44"/>
      <c r="K56" s="44"/>
      <c r="L56" s="44">
        <f t="shared" ref="L56:L65" si="31">F56+G56+H56+I56+J56+K56</f>
        <v>3668</v>
      </c>
      <c r="M56" s="45">
        <v>3668</v>
      </c>
      <c r="N56" s="45">
        <f>ROUND(M56,0)</f>
        <v>3668</v>
      </c>
      <c r="O56" s="44">
        <f t="shared" si="2"/>
        <v>0</v>
      </c>
      <c r="P56" s="46"/>
      <c r="Q56" s="44">
        <f>ROUND(N56,0)+7552</f>
        <v>11220</v>
      </c>
      <c r="R56" s="44">
        <f t="shared" si="3"/>
        <v>7552</v>
      </c>
      <c r="S56" s="47" t="s">
        <v>175</v>
      </c>
      <c r="T56" s="44">
        <f t="shared" si="28"/>
        <v>11220</v>
      </c>
      <c r="U56" s="44">
        <f t="shared" si="4"/>
        <v>0</v>
      </c>
      <c r="V56" s="47"/>
      <c r="W56" s="44">
        <f t="shared" si="29"/>
        <v>11220</v>
      </c>
      <c r="X56" s="44">
        <f t="shared" si="5"/>
        <v>0</v>
      </c>
      <c r="Y56" s="47"/>
      <c r="Z56" s="44">
        <f t="shared" si="30"/>
        <v>11220</v>
      </c>
      <c r="AA56" s="44">
        <f t="shared" si="6"/>
        <v>0</v>
      </c>
      <c r="AB56" s="47"/>
    </row>
    <row r="57" spans="1:28" ht="18.600000000000001" customHeight="1" x14ac:dyDescent="0.25">
      <c r="B57" s="1" t="s">
        <v>178</v>
      </c>
      <c r="C57" s="63" t="s">
        <v>179</v>
      </c>
      <c r="D57" s="43" t="s">
        <v>180</v>
      </c>
      <c r="E57" s="44"/>
      <c r="F57" s="44">
        <v>501000</v>
      </c>
      <c r="G57" s="44"/>
      <c r="H57" s="44"/>
      <c r="I57" s="44"/>
      <c r="J57" s="44"/>
      <c r="K57" s="44"/>
      <c r="L57" s="44">
        <f t="shared" si="31"/>
        <v>501000</v>
      </c>
      <c r="M57" s="45">
        <v>501000</v>
      </c>
      <c r="N57" s="45">
        <f t="shared" si="26"/>
        <v>501000</v>
      </c>
      <c r="O57" s="44">
        <f t="shared" si="2"/>
        <v>0</v>
      </c>
      <c r="P57" s="70"/>
      <c r="Q57" s="44">
        <f t="shared" si="27"/>
        <v>501000</v>
      </c>
      <c r="R57" s="44">
        <f t="shared" si="3"/>
        <v>0</v>
      </c>
      <c r="S57" s="71"/>
      <c r="T57" s="44">
        <f t="shared" si="28"/>
        <v>501000</v>
      </c>
      <c r="U57" s="44">
        <f t="shared" si="4"/>
        <v>0</v>
      </c>
      <c r="V57" s="71"/>
      <c r="W57" s="44">
        <f t="shared" si="29"/>
        <v>501000</v>
      </c>
      <c r="X57" s="44">
        <f t="shared" si="5"/>
        <v>0</v>
      </c>
      <c r="Y57" s="71"/>
      <c r="Z57" s="44">
        <f t="shared" si="30"/>
        <v>501000</v>
      </c>
      <c r="AA57" s="44">
        <f t="shared" si="6"/>
        <v>0</v>
      </c>
      <c r="AB57" s="71"/>
    </row>
    <row r="58" spans="1:28" ht="31.5" customHeight="1" x14ac:dyDescent="0.25">
      <c r="C58" s="63" t="s">
        <v>181</v>
      </c>
      <c r="D58" s="43" t="s">
        <v>182</v>
      </c>
      <c r="E58" s="44"/>
      <c r="F58" s="44"/>
      <c r="G58" s="44"/>
      <c r="H58" s="44"/>
      <c r="I58" s="44"/>
      <c r="J58" s="44"/>
      <c r="K58" s="44"/>
      <c r="L58" s="44">
        <f t="shared" si="31"/>
        <v>0</v>
      </c>
      <c r="M58" s="45">
        <v>0</v>
      </c>
      <c r="N58" s="45">
        <f t="shared" si="26"/>
        <v>0</v>
      </c>
      <c r="O58" s="44">
        <f t="shared" si="2"/>
        <v>0</v>
      </c>
      <c r="P58" s="46"/>
      <c r="Q58" s="44">
        <f t="shared" si="27"/>
        <v>0</v>
      </c>
      <c r="R58" s="44">
        <f t="shared" si="3"/>
        <v>0</v>
      </c>
      <c r="S58" s="47"/>
      <c r="T58" s="44">
        <f t="shared" si="28"/>
        <v>0</v>
      </c>
      <c r="U58" s="44">
        <f t="shared" si="4"/>
        <v>0</v>
      </c>
      <c r="V58" s="47"/>
      <c r="W58" s="44">
        <f t="shared" si="29"/>
        <v>0</v>
      </c>
      <c r="X58" s="44">
        <f t="shared" si="5"/>
        <v>0</v>
      </c>
      <c r="Y58" s="47"/>
      <c r="Z58" s="44">
        <f t="shared" si="30"/>
        <v>0</v>
      </c>
      <c r="AA58" s="44">
        <f t="shared" si="6"/>
        <v>0</v>
      </c>
      <c r="AB58" s="47"/>
    </row>
    <row r="59" spans="1:28" ht="31.5" customHeight="1" x14ac:dyDescent="0.25">
      <c r="C59" s="63"/>
      <c r="D59" s="43" t="s">
        <v>183</v>
      </c>
      <c r="E59" s="44">
        <v>1875164.83</v>
      </c>
      <c r="F59" s="44"/>
      <c r="G59" s="57"/>
      <c r="H59" s="57"/>
      <c r="I59" s="44"/>
      <c r="J59" s="57"/>
      <c r="K59" s="44"/>
      <c r="L59" s="44">
        <f t="shared" si="31"/>
        <v>0</v>
      </c>
      <c r="M59" s="45">
        <v>0</v>
      </c>
      <c r="N59" s="45"/>
      <c r="O59" s="44">
        <f t="shared" si="2"/>
        <v>0</v>
      </c>
      <c r="P59" s="46"/>
      <c r="Q59" s="44"/>
      <c r="R59" s="44">
        <f t="shared" si="3"/>
        <v>0</v>
      </c>
      <c r="S59" s="47"/>
      <c r="T59" s="44"/>
      <c r="U59" s="44">
        <f t="shared" si="4"/>
        <v>0</v>
      </c>
      <c r="V59" s="47"/>
      <c r="W59" s="44"/>
      <c r="X59" s="44">
        <f t="shared" si="5"/>
        <v>0</v>
      </c>
      <c r="Y59" s="47"/>
      <c r="Z59" s="44"/>
      <c r="AA59" s="44">
        <f t="shared" si="6"/>
        <v>0</v>
      </c>
      <c r="AB59" s="47"/>
    </row>
    <row r="60" spans="1:28" ht="28.2" customHeight="1" x14ac:dyDescent="0.25">
      <c r="B60" s="92" t="s">
        <v>184</v>
      </c>
      <c r="C60" s="63" t="s">
        <v>185</v>
      </c>
      <c r="D60" s="93" t="s">
        <v>186</v>
      </c>
      <c r="E60" s="94"/>
      <c r="F60" s="44">
        <v>342263</v>
      </c>
      <c r="G60" s="44"/>
      <c r="H60" s="44"/>
      <c r="I60" s="44"/>
      <c r="J60" s="44"/>
      <c r="K60" s="44"/>
      <c r="L60" s="44">
        <f>F60+G60+H60+I60+J60+K60</f>
        <v>342263</v>
      </c>
      <c r="M60" s="45">
        <v>342263</v>
      </c>
      <c r="N60" s="45">
        <f>ROUND(M60,0)+59292+1248</f>
        <v>402803</v>
      </c>
      <c r="O60" s="44">
        <f t="shared" si="2"/>
        <v>60540</v>
      </c>
      <c r="P60" s="71" t="s">
        <v>187</v>
      </c>
      <c r="Q60" s="44">
        <f>ROUND(N60,0)+3966</f>
        <v>406769</v>
      </c>
      <c r="R60" s="44">
        <f t="shared" si="3"/>
        <v>3966</v>
      </c>
      <c r="S60" s="47" t="s">
        <v>188</v>
      </c>
      <c r="T60" s="44">
        <f>ROUND(Q60,0)</f>
        <v>406769</v>
      </c>
      <c r="U60" s="44">
        <f t="shared" si="4"/>
        <v>0</v>
      </c>
      <c r="V60" s="47"/>
      <c r="W60" s="44">
        <f t="shared" ref="W60:W65" si="32">ROUND(T60,0)</f>
        <v>406769</v>
      </c>
      <c r="X60" s="44">
        <f t="shared" si="5"/>
        <v>0</v>
      </c>
      <c r="Y60" s="47"/>
      <c r="Z60" s="44">
        <f t="shared" ref="Z60:Z65" si="33">ROUND(W60,0)</f>
        <v>406769</v>
      </c>
      <c r="AA60" s="44">
        <f t="shared" si="6"/>
        <v>0</v>
      </c>
      <c r="AB60" s="47"/>
    </row>
    <row r="61" spans="1:28" ht="58.95" customHeight="1" x14ac:dyDescent="0.25">
      <c r="C61" s="63"/>
      <c r="D61" s="43" t="s">
        <v>189</v>
      </c>
      <c r="E61" s="95">
        <v>700</v>
      </c>
      <c r="F61" s="44"/>
      <c r="G61" s="44"/>
      <c r="H61" s="44"/>
      <c r="I61" s="44"/>
      <c r="J61" s="44"/>
      <c r="K61" s="44"/>
      <c r="L61" s="44">
        <f t="shared" si="31"/>
        <v>0</v>
      </c>
      <c r="M61" s="45">
        <v>0</v>
      </c>
      <c r="N61" s="45">
        <f t="shared" si="26"/>
        <v>0</v>
      </c>
      <c r="O61" s="44">
        <f t="shared" si="2"/>
        <v>0</v>
      </c>
      <c r="P61" s="70"/>
      <c r="Q61" s="44">
        <f>ROUND(N61,0)</f>
        <v>0</v>
      </c>
      <c r="R61" s="44">
        <f t="shared" si="3"/>
        <v>0</v>
      </c>
      <c r="S61" s="71"/>
      <c r="T61" s="44">
        <f>ROUND(Q61,0)</f>
        <v>0</v>
      </c>
      <c r="U61" s="44">
        <f t="shared" si="4"/>
        <v>0</v>
      </c>
      <c r="V61" s="71"/>
      <c r="W61" s="44">
        <f t="shared" si="32"/>
        <v>0</v>
      </c>
      <c r="X61" s="44">
        <f t="shared" si="5"/>
        <v>0</v>
      </c>
      <c r="Y61" s="71"/>
      <c r="Z61" s="44">
        <f t="shared" si="33"/>
        <v>0</v>
      </c>
      <c r="AA61" s="44">
        <f t="shared" si="6"/>
        <v>0</v>
      </c>
      <c r="AB61" s="71"/>
    </row>
    <row r="62" spans="1:28" ht="15.6" customHeight="1" x14ac:dyDescent="0.25">
      <c r="C62" s="63" t="s">
        <v>190</v>
      </c>
      <c r="D62" s="43" t="s">
        <v>191</v>
      </c>
      <c r="E62" s="44"/>
      <c r="F62" s="44">
        <v>50000</v>
      </c>
      <c r="G62" s="44"/>
      <c r="H62" s="44"/>
      <c r="I62" s="44"/>
      <c r="J62" s="44"/>
      <c r="K62" s="44"/>
      <c r="L62" s="44">
        <f t="shared" si="31"/>
        <v>50000</v>
      </c>
      <c r="M62" s="45">
        <v>50000</v>
      </c>
      <c r="N62" s="45">
        <f t="shared" si="26"/>
        <v>50000</v>
      </c>
      <c r="O62" s="44">
        <f t="shared" si="2"/>
        <v>0</v>
      </c>
      <c r="P62" s="70"/>
      <c r="Q62" s="44">
        <f>ROUND(N62,0)</f>
        <v>50000</v>
      </c>
      <c r="R62" s="44">
        <f t="shared" si="3"/>
        <v>0</v>
      </c>
      <c r="S62" s="71"/>
      <c r="T62" s="44">
        <f>ROUND(Q62,0)</f>
        <v>50000</v>
      </c>
      <c r="U62" s="44">
        <f t="shared" si="4"/>
        <v>0</v>
      </c>
      <c r="V62" s="71"/>
      <c r="W62" s="44">
        <f t="shared" si="32"/>
        <v>50000</v>
      </c>
      <c r="X62" s="44">
        <f t="shared" si="5"/>
        <v>0</v>
      </c>
      <c r="Y62" s="71"/>
      <c r="Z62" s="44">
        <f t="shared" si="33"/>
        <v>50000</v>
      </c>
      <c r="AA62" s="44">
        <f t="shared" si="6"/>
        <v>0</v>
      </c>
      <c r="AB62" s="71"/>
    </row>
    <row r="63" spans="1:28" ht="17.399999999999999" customHeight="1" x14ac:dyDescent="0.25">
      <c r="B63" s="1" t="s">
        <v>158</v>
      </c>
      <c r="C63" s="63" t="s">
        <v>192</v>
      </c>
      <c r="D63" s="43" t="s">
        <v>193</v>
      </c>
      <c r="E63" s="44"/>
      <c r="F63" s="44">
        <v>200000</v>
      </c>
      <c r="G63" s="44"/>
      <c r="H63" s="44"/>
      <c r="I63" s="44"/>
      <c r="J63" s="44"/>
      <c r="K63" s="44"/>
      <c r="L63" s="96">
        <f t="shared" si="31"/>
        <v>200000</v>
      </c>
      <c r="M63" s="45">
        <v>200000</v>
      </c>
      <c r="N63" s="45">
        <f t="shared" si="26"/>
        <v>200000</v>
      </c>
      <c r="O63" s="44">
        <f t="shared" si="2"/>
        <v>0</v>
      </c>
      <c r="P63" s="70"/>
      <c r="Q63" s="44">
        <f>ROUND(N63,0)</f>
        <v>200000</v>
      </c>
      <c r="R63" s="44">
        <f t="shared" si="3"/>
        <v>0</v>
      </c>
      <c r="S63" s="71"/>
      <c r="T63" s="44">
        <f>ROUND(Q63,0)</f>
        <v>200000</v>
      </c>
      <c r="U63" s="44">
        <f t="shared" si="4"/>
        <v>0</v>
      </c>
      <c r="V63" s="71"/>
      <c r="W63" s="44">
        <f t="shared" si="32"/>
        <v>200000</v>
      </c>
      <c r="X63" s="44">
        <f t="shared" si="5"/>
        <v>0</v>
      </c>
      <c r="Y63" s="71"/>
      <c r="Z63" s="44">
        <f t="shared" si="33"/>
        <v>200000</v>
      </c>
      <c r="AA63" s="44">
        <f t="shared" si="6"/>
        <v>0</v>
      </c>
      <c r="AB63" s="71"/>
    </row>
    <row r="64" spans="1:28" ht="14.4" x14ac:dyDescent="0.3">
      <c r="A64" s="1" t="s">
        <v>138</v>
      </c>
      <c r="B64" s="60" t="s">
        <v>194</v>
      </c>
      <c r="C64" s="63" t="s">
        <v>195</v>
      </c>
      <c r="D64" s="97" t="s">
        <v>196</v>
      </c>
      <c r="E64" s="44">
        <v>12607</v>
      </c>
      <c r="F64" s="44"/>
      <c r="G64" s="44"/>
      <c r="H64" s="44"/>
      <c r="I64" s="44"/>
      <c r="J64" s="44"/>
      <c r="K64" s="44"/>
      <c r="L64" s="44">
        <f t="shared" si="31"/>
        <v>0</v>
      </c>
      <c r="M64" s="45">
        <v>0</v>
      </c>
      <c r="N64" s="45">
        <f t="shared" si="26"/>
        <v>0</v>
      </c>
      <c r="O64" s="44">
        <f>N64-M64</f>
        <v>0</v>
      </c>
      <c r="P64" s="98"/>
      <c r="Q64" s="44">
        <f>ROUND(N64,0)</f>
        <v>0</v>
      </c>
      <c r="R64" s="44">
        <f>Q64-N64</f>
        <v>0</v>
      </c>
      <c r="S64" s="99"/>
      <c r="T64" s="44">
        <f>ROUND(Q64,0)</f>
        <v>0</v>
      </c>
      <c r="U64" s="44">
        <f>T64-Q64</f>
        <v>0</v>
      </c>
      <c r="V64" s="99"/>
      <c r="W64" s="44">
        <f t="shared" si="32"/>
        <v>0</v>
      </c>
      <c r="X64" s="44">
        <f>W64-T64</f>
        <v>0</v>
      </c>
      <c r="Y64" s="99"/>
      <c r="Z64" s="44">
        <f t="shared" si="33"/>
        <v>0</v>
      </c>
      <c r="AA64" s="44">
        <f>Z64-W64</f>
        <v>0</v>
      </c>
      <c r="AB64" s="99"/>
    </row>
    <row r="65" spans="1:28" ht="62.25" customHeight="1" x14ac:dyDescent="0.25">
      <c r="A65" s="92" t="s">
        <v>197</v>
      </c>
      <c r="B65" s="1" t="s">
        <v>198</v>
      </c>
      <c r="C65" s="63" t="s">
        <v>199</v>
      </c>
      <c r="D65" s="43" t="s">
        <v>200</v>
      </c>
      <c r="E65" s="44"/>
      <c r="F65" s="44">
        <f>50000+60000+16000+17640</f>
        <v>143640</v>
      </c>
      <c r="G65" s="44"/>
      <c r="H65" s="44"/>
      <c r="I65" s="44"/>
      <c r="J65" s="44"/>
      <c r="K65" s="44"/>
      <c r="L65" s="44">
        <f t="shared" si="31"/>
        <v>143640</v>
      </c>
      <c r="M65" s="45">
        <v>143640</v>
      </c>
      <c r="N65" s="45">
        <f>ROUND(M65,0)+8232</f>
        <v>151872</v>
      </c>
      <c r="O65" s="44">
        <f t="shared" si="2"/>
        <v>8232</v>
      </c>
      <c r="P65" s="100" t="s">
        <v>201</v>
      </c>
      <c r="Q65" s="44">
        <f>ROUND(N65,0)</f>
        <v>151872</v>
      </c>
      <c r="R65" s="44">
        <f t="shared" si="3"/>
        <v>0</v>
      </c>
      <c r="S65" s="71"/>
      <c r="T65" s="44">
        <f>ROUND(Q65,0)+50781</f>
        <v>202653</v>
      </c>
      <c r="U65" s="44">
        <f t="shared" si="4"/>
        <v>50781</v>
      </c>
      <c r="V65" s="71" t="s">
        <v>202</v>
      </c>
      <c r="W65" s="44">
        <f t="shared" si="32"/>
        <v>202653</v>
      </c>
      <c r="X65" s="44">
        <f t="shared" si="5"/>
        <v>0</v>
      </c>
      <c r="Y65" s="71"/>
      <c r="Z65" s="44">
        <f t="shared" si="33"/>
        <v>202653</v>
      </c>
      <c r="AA65" s="44">
        <f t="shared" ref="AA65:AA124" si="34">Z65-W65</f>
        <v>0</v>
      </c>
      <c r="AB65" s="71"/>
    </row>
    <row r="66" spans="1:28" ht="32.25" customHeight="1" x14ac:dyDescent="0.25">
      <c r="C66" s="73" t="s">
        <v>203</v>
      </c>
      <c r="D66" s="74" t="s">
        <v>204</v>
      </c>
      <c r="E66" s="75">
        <f t="shared" ref="E66:N66" si="35">SUM(E67:E86)</f>
        <v>819239</v>
      </c>
      <c r="F66" s="75">
        <f t="shared" si="35"/>
        <v>0</v>
      </c>
      <c r="G66" s="75">
        <f t="shared" si="35"/>
        <v>1159816</v>
      </c>
      <c r="H66" s="75">
        <f t="shared" si="35"/>
        <v>0</v>
      </c>
      <c r="I66" s="75">
        <f t="shared" si="35"/>
        <v>0</v>
      </c>
      <c r="J66" s="75">
        <f t="shared" si="35"/>
        <v>0</v>
      </c>
      <c r="K66" s="75">
        <f t="shared" si="35"/>
        <v>0</v>
      </c>
      <c r="L66" s="75">
        <f t="shared" si="35"/>
        <v>1159816</v>
      </c>
      <c r="M66" s="101">
        <v>1159816</v>
      </c>
      <c r="N66" s="101">
        <f t="shared" si="35"/>
        <v>1271081</v>
      </c>
      <c r="O66" s="75">
        <f t="shared" si="2"/>
        <v>111265</v>
      </c>
      <c r="P66" s="102"/>
      <c r="Q66" s="75">
        <f>SUM(Q67:Q86)</f>
        <v>1246934</v>
      </c>
      <c r="R66" s="75">
        <f t="shared" si="3"/>
        <v>-24147</v>
      </c>
      <c r="S66" s="103"/>
      <c r="T66" s="75">
        <f>SUM(T67:T86)</f>
        <v>1246934</v>
      </c>
      <c r="U66" s="75">
        <f t="shared" si="4"/>
        <v>0</v>
      </c>
      <c r="V66" s="103"/>
      <c r="W66" s="75">
        <f>SUM(W67:W86)</f>
        <v>1246934</v>
      </c>
      <c r="X66" s="75">
        <f t="shared" si="5"/>
        <v>0</v>
      </c>
      <c r="Y66" s="103"/>
      <c r="Z66" s="75">
        <f>SUM(Z67:Z86)</f>
        <v>1293034</v>
      </c>
      <c r="AA66" s="75">
        <f t="shared" si="34"/>
        <v>46100</v>
      </c>
      <c r="AB66" s="103"/>
    </row>
    <row r="67" spans="1:28" x14ac:dyDescent="0.25">
      <c r="A67" s="1" t="s">
        <v>205</v>
      </c>
      <c r="B67" s="1" t="s">
        <v>206</v>
      </c>
      <c r="C67" s="63" t="s">
        <v>207</v>
      </c>
      <c r="D67" s="97" t="s">
        <v>208</v>
      </c>
      <c r="E67" s="44">
        <v>9946</v>
      </c>
      <c r="F67" s="44"/>
      <c r="G67" s="44">
        <v>0</v>
      </c>
      <c r="H67" s="44"/>
      <c r="I67" s="44"/>
      <c r="J67" s="44"/>
      <c r="K67" s="44"/>
      <c r="L67" s="44">
        <f t="shared" ref="L67:L87" si="36">F67+G67+H67+I67+J67+K67</f>
        <v>0</v>
      </c>
      <c r="M67" s="45">
        <v>0</v>
      </c>
      <c r="N67" s="45">
        <f>ROUND(M67,0)+(109839-16873)</f>
        <v>92966</v>
      </c>
      <c r="O67" s="44">
        <f t="shared" si="2"/>
        <v>92966</v>
      </c>
      <c r="P67" s="59" t="s">
        <v>209</v>
      </c>
      <c r="Q67" s="44">
        <f t="shared" ref="Q67:Q87" si="37">ROUND(N67,0)</f>
        <v>92966</v>
      </c>
      <c r="R67" s="44">
        <f t="shared" si="3"/>
        <v>0</v>
      </c>
      <c r="S67" s="59"/>
      <c r="T67" s="44">
        <f t="shared" ref="T67:T87" si="38">ROUND(Q67,0)</f>
        <v>92966</v>
      </c>
      <c r="U67" s="44">
        <f t="shared" si="4"/>
        <v>0</v>
      </c>
      <c r="V67" s="59"/>
      <c r="W67" s="44">
        <f t="shared" ref="W67:W87" si="39">ROUND(T67,0)</f>
        <v>92966</v>
      </c>
      <c r="X67" s="44">
        <f t="shared" si="5"/>
        <v>0</v>
      </c>
      <c r="Y67" s="59"/>
      <c r="Z67" s="44">
        <f t="shared" ref="Z67:Z87" si="40">ROUND(W67,0)</f>
        <v>92966</v>
      </c>
      <c r="AA67" s="44">
        <f t="shared" si="34"/>
        <v>0</v>
      </c>
      <c r="AB67" s="59"/>
    </row>
    <row r="68" spans="1:28" x14ac:dyDescent="0.25">
      <c r="C68" s="63" t="s">
        <v>210</v>
      </c>
      <c r="D68" s="97" t="s">
        <v>211</v>
      </c>
      <c r="E68" s="44">
        <v>16012</v>
      </c>
      <c r="F68" s="44"/>
      <c r="G68" s="44">
        <f>80000-16012</f>
        <v>63988</v>
      </c>
      <c r="H68" s="44"/>
      <c r="I68" s="44"/>
      <c r="J68" s="44"/>
      <c r="K68" s="44"/>
      <c r="L68" s="44">
        <f>F68+G68+H68+I68+J68+K68</f>
        <v>63988</v>
      </c>
      <c r="M68" s="45">
        <v>63988</v>
      </c>
      <c r="N68" s="45">
        <f t="shared" ref="N68:N87" si="41">ROUND(M68,0)</f>
        <v>63988</v>
      </c>
      <c r="O68" s="44">
        <f t="shared" si="2"/>
        <v>0</v>
      </c>
      <c r="P68" s="70"/>
      <c r="Q68" s="44">
        <f t="shared" si="37"/>
        <v>63988</v>
      </c>
      <c r="R68" s="44">
        <f t="shared" si="3"/>
        <v>0</v>
      </c>
      <c r="S68" s="71"/>
      <c r="T68" s="44">
        <f t="shared" si="38"/>
        <v>63988</v>
      </c>
      <c r="U68" s="44">
        <f t="shared" si="4"/>
        <v>0</v>
      </c>
      <c r="V68" s="71"/>
      <c r="W68" s="44">
        <f t="shared" si="39"/>
        <v>63988</v>
      </c>
      <c r="X68" s="44">
        <f t="shared" si="5"/>
        <v>0</v>
      </c>
      <c r="Y68" s="71"/>
      <c r="Z68" s="44">
        <f t="shared" si="40"/>
        <v>63988</v>
      </c>
      <c r="AA68" s="44">
        <f t="shared" si="34"/>
        <v>0</v>
      </c>
      <c r="AB68" s="71"/>
    </row>
    <row r="69" spans="1:28" ht="27.6" x14ac:dyDescent="0.25">
      <c r="B69" s="104" t="s">
        <v>212</v>
      </c>
      <c r="C69" s="63" t="s">
        <v>213</v>
      </c>
      <c r="D69" s="97" t="s">
        <v>214</v>
      </c>
      <c r="E69" s="44"/>
      <c r="F69" s="44"/>
      <c r="G69" s="44">
        <v>2532</v>
      </c>
      <c r="H69" s="44"/>
      <c r="I69" s="44"/>
      <c r="J69" s="44"/>
      <c r="K69" s="44"/>
      <c r="L69" s="44">
        <f t="shared" si="36"/>
        <v>2532</v>
      </c>
      <c r="M69" s="45">
        <v>2532</v>
      </c>
      <c r="N69" s="45">
        <f t="shared" si="41"/>
        <v>2532</v>
      </c>
      <c r="O69" s="44">
        <f t="shared" si="2"/>
        <v>0</v>
      </c>
      <c r="P69" s="58"/>
      <c r="Q69" s="44">
        <f t="shared" si="37"/>
        <v>2532</v>
      </c>
      <c r="R69" s="44">
        <f t="shared" si="3"/>
        <v>0</v>
      </c>
      <c r="S69" s="59"/>
      <c r="T69" s="44">
        <f t="shared" si="38"/>
        <v>2532</v>
      </c>
      <c r="U69" s="44">
        <f t="shared" si="4"/>
        <v>0</v>
      </c>
      <c r="V69" s="59"/>
      <c r="W69" s="44">
        <f t="shared" si="39"/>
        <v>2532</v>
      </c>
      <c r="X69" s="44">
        <f t="shared" si="5"/>
        <v>0</v>
      </c>
      <c r="Y69" s="59"/>
      <c r="Z69" s="44">
        <f t="shared" si="40"/>
        <v>2532</v>
      </c>
      <c r="AA69" s="44">
        <f t="shared" si="34"/>
        <v>0</v>
      </c>
      <c r="AB69" s="59"/>
    </row>
    <row r="70" spans="1:28" ht="27.6" x14ac:dyDescent="0.25">
      <c r="B70" s="104"/>
      <c r="C70" s="63" t="s">
        <v>215</v>
      </c>
      <c r="D70" s="97" t="s">
        <v>216</v>
      </c>
      <c r="E70" s="44"/>
      <c r="F70" s="44"/>
      <c r="G70" s="44">
        <v>5135</v>
      </c>
      <c r="H70" s="44"/>
      <c r="I70" s="44"/>
      <c r="J70" s="44"/>
      <c r="K70" s="44"/>
      <c r="L70" s="44">
        <f t="shared" si="36"/>
        <v>5135</v>
      </c>
      <c r="M70" s="45">
        <v>5135</v>
      </c>
      <c r="N70" s="45">
        <f t="shared" si="41"/>
        <v>5135</v>
      </c>
      <c r="O70" s="44">
        <f t="shared" si="2"/>
        <v>0</v>
      </c>
      <c r="P70" s="58"/>
      <c r="Q70" s="44">
        <f t="shared" si="37"/>
        <v>5135</v>
      </c>
      <c r="R70" s="44">
        <f t="shared" si="3"/>
        <v>0</v>
      </c>
      <c r="S70" s="59"/>
      <c r="T70" s="44">
        <f t="shared" si="38"/>
        <v>5135</v>
      </c>
      <c r="U70" s="44">
        <f t="shared" si="4"/>
        <v>0</v>
      </c>
      <c r="V70" s="59"/>
      <c r="W70" s="44">
        <f t="shared" si="39"/>
        <v>5135</v>
      </c>
      <c r="X70" s="44">
        <f t="shared" si="5"/>
        <v>0</v>
      </c>
      <c r="Y70" s="59"/>
      <c r="Z70" s="44">
        <f t="shared" si="40"/>
        <v>5135</v>
      </c>
      <c r="AA70" s="44">
        <f t="shared" si="34"/>
        <v>0</v>
      </c>
      <c r="AB70" s="59"/>
    </row>
    <row r="71" spans="1:28" x14ac:dyDescent="0.25">
      <c r="B71" s="104"/>
      <c r="C71" s="63" t="s">
        <v>217</v>
      </c>
      <c r="D71" s="97" t="s">
        <v>218</v>
      </c>
      <c r="E71" s="44"/>
      <c r="F71" s="44"/>
      <c r="G71" s="44">
        <v>9000</v>
      </c>
      <c r="H71" s="44"/>
      <c r="I71" s="44"/>
      <c r="J71" s="44"/>
      <c r="K71" s="44"/>
      <c r="L71" s="44">
        <f t="shared" si="36"/>
        <v>9000</v>
      </c>
      <c r="M71" s="45">
        <v>9000</v>
      </c>
      <c r="N71" s="45">
        <f t="shared" si="41"/>
        <v>9000</v>
      </c>
      <c r="O71" s="44">
        <f t="shared" si="2"/>
        <v>0</v>
      </c>
      <c r="P71" s="58"/>
      <c r="Q71" s="44">
        <f t="shared" si="37"/>
        <v>9000</v>
      </c>
      <c r="R71" s="44">
        <f t="shared" si="3"/>
        <v>0</v>
      </c>
      <c r="S71" s="59"/>
      <c r="T71" s="44">
        <f t="shared" si="38"/>
        <v>9000</v>
      </c>
      <c r="U71" s="44">
        <f t="shared" si="4"/>
        <v>0</v>
      </c>
      <c r="V71" s="59"/>
      <c r="W71" s="44">
        <f t="shared" si="39"/>
        <v>9000</v>
      </c>
      <c r="X71" s="44">
        <f t="shared" si="5"/>
        <v>0</v>
      </c>
      <c r="Y71" s="59"/>
      <c r="Z71" s="44">
        <f t="shared" si="40"/>
        <v>9000</v>
      </c>
      <c r="AA71" s="44">
        <f t="shared" si="34"/>
        <v>0</v>
      </c>
      <c r="AB71" s="59"/>
    </row>
    <row r="72" spans="1:28" ht="55.2" x14ac:dyDescent="0.25">
      <c r="B72" s="104"/>
      <c r="C72" s="63" t="s">
        <v>219</v>
      </c>
      <c r="D72" s="97" t="s">
        <v>220</v>
      </c>
      <c r="E72" s="44"/>
      <c r="F72" s="44"/>
      <c r="G72" s="44">
        <v>6010</v>
      </c>
      <c r="H72" s="44"/>
      <c r="I72" s="44"/>
      <c r="J72" s="44"/>
      <c r="K72" s="44"/>
      <c r="L72" s="44">
        <f t="shared" si="36"/>
        <v>6010</v>
      </c>
      <c r="M72" s="45">
        <v>6010</v>
      </c>
      <c r="N72" s="45">
        <f t="shared" si="41"/>
        <v>6010</v>
      </c>
      <c r="O72" s="44">
        <f>N72-M72</f>
        <v>0</v>
      </c>
      <c r="P72" s="58"/>
      <c r="Q72" s="44">
        <f t="shared" si="37"/>
        <v>6010</v>
      </c>
      <c r="R72" s="44">
        <f t="shared" si="3"/>
        <v>0</v>
      </c>
      <c r="S72" s="59"/>
      <c r="T72" s="44">
        <f t="shared" si="38"/>
        <v>6010</v>
      </c>
      <c r="U72" s="44">
        <f t="shared" si="4"/>
        <v>0</v>
      </c>
      <c r="V72" s="59"/>
      <c r="W72" s="44">
        <f t="shared" si="39"/>
        <v>6010</v>
      </c>
      <c r="X72" s="44">
        <f t="shared" si="5"/>
        <v>0</v>
      </c>
      <c r="Y72" s="59"/>
      <c r="Z72" s="44">
        <f t="shared" si="40"/>
        <v>6010</v>
      </c>
      <c r="AA72" s="44">
        <f t="shared" si="34"/>
        <v>0</v>
      </c>
      <c r="AB72" s="59"/>
    </row>
    <row r="73" spans="1:28" ht="41.4" x14ac:dyDescent="0.25">
      <c r="B73" s="104"/>
      <c r="C73" s="63" t="s">
        <v>221</v>
      </c>
      <c r="D73" s="97" t="s">
        <v>222</v>
      </c>
      <c r="E73" s="44"/>
      <c r="F73" s="44"/>
      <c r="G73" s="44">
        <v>30655</v>
      </c>
      <c r="H73" s="44"/>
      <c r="I73" s="44"/>
      <c r="J73" s="44"/>
      <c r="K73" s="44"/>
      <c r="L73" s="44">
        <f t="shared" si="36"/>
        <v>30655</v>
      </c>
      <c r="M73" s="45">
        <v>30655</v>
      </c>
      <c r="N73" s="45">
        <f>ROUND(M73,0)</f>
        <v>30655</v>
      </c>
      <c r="O73" s="44">
        <f>N73-M73</f>
        <v>0</v>
      </c>
      <c r="P73" s="58"/>
      <c r="Q73" s="44">
        <f t="shared" si="37"/>
        <v>30655</v>
      </c>
      <c r="R73" s="44">
        <f t="shared" si="3"/>
        <v>0</v>
      </c>
      <c r="S73" s="59"/>
      <c r="T73" s="44">
        <f t="shared" si="38"/>
        <v>30655</v>
      </c>
      <c r="U73" s="44">
        <f t="shared" si="4"/>
        <v>0</v>
      </c>
      <c r="V73" s="59"/>
      <c r="W73" s="44">
        <f t="shared" si="39"/>
        <v>30655</v>
      </c>
      <c r="X73" s="44">
        <f t="shared" si="5"/>
        <v>0</v>
      </c>
      <c r="Y73" s="59"/>
      <c r="Z73" s="44">
        <f t="shared" si="40"/>
        <v>30655</v>
      </c>
      <c r="AA73" s="44">
        <f t="shared" si="34"/>
        <v>0</v>
      </c>
      <c r="AB73" s="59"/>
    </row>
    <row r="74" spans="1:28" x14ac:dyDescent="0.25">
      <c r="A74" s="92" t="s">
        <v>223</v>
      </c>
      <c r="B74" s="104"/>
      <c r="C74" s="63" t="s">
        <v>224</v>
      </c>
      <c r="D74" s="97" t="s">
        <v>225</v>
      </c>
      <c r="E74" s="44">
        <v>168527</v>
      </c>
      <c r="F74" s="44"/>
      <c r="G74" s="44"/>
      <c r="H74" s="44"/>
      <c r="I74" s="44"/>
      <c r="J74" s="44"/>
      <c r="K74" s="44"/>
      <c r="L74" s="44">
        <f t="shared" si="36"/>
        <v>0</v>
      </c>
      <c r="M74" s="45">
        <v>0</v>
      </c>
      <c r="N74" s="45">
        <f>ROUND(M74,0)</f>
        <v>0</v>
      </c>
      <c r="O74" s="44">
        <f>N74-M74</f>
        <v>0</v>
      </c>
      <c r="P74" s="58"/>
      <c r="Q74" s="44">
        <f t="shared" si="37"/>
        <v>0</v>
      </c>
      <c r="R74" s="44">
        <f t="shared" si="3"/>
        <v>0</v>
      </c>
      <c r="S74" s="59"/>
      <c r="T74" s="44">
        <f t="shared" si="38"/>
        <v>0</v>
      </c>
      <c r="U74" s="44">
        <f t="shared" si="4"/>
        <v>0</v>
      </c>
      <c r="V74" s="59"/>
      <c r="W74" s="44">
        <f t="shared" si="39"/>
        <v>0</v>
      </c>
      <c r="X74" s="44">
        <f t="shared" si="5"/>
        <v>0</v>
      </c>
      <c r="Y74" s="59"/>
      <c r="Z74" s="44">
        <f t="shared" si="40"/>
        <v>0</v>
      </c>
      <c r="AA74" s="44">
        <f t="shared" si="34"/>
        <v>0</v>
      </c>
      <c r="AB74" s="59"/>
    </row>
    <row r="75" spans="1:28" ht="55.2" x14ac:dyDescent="0.25">
      <c r="A75" s="92" t="s">
        <v>197</v>
      </c>
      <c r="B75" s="104"/>
      <c r="C75" s="63" t="s">
        <v>226</v>
      </c>
      <c r="D75" s="97" t="s">
        <v>227</v>
      </c>
      <c r="E75" s="44">
        <v>50458</v>
      </c>
      <c r="F75" s="44"/>
      <c r="G75" s="44"/>
      <c r="H75" s="44"/>
      <c r="I75" s="44"/>
      <c r="J75" s="44"/>
      <c r="K75" s="44"/>
      <c r="L75" s="44">
        <f t="shared" si="36"/>
        <v>0</v>
      </c>
      <c r="M75" s="45">
        <v>0</v>
      </c>
      <c r="N75" s="45">
        <f>ROUND(M75,0)+18299</f>
        <v>18299</v>
      </c>
      <c r="O75" s="44">
        <f>N75-M75</f>
        <v>18299</v>
      </c>
      <c r="P75" s="105" t="s">
        <v>228</v>
      </c>
      <c r="Q75" s="44">
        <f t="shared" si="37"/>
        <v>18299</v>
      </c>
      <c r="R75" s="44">
        <f t="shared" si="3"/>
        <v>0</v>
      </c>
      <c r="S75" s="59"/>
      <c r="T75" s="44">
        <f t="shared" si="38"/>
        <v>18299</v>
      </c>
      <c r="U75" s="44">
        <f t="shared" si="4"/>
        <v>0</v>
      </c>
      <c r="V75" s="59"/>
      <c r="W75" s="44">
        <f t="shared" si="39"/>
        <v>18299</v>
      </c>
      <c r="X75" s="44">
        <f t="shared" si="5"/>
        <v>0</v>
      </c>
      <c r="Y75" s="59"/>
      <c r="Z75" s="44">
        <f t="shared" si="40"/>
        <v>18299</v>
      </c>
      <c r="AA75" s="44">
        <f t="shared" si="34"/>
        <v>0</v>
      </c>
      <c r="AB75" s="59"/>
    </row>
    <row r="76" spans="1:28" ht="41.4" x14ac:dyDescent="0.25">
      <c r="B76" s="1" t="s">
        <v>229</v>
      </c>
      <c r="C76" s="63" t="s">
        <v>230</v>
      </c>
      <c r="D76" s="97" t="s">
        <v>231</v>
      </c>
      <c r="E76" s="44">
        <f>4086+10226</f>
        <v>14312</v>
      </c>
      <c r="F76" s="44"/>
      <c r="G76" s="44"/>
      <c r="H76" s="44"/>
      <c r="I76" s="44"/>
      <c r="J76" s="44"/>
      <c r="K76" s="44"/>
      <c r="L76" s="44">
        <f t="shared" si="36"/>
        <v>0</v>
      </c>
      <c r="M76" s="45">
        <v>0</v>
      </c>
      <c r="N76" s="45">
        <f t="shared" si="41"/>
        <v>0</v>
      </c>
      <c r="O76" s="44">
        <f t="shared" ref="O76:O124" si="42">N76-M76</f>
        <v>0</v>
      </c>
      <c r="P76" s="61"/>
      <c r="Q76" s="44">
        <f t="shared" si="37"/>
        <v>0</v>
      </c>
      <c r="R76" s="44">
        <f t="shared" si="3"/>
        <v>0</v>
      </c>
      <c r="S76" s="62"/>
      <c r="T76" s="44">
        <f t="shared" si="38"/>
        <v>0</v>
      </c>
      <c r="U76" s="44">
        <f t="shared" si="4"/>
        <v>0</v>
      </c>
      <c r="V76" s="62"/>
      <c r="W76" s="44">
        <f t="shared" si="39"/>
        <v>0</v>
      </c>
      <c r="X76" s="44">
        <f t="shared" si="5"/>
        <v>0</v>
      </c>
      <c r="Y76" s="62"/>
      <c r="Z76" s="44">
        <f t="shared" si="40"/>
        <v>0</v>
      </c>
      <c r="AA76" s="44">
        <f t="shared" si="34"/>
        <v>0</v>
      </c>
      <c r="AB76" s="62"/>
    </row>
    <row r="77" spans="1:28" ht="28.2" x14ac:dyDescent="0.3">
      <c r="B77" s="60" t="s">
        <v>232</v>
      </c>
      <c r="C77" s="63" t="s">
        <v>233</v>
      </c>
      <c r="D77" s="97" t="s">
        <v>234</v>
      </c>
      <c r="E77" s="44">
        <v>15746</v>
      </c>
      <c r="F77" s="44"/>
      <c r="G77" s="44"/>
      <c r="H77" s="44"/>
      <c r="I77" s="44"/>
      <c r="J77" s="44"/>
      <c r="K77" s="44"/>
      <c r="L77" s="44">
        <f t="shared" si="36"/>
        <v>0</v>
      </c>
      <c r="M77" s="45">
        <v>0</v>
      </c>
      <c r="N77" s="45">
        <f t="shared" si="41"/>
        <v>0</v>
      </c>
      <c r="O77" s="44">
        <f t="shared" si="42"/>
        <v>0</v>
      </c>
      <c r="P77" s="106"/>
      <c r="Q77" s="44">
        <f t="shared" si="37"/>
        <v>0</v>
      </c>
      <c r="R77" s="44">
        <f t="shared" ref="R77:R124" si="43">Q77-N77</f>
        <v>0</v>
      </c>
      <c r="S77" s="107"/>
      <c r="T77" s="44">
        <f t="shared" si="38"/>
        <v>0</v>
      </c>
      <c r="U77" s="44">
        <f t="shared" ref="U77:U124" si="44">T77-Q77</f>
        <v>0</v>
      </c>
      <c r="V77" s="107"/>
      <c r="W77" s="44">
        <f t="shared" si="39"/>
        <v>0</v>
      </c>
      <c r="X77" s="44">
        <f t="shared" ref="X77:X124" si="45">W77-T77</f>
        <v>0</v>
      </c>
      <c r="Y77" s="107"/>
      <c r="Z77" s="44">
        <f t="shared" si="40"/>
        <v>0</v>
      </c>
      <c r="AA77" s="44">
        <f t="shared" si="34"/>
        <v>0</v>
      </c>
      <c r="AB77" s="107"/>
    </row>
    <row r="78" spans="1:28" ht="28.2" x14ac:dyDescent="0.3">
      <c r="B78" s="60"/>
      <c r="C78" s="63" t="s">
        <v>235</v>
      </c>
      <c r="D78" s="97" t="s">
        <v>236</v>
      </c>
      <c r="E78" s="44"/>
      <c r="F78" s="44"/>
      <c r="G78" s="44"/>
      <c r="H78" s="44"/>
      <c r="I78" s="44"/>
      <c r="J78" s="44"/>
      <c r="K78" s="44"/>
      <c r="L78" s="44">
        <f t="shared" si="36"/>
        <v>0</v>
      </c>
      <c r="M78" s="45">
        <v>0</v>
      </c>
      <c r="N78" s="45">
        <f t="shared" si="41"/>
        <v>0</v>
      </c>
      <c r="O78" s="44">
        <f t="shared" si="42"/>
        <v>0</v>
      </c>
      <c r="P78" s="106"/>
      <c r="Q78" s="44">
        <f t="shared" si="37"/>
        <v>0</v>
      </c>
      <c r="R78" s="44">
        <f t="shared" si="43"/>
        <v>0</v>
      </c>
      <c r="S78" s="107"/>
      <c r="T78" s="44">
        <f t="shared" si="38"/>
        <v>0</v>
      </c>
      <c r="U78" s="44">
        <f t="shared" si="44"/>
        <v>0</v>
      </c>
      <c r="V78" s="107"/>
      <c r="W78" s="44">
        <f t="shared" si="39"/>
        <v>0</v>
      </c>
      <c r="X78" s="44">
        <f t="shared" si="45"/>
        <v>0</v>
      </c>
      <c r="Y78" s="107"/>
      <c r="Z78" s="44">
        <f t="shared" si="40"/>
        <v>0</v>
      </c>
      <c r="AA78" s="44">
        <f t="shared" si="34"/>
        <v>0</v>
      </c>
      <c r="AB78" s="107"/>
    </row>
    <row r="79" spans="1:28" ht="14.4" x14ac:dyDescent="0.3">
      <c r="B79" s="60"/>
      <c r="C79" s="63" t="s">
        <v>237</v>
      </c>
      <c r="D79" s="97" t="s">
        <v>238</v>
      </c>
      <c r="E79" s="44">
        <v>209617</v>
      </c>
      <c r="F79" s="44"/>
      <c r="G79" s="44"/>
      <c r="H79" s="44"/>
      <c r="I79" s="44"/>
      <c r="J79" s="44"/>
      <c r="K79" s="44">
        <f>[1]BAZE_2024!G23</f>
        <v>0</v>
      </c>
      <c r="L79" s="44">
        <f t="shared" si="36"/>
        <v>0</v>
      </c>
      <c r="M79" s="45">
        <v>0</v>
      </c>
      <c r="N79" s="45">
        <f t="shared" si="41"/>
        <v>0</v>
      </c>
      <c r="O79" s="44">
        <f t="shared" si="42"/>
        <v>0</v>
      </c>
      <c r="P79" s="106"/>
      <c r="Q79" s="44">
        <f t="shared" si="37"/>
        <v>0</v>
      </c>
      <c r="R79" s="44">
        <f t="shared" si="43"/>
        <v>0</v>
      </c>
      <c r="S79" s="107"/>
      <c r="T79" s="44">
        <f t="shared" si="38"/>
        <v>0</v>
      </c>
      <c r="U79" s="44">
        <f t="shared" si="44"/>
        <v>0</v>
      </c>
      <c r="V79" s="107"/>
      <c r="W79" s="44">
        <f t="shared" si="39"/>
        <v>0</v>
      </c>
      <c r="X79" s="44">
        <f t="shared" si="45"/>
        <v>0</v>
      </c>
      <c r="Y79" s="107"/>
      <c r="Z79" s="44">
        <f t="shared" si="40"/>
        <v>0</v>
      </c>
      <c r="AA79" s="44">
        <f t="shared" si="34"/>
        <v>0</v>
      </c>
      <c r="AB79" s="107"/>
    </row>
    <row r="80" spans="1:28" ht="28.2" x14ac:dyDescent="0.3">
      <c r="B80" s="60"/>
      <c r="C80" s="63" t="s">
        <v>239</v>
      </c>
      <c r="D80" s="97" t="s">
        <v>240</v>
      </c>
      <c r="E80" s="44">
        <v>17962</v>
      </c>
      <c r="F80" s="44"/>
      <c r="G80" s="44"/>
      <c r="H80" s="44"/>
      <c r="I80" s="44"/>
      <c r="J80" s="44"/>
      <c r="K80" s="44"/>
      <c r="L80" s="44">
        <f t="shared" si="36"/>
        <v>0</v>
      </c>
      <c r="M80" s="45">
        <v>0</v>
      </c>
      <c r="N80" s="45">
        <f t="shared" si="41"/>
        <v>0</v>
      </c>
      <c r="O80" s="44">
        <f t="shared" si="42"/>
        <v>0</v>
      </c>
      <c r="P80" s="106"/>
      <c r="Q80" s="44">
        <f t="shared" si="37"/>
        <v>0</v>
      </c>
      <c r="R80" s="44">
        <f t="shared" si="43"/>
        <v>0</v>
      </c>
      <c r="S80" s="107"/>
      <c r="T80" s="44">
        <f t="shared" si="38"/>
        <v>0</v>
      </c>
      <c r="U80" s="44">
        <f t="shared" si="44"/>
        <v>0</v>
      </c>
      <c r="V80" s="107"/>
      <c r="W80" s="44">
        <f t="shared" si="39"/>
        <v>0</v>
      </c>
      <c r="X80" s="44">
        <f t="shared" si="45"/>
        <v>0</v>
      </c>
      <c r="Y80" s="107"/>
      <c r="Z80" s="44">
        <f t="shared" si="40"/>
        <v>0</v>
      </c>
      <c r="AA80" s="44">
        <f t="shared" si="34"/>
        <v>0</v>
      </c>
      <c r="AB80" s="107"/>
    </row>
    <row r="81" spans="1:28" ht="14.4" x14ac:dyDescent="0.3">
      <c r="B81" s="108" t="s">
        <v>241</v>
      </c>
      <c r="C81" s="63" t="s">
        <v>242</v>
      </c>
      <c r="D81" s="97" t="s">
        <v>243</v>
      </c>
      <c r="E81" s="44">
        <v>185742</v>
      </c>
      <c r="F81" s="44"/>
      <c r="G81" s="44"/>
      <c r="H81" s="44"/>
      <c r="I81" s="44"/>
      <c r="J81" s="44"/>
      <c r="K81" s="44"/>
      <c r="L81" s="44">
        <f t="shared" si="36"/>
        <v>0</v>
      </c>
      <c r="M81" s="45">
        <v>0</v>
      </c>
      <c r="N81" s="45">
        <f t="shared" si="41"/>
        <v>0</v>
      </c>
      <c r="O81" s="44">
        <f t="shared" si="42"/>
        <v>0</v>
      </c>
      <c r="P81" s="106"/>
      <c r="Q81" s="44">
        <f t="shared" si="37"/>
        <v>0</v>
      </c>
      <c r="R81" s="44">
        <f t="shared" si="43"/>
        <v>0</v>
      </c>
      <c r="S81" s="107"/>
      <c r="T81" s="44">
        <f t="shared" si="38"/>
        <v>0</v>
      </c>
      <c r="U81" s="44">
        <f t="shared" si="44"/>
        <v>0</v>
      </c>
      <c r="V81" s="107"/>
      <c r="W81" s="44">
        <f t="shared" si="39"/>
        <v>0</v>
      </c>
      <c r="X81" s="44">
        <f t="shared" si="45"/>
        <v>0</v>
      </c>
      <c r="Y81" s="107"/>
      <c r="Z81" s="44">
        <f t="shared" si="40"/>
        <v>0</v>
      </c>
      <c r="AA81" s="44">
        <f t="shared" si="34"/>
        <v>0</v>
      </c>
      <c r="AB81" s="107"/>
    </row>
    <row r="82" spans="1:28" ht="28.2" x14ac:dyDescent="0.3">
      <c r="B82" s="60"/>
      <c r="C82" s="63" t="s">
        <v>244</v>
      </c>
      <c r="D82" s="97" t="s">
        <v>245</v>
      </c>
      <c r="E82" s="44">
        <f>130917</f>
        <v>130917</v>
      </c>
      <c r="F82" s="44"/>
      <c r="G82" s="44">
        <f>135176+3165+12304</f>
        <v>150645</v>
      </c>
      <c r="H82" s="44"/>
      <c r="I82" s="44"/>
      <c r="J82" s="44"/>
      <c r="K82" s="44"/>
      <c r="L82" s="44">
        <f t="shared" si="36"/>
        <v>150645</v>
      </c>
      <c r="M82" s="45">
        <v>150645</v>
      </c>
      <c r="N82" s="45">
        <f t="shared" si="41"/>
        <v>150645</v>
      </c>
      <c r="O82" s="44">
        <f t="shared" si="42"/>
        <v>0</v>
      </c>
      <c r="P82" s="106"/>
      <c r="Q82" s="44">
        <f t="shared" si="37"/>
        <v>150645</v>
      </c>
      <c r="R82" s="44">
        <f t="shared" si="43"/>
        <v>0</v>
      </c>
      <c r="S82" s="107"/>
      <c r="T82" s="44">
        <f t="shared" si="38"/>
        <v>150645</v>
      </c>
      <c r="U82" s="44">
        <f t="shared" si="44"/>
        <v>0</v>
      </c>
      <c r="V82" s="107"/>
      <c r="W82" s="44">
        <f t="shared" si="39"/>
        <v>150645</v>
      </c>
      <c r="X82" s="44">
        <f t="shared" si="45"/>
        <v>0</v>
      </c>
      <c r="Y82" s="107"/>
      <c r="Z82" s="44">
        <f>ROUND(W82,0)+16100+30000</f>
        <v>196745</v>
      </c>
      <c r="AA82" s="44">
        <f t="shared" si="34"/>
        <v>46100</v>
      </c>
      <c r="AB82" s="274" t="s">
        <v>792</v>
      </c>
    </row>
    <row r="83" spans="1:28" ht="41.4" customHeight="1" x14ac:dyDescent="0.3">
      <c r="B83" s="60"/>
      <c r="C83" s="63" t="s">
        <v>246</v>
      </c>
      <c r="D83" s="97" t="s">
        <v>247</v>
      </c>
      <c r="E83" s="44"/>
      <c r="F83" s="44"/>
      <c r="G83" s="44">
        <v>118650</v>
      </c>
      <c r="H83" s="44"/>
      <c r="I83" s="44"/>
      <c r="J83" s="44"/>
      <c r="K83" s="44"/>
      <c r="L83" s="44">
        <f t="shared" si="36"/>
        <v>118650</v>
      </c>
      <c r="M83" s="45">
        <v>118650</v>
      </c>
      <c r="N83" s="45">
        <f t="shared" si="41"/>
        <v>118650</v>
      </c>
      <c r="O83" s="44">
        <f t="shared" si="42"/>
        <v>0</v>
      </c>
      <c r="P83" s="106"/>
      <c r="Q83" s="44">
        <f t="shared" si="37"/>
        <v>118650</v>
      </c>
      <c r="R83" s="44">
        <f t="shared" si="43"/>
        <v>0</v>
      </c>
      <c r="S83" s="107"/>
      <c r="T83" s="44">
        <f t="shared" si="38"/>
        <v>118650</v>
      </c>
      <c r="U83" s="44">
        <f t="shared" si="44"/>
        <v>0</v>
      </c>
      <c r="V83" s="107"/>
      <c r="W83" s="44">
        <f t="shared" si="39"/>
        <v>118650</v>
      </c>
      <c r="X83" s="44">
        <f t="shared" si="45"/>
        <v>0</v>
      </c>
      <c r="Y83" s="107"/>
      <c r="Z83" s="44">
        <f t="shared" si="40"/>
        <v>118650</v>
      </c>
      <c r="AA83" s="44">
        <f t="shared" si="34"/>
        <v>0</v>
      </c>
      <c r="AB83" s="107"/>
    </row>
    <row r="84" spans="1:28" ht="14.4" x14ac:dyDescent="0.3">
      <c r="B84" s="60"/>
      <c r="C84" s="63" t="s">
        <v>248</v>
      </c>
      <c r="D84" s="97" t="s">
        <v>249</v>
      </c>
      <c r="E84" s="44"/>
      <c r="F84" s="44"/>
      <c r="G84" s="44">
        <v>390462</v>
      </c>
      <c r="H84" s="44"/>
      <c r="I84" s="44"/>
      <c r="J84" s="44"/>
      <c r="K84" s="44"/>
      <c r="L84" s="44">
        <f t="shared" si="36"/>
        <v>390462</v>
      </c>
      <c r="M84" s="45">
        <v>390462</v>
      </c>
      <c r="N84" s="45">
        <f t="shared" si="41"/>
        <v>390462</v>
      </c>
      <c r="O84" s="44">
        <f t="shared" si="42"/>
        <v>0</v>
      </c>
      <c r="P84" s="106"/>
      <c r="Q84" s="44">
        <f t="shared" si="37"/>
        <v>390462</v>
      </c>
      <c r="R84" s="44">
        <f t="shared" si="43"/>
        <v>0</v>
      </c>
      <c r="S84" s="107"/>
      <c r="T84" s="44">
        <f t="shared" si="38"/>
        <v>390462</v>
      </c>
      <c r="U84" s="44">
        <f t="shared" si="44"/>
        <v>0</v>
      </c>
      <c r="V84" s="107"/>
      <c r="W84" s="44">
        <f t="shared" si="39"/>
        <v>390462</v>
      </c>
      <c r="X84" s="44">
        <f t="shared" si="45"/>
        <v>0</v>
      </c>
      <c r="Y84" s="107"/>
      <c r="Z84" s="44">
        <f t="shared" si="40"/>
        <v>390462</v>
      </c>
      <c r="AA84" s="44">
        <f t="shared" si="34"/>
        <v>0</v>
      </c>
      <c r="AB84" s="107"/>
    </row>
    <row r="85" spans="1:28" ht="28.2" x14ac:dyDescent="0.3">
      <c r="B85" s="108" t="s">
        <v>241</v>
      </c>
      <c r="C85" s="63" t="s">
        <v>250</v>
      </c>
      <c r="D85" s="97" t="s">
        <v>251</v>
      </c>
      <c r="E85" s="44"/>
      <c r="F85" s="44"/>
      <c r="G85" s="57"/>
      <c r="H85" s="57"/>
      <c r="I85" s="44"/>
      <c r="J85" s="57"/>
      <c r="K85" s="44"/>
      <c r="L85" s="57">
        <f t="shared" si="36"/>
        <v>0</v>
      </c>
      <c r="M85" s="45">
        <v>0</v>
      </c>
      <c r="N85" s="45">
        <f t="shared" si="41"/>
        <v>0</v>
      </c>
      <c r="O85" s="44">
        <f t="shared" si="42"/>
        <v>0</v>
      </c>
      <c r="P85" s="106"/>
      <c r="Q85" s="44">
        <f t="shared" si="37"/>
        <v>0</v>
      </c>
      <c r="R85" s="44">
        <f t="shared" si="43"/>
        <v>0</v>
      </c>
      <c r="S85" s="107"/>
      <c r="T85" s="44">
        <f t="shared" si="38"/>
        <v>0</v>
      </c>
      <c r="U85" s="44">
        <f t="shared" si="44"/>
        <v>0</v>
      </c>
      <c r="V85" s="107"/>
      <c r="W85" s="44">
        <f t="shared" si="39"/>
        <v>0</v>
      </c>
      <c r="X85" s="44">
        <f t="shared" si="45"/>
        <v>0</v>
      </c>
      <c r="Y85" s="107"/>
      <c r="Z85" s="44">
        <f t="shared" si="40"/>
        <v>0</v>
      </c>
      <c r="AA85" s="44">
        <f t="shared" si="34"/>
        <v>0</v>
      </c>
      <c r="AB85" s="107"/>
    </row>
    <row r="86" spans="1:28" x14ac:dyDescent="0.25">
      <c r="B86" s="92" t="s">
        <v>252</v>
      </c>
      <c r="C86" s="63" t="s">
        <v>253</v>
      </c>
      <c r="D86" s="109" t="s">
        <v>254</v>
      </c>
      <c r="E86" s="44"/>
      <c r="F86" s="44"/>
      <c r="G86" s="44">
        <v>382739</v>
      </c>
      <c r="H86" s="44"/>
      <c r="I86" s="44"/>
      <c r="J86" s="44"/>
      <c r="K86" s="44"/>
      <c r="L86" s="44">
        <f t="shared" si="36"/>
        <v>382739</v>
      </c>
      <c r="M86" s="45">
        <v>382739</v>
      </c>
      <c r="N86" s="45">
        <f t="shared" si="41"/>
        <v>382739</v>
      </c>
      <c r="O86" s="44">
        <f t="shared" si="42"/>
        <v>0</v>
      </c>
      <c r="P86" s="106"/>
      <c r="Q86" s="44">
        <f>ROUND(N86,0)-24147</f>
        <v>358592</v>
      </c>
      <c r="R86" s="44">
        <f t="shared" si="43"/>
        <v>-24147</v>
      </c>
      <c r="S86" s="107" t="s">
        <v>255</v>
      </c>
      <c r="T86" s="44">
        <f t="shared" si="38"/>
        <v>358592</v>
      </c>
      <c r="U86" s="44">
        <f t="shared" si="44"/>
        <v>0</v>
      </c>
      <c r="V86" s="107"/>
      <c r="W86" s="44">
        <f t="shared" si="39"/>
        <v>358592</v>
      </c>
      <c r="X86" s="44">
        <f t="shared" si="45"/>
        <v>0</v>
      </c>
      <c r="Y86" s="107"/>
      <c r="Z86" s="44">
        <f t="shared" si="40"/>
        <v>358592</v>
      </c>
      <c r="AA86" s="44">
        <f t="shared" si="34"/>
        <v>0</v>
      </c>
      <c r="AB86" s="107"/>
    </row>
    <row r="87" spans="1:28" hidden="1" outlineLevel="1" x14ac:dyDescent="0.25">
      <c r="B87" s="41" t="s">
        <v>256</v>
      </c>
      <c r="C87" s="42" t="s">
        <v>257</v>
      </c>
      <c r="D87" s="271" t="s">
        <v>258</v>
      </c>
      <c r="E87" s="44"/>
      <c r="F87" s="44"/>
      <c r="G87" s="57"/>
      <c r="H87" s="57"/>
      <c r="I87" s="44"/>
      <c r="J87" s="57"/>
      <c r="K87" s="44"/>
      <c r="L87" s="57">
        <f t="shared" si="36"/>
        <v>0</v>
      </c>
      <c r="M87" s="79">
        <v>0</v>
      </c>
      <c r="N87" s="45">
        <f t="shared" si="41"/>
        <v>0</v>
      </c>
      <c r="O87" s="44">
        <f t="shared" si="42"/>
        <v>0</v>
      </c>
      <c r="P87" s="46"/>
      <c r="Q87" s="44">
        <f t="shared" si="37"/>
        <v>0</v>
      </c>
      <c r="R87" s="44">
        <f t="shared" si="43"/>
        <v>0</v>
      </c>
      <c r="S87" s="47"/>
      <c r="T87" s="44">
        <f t="shared" si="38"/>
        <v>0</v>
      </c>
      <c r="U87" s="44">
        <f t="shared" si="44"/>
        <v>0</v>
      </c>
      <c r="V87" s="47"/>
      <c r="W87" s="44">
        <f t="shared" si="39"/>
        <v>0</v>
      </c>
      <c r="X87" s="44">
        <f t="shared" si="45"/>
        <v>0</v>
      </c>
      <c r="Y87" s="47"/>
      <c r="Z87" s="44">
        <f t="shared" si="40"/>
        <v>0</v>
      </c>
      <c r="AA87" s="44">
        <f t="shared" si="34"/>
        <v>0</v>
      </c>
      <c r="AB87" s="47"/>
    </row>
    <row r="88" spans="1:28" collapsed="1" x14ac:dyDescent="0.25">
      <c r="C88" s="72" t="s">
        <v>259</v>
      </c>
      <c r="D88" s="49" t="s">
        <v>260</v>
      </c>
      <c r="E88" s="50">
        <f t="shared" ref="E88:L88" si="46">E89+E90</f>
        <v>0</v>
      </c>
      <c r="F88" s="50">
        <f t="shared" si="46"/>
        <v>0</v>
      </c>
      <c r="G88" s="50">
        <f t="shared" si="46"/>
        <v>0</v>
      </c>
      <c r="H88" s="50">
        <f t="shared" si="46"/>
        <v>0</v>
      </c>
      <c r="I88" s="50">
        <f>I89+I90</f>
        <v>0</v>
      </c>
      <c r="J88" s="50">
        <f t="shared" si="46"/>
        <v>0</v>
      </c>
      <c r="K88" s="50">
        <f t="shared" si="46"/>
        <v>295000</v>
      </c>
      <c r="L88" s="50">
        <f t="shared" si="46"/>
        <v>295000</v>
      </c>
      <c r="M88" s="51">
        <v>295000</v>
      </c>
      <c r="N88" s="51">
        <f>N89+N90</f>
        <v>295000</v>
      </c>
      <c r="O88" s="50">
        <f t="shared" si="42"/>
        <v>0</v>
      </c>
      <c r="P88" s="52"/>
      <c r="Q88" s="50">
        <f>Q89+Q90</f>
        <v>295000</v>
      </c>
      <c r="R88" s="50">
        <f t="shared" si="43"/>
        <v>0</v>
      </c>
      <c r="S88" s="53"/>
      <c r="T88" s="50">
        <f>T89+T90</f>
        <v>295000</v>
      </c>
      <c r="U88" s="50">
        <f t="shared" si="44"/>
        <v>0</v>
      </c>
      <c r="V88" s="53"/>
      <c r="W88" s="50">
        <f>W89+W90</f>
        <v>295000</v>
      </c>
      <c r="X88" s="50">
        <f t="shared" si="45"/>
        <v>0</v>
      </c>
      <c r="Y88" s="53"/>
      <c r="Z88" s="50">
        <f>Z89+Z90</f>
        <v>375000</v>
      </c>
      <c r="AA88" s="50">
        <f t="shared" si="34"/>
        <v>80000</v>
      </c>
      <c r="AB88" s="53"/>
    </row>
    <row r="89" spans="1:28" ht="15.75" customHeight="1" x14ac:dyDescent="0.25">
      <c r="B89" s="1" t="s">
        <v>261</v>
      </c>
      <c r="C89" s="42" t="s">
        <v>262</v>
      </c>
      <c r="D89" s="43" t="s">
        <v>263</v>
      </c>
      <c r="E89" s="44"/>
      <c r="F89" s="44"/>
      <c r="G89" s="44"/>
      <c r="H89" s="44"/>
      <c r="I89" s="44"/>
      <c r="J89" s="44"/>
      <c r="K89" s="44">
        <f>[1]BAZE_2024!G25</f>
        <v>295000</v>
      </c>
      <c r="L89" s="44">
        <f>F89+G89+H89+I89+J89+K89</f>
        <v>295000</v>
      </c>
      <c r="M89" s="45">
        <v>295000</v>
      </c>
      <c r="N89" s="45">
        <f>ROUND(M89,0)</f>
        <v>295000</v>
      </c>
      <c r="O89" s="44">
        <f t="shared" si="42"/>
        <v>0</v>
      </c>
      <c r="P89" s="70"/>
      <c r="Q89" s="44">
        <f>ROUND(N89,0)</f>
        <v>295000</v>
      </c>
      <c r="R89" s="44">
        <f t="shared" si="43"/>
        <v>0</v>
      </c>
      <c r="S89" s="71"/>
      <c r="T89" s="44">
        <f>ROUND(Q89,0)</f>
        <v>295000</v>
      </c>
      <c r="U89" s="44">
        <f t="shared" si="44"/>
        <v>0</v>
      </c>
      <c r="V89" s="71"/>
      <c r="W89" s="44">
        <f>ROUND(T89,0)</f>
        <v>295000</v>
      </c>
      <c r="X89" s="44">
        <f t="shared" si="45"/>
        <v>0</v>
      </c>
      <c r="Y89" s="71"/>
      <c r="Z89" s="44">
        <f>ROUND(W89,0)+80000</f>
        <v>375000</v>
      </c>
      <c r="AA89" s="44">
        <f t="shared" si="34"/>
        <v>80000</v>
      </c>
      <c r="AB89" s="71" t="s">
        <v>264</v>
      </c>
    </row>
    <row r="90" spans="1:28" ht="16.2" customHeight="1" x14ac:dyDescent="0.25">
      <c r="B90" s="1" t="s">
        <v>265</v>
      </c>
      <c r="C90" s="42" t="s">
        <v>266</v>
      </c>
      <c r="D90" s="43" t="s">
        <v>267</v>
      </c>
      <c r="E90" s="44"/>
      <c r="F90" s="44"/>
      <c r="G90" s="44"/>
      <c r="H90" s="44"/>
      <c r="I90" s="44"/>
      <c r="J90" s="44"/>
      <c r="K90" s="44">
        <f>[1]BAZE_2024!G26</f>
        <v>0</v>
      </c>
      <c r="L90" s="44">
        <f>F90+G90+H90+I90+J90+K90</f>
        <v>0</v>
      </c>
      <c r="M90" s="45">
        <v>0</v>
      </c>
      <c r="N90" s="45">
        <f>ROUND(M90,0)</f>
        <v>0</v>
      </c>
      <c r="O90" s="44">
        <f t="shared" si="42"/>
        <v>0</v>
      </c>
      <c r="P90" s="46"/>
      <c r="Q90" s="44">
        <f>ROUND(N90,0)</f>
        <v>0</v>
      </c>
      <c r="R90" s="44">
        <f t="shared" si="43"/>
        <v>0</v>
      </c>
      <c r="S90" s="47"/>
      <c r="T90" s="44">
        <f>ROUND(Q90,0)</f>
        <v>0</v>
      </c>
      <c r="U90" s="44">
        <f t="shared" si="44"/>
        <v>0</v>
      </c>
      <c r="V90" s="47"/>
      <c r="W90" s="44">
        <f>ROUND(T90,0)</f>
        <v>0</v>
      </c>
      <c r="X90" s="44">
        <f t="shared" si="45"/>
        <v>0</v>
      </c>
      <c r="Y90" s="47"/>
      <c r="Z90" s="44">
        <f>ROUND(W90,0)</f>
        <v>0</v>
      </c>
      <c r="AA90" s="44">
        <f t="shared" si="34"/>
        <v>0</v>
      </c>
      <c r="AB90" s="47"/>
    </row>
    <row r="91" spans="1:28" ht="35.4" customHeight="1" x14ac:dyDescent="0.25">
      <c r="C91" s="72" t="s">
        <v>268</v>
      </c>
      <c r="D91" s="49" t="s">
        <v>269</v>
      </c>
      <c r="E91" s="50">
        <f t="shared" ref="E91:N91" si="47">E92+E95+E98+E102+E106</f>
        <v>0</v>
      </c>
      <c r="F91" s="50">
        <f t="shared" si="47"/>
        <v>0</v>
      </c>
      <c r="G91" s="50">
        <f t="shared" si="47"/>
        <v>10621</v>
      </c>
      <c r="H91" s="50">
        <f t="shared" si="47"/>
        <v>0</v>
      </c>
      <c r="I91" s="50">
        <f t="shared" si="47"/>
        <v>1674037</v>
      </c>
      <c r="J91" s="50">
        <f t="shared" si="47"/>
        <v>0</v>
      </c>
      <c r="K91" s="50">
        <f>K92+K95+K98+K102+K106</f>
        <v>469100</v>
      </c>
      <c r="L91" s="50">
        <f t="shared" si="47"/>
        <v>2153758</v>
      </c>
      <c r="M91" s="51">
        <v>2153758</v>
      </c>
      <c r="N91" s="51">
        <f t="shared" si="47"/>
        <v>1974755</v>
      </c>
      <c r="O91" s="50">
        <f t="shared" si="42"/>
        <v>-179003</v>
      </c>
      <c r="P91" s="52"/>
      <c r="Q91" s="50">
        <f>Q92+Q95+Q98+Q102+Q106</f>
        <v>1974755</v>
      </c>
      <c r="R91" s="50">
        <f t="shared" si="43"/>
        <v>0</v>
      </c>
      <c r="S91" s="53"/>
      <c r="T91" s="50">
        <f>T92+T95+T98+T102+T106</f>
        <v>1974755</v>
      </c>
      <c r="U91" s="50">
        <f t="shared" si="44"/>
        <v>0</v>
      </c>
      <c r="V91" s="53"/>
      <c r="W91" s="50">
        <f>W92+W95+W98+W102+W106</f>
        <v>2675467</v>
      </c>
      <c r="X91" s="50">
        <f t="shared" si="45"/>
        <v>700712</v>
      </c>
      <c r="Y91" s="53"/>
      <c r="Z91" s="50">
        <f>Z92+Z95+Z98+Z102+Z106</f>
        <v>2888467</v>
      </c>
      <c r="AA91" s="50">
        <f t="shared" si="34"/>
        <v>213000</v>
      </c>
      <c r="AB91" s="53"/>
    </row>
    <row r="92" spans="1:28" x14ac:dyDescent="0.25">
      <c r="A92" s="1" t="s">
        <v>32</v>
      </c>
      <c r="B92" s="1" t="s">
        <v>270</v>
      </c>
      <c r="C92" s="42" t="s">
        <v>271</v>
      </c>
      <c r="D92" s="43" t="s">
        <v>272</v>
      </c>
      <c r="E92" s="44">
        <f t="shared" ref="E92:L92" si="48">SUM(E93:E94)</f>
        <v>0</v>
      </c>
      <c r="F92" s="44">
        <f t="shared" si="48"/>
        <v>0</v>
      </c>
      <c r="G92" s="44">
        <f t="shared" si="48"/>
        <v>0</v>
      </c>
      <c r="H92" s="44">
        <f t="shared" si="48"/>
        <v>0</v>
      </c>
      <c r="I92" s="44">
        <f>SUM(I93:I94)</f>
        <v>0</v>
      </c>
      <c r="J92" s="44">
        <f t="shared" si="48"/>
        <v>0</v>
      </c>
      <c r="K92" s="44">
        <f t="shared" si="48"/>
        <v>149000</v>
      </c>
      <c r="L92" s="44">
        <f t="shared" si="48"/>
        <v>149000</v>
      </c>
      <c r="M92" s="45">
        <v>149000</v>
      </c>
      <c r="N92" s="45">
        <f>SUM(N93:N94)</f>
        <v>149000</v>
      </c>
      <c r="O92" s="44">
        <f t="shared" si="42"/>
        <v>0</v>
      </c>
      <c r="P92" s="46"/>
      <c r="Q92" s="44">
        <f>SUM(Q93:Q94)</f>
        <v>149000</v>
      </c>
      <c r="R92" s="44">
        <f t="shared" si="43"/>
        <v>0</v>
      </c>
      <c r="S92" s="47"/>
      <c r="T92" s="44">
        <f>SUM(T93:T94)</f>
        <v>149000</v>
      </c>
      <c r="U92" s="44">
        <f t="shared" si="44"/>
        <v>0</v>
      </c>
      <c r="V92" s="47"/>
      <c r="W92" s="44">
        <f>SUM(W93:W94)</f>
        <v>149000</v>
      </c>
      <c r="X92" s="44">
        <f t="shared" si="45"/>
        <v>0</v>
      </c>
      <c r="Y92" s="47"/>
      <c r="Z92" s="44">
        <f>SUM(Z93:Z94)</f>
        <v>279000</v>
      </c>
      <c r="AA92" s="44">
        <f t="shared" si="34"/>
        <v>130000</v>
      </c>
      <c r="AB92" s="47"/>
    </row>
    <row r="93" spans="1:28" ht="14.25" customHeight="1" x14ac:dyDescent="0.25">
      <c r="B93" s="1" t="s">
        <v>273</v>
      </c>
      <c r="C93" s="110" t="s">
        <v>274</v>
      </c>
      <c r="D93" s="111" t="s">
        <v>275</v>
      </c>
      <c r="E93" s="44"/>
      <c r="F93" s="44"/>
      <c r="G93" s="44"/>
      <c r="H93" s="44"/>
      <c r="I93" s="44"/>
      <c r="J93" s="44"/>
      <c r="K93" s="44">
        <f>[1]BAZE_2024!G29</f>
        <v>24000</v>
      </c>
      <c r="L93" s="44">
        <f>F93+G93+H93+I93+J93+K93</f>
        <v>24000</v>
      </c>
      <c r="M93" s="45">
        <v>24000</v>
      </c>
      <c r="N93" s="45">
        <f>ROUND(M93,0)</f>
        <v>24000</v>
      </c>
      <c r="O93" s="44">
        <f t="shared" si="42"/>
        <v>0</v>
      </c>
      <c r="P93" s="55"/>
      <c r="Q93" s="44">
        <f>ROUND(N93,0)</f>
        <v>24000</v>
      </c>
      <c r="R93" s="44">
        <f t="shared" si="43"/>
        <v>0</v>
      </c>
      <c r="S93" s="56"/>
      <c r="T93" s="44">
        <f>ROUND(Q93,0)</f>
        <v>24000</v>
      </c>
      <c r="U93" s="44">
        <f t="shared" si="44"/>
        <v>0</v>
      </c>
      <c r="V93" s="56"/>
      <c r="W93" s="44">
        <f>ROUND(T93,0)</f>
        <v>24000</v>
      </c>
      <c r="X93" s="44">
        <f t="shared" si="45"/>
        <v>0</v>
      </c>
      <c r="Y93" s="56"/>
      <c r="Z93" s="44">
        <f>ROUND(W93,0)+55000</f>
        <v>79000</v>
      </c>
      <c r="AA93" s="44">
        <f t="shared" si="34"/>
        <v>55000</v>
      </c>
      <c r="AB93" s="71" t="s">
        <v>264</v>
      </c>
    </row>
    <row r="94" spans="1:28" ht="15.6" customHeight="1" x14ac:dyDescent="0.25">
      <c r="B94" s="1" t="s">
        <v>276</v>
      </c>
      <c r="C94" s="110" t="s">
        <v>277</v>
      </c>
      <c r="D94" s="111" t="s">
        <v>278</v>
      </c>
      <c r="E94" s="44"/>
      <c r="F94" s="44"/>
      <c r="G94" s="44"/>
      <c r="H94" s="44"/>
      <c r="I94" s="44"/>
      <c r="J94" s="44"/>
      <c r="K94" s="44">
        <f>[1]BAZE_2024!G30</f>
        <v>125000</v>
      </c>
      <c r="L94" s="44">
        <f>F94+G94+H94+I94+J94+K94</f>
        <v>125000</v>
      </c>
      <c r="M94" s="45">
        <v>125000</v>
      </c>
      <c r="N94" s="45">
        <f>ROUND(M94,0)</f>
        <v>125000</v>
      </c>
      <c r="O94" s="44">
        <f t="shared" si="42"/>
        <v>0</v>
      </c>
      <c r="P94" s="55"/>
      <c r="Q94" s="44">
        <f>ROUND(N94,0)</f>
        <v>125000</v>
      </c>
      <c r="R94" s="44">
        <f t="shared" si="43"/>
        <v>0</v>
      </c>
      <c r="S94" s="56"/>
      <c r="T94" s="44">
        <f>ROUND(Q94,0)</f>
        <v>125000</v>
      </c>
      <c r="U94" s="44">
        <f t="shared" si="44"/>
        <v>0</v>
      </c>
      <c r="V94" s="56"/>
      <c r="W94" s="44">
        <f>ROUND(T94,0)</f>
        <v>125000</v>
      </c>
      <c r="X94" s="44">
        <f t="shared" si="45"/>
        <v>0</v>
      </c>
      <c r="Y94" s="56"/>
      <c r="Z94" s="44">
        <f>ROUND(W94,0)+75000</f>
        <v>200000</v>
      </c>
      <c r="AA94" s="44">
        <f t="shared" si="34"/>
        <v>75000</v>
      </c>
      <c r="AB94" s="71" t="s">
        <v>264</v>
      </c>
    </row>
    <row r="95" spans="1:28" ht="13.95" customHeight="1" x14ac:dyDescent="0.25">
      <c r="C95" s="42" t="s">
        <v>279</v>
      </c>
      <c r="D95" s="43" t="s">
        <v>280</v>
      </c>
      <c r="E95" s="44">
        <f>E96+E97</f>
        <v>0</v>
      </c>
      <c r="F95" s="44">
        <f t="shared" ref="F95:L95" si="49">F96+F97</f>
        <v>0</v>
      </c>
      <c r="G95" s="44">
        <f t="shared" si="49"/>
        <v>0</v>
      </c>
      <c r="H95" s="44">
        <f t="shared" si="49"/>
        <v>0</v>
      </c>
      <c r="I95" s="44">
        <f>I96+I97</f>
        <v>0</v>
      </c>
      <c r="J95" s="44">
        <f t="shared" si="49"/>
        <v>0</v>
      </c>
      <c r="K95" s="44">
        <f t="shared" si="49"/>
        <v>0</v>
      </c>
      <c r="L95" s="44">
        <f t="shared" si="49"/>
        <v>0</v>
      </c>
      <c r="M95" s="45">
        <v>0</v>
      </c>
      <c r="N95" s="45">
        <f>N96+N97</f>
        <v>0</v>
      </c>
      <c r="O95" s="44">
        <f t="shared" si="42"/>
        <v>0</v>
      </c>
      <c r="P95" s="112"/>
      <c r="Q95" s="44">
        <f>Q96+Q97</f>
        <v>0</v>
      </c>
      <c r="R95" s="44">
        <f t="shared" si="43"/>
        <v>0</v>
      </c>
      <c r="S95" s="113"/>
      <c r="T95" s="44">
        <f>T96+T97</f>
        <v>0</v>
      </c>
      <c r="U95" s="44">
        <f t="shared" si="44"/>
        <v>0</v>
      </c>
      <c r="V95" s="113"/>
      <c r="W95" s="44">
        <f>W96+W97</f>
        <v>0</v>
      </c>
      <c r="X95" s="44">
        <f t="shared" si="45"/>
        <v>0</v>
      </c>
      <c r="Y95" s="113"/>
      <c r="Z95" s="44">
        <f>Z96+Z97</f>
        <v>0</v>
      </c>
      <c r="AA95" s="44">
        <f t="shared" si="34"/>
        <v>0</v>
      </c>
      <c r="AB95" s="113"/>
    </row>
    <row r="96" spans="1:28" x14ac:dyDescent="0.25">
      <c r="C96" s="110" t="s">
        <v>281</v>
      </c>
      <c r="D96" s="111" t="s">
        <v>282</v>
      </c>
      <c r="E96" s="44"/>
      <c r="F96" s="44"/>
      <c r="G96" s="44"/>
      <c r="H96" s="44"/>
      <c r="I96" s="44"/>
      <c r="J96" s="44"/>
      <c r="K96" s="44">
        <f>[1]BAZE_2024!G32</f>
        <v>0</v>
      </c>
      <c r="L96" s="44">
        <f>F96+G96+H96+I96+J96+K96</f>
        <v>0</v>
      </c>
      <c r="M96" s="45">
        <v>0</v>
      </c>
      <c r="N96" s="45"/>
      <c r="O96" s="44">
        <f t="shared" si="42"/>
        <v>0</v>
      </c>
      <c r="P96" s="55"/>
      <c r="Q96" s="44"/>
      <c r="R96" s="44">
        <f t="shared" si="43"/>
        <v>0</v>
      </c>
      <c r="S96" s="56"/>
      <c r="T96" s="44"/>
      <c r="U96" s="44">
        <f t="shared" si="44"/>
        <v>0</v>
      </c>
      <c r="V96" s="56"/>
      <c r="W96" s="44"/>
      <c r="X96" s="44">
        <f t="shared" si="45"/>
        <v>0</v>
      </c>
      <c r="Y96" s="56"/>
      <c r="Z96" s="44"/>
      <c r="AA96" s="44">
        <f t="shared" si="34"/>
        <v>0</v>
      </c>
      <c r="AB96" s="56"/>
    </row>
    <row r="97" spans="1:28" ht="30" customHeight="1" x14ac:dyDescent="0.25">
      <c r="B97" s="92" t="s">
        <v>283</v>
      </c>
      <c r="C97" s="110" t="s">
        <v>284</v>
      </c>
      <c r="D97" s="97" t="s">
        <v>285</v>
      </c>
      <c r="E97" s="44"/>
      <c r="F97" s="44"/>
      <c r="G97" s="44"/>
      <c r="H97" s="44"/>
      <c r="I97" s="44"/>
      <c r="J97" s="44"/>
      <c r="K97" s="44">
        <f>[1]BAZE_2024!G33</f>
        <v>0</v>
      </c>
      <c r="L97" s="44">
        <f>F97+G97+H97+I97+J97+K97</f>
        <v>0</v>
      </c>
      <c r="M97" s="45">
        <v>0</v>
      </c>
      <c r="N97" s="45">
        <f>ROUND(M97,0)</f>
        <v>0</v>
      </c>
      <c r="O97" s="44">
        <f t="shared" si="42"/>
        <v>0</v>
      </c>
      <c r="P97" s="55"/>
      <c r="Q97" s="44">
        <f>ROUND(N97,0)</f>
        <v>0</v>
      </c>
      <c r="R97" s="44">
        <f t="shared" si="43"/>
        <v>0</v>
      </c>
      <c r="S97" s="56"/>
      <c r="T97" s="44">
        <f>ROUND(Q97,0)</f>
        <v>0</v>
      </c>
      <c r="U97" s="44">
        <f t="shared" si="44"/>
        <v>0</v>
      </c>
      <c r="V97" s="56"/>
      <c r="W97" s="44">
        <f>ROUND(T97,0)</f>
        <v>0</v>
      </c>
      <c r="X97" s="44">
        <f t="shared" si="45"/>
        <v>0</v>
      </c>
      <c r="Y97" s="56"/>
      <c r="Z97" s="44">
        <f>ROUND(W97,0)</f>
        <v>0</v>
      </c>
      <c r="AA97" s="44">
        <f t="shared" si="34"/>
        <v>0</v>
      </c>
      <c r="AB97" s="56"/>
    </row>
    <row r="98" spans="1:28" x14ac:dyDescent="0.25">
      <c r="A98" s="1" t="s">
        <v>32</v>
      </c>
      <c r="B98" s="1" t="s">
        <v>286</v>
      </c>
      <c r="C98" s="42" t="s">
        <v>287</v>
      </c>
      <c r="D98" s="43" t="s">
        <v>288</v>
      </c>
      <c r="E98" s="44">
        <f t="shared" ref="E98:L98" si="50">SUM(E99:E101)</f>
        <v>0</v>
      </c>
      <c r="F98" s="44">
        <f t="shared" si="50"/>
        <v>0</v>
      </c>
      <c r="G98" s="44">
        <f t="shared" si="50"/>
        <v>0</v>
      </c>
      <c r="H98" s="44">
        <f t="shared" si="50"/>
        <v>0</v>
      </c>
      <c r="I98" s="44">
        <f>SUM(I99:I101)</f>
        <v>0</v>
      </c>
      <c r="J98" s="44">
        <f t="shared" si="50"/>
        <v>0</v>
      </c>
      <c r="K98" s="44">
        <f t="shared" si="50"/>
        <v>180000</v>
      </c>
      <c r="L98" s="44">
        <f t="shared" si="50"/>
        <v>180000</v>
      </c>
      <c r="M98" s="45">
        <v>180000</v>
      </c>
      <c r="N98" s="45">
        <f>SUM(N99:N101)</f>
        <v>180000</v>
      </c>
      <c r="O98" s="44">
        <f t="shared" si="42"/>
        <v>0</v>
      </c>
      <c r="P98" s="46"/>
      <c r="Q98" s="44">
        <f>SUM(Q99:Q101)</f>
        <v>180000</v>
      </c>
      <c r="R98" s="44">
        <f t="shared" si="43"/>
        <v>0</v>
      </c>
      <c r="S98" s="47"/>
      <c r="T98" s="44">
        <f>SUM(T99:T101)</f>
        <v>180000</v>
      </c>
      <c r="U98" s="44">
        <f t="shared" si="44"/>
        <v>0</v>
      </c>
      <c r="V98" s="47"/>
      <c r="W98" s="44">
        <f>SUM(W99:W101)</f>
        <v>195370</v>
      </c>
      <c r="X98" s="44">
        <f t="shared" si="45"/>
        <v>15370</v>
      </c>
      <c r="Y98" s="47"/>
      <c r="Z98" s="44">
        <f>SUM(Z99:Z101)</f>
        <v>278370</v>
      </c>
      <c r="AA98" s="44">
        <f t="shared" si="34"/>
        <v>83000</v>
      </c>
      <c r="AB98" s="47"/>
    </row>
    <row r="99" spans="1:28" ht="16.5" customHeight="1" x14ac:dyDescent="0.25">
      <c r="B99" s="1" t="s">
        <v>289</v>
      </c>
      <c r="C99" s="110" t="s">
        <v>290</v>
      </c>
      <c r="D99" s="111" t="s">
        <v>291</v>
      </c>
      <c r="E99" s="44"/>
      <c r="F99" s="44"/>
      <c r="G99" s="44"/>
      <c r="H99" s="44"/>
      <c r="I99" s="44"/>
      <c r="J99" s="44"/>
      <c r="K99" s="44">
        <f>[1]BAZE_2024!G35</f>
        <v>143000</v>
      </c>
      <c r="L99" s="44">
        <f>F99+G99+H99+I99+J99+K99</f>
        <v>143000</v>
      </c>
      <c r="M99" s="45">
        <v>143000</v>
      </c>
      <c r="N99" s="45">
        <f>ROUND(M99,0)</f>
        <v>143000</v>
      </c>
      <c r="O99" s="44">
        <f t="shared" si="42"/>
        <v>0</v>
      </c>
      <c r="P99" s="70"/>
      <c r="Q99" s="44">
        <f>ROUND(N99,0)</f>
        <v>143000</v>
      </c>
      <c r="R99" s="44">
        <f t="shared" si="43"/>
        <v>0</v>
      </c>
      <c r="S99" s="71"/>
      <c r="T99" s="44">
        <f>ROUND(Q99,0)</f>
        <v>143000</v>
      </c>
      <c r="U99" s="44">
        <f t="shared" si="44"/>
        <v>0</v>
      </c>
      <c r="V99" s="71"/>
      <c r="W99" s="44">
        <f>ROUND(T99,0)+6370+9000</f>
        <v>158370</v>
      </c>
      <c r="X99" s="44">
        <f t="shared" si="45"/>
        <v>15370</v>
      </c>
      <c r="Y99" s="71" t="s">
        <v>292</v>
      </c>
      <c r="Z99" s="44">
        <f>ROUND(W99,0)+62000</f>
        <v>220370</v>
      </c>
      <c r="AA99" s="44">
        <f t="shared" si="34"/>
        <v>62000</v>
      </c>
      <c r="AB99" s="71" t="s">
        <v>293</v>
      </c>
    </row>
    <row r="100" spans="1:28" x14ac:dyDescent="0.25">
      <c r="B100" s="1" t="s">
        <v>294</v>
      </c>
      <c r="C100" s="110" t="s">
        <v>295</v>
      </c>
      <c r="D100" s="111" t="s">
        <v>296</v>
      </c>
      <c r="E100" s="44"/>
      <c r="F100" s="44"/>
      <c r="G100" s="44"/>
      <c r="H100" s="44"/>
      <c r="I100" s="44"/>
      <c r="J100" s="44"/>
      <c r="K100" s="44">
        <f>[1]BAZE_2024!G36</f>
        <v>36000</v>
      </c>
      <c r="L100" s="44">
        <f>F100+G100+H100+I100+J100+K100</f>
        <v>36000</v>
      </c>
      <c r="M100" s="45">
        <v>36000</v>
      </c>
      <c r="N100" s="45">
        <f>ROUND(M100,0)</f>
        <v>36000</v>
      </c>
      <c r="O100" s="44">
        <f t="shared" si="42"/>
        <v>0</v>
      </c>
      <c r="P100" s="46"/>
      <c r="Q100" s="44">
        <f>ROUND(N100,0)</f>
        <v>36000</v>
      </c>
      <c r="R100" s="44">
        <f t="shared" si="43"/>
        <v>0</v>
      </c>
      <c r="S100" s="47"/>
      <c r="T100" s="44">
        <f>ROUND(Q100,0)</f>
        <v>36000</v>
      </c>
      <c r="U100" s="44">
        <f t="shared" si="44"/>
        <v>0</v>
      </c>
      <c r="V100" s="47"/>
      <c r="W100" s="44">
        <f>ROUND(T100,0)</f>
        <v>36000</v>
      </c>
      <c r="X100" s="44">
        <f t="shared" si="45"/>
        <v>0</v>
      </c>
      <c r="Y100" s="47"/>
      <c r="Z100" s="44">
        <f>ROUND(W100,0)+21000</f>
        <v>57000</v>
      </c>
      <c r="AA100" s="44">
        <f t="shared" si="34"/>
        <v>21000</v>
      </c>
      <c r="AB100" s="71" t="s">
        <v>293</v>
      </c>
    </row>
    <row r="101" spans="1:28" x14ac:dyDescent="0.25">
      <c r="B101" s="1" t="s">
        <v>297</v>
      </c>
      <c r="C101" s="110" t="s">
        <v>298</v>
      </c>
      <c r="D101" s="97" t="s">
        <v>299</v>
      </c>
      <c r="E101" s="44"/>
      <c r="F101" s="44"/>
      <c r="G101" s="44"/>
      <c r="H101" s="44"/>
      <c r="I101" s="44"/>
      <c r="J101" s="44"/>
      <c r="K101" s="44">
        <f>[1]BAZE_2024!G37</f>
        <v>1000</v>
      </c>
      <c r="L101" s="44">
        <f>F101+G101+H101+I101+J101+K101</f>
        <v>1000</v>
      </c>
      <c r="M101" s="45">
        <v>1000</v>
      </c>
      <c r="N101" s="45">
        <f>ROUND(M101,0)</f>
        <v>1000</v>
      </c>
      <c r="O101" s="44">
        <f t="shared" si="42"/>
        <v>0</v>
      </c>
      <c r="P101" s="46"/>
      <c r="Q101" s="44">
        <f>ROUND(N101,0)</f>
        <v>1000</v>
      </c>
      <c r="R101" s="44">
        <f t="shared" si="43"/>
        <v>0</v>
      </c>
      <c r="S101" s="47"/>
      <c r="T101" s="44">
        <f>ROUND(Q101,0)</f>
        <v>1000</v>
      </c>
      <c r="U101" s="44">
        <f t="shared" si="44"/>
        <v>0</v>
      </c>
      <c r="V101" s="47"/>
      <c r="W101" s="44">
        <f>ROUND(T101,0)</f>
        <v>1000</v>
      </c>
      <c r="X101" s="44">
        <f t="shared" si="45"/>
        <v>0</v>
      </c>
      <c r="Y101" s="47"/>
      <c r="Z101" s="44">
        <f>ROUND(W101,0)</f>
        <v>1000</v>
      </c>
      <c r="AA101" s="44">
        <f t="shared" si="34"/>
        <v>0</v>
      </c>
      <c r="AB101" s="47"/>
    </row>
    <row r="102" spans="1:28" ht="25.2" customHeight="1" x14ac:dyDescent="0.25">
      <c r="A102" s="1" t="s">
        <v>32</v>
      </c>
      <c r="B102" s="1" t="s">
        <v>300</v>
      </c>
      <c r="C102" s="42" t="s">
        <v>301</v>
      </c>
      <c r="D102" s="43" t="s">
        <v>302</v>
      </c>
      <c r="E102" s="44">
        <f t="shared" ref="E102:N102" si="51">SUM(E103:E105)</f>
        <v>0</v>
      </c>
      <c r="F102" s="44">
        <f t="shared" si="51"/>
        <v>0</v>
      </c>
      <c r="G102" s="44">
        <f t="shared" si="51"/>
        <v>0</v>
      </c>
      <c r="H102" s="44">
        <f t="shared" si="51"/>
        <v>0</v>
      </c>
      <c r="I102" s="44">
        <f t="shared" si="51"/>
        <v>1574037</v>
      </c>
      <c r="J102" s="44">
        <f t="shared" si="51"/>
        <v>0</v>
      </c>
      <c r="K102" s="44">
        <f t="shared" si="51"/>
        <v>138100</v>
      </c>
      <c r="L102" s="44">
        <f t="shared" si="51"/>
        <v>1712137</v>
      </c>
      <c r="M102" s="45">
        <v>1712137</v>
      </c>
      <c r="N102" s="45">
        <f t="shared" si="51"/>
        <v>1543755</v>
      </c>
      <c r="O102" s="44">
        <f t="shared" si="42"/>
        <v>-168382</v>
      </c>
      <c r="P102" s="70"/>
      <c r="Q102" s="44">
        <f>SUM(Q103:Q105)</f>
        <v>1543755</v>
      </c>
      <c r="R102" s="44">
        <f t="shared" si="43"/>
        <v>0</v>
      </c>
      <c r="S102" s="71"/>
      <c r="T102" s="44">
        <f>SUM(T103:T105)</f>
        <v>1543755</v>
      </c>
      <c r="U102" s="44">
        <f t="shared" si="44"/>
        <v>0</v>
      </c>
      <c r="V102" s="71"/>
      <c r="W102" s="44">
        <f>SUM(W103:W105)</f>
        <v>2224097</v>
      </c>
      <c r="X102" s="44">
        <f t="shared" si="45"/>
        <v>680342</v>
      </c>
      <c r="Y102" s="71"/>
      <c r="Z102" s="44">
        <f>SUM(Z103:Z105)</f>
        <v>2224097</v>
      </c>
      <c r="AA102" s="44">
        <f t="shared" si="34"/>
        <v>0</v>
      </c>
      <c r="AB102" s="71"/>
    </row>
    <row r="103" spans="1:28" ht="28.2" customHeight="1" x14ac:dyDescent="0.25">
      <c r="A103" s="92" t="s">
        <v>303</v>
      </c>
      <c r="C103" s="110" t="s">
        <v>304</v>
      </c>
      <c r="D103" s="111" t="s">
        <v>302</v>
      </c>
      <c r="E103" s="44"/>
      <c r="F103" s="44"/>
      <c r="G103" s="44"/>
      <c r="H103" s="44"/>
      <c r="I103" s="44"/>
      <c r="J103" s="44"/>
      <c r="K103" s="44">
        <f>[1]BAZE_2024!G39</f>
        <v>135600</v>
      </c>
      <c r="L103" s="44">
        <f>F103+G103+H103+I103+J103+K103</f>
        <v>135600</v>
      </c>
      <c r="M103" s="45">
        <v>135600</v>
      </c>
      <c r="N103" s="45">
        <f>ROUND(M103,0)</f>
        <v>135600</v>
      </c>
      <c r="O103" s="44">
        <f t="shared" si="42"/>
        <v>0</v>
      </c>
      <c r="P103" s="46"/>
      <c r="Q103" s="44">
        <f>ROUND(N103,0)</f>
        <v>135600</v>
      </c>
      <c r="R103" s="44">
        <f t="shared" si="43"/>
        <v>0</v>
      </c>
      <c r="S103" s="47"/>
      <c r="T103" s="44">
        <f>ROUND(Q103,0)</f>
        <v>135600</v>
      </c>
      <c r="U103" s="44">
        <f t="shared" si="44"/>
        <v>0</v>
      </c>
      <c r="V103" s="47"/>
      <c r="W103" s="44">
        <f>ROUND(T103,0)</f>
        <v>135600</v>
      </c>
      <c r="X103" s="44">
        <f t="shared" si="45"/>
        <v>0</v>
      </c>
      <c r="Y103" s="71"/>
      <c r="Z103" s="44">
        <f>ROUND(W103,0)</f>
        <v>135600</v>
      </c>
      <c r="AA103" s="44">
        <f t="shared" si="34"/>
        <v>0</v>
      </c>
      <c r="AB103" s="71"/>
    </row>
    <row r="104" spans="1:28" ht="16.5" customHeight="1" x14ac:dyDescent="0.25">
      <c r="B104" s="1" t="s">
        <v>305</v>
      </c>
      <c r="C104" s="110" t="s">
        <v>306</v>
      </c>
      <c r="D104" s="111" t="s">
        <v>307</v>
      </c>
      <c r="E104" s="44"/>
      <c r="F104" s="44"/>
      <c r="G104" s="44"/>
      <c r="H104" s="44"/>
      <c r="I104" s="44"/>
      <c r="J104" s="44"/>
      <c r="K104" s="44">
        <f>[1]BAZE_2024!G40</f>
        <v>2500</v>
      </c>
      <c r="L104" s="44">
        <f>F104+G104+H104+I104+J104+K104</f>
        <v>2500</v>
      </c>
      <c r="M104" s="45">
        <v>2500</v>
      </c>
      <c r="N104" s="45">
        <f>ROUND(M104,0)</f>
        <v>2500</v>
      </c>
      <c r="O104" s="44">
        <f t="shared" si="42"/>
        <v>0</v>
      </c>
      <c r="P104" s="46"/>
      <c r="Q104" s="44">
        <f>ROUND(N104,0)</f>
        <v>2500</v>
      </c>
      <c r="R104" s="44">
        <f t="shared" si="43"/>
        <v>0</v>
      </c>
      <c r="S104" s="47"/>
      <c r="T104" s="44">
        <f>ROUND(Q104,0)</f>
        <v>2500</v>
      </c>
      <c r="U104" s="44">
        <f t="shared" si="44"/>
        <v>0</v>
      </c>
      <c r="V104" s="47"/>
      <c r="W104" s="44">
        <f>ROUND(T104,0)</f>
        <v>2500</v>
      </c>
      <c r="X104" s="44">
        <f t="shared" si="45"/>
        <v>0</v>
      </c>
      <c r="Y104" s="47"/>
      <c r="Z104" s="44">
        <f>ROUND(W104,0)</f>
        <v>2500</v>
      </c>
      <c r="AA104" s="44">
        <f t="shared" si="34"/>
        <v>0</v>
      </c>
      <c r="AB104" s="47"/>
    </row>
    <row r="105" spans="1:28" ht="28.95" customHeight="1" x14ac:dyDescent="0.25">
      <c r="B105" s="1" t="s">
        <v>308</v>
      </c>
      <c r="C105" s="110" t="s">
        <v>309</v>
      </c>
      <c r="D105" s="111" t="s">
        <v>310</v>
      </c>
      <c r="E105" s="44"/>
      <c r="F105" s="44"/>
      <c r="G105" s="44"/>
      <c r="H105" s="44"/>
      <c r="I105" s="114">
        <f>[1]BAZE_2024!G41</f>
        <v>1574037</v>
      </c>
      <c r="J105" s="44"/>
      <c r="K105" s="44"/>
      <c r="L105" s="44">
        <f>F105+G105+H105+I105+J105+K105</f>
        <v>1574037</v>
      </c>
      <c r="M105" s="45">
        <v>1574037</v>
      </c>
      <c r="N105" s="45">
        <f>ROUND(M105,0)-168382</f>
        <v>1405655</v>
      </c>
      <c r="O105" s="44">
        <f t="shared" si="42"/>
        <v>-168382</v>
      </c>
      <c r="P105" s="100" t="s">
        <v>311</v>
      </c>
      <c r="Q105" s="44">
        <f>ROUND(N105,0)</f>
        <v>1405655</v>
      </c>
      <c r="R105" s="44">
        <f t="shared" si="43"/>
        <v>0</v>
      </c>
      <c r="S105" s="47"/>
      <c r="T105" s="44">
        <f>ROUND(Q105,0)</f>
        <v>1405655</v>
      </c>
      <c r="U105" s="44">
        <f t="shared" si="44"/>
        <v>0</v>
      </c>
      <c r="V105" s="71"/>
      <c r="W105" s="44">
        <f>ROUND(T105,0)+680342</f>
        <v>2085997</v>
      </c>
      <c r="X105" s="44">
        <f t="shared" si="45"/>
        <v>680342</v>
      </c>
      <c r="Y105" s="71" t="s">
        <v>312</v>
      </c>
      <c r="Z105" s="44">
        <f>ROUND(W105,0)</f>
        <v>2085997</v>
      </c>
      <c r="AA105" s="44">
        <f t="shared" si="34"/>
        <v>0</v>
      </c>
      <c r="AB105" s="71"/>
    </row>
    <row r="106" spans="1:28" ht="15" customHeight="1" thickBot="1" x14ac:dyDescent="0.35">
      <c r="A106" s="1" t="s">
        <v>32</v>
      </c>
      <c r="B106" s="60" t="s">
        <v>313</v>
      </c>
      <c r="C106" s="42" t="s">
        <v>314</v>
      </c>
      <c r="D106" s="43" t="s">
        <v>315</v>
      </c>
      <c r="E106" s="44"/>
      <c r="F106" s="44"/>
      <c r="G106" s="44">
        <f>10621</f>
        <v>10621</v>
      </c>
      <c r="H106" s="44"/>
      <c r="I106" s="114">
        <f>75000+25000</f>
        <v>100000</v>
      </c>
      <c r="J106" s="44"/>
      <c r="K106" s="44">
        <f>[1]BAZE_2024!G42+10621-SUM(E106:J106)</f>
        <v>2000</v>
      </c>
      <c r="L106" s="44">
        <f>F106+G106+H106+I106+J106+K106</f>
        <v>112621</v>
      </c>
      <c r="M106" s="45">
        <v>112621</v>
      </c>
      <c r="N106" s="45">
        <f>ROUND(M106,0)-10621</f>
        <v>102000</v>
      </c>
      <c r="O106" s="44">
        <f t="shared" si="42"/>
        <v>-10621</v>
      </c>
      <c r="P106" s="71" t="s">
        <v>316</v>
      </c>
      <c r="Q106" s="44">
        <f>ROUND(N106,0)</f>
        <v>102000</v>
      </c>
      <c r="R106" s="44">
        <f t="shared" si="43"/>
        <v>0</v>
      </c>
      <c r="S106" s="47"/>
      <c r="T106" s="44">
        <f>ROUND(Q106,0)</f>
        <v>102000</v>
      </c>
      <c r="U106" s="44">
        <f t="shared" si="44"/>
        <v>0</v>
      </c>
      <c r="V106" s="47"/>
      <c r="W106" s="44">
        <f>ROUND(T106,0)+5000</f>
        <v>107000</v>
      </c>
      <c r="X106" s="44">
        <f t="shared" si="45"/>
        <v>5000</v>
      </c>
      <c r="Y106" s="71" t="s">
        <v>96</v>
      </c>
      <c r="Z106" s="44">
        <f>ROUND(W106,0)</f>
        <v>107000</v>
      </c>
      <c r="AA106" s="44">
        <f t="shared" si="34"/>
        <v>0</v>
      </c>
      <c r="AB106" s="71"/>
    </row>
    <row r="107" spans="1:28" ht="15" customHeight="1" thickBot="1" x14ac:dyDescent="0.3">
      <c r="C107" s="115"/>
      <c r="D107" s="116" t="s">
        <v>317</v>
      </c>
      <c r="E107" s="117">
        <f t="shared" ref="E107:N107" si="52">E7+E10+E13+E16+E19+E22+E34+E37+E41+E42+E88+E91</f>
        <v>2707710.83</v>
      </c>
      <c r="F107" s="117">
        <f t="shared" si="52"/>
        <v>9063695.3728</v>
      </c>
      <c r="G107" s="117">
        <f t="shared" si="52"/>
        <v>1170437</v>
      </c>
      <c r="H107" s="117">
        <f t="shared" si="52"/>
        <v>0</v>
      </c>
      <c r="I107" s="117">
        <f t="shared" si="52"/>
        <v>1674037</v>
      </c>
      <c r="J107" s="117">
        <f t="shared" si="52"/>
        <v>0</v>
      </c>
      <c r="K107" s="117">
        <f t="shared" si="52"/>
        <v>39006032.609999999</v>
      </c>
      <c r="L107" s="117">
        <f t="shared" si="52"/>
        <v>50914201.982799999</v>
      </c>
      <c r="M107" s="118">
        <v>50914202.609999999</v>
      </c>
      <c r="N107" s="118">
        <f t="shared" si="52"/>
        <v>51193467</v>
      </c>
      <c r="O107" s="117">
        <f t="shared" si="42"/>
        <v>279264.3900000006</v>
      </c>
      <c r="P107" s="119"/>
      <c r="Q107" s="117">
        <f>Q7+Q10+Q13+Q16+Q19+Q22+Q34+Q37+Q41+Q42+Q88+Q91</f>
        <v>51761438</v>
      </c>
      <c r="R107" s="117">
        <f t="shared" si="43"/>
        <v>567971</v>
      </c>
      <c r="S107" s="120"/>
      <c r="T107" s="117">
        <f>T7+T10+T13+T16+T19+T22+T34+T37+T41+T42+T88+T91</f>
        <v>51844623</v>
      </c>
      <c r="U107" s="117">
        <f t="shared" si="44"/>
        <v>83185</v>
      </c>
      <c r="V107" s="120"/>
      <c r="W107" s="117">
        <f>W7+W10+W13+W16+W19+W22+W34+W37+W41+W42+W88+W91</f>
        <v>52574335</v>
      </c>
      <c r="X107" s="117">
        <f t="shared" si="45"/>
        <v>729712</v>
      </c>
      <c r="Y107" s="120"/>
      <c r="Z107" s="117">
        <f>Z7+Z10+Z13+Z16+Z19+Z22+Z34+Z37+Z41+Z42+Z88+Z91</f>
        <v>53076005</v>
      </c>
      <c r="AA107" s="117">
        <f t="shared" si="34"/>
        <v>501670</v>
      </c>
      <c r="AB107" s="120"/>
    </row>
    <row r="108" spans="1:28" ht="14.4" thickBot="1" x14ac:dyDescent="0.3">
      <c r="C108" s="121" t="s">
        <v>318</v>
      </c>
      <c r="D108" s="122" t="s">
        <v>319</v>
      </c>
      <c r="E108" s="123">
        <f>SUM(E109:E110)</f>
        <v>2707710.83</v>
      </c>
      <c r="F108" s="123">
        <f t="shared" ref="F108:L108" si="53">SUM(F109:F110)</f>
        <v>0</v>
      </c>
      <c r="G108" s="123">
        <f t="shared" si="53"/>
        <v>0</v>
      </c>
      <c r="H108" s="123">
        <f t="shared" si="53"/>
        <v>0</v>
      </c>
      <c r="I108" s="123">
        <f>SUM(I109:I110)</f>
        <v>0</v>
      </c>
      <c r="J108" s="123">
        <f t="shared" si="53"/>
        <v>0</v>
      </c>
      <c r="K108" s="123">
        <f t="shared" si="53"/>
        <v>0</v>
      </c>
      <c r="L108" s="123">
        <f t="shared" si="53"/>
        <v>9016613.8300000001</v>
      </c>
      <c r="M108" s="124">
        <v>9016614.0299999993</v>
      </c>
      <c r="N108" s="124">
        <f>SUM(N109:N110)</f>
        <v>9755067</v>
      </c>
      <c r="O108" s="123">
        <f t="shared" si="42"/>
        <v>738452.97000000067</v>
      </c>
      <c r="P108" s="125"/>
      <c r="Q108" s="123">
        <f>SUM(Q109:Q110)</f>
        <v>9755067</v>
      </c>
      <c r="R108" s="123">
        <f t="shared" si="43"/>
        <v>0</v>
      </c>
      <c r="S108" s="126"/>
      <c r="T108" s="123">
        <f>SUM(T109:T110)</f>
        <v>9755067</v>
      </c>
      <c r="U108" s="123">
        <f t="shared" si="44"/>
        <v>0</v>
      </c>
      <c r="V108" s="126"/>
      <c r="W108" s="123">
        <f>SUM(W109:W110)</f>
        <v>9755067</v>
      </c>
      <c r="X108" s="123">
        <f t="shared" si="45"/>
        <v>0</v>
      </c>
      <c r="Y108" s="126"/>
      <c r="Z108" s="123">
        <f>SUM(Z109:Z110)</f>
        <v>9755067</v>
      </c>
      <c r="AA108" s="123">
        <f t="shared" si="34"/>
        <v>0</v>
      </c>
      <c r="AB108" s="126"/>
    </row>
    <row r="109" spans="1:28" ht="14.4" customHeight="1" x14ac:dyDescent="0.25">
      <c r="C109" s="42" t="s">
        <v>320</v>
      </c>
      <c r="D109" s="43" t="s">
        <v>321</v>
      </c>
      <c r="E109" s="44">
        <f>E107</f>
        <v>2707710.83</v>
      </c>
      <c r="F109" s="44"/>
      <c r="G109" s="44"/>
      <c r="H109" s="44"/>
      <c r="I109" s="44"/>
      <c r="J109" s="44"/>
      <c r="K109" s="44"/>
      <c r="L109" s="44">
        <f>E109</f>
        <v>2707710.83</v>
      </c>
      <c r="M109" s="45">
        <v>2707710.83</v>
      </c>
      <c r="N109" s="45">
        <f>ROUND(M109,0)+104970+230-1+750-1034+19357+1832+41+1093+13000+168382+10621+3808+904+17685+76439+38150+31285</f>
        <v>3195223</v>
      </c>
      <c r="O109" s="44">
        <f t="shared" si="42"/>
        <v>487512.16999999993</v>
      </c>
      <c r="P109" s="70" t="s">
        <v>322</v>
      </c>
      <c r="Q109" s="44">
        <f>ROUND(N109,0)</f>
        <v>3195223</v>
      </c>
      <c r="R109" s="44">
        <f t="shared" si="43"/>
        <v>0</v>
      </c>
      <c r="S109" s="71"/>
      <c r="T109" s="44">
        <f>ROUND(Q109,0)</f>
        <v>3195223</v>
      </c>
      <c r="U109" s="44">
        <f t="shared" si="44"/>
        <v>0</v>
      </c>
      <c r="V109" s="71"/>
      <c r="W109" s="44">
        <f>ROUND(T109,0)</f>
        <v>3195223</v>
      </c>
      <c r="X109" s="44">
        <f t="shared" si="45"/>
        <v>0</v>
      </c>
      <c r="Y109" s="71"/>
      <c r="Z109" s="44">
        <f>ROUND(W109,0)</f>
        <v>3195223</v>
      </c>
      <c r="AA109" s="44">
        <f t="shared" si="34"/>
        <v>0</v>
      </c>
      <c r="AB109" s="71"/>
    </row>
    <row r="110" spans="1:28" x14ac:dyDescent="0.25">
      <c r="C110" s="42" t="s">
        <v>323</v>
      </c>
      <c r="D110" s="43" t="s">
        <v>324</v>
      </c>
      <c r="E110" s="44"/>
      <c r="F110" s="44"/>
      <c r="G110" s="44"/>
      <c r="H110" s="44"/>
      <c r="I110" s="44"/>
      <c r="J110" s="44"/>
      <c r="K110" s="44"/>
      <c r="L110" s="44">
        <v>6308903</v>
      </c>
      <c r="M110" s="45">
        <v>6308903</v>
      </c>
      <c r="N110" s="45">
        <f>ROUND(M110,0)+3445956+208-N109</f>
        <v>6559844</v>
      </c>
      <c r="O110" s="44">
        <f t="shared" si="42"/>
        <v>250941</v>
      </c>
      <c r="P110" s="46"/>
      <c r="Q110" s="44">
        <f>ROUND(N110,0)</f>
        <v>6559844</v>
      </c>
      <c r="R110" s="44">
        <f t="shared" si="43"/>
        <v>0</v>
      </c>
      <c r="S110" s="47"/>
      <c r="T110" s="44">
        <f>ROUND(Q110,0)</f>
        <v>6559844</v>
      </c>
      <c r="U110" s="44">
        <f t="shared" si="44"/>
        <v>0</v>
      </c>
      <c r="V110" s="47"/>
      <c r="W110" s="44">
        <f>ROUND(T110,0)</f>
        <v>6559844</v>
      </c>
      <c r="X110" s="44">
        <f t="shared" si="45"/>
        <v>0</v>
      </c>
      <c r="Y110" s="47"/>
      <c r="Z110" s="44">
        <f>ROUND(W110,0)</f>
        <v>6559844</v>
      </c>
      <c r="AA110" s="44">
        <f t="shared" si="34"/>
        <v>0</v>
      </c>
      <c r="AB110" s="47"/>
    </row>
    <row r="111" spans="1:28" x14ac:dyDescent="0.25">
      <c r="C111" s="72" t="s">
        <v>325</v>
      </c>
      <c r="D111" s="127" t="s">
        <v>326</v>
      </c>
      <c r="E111" s="128">
        <f>SUM(E112:E123)</f>
        <v>0</v>
      </c>
      <c r="F111" s="128">
        <f t="shared" ref="F111:L111" si="54">SUM(F112:F123)</f>
        <v>0</v>
      </c>
      <c r="G111" s="128">
        <f t="shared" si="54"/>
        <v>0</v>
      </c>
      <c r="H111" s="128">
        <f>SUM(H112:H123)</f>
        <v>1873161</v>
      </c>
      <c r="I111" s="128">
        <f t="shared" si="54"/>
        <v>0</v>
      </c>
      <c r="J111" s="128">
        <f t="shared" si="54"/>
        <v>0</v>
      </c>
      <c r="K111" s="128">
        <f t="shared" si="54"/>
        <v>0</v>
      </c>
      <c r="L111" s="128">
        <f t="shared" si="54"/>
        <v>1873161</v>
      </c>
      <c r="M111" s="129">
        <v>1873161</v>
      </c>
      <c r="N111" s="129">
        <f>SUM(N112:N123)</f>
        <v>1917782</v>
      </c>
      <c r="O111" s="50">
        <f t="shared" si="42"/>
        <v>44621</v>
      </c>
      <c r="P111" s="52"/>
      <c r="Q111" s="128">
        <f>SUM(Q112:Q123)</f>
        <v>1941929</v>
      </c>
      <c r="R111" s="50">
        <f t="shared" si="43"/>
        <v>24147</v>
      </c>
      <c r="S111" s="53"/>
      <c r="T111" s="128">
        <f>SUM(T112:T123)</f>
        <v>1941929</v>
      </c>
      <c r="U111" s="50">
        <f t="shared" si="44"/>
        <v>0</v>
      </c>
      <c r="V111" s="53"/>
      <c r="W111" s="128">
        <f>SUM(W112:W123)</f>
        <v>1941929</v>
      </c>
      <c r="X111" s="50">
        <f t="shared" si="45"/>
        <v>0</v>
      </c>
      <c r="Y111" s="53"/>
      <c r="Z111" s="128">
        <f>SUM(Z112:Z123)</f>
        <v>1913234</v>
      </c>
      <c r="AA111" s="50">
        <f t="shared" si="34"/>
        <v>-28695</v>
      </c>
      <c r="AB111" s="53"/>
    </row>
    <row r="112" spans="1:28" ht="41.4" hidden="1" outlineLevel="1" x14ac:dyDescent="0.25">
      <c r="A112" s="92"/>
      <c r="B112" s="92"/>
      <c r="C112" s="110" t="s">
        <v>327</v>
      </c>
      <c r="D112" s="130" t="s">
        <v>247</v>
      </c>
      <c r="E112" s="131"/>
      <c r="F112" s="131"/>
      <c r="G112" s="132"/>
      <c r="H112" s="133"/>
      <c r="I112" s="131"/>
      <c r="J112" s="132"/>
      <c r="K112" s="131"/>
      <c r="L112" s="44">
        <f t="shared" ref="L112:L118" si="55">F112+G112+H112+I112+J112+K112</f>
        <v>0</v>
      </c>
      <c r="M112" s="45">
        <v>0</v>
      </c>
      <c r="N112" s="45">
        <f t="shared" ref="N112:N123" si="56">ROUND(M112,0)</f>
        <v>0</v>
      </c>
      <c r="O112" s="134">
        <f t="shared" si="42"/>
        <v>0</v>
      </c>
      <c r="P112" s="61"/>
      <c r="Q112" s="44">
        <f t="shared" ref="Q112:Q123" si="57">ROUND(N112,0)</f>
        <v>0</v>
      </c>
      <c r="R112" s="134">
        <f t="shared" si="43"/>
        <v>0</v>
      </c>
      <c r="S112" s="62"/>
      <c r="T112" s="44">
        <f t="shared" ref="T112:T123" si="58">ROUND(Q112,0)</f>
        <v>0</v>
      </c>
      <c r="U112" s="134">
        <f t="shared" si="44"/>
        <v>0</v>
      </c>
      <c r="V112" s="62"/>
      <c r="W112" s="44">
        <f t="shared" ref="W112:W121" si="59">ROUND(T112,0)</f>
        <v>0</v>
      </c>
      <c r="X112" s="134">
        <f t="shared" si="45"/>
        <v>0</v>
      </c>
      <c r="Y112" s="62"/>
      <c r="Z112" s="44">
        <f t="shared" ref="Z112:Z121" si="60">ROUND(W112,0)</f>
        <v>0</v>
      </c>
      <c r="AA112" s="134">
        <f t="shared" si="34"/>
        <v>0</v>
      </c>
      <c r="AB112" s="62"/>
    </row>
    <row r="113" spans="1:28" hidden="1" outlineLevel="1" x14ac:dyDescent="0.25">
      <c r="A113" s="92"/>
      <c r="B113" s="92"/>
      <c r="C113" s="110" t="s">
        <v>328</v>
      </c>
      <c r="D113" s="130" t="s">
        <v>249</v>
      </c>
      <c r="E113" s="131"/>
      <c r="F113" s="131"/>
      <c r="G113" s="132"/>
      <c r="H113" s="133"/>
      <c r="I113" s="131"/>
      <c r="J113" s="132"/>
      <c r="K113" s="131"/>
      <c r="L113" s="44">
        <f t="shared" si="55"/>
        <v>0</v>
      </c>
      <c r="M113" s="45">
        <v>0</v>
      </c>
      <c r="N113" s="45">
        <f t="shared" si="56"/>
        <v>0</v>
      </c>
      <c r="O113" s="134">
        <f t="shared" si="42"/>
        <v>0</v>
      </c>
      <c r="P113" s="61"/>
      <c r="Q113" s="44">
        <f t="shared" si="57"/>
        <v>0</v>
      </c>
      <c r="R113" s="134">
        <f t="shared" si="43"/>
        <v>0</v>
      </c>
      <c r="S113" s="62"/>
      <c r="T113" s="44">
        <f t="shared" si="58"/>
        <v>0</v>
      </c>
      <c r="U113" s="134">
        <f t="shared" si="44"/>
        <v>0</v>
      </c>
      <c r="V113" s="62"/>
      <c r="W113" s="44">
        <f t="shared" si="59"/>
        <v>0</v>
      </c>
      <c r="X113" s="134">
        <f t="shared" si="45"/>
        <v>0</v>
      </c>
      <c r="Y113" s="62"/>
      <c r="Z113" s="44">
        <f t="shared" si="60"/>
        <v>0</v>
      </c>
      <c r="AA113" s="134">
        <f t="shared" si="34"/>
        <v>0</v>
      </c>
      <c r="AB113" s="62"/>
    </row>
    <row r="114" spans="1:28" ht="30.6" customHeight="1" collapsed="1" x14ac:dyDescent="0.25">
      <c r="A114" s="92" t="s">
        <v>329</v>
      </c>
      <c r="B114" s="92"/>
      <c r="C114" s="110" t="s">
        <v>327</v>
      </c>
      <c r="D114" s="130" t="s">
        <v>330</v>
      </c>
      <c r="E114" s="131"/>
      <c r="F114" s="131"/>
      <c r="G114" s="131"/>
      <c r="H114" s="135">
        <v>541742</v>
      </c>
      <c r="I114" s="131"/>
      <c r="J114" s="131"/>
      <c r="K114" s="131"/>
      <c r="L114" s="44">
        <f t="shared" si="55"/>
        <v>541742</v>
      </c>
      <c r="M114" s="45">
        <v>541742</v>
      </c>
      <c r="N114" s="45">
        <f t="shared" si="56"/>
        <v>541742</v>
      </c>
      <c r="O114" s="134">
        <f t="shared" si="42"/>
        <v>0</v>
      </c>
      <c r="P114" s="61"/>
      <c r="Q114" s="44">
        <f t="shared" si="57"/>
        <v>541742</v>
      </c>
      <c r="R114" s="134">
        <f t="shared" si="43"/>
        <v>0</v>
      </c>
      <c r="S114" s="62"/>
      <c r="T114" s="44">
        <f t="shared" si="58"/>
        <v>541742</v>
      </c>
      <c r="U114" s="134">
        <f t="shared" si="44"/>
        <v>0</v>
      </c>
      <c r="V114" s="62"/>
      <c r="W114" s="44">
        <f t="shared" si="59"/>
        <v>541742</v>
      </c>
      <c r="X114" s="134">
        <f t="shared" si="45"/>
        <v>0</v>
      </c>
      <c r="Y114" s="62"/>
      <c r="Z114" s="44">
        <f>ROUND(W114,0)-28695</f>
        <v>513047</v>
      </c>
      <c r="AA114" s="134">
        <f t="shared" si="34"/>
        <v>-28695</v>
      </c>
      <c r="AB114" s="62" t="s">
        <v>331</v>
      </c>
    </row>
    <row r="115" spans="1:28" ht="27.6" x14ac:dyDescent="0.25">
      <c r="A115" s="92" t="s">
        <v>205</v>
      </c>
      <c r="B115" s="92" t="s">
        <v>332</v>
      </c>
      <c r="C115" s="110" t="s">
        <v>328</v>
      </c>
      <c r="D115" s="136" t="s">
        <v>333</v>
      </c>
      <c r="E115" s="131"/>
      <c r="F115" s="131"/>
      <c r="G115" s="131"/>
      <c r="H115" s="135">
        <f>284889+68516</f>
        <v>353405</v>
      </c>
      <c r="I115" s="131"/>
      <c r="J115" s="131"/>
      <c r="K115" s="131"/>
      <c r="L115" s="44">
        <f t="shared" si="55"/>
        <v>353405</v>
      </c>
      <c r="M115" s="45">
        <v>353405</v>
      </c>
      <c r="N115" s="45">
        <f>ROUND(M115,0)-3420</f>
        <v>349985</v>
      </c>
      <c r="O115" s="134">
        <f t="shared" si="42"/>
        <v>-3420</v>
      </c>
      <c r="P115" s="62" t="s">
        <v>334</v>
      </c>
      <c r="Q115" s="44">
        <f t="shared" si="57"/>
        <v>349985</v>
      </c>
      <c r="R115" s="134">
        <f t="shared" si="43"/>
        <v>0</v>
      </c>
      <c r="S115" s="59"/>
      <c r="T115" s="44">
        <f t="shared" si="58"/>
        <v>349985</v>
      </c>
      <c r="U115" s="134">
        <f t="shared" si="44"/>
        <v>0</v>
      </c>
      <c r="V115" s="59"/>
      <c r="W115" s="44">
        <f t="shared" si="59"/>
        <v>349985</v>
      </c>
      <c r="X115" s="134">
        <f t="shared" si="45"/>
        <v>0</v>
      </c>
      <c r="Y115" s="59"/>
      <c r="Z115" s="44">
        <f t="shared" si="60"/>
        <v>349985</v>
      </c>
      <c r="AA115" s="134">
        <f t="shared" si="34"/>
        <v>0</v>
      </c>
      <c r="AB115" s="59"/>
    </row>
    <row r="116" spans="1:28" ht="16.95" hidden="1" customHeight="1" outlineLevel="1" x14ac:dyDescent="0.25">
      <c r="A116" s="92"/>
      <c r="B116" s="92"/>
      <c r="C116" s="110" t="s">
        <v>335</v>
      </c>
      <c r="D116" s="136"/>
      <c r="E116" s="131"/>
      <c r="F116" s="131"/>
      <c r="G116" s="131"/>
      <c r="H116" s="135"/>
      <c r="I116" s="131"/>
      <c r="J116" s="131"/>
      <c r="K116" s="131"/>
      <c r="L116" s="44">
        <f t="shared" si="55"/>
        <v>0</v>
      </c>
      <c r="M116" s="45">
        <v>0</v>
      </c>
      <c r="N116" s="45">
        <f t="shared" si="56"/>
        <v>0</v>
      </c>
      <c r="O116" s="134">
        <f t="shared" si="42"/>
        <v>0</v>
      </c>
      <c r="P116" s="58"/>
      <c r="Q116" s="44">
        <f t="shared" si="57"/>
        <v>0</v>
      </c>
      <c r="R116" s="134">
        <f t="shared" si="43"/>
        <v>0</v>
      </c>
      <c r="S116" s="59"/>
      <c r="T116" s="44">
        <f t="shared" si="58"/>
        <v>0</v>
      </c>
      <c r="U116" s="134">
        <f t="shared" si="44"/>
        <v>0</v>
      </c>
      <c r="V116" s="59"/>
      <c r="W116" s="44">
        <f t="shared" si="59"/>
        <v>0</v>
      </c>
      <c r="X116" s="134">
        <f t="shared" si="45"/>
        <v>0</v>
      </c>
      <c r="Y116" s="59"/>
      <c r="Z116" s="44">
        <f t="shared" si="60"/>
        <v>0</v>
      </c>
      <c r="AA116" s="134">
        <f t="shared" si="34"/>
        <v>0</v>
      </c>
      <c r="AB116" s="59"/>
    </row>
    <row r="117" spans="1:28" hidden="1" outlineLevel="1" x14ac:dyDescent="0.25">
      <c r="B117" s="92"/>
      <c r="C117" s="110" t="s">
        <v>336</v>
      </c>
      <c r="D117" s="136" t="s">
        <v>337</v>
      </c>
      <c r="E117" s="131"/>
      <c r="F117" s="131"/>
      <c r="G117" s="132"/>
      <c r="H117" s="133"/>
      <c r="I117" s="131"/>
      <c r="J117" s="132"/>
      <c r="K117" s="131"/>
      <c r="L117" s="131">
        <f t="shared" si="55"/>
        <v>0</v>
      </c>
      <c r="M117" s="135">
        <v>0</v>
      </c>
      <c r="N117" s="135">
        <f t="shared" si="56"/>
        <v>0</v>
      </c>
      <c r="O117" s="137">
        <f t="shared" si="42"/>
        <v>0</v>
      </c>
      <c r="P117" s="138"/>
      <c r="Q117" s="131">
        <f>ROUND(N117,0)</f>
        <v>0</v>
      </c>
      <c r="R117" s="137">
        <f t="shared" si="43"/>
        <v>0</v>
      </c>
      <c r="S117" s="62"/>
      <c r="T117" s="131">
        <f t="shared" si="58"/>
        <v>0</v>
      </c>
      <c r="U117" s="137">
        <f t="shared" si="44"/>
        <v>0</v>
      </c>
      <c r="V117" s="62"/>
      <c r="W117" s="131">
        <f t="shared" si="59"/>
        <v>0</v>
      </c>
      <c r="X117" s="137">
        <f t="shared" si="45"/>
        <v>0</v>
      </c>
      <c r="Y117" s="62"/>
      <c r="Z117" s="131">
        <f t="shared" si="60"/>
        <v>0</v>
      </c>
      <c r="AA117" s="137">
        <f t="shared" si="34"/>
        <v>0</v>
      </c>
      <c r="AB117" s="62"/>
    </row>
    <row r="118" spans="1:28" ht="42" customHeight="1" collapsed="1" x14ac:dyDescent="0.25">
      <c r="A118" s="92" t="s">
        <v>338</v>
      </c>
      <c r="B118" s="92"/>
      <c r="C118" s="110" t="s">
        <v>339</v>
      </c>
      <c r="D118" s="139" t="s">
        <v>340</v>
      </c>
      <c r="E118" s="140"/>
      <c r="F118" s="140"/>
      <c r="G118" s="140"/>
      <c r="H118" s="141">
        <v>30982</v>
      </c>
      <c r="I118" s="140"/>
      <c r="J118" s="140"/>
      <c r="K118" s="140"/>
      <c r="L118" s="140">
        <f t="shared" si="55"/>
        <v>30982</v>
      </c>
      <c r="M118" s="141">
        <v>30982</v>
      </c>
      <c r="N118" s="135">
        <f>ROUND(M118,0)+48041</f>
        <v>79023</v>
      </c>
      <c r="O118" s="137">
        <f t="shared" si="42"/>
        <v>48041</v>
      </c>
      <c r="P118" s="142" t="s">
        <v>341</v>
      </c>
      <c r="Q118" s="131">
        <f t="shared" si="57"/>
        <v>79023</v>
      </c>
      <c r="R118" s="137">
        <f t="shared" si="43"/>
        <v>0</v>
      </c>
      <c r="S118" s="62"/>
      <c r="T118" s="131">
        <f t="shared" si="58"/>
        <v>79023</v>
      </c>
      <c r="U118" s="137">
        <f t="shared" si="44"/>
        <v>0</v>
      </c>
      <c r="V118" s="59"/>
      <c r="W118" s="131">
        <f t="shared" si="59"/>
        <v>79023</v>
      </c>
      <c r="X118" s="137">
        <f t="shared" si="45"/>
        <v>0</v>
      </c>
      <c r="Y118" s="59"/>
      <c r="Z118" s="131">
        <f t="shared" si="60"/>
        <v>79023</v>
      </c>
      <c r="AA118" s="137">
        <f t="shared" si="34"/>
        <v>0</v>
      </c>
      <c r="AB118" s="59"/>
    </row>
    <row r="119" spans="1:28" ht="57.6" customHeight="1" x14ac:dyDescent="0.25">
      <c r="A119" s="92" t="s">
        <v>338</v>
      </c>
      <c r="B119" s="92"/>
      <c r="C119" s="110" t="s">
        <v>342</v>
      </c>
      <c r="D119" s="143" t="s">
        <v>343</v>
      </c>
      <c r="E119" s="144"/>
      <c r="F119" s="144"/>
      <c r="G119" s="144"/>
      <c r="H119" s="145">
        <v>783000</v>
      </c>
      <c r="I119" s="144"/>
      <c r="J119" s="144"/>
      <c r="K119" s="144"/>
      <c r="L119" s="144">
        <f>F119+G119+H119+I119+J119+K119</f>
        <v>783000</v>
      </c>
      <c r="M119" s="146">
        <v>783000</v>
      </c>
      <c r="N119" s="147">
        <f t="shared" si="56"/>
        <v>783000</v>
      </c>
      <c r="O119" s="137">
        <f t="shared" si="42"/>
        <v>0</v>
      </c>
      <c r="P119" s="58"/>
      <c r="Q119" s="131">
        <f t="shared" si="57"/>
        <v>783000</v>
      </c>
      <c r="R119" s="137">
        <f t="shared" si="43"/>
        <v>0</v>
      </c>
      <c r="S119" s="62"/>
      <c r="T119" s="131">
        <f t="shared" si="58"/>
        <v>783000</v>
      </c>
      <c r="U119" s="137">
        <f t="shared" si="44"/>
        <v>0</v>
      </c>
      <c r="V119" s="59"/>
      <c r="W119" s="131">
        <f t="shared" si="59"/>
        <v>783000</v>
      </c>
      <c r="X119" s="137">
        <f t="shared" si="45"/>
        <v>0</v>
      </c>
      <c r="Y119" s="59"/>
      <c r="Z119" s="131">
        <f t="shared" si="60"/>
        <v>783000</v>
      </c>
      <c r="AA119" s="137">
        <f t="shared" si="34"/>
        <v>0</v>
      </c>
      <c r="AB119" s="59"/>
    </row>
    <row r="120" spans="1:28" ht="16.2" customHeight="1" x14ac:dyDescent="0.25">
      <c r="B120" s="92" t="s">
        <v>252</v>
      </c>
      <c r="C120" s="110" t="s">
        <v>335</v>
      </c>
      <c r="D120" s="143" t="s">
        <v>254</v>
      </c>
      <c r="E120" s="144"/>
      <c r="F120" s="144"/>
      <c r="G120" s="144"/>
      <c r="H120" s="145">
        <v>164032</v>
      </c>
      <c r="I120" s="144"/>
      <c r="J120" s="148"/>
      <c r="K120" s="144"/>
      <c r="L120" s="144">
        <f>F120+G120+H120+I120+J120+K120</f>
        <v>164032</v>
      </c>
      <c r="M120" s="146">
        <v>164032</v>
      </c>
      <c r="N120" s="147">
        <f t="shared" si="56"/>
        <v>164032</v>
      </c>
      <c r="O120" s="44">
        <f t="shared" si="42"/>
        <v>0</v>
      </c>
      <c r="P120" s="149"/>
      <c r="Q120" s="131">
        <f>ROUND(N120,0)+24147</f>
        <v>188179</v>
      </c>
      <c r="R120" s="150">
        <f t="shared" si="43"/>
        <v>24147</v>
      </c>
      <c r="S120" s="62" t="s">
        <v>255</v>
      </c>
      <c r="T120" s="151">
        <f t="shared" si="58"/>
        <v>188179</v>
      </c>
      <c r="U120" s="150">
        <f t="shared" si="44"/>
        <v>0</v>
      </c>
      <c r="V120" s="107"/>
      <c r="W120" s="150">
        <f t="shared" si="59"/>
        <v>188179</v>
      </c>
      <c r="X120" s="150">
        <f t="shared" si="45"/>
        <v>0</v>
      </c>
      <c r="Y120" s="59"/>
      <c r="Z120" s="131">
        <f t="shared" si="60"/>
        <v>188179</v>
      </c>
      <c r="AA120" s="150">
        <f t="shared" si="34"/>
        <v>0</v>
      </c>
      <c r="AB120" s="59"/>
    </row>
    <row r="121" spans="1:28" ht="18.600000000000001" hidden="1" customHeight="1" outlineLevel="1" x14ac:dyDescent="0.25">
      <c r="B121" s="92"/>
      <c r="C121" s="110" t="s">
        <v>344</v>
      </c>
      <c r="D121" s="143" t="s">
        <v>345</v>
      </c>
      <c r="E121" s="144"/>
      <c r="F121" s="144"/>
      <c r="G121" s="148"/>
      <c r="H121" s="145"/>
      <c r="I121" s="144"/>
      <c r="J121" s="148"/>
      <c r="K121" s="144"/>
      <c r="L121" s="144">
        <f>F121+G121+H121+I121+J121+K121</f>
        <v>0</v>
      </c>
      <c r="M121" s="145">
        <v>0</v>
      </c>
      <c r="N121" s="152">
        <f t="shared" si="56"/>
        <v>0</v>
      </c>
      <c r="O121" s="153">
        <f t="shared" si="42"/>
        <v>0</v>
      </c>
      <c r="P121" s="138"/>
      <c r="Q121" s="131">
        <f t="shared" si="57"/>
        <v>0</v>
      </c>
      <c r="R121" s="137">
        <f t="shared" si="43"/>
        <v>0</v>
      </c>
      <c r="S121" s="62"/>
      <c r="T121" s="131">
        <f t="shared" si="58"/>
        <v>0</v>
      </c>
      <c r="U121" s="137">
        <f t="shared" si="44"/>
        <v>0</v>
      </c>
      <c r="V121" s="154"/>
      <c r="W121" s="131">
        <f t="shared" si="59"/>
        <v>0</v>
      </c>
      <c r="X121" s="137">
        <f t="shared" si="45"/>
        <v>0</v>
      </c>
      <c r="Y121" s="59"/>
      <c r="Z121" s="131">
        <f t="shared" si="60"/>
        <v>0</v>
      </c>
      <c r="AA121" s="137">
        <f t="shared" si="34"/>
        <v>0</v>
      </c>
      <c r="AB121" s="59"/>
    </row>
    <row r="122" spans="1:28" ht="27.6" hidden="1" customHeight="1" outlineLevel="1" thickBot="1" x14ac:dyDescent="0.3">
      <c r="B122" s="92"/>
      <c r="C122" s="155" t="s">
        <v>346</v>
      </c>
      <c r="D122" s="272" t="s">
        <v>347</v>
      </c>
      <c r="E122" s="144"/>
      <c r="F122" s="144"/>
      <c r="G122" s="148"/>
      <c r="H122" s="145"/>
      <c r="I122" s="144"/>
      <c r="J122" s="148"/>
      <c r="K122" s="144"/>
      <c r="L122" s="144">
        <f>F122+G122+H122+I122+J122+K122</f>
        <v>0</v>
      </c>
      <c r="M122" s="145">
        <v>0</v>
      </c>
      <c r="N122" s="135">
        <f t="shared" si="56"/>
        <v>0</v>
      </c>
      <c r="O122" s="137">
        <f t="shared" si="42"/>
        <v>0</v>
      </c>
      <c r="P122" s="138"/>
      <c r="Q122" s="131">
        <f t="shared" si="57"/>
        <v>0</v>
      </c>
      <c r="R122" s="137">
        <f t="shared" si="43"/>
        <v>0</v>
      </c>
      <c r="S122" s="62"/>
      <c r="T122" s="131"/>
      <c r="U122" s="137"/>
      <c r="V122" s="156"/>
      <c r="W122" s="131">
        <f>ROUND(T122,0)</f>
        <v>0</v>
      </c>
      <c r="X122" s="137">
        <f t="shared" si="45"/>
        <v>0</v>
      </c>
      <c r="Y122" s="59"/>
      <c r="Z122" s="131">
        <f>ROUND(W122,0)</f>
        <v>0</v>
      </c>
      <c r="AA122" s="137">
        <f t="shared" si="34"/>
        <v>0</v>
      </c>
      <c r="AB122" s="59"/>
    </row>
    <row r="123" spans="1:28" ht="28.95" hidden="1" customHeight="1" outlineLevel="1" thickBot="1" x14ac:dyDescent="0.3">
      <c r="B123" s="92"/>
      <c r="C123" s="110" t="s">
        <v>348</v>
      </c>
      <c r="D123" s="273" t="s">
        <v>349</v>
      </c>
      <c r="E123" s="131"/>
      <c r="F123" s="131"/>
      <c r="G123" s="132"/>
      <c r="H123" s="135"/>
      <c r="I123" s="131"/>
      <c r="J123" s="132"/>
      <c r="K123" s="131"/>
      <c r="L123" s="131">
        <f>F123+G123+H123+I123+J123+K123</f>
        <v>0</v>
      </c>
      <c r="M123" s="135">
        <v>0</v>
      </c>
      <c r="N123" s="135">
        <f t="shared" si="56"/>
        <v>0</v>
      </c>
      <c r="O123" s="137">
        <f t="shared" si="42"/>
        <v>0</v>
      </c>
      <c r="P123" s="138"/>
      <c r="Q123" s="131">
        <f t="shared" si="57"/>
        <v>0</v>
      </c>
      <c r="R123" s="137">
        <f t="shared" si="43"/>
        <v>0</v>
      </c>
      <c r="S123" s="62"/>
      <c r="T123" s="131">
        <f t="shared" si="58"/>
        <v>0</v>
      </c>
      <c r="U123" s="137">
        <f t="shared" si="44"/>
        <v>0</v>
      </c>
      <c r="V123" s="47"/>
      <c r="W123" s="131">
        <f>ROUND(T123,0)</f>
        <v>0</v>
      </c>
      <c r="X123" s="137">
        <f t="shared" si="45"/>
        <v>0</v>
      </c>
      <c r="Y123" s="59"/>
      <c r="Z123" s="131">
        <f>ROUND(W123,0)</f>
        <v>0</v>
      </c>
      <c r="AA123" s="137">
        <f t="shared" si="34"/>
        <v>0</v>
      </c>
      <c r="AB123" s="59"/>
    </row>
    <row r="124" spans="1:28" ht="14.4" collapsed="1" thickBot="1" x14ac:dyDescent="0.3">
      <c r="C124" s="157"/>
      <c r="D124" s="158" t="s">
        <v>350</v>
      </c>
      <c r="E124" s="123">
        <f>E109</f>
        <v>2707710.83</v>
      </c>
      <c r="F124" s="123">
        <f t="shared" ref="F124:N124" si="61">F107+F108+F111</f>
        <v>9063695.3728</v>
      </c>
      <c r="G124" s="123">
        <f t="shared" si="61"/>
        <v>1170437</v>
      </c>
      <c r="H124" s="123">
        <f t="shared" si="61"/>
        <v>1873161</v>
      </c>
      <c r="I124" s="123">
        <f t="shared" si="61"/>
        <v>1674037</v>
      </c>
      <c r="J124" s="123">
        <f t="shared" si="61"/>
        <v>0</v>
      </c>
      <c r="K124" s="123">
        <f t="shared" si="61"/>
        <v>39006032.609999999</v>
      </c>
      <c r="L124" s="123">
        <f t="shared" si="61"/>
        <v>61803976.812799998</v>
      </c>
      <c r="M124" s="124">
        <v>61803977.640000001</v>
      </c>
      <c r="N124" s="124">
        <f t="shared" si="61"/>
        <v>62866316</v>
      </c>
      <c r="O124" s="123">
        <f t="shared" si="42"/>
        <v>1062338.3599999994</v>
      </c>
      <c r="P124" s="159"/>
      <c r="Q124" s="123">
        <f>Q107+Q108+Q111</f>
        <v>63458434</v>
      </c>
      <c r="R124" s="123">
        <f t="shared" si="43"/>
        <v>592118</v>
      </c>
      <c r="S124" s="160"/>
      <c r="T124" s="123">
        <f>T107+T108+T111</f>
        <v>63541619</v>
      </c>
      <c r="U124" s="123">
        <f t="shared" si="44"/>
        <v>83185</v>
      </c>
      <c r="V124" s="160"/>
      <c r="W124" s="123">
        <f>W107+W108+W111</f>
        <v>64271331</v>
      </c>
      <c r="X124" s="123">
        <f t="shared" si="45"/>
        <v>729712</v>
      </c>
      <c r="Y124" s="160"/>
      <c r="Z124" s="123">
        <f>Z107+Z108+Z111</f>
        <v>64744306</v>
      </c>
      <c r="AA124" s="123">
        <f t="shared" si="34"/>
        <v>472975</v>
      </c>
      <c r="AB124" s="160"/>
    </row>
    <row r="125" spans="1:28" x14ac:dyDescent="0.25">
      <c r="L125" s="5"/>
    </row>
    <row r="126" spans="1:28" x14ac:dyDescent="0.25">
      <c r="E126" s="10"/>
      <c r="F126" s="10"/>
      <c r="G126" s="5"/>
      <c r="H126" s="5"/>
      <c r="I126" s="10"/>
      <c r="J126" s="5"/>
      <c r="K126" s="10" t="s">
        <v>351</v>
      </c>
      <c r="L126" s="5">
        <f>L124-SUM(F124:K124)</f>
        <v>9016613.8299999982</v>
      </c>
      <c r="O126" s="10"/>
      <c r="Q126" s="10"/>
      <c r="R126" s="10"/>
      <c r="T126" s="10"/>
      <c r="U126" s="10"/>
      <c r="W126" s="10"/>
      <c r="X126" s="10"/>
      <c r="Z126" s="10"/>
      <c r="AA126" s="10"/>
    </row>
    <row r="127" spans="1:28" ht="20.399999999999999" x14ac:dyDescent="0.35">
      <c r="C127" s="280" t="s">
        <v>352</v>
      </c>
      <c r="D127" s="280"/>
      <c r="E127" s="10"/>
      <c r="F127" s="10"/>
      <c r="G127" s="5"/>
      <c r="H127" s="5"/>
      <c r="I127" s="10"/>
      <c r="J127" s="5"/>
      <c r="K127" s="10"/>
      <c r="L127" s="5"/>
      <c r="O127" s="10"/>
      <c r="Q127" s="10"/>
      <c r="R127" s="10"/>
      <c r="T127" s="10"/>
      <c r="U127" s="10"/>
      <c r="W127" s="10"/>
      <c r="X127" s="10"/>
      <c r="Z127" s="10"/>
      <c r="AA127" s="10"/>
    </row>
    <row r="128" spans="1:28" ht="15" thickBot="1" x14ac:dyDescent="0.35">
      <c r="C128" s="281"/>
      <c r="D128" s="281"/>
      <c r="E128" s="162"/>
      <c r="F128" s="162"/>
      <c r="G128" s="163"/>
      <c r="H128" s="163"/>
      <c r="I128" s="162"/>
      <c r="J128" s="163"/>
      <c r="K128" s="10"/>
      <c r="L128" s="163"/>
      <c r="O128" s="162"/>
      <c r="Q128" s="162"/>
      <c r="R128" s="162"/>
      <c r="T128" s="162"/>
      <c r="U128" s="162"/>
      <c r="W128" s="162"/>
      <c r="X128" s="162"/>
      <c r="Z128" s="162"/>
      <c r="AA128" s="162"/>
    </row>
    <row r="129" spans="2:28" ht="57" customHeight="1" thickBot="1" x14ac:dyDescent="0.3">
      <c r="C129" s="23" t="s">
        <v>6</v>
      </c>
      <c r="D129" s="24" t="s">
        <v>7</v>
      </c>
      <c r="E129" s="25" t="s">
        <v>8</v>
      </c>
      <c r="F129" s="25" t="s">
        <v>9</v>
      </c>
      <c r="G129" s="25" t="s">
        <v>10</v>
      </c>
      <c r="H129" s="25" t="s">
        <v>11</v>
      </c>
      <c r="I129" s="25" t="s">
        <v>12</v>
      </c>
      <c r="J129" s="25" t="s">
        <v>13</v>
      </c>
      <c r="K129" s="25" t="s">
        <v>353</v>
      </c>
      <c r="L129" s="25" t="s">
        <v>15</v>
      </c>
      <c r="M129" s="26" t="s">
        <v>15</v>
      </c>
      <c r="N129" s="26" t="s">
        <v>16</v>
      </c>
      <c r="O129" s="25" t="s">
        <v>354</v>
      </c>
      <c r="P129" s="27" t="s">
        <v>355</v>
      </c>
      <c r="Q129" s="25" t="s">
        <v>19</v>
      </c>
      <c r="R129" s="25" t="s">
        <v>356</v>
      </c>
      <c r="S129" s="28" t="s">
        <v>355</v>
      </c>
      <c r="T129" s="25" t="s">
        <v>21</v>
      </c>
      <c r="U129" s="25" t="s">
        <v>22</v>
      </c>
      <c r="V129" s="28" t="s">
        <v>355</v>
      </c>
      <c r="W129" s="25" t="s">
        <v>23</v>
      </c>
      <c r="X129" s="25" t="s">
        <v>24</v>
      </c>
      <c r="Y129" s="28" t="s">
        <v>355</v>
      </c>
      <c r="Z129" s="25" t="str">
        <f>Z5</f>
        <v>29.08.2024. grozījumi</v>
      </c>
      <c r="AA129" s="25" t="str">
        <f>AA5</f>
        <v>Izmaiņa 29.08.2024. -27.06.2024.</v>
      </c>
      <c r="AB129" s="28" t="s">
        <v>355</v>
      </c>
    </row>
    <row r="130" spans="2:28" x14ac:dyDescent="0.25">
      <c r="C130" s="164" t="s">
        <v>30</v>
      </c>
      <c r="D130" s="165" t="s">
        <v>357</v>
      </c>
      <c r="E130" s="166">
        <f t="shared" ref="E130:N130" si="62">SUM(E131:E139)</f>
        <v>0</v>
      </c>
      <c r="F130" s="166">
        <f t="shared" si="62"/>
        <v>0</v>
      </c>
      <c r="G130" s="166">
        <f t="shared" si="62"/>
        <v>0</v>
      </c>
      <c r="H130" s="166">
        <f t="shared" si="62"/>
        <v>0</v>
      </c>
      <c r="I130" s="166">
        <f t="shared" si="62"/>
        <v>0</v>
      </c>
      <c r="J130" s="166">
        <f t="shared" si="62"/>
        <v>0</v>
      </c>
      <c r="K130" s="166">
        <f t="shared" si="62"/>
        <v>11584922.99087845</v>
      </c>
      <c r="L130" s="166">
        <f t="shared" si="62"/>
        <v>11584922.99087845</v>
      </c>
      <c r="M130" s="167">
        <v>11584924</v>
      </c>
      <c r="N130" s="167">
        <f t="shared" si="62"/>
        <v>11593156</v>
      </c>
      <c r="O130" s="166">
        <f t="shared" ref="O130:O187" si="63">N130-M130</f>
        <v>8232</v>
      </c>
      <c r="P130" s="168"/>
      <c r="Q130" s="166">
        <f>SUM(Q131:Q139)</f>
        <v>11675168</v>
      </c>
      <c r="R130" s="166">
        <f t="shared" ref="R130:R201" si="64">Q130-N130</f>
        <v>82012</v>
      </c>
      <c r="S130" s="169"/>
      <c r="T130" s="166">
        <f>SUM(T131:T139)</f>
        <v>11718990</v>
      </c>
      <c r="U130" s="166">
        <f t="shared" ref="U130:U201" si="65">T130-Q130</f>
        <v>43822</v>
      </c>
      <c r="V130" s="169"/>
      <c r="W130" s="166">
        <f>SUM(W131:W139)</f>
        <v>11668303</v>
      </c>
      <c r="X130" s="166">
        <f t="shared" ref="X130:X201" si="66">W130-T130</f>
        <v>-50687</v>
      </c>
      <c r="Y130" s="169"/>
      <c r="Z130" s="166">
        <f>SUM(Z131:Z139)</f>
        <v>11628303</v>
      </c>
      <c r="AA130" s="166">
        <f t="shared" ref="AA130:AA187" si="67">Z130-W130</f>
        <v>-40000</v>
      </c>
      <c r="AB130" s="169"/>
    </row>
    <row r="131" spans="2:28" ht="31.5" customHeight="1" x14ac:dyDescent="0.25">
      <c r="B131" s="92" t="s">
        <v>358</v>
      </c>
      <c r="C131" s="170" t="s">
        <v>34</v>
      </c>
      <c r="D131" s="171" t="s">
        <v>359</v>
      </c>
      <c r="E131" s="75"/>
      <c r="F131" s="75"/>
      <c r="G131" s="75"/>
      <c r="H131" s="75"/>
      <c r="I131" s="75"/>
      <c r="J131" s="75"/>
      <c r="K131" s="75">
        <f>[1]BAZE_2024!G65</f>
        <v>1983486.7499856404</v>
      </c>
      <c r="L131" s="101">
        <f>E131+F131+G131+H131+I131+J131+K131</f>
        <v>1983486.7499856404</v>
      </c>
      <c r="M131" s="101">
        <v>1983487</v>
      </c>
      <c r="N131" s="101">
        <f>ROUND(M131,0)</f>
        <v>1983487</v>
      </c>
      <c r="O131" s="75">
        <f t="shared" si="63"/>
        <v>0</v>
      </c>
      <c r="P131" s="102"/>
      <c r="Q131" s="75">
        <f>ROUND(N131,0)</f>
        <v>1983487</v>
      </c>
      <c r="R131" s="75">
        <f t="shared" si="64"/>
        <v>0</v>
      </c>
      <c r="S131" s="103"/>
      <c r="T131" s="75">
        <f t="shared" ref="T131:T142" si="68">ROUND(Q131,0)</f>
        <v>1983487</v>
      </c>
      <c r="U131" s="75">
        <f t="shared" si="65"/>
        <v>0</v>
      </c>
      <c r="V131" s="103"/>
      <c r="W131" s="75">
        <f t="shared" ref="W131:W141" si="69">ROUND(T131,0)</f>
        <v>1983487</v>
      </c>
      <c r="X131" s="75">
        <f t="shared" si="66"/>
        <v>0</v>
      </c>
      <c r="Y131" s="103"/>
      <c r="Z131" s="75">
        <f t="shared" ref="Z131:Z136" si="70">ROUND(W131,0)</f>
        <v>1983487</v>
      </c>
      <c r="AA131" s="75">
        <f t="shared" si="67"/>
        <v>0</v>
      </c>
      <c r="AB131" s="103" t="s">
        <v>796</v>
      </c>
    </row>
    <row r="132" spans="2:28" x14ac:dyDescent="0.25">
      <c r="B132" s="92" t="s">
        <v>360</v>
      </c>
      <c r="C132" s="170" t="s">
        <v>361</v>
      </c>
      <c r="D132" s="171" t="s">
        <v>362</v>
      </c>
      <c r="E132" s="75"/>
      <c r="F132" s="75"/>
      <c r="G132" s="75"/>
      <c r="H132" s="75"/>
      <c r="I132" s="75"/>
      <c r="J132" s="75"/>
      <c r="K132" s="75">
        <f>[1]BAZE_2024!G70</f>
        <v>376850.10523802938</v>
      </c>
      <c r="L132" s="101">
        <f t="shared" ref="L132:L141" si="71">E132+F132+G132+H132+I132+J132+K132</f>
        <v>376850.10523802938</v>
      </c>
      <c r="M132" s="101">
        <v>376850</v>
      </c>
      <c r="N132" s="101">
        <f t="shared" ref="N132:N141" si="72">ROUND(M132,0)</f>
        <v>376850</v>
      </c>
      <c r="O132" s="75">
        <f t="shared" si="63"/>
        <v>0</v>
      </c>
      <c r="P132" s="172"/>
      <c r="Q132" s="75">
        <f t="shared" ref="Q132:Q137" si="73">ROUND(N132,0)</f>
        <v>376850</v>
      </c>
      <c r="R132" s="75">
        <f t="shared" si="64"/>
        <v>0</v>
      </c>
      <c r="S132" s="173"/>
      <c r="T132" s="75">
        <f t="shared" si="68"/>
        <v>376850</v>
      </c>
      <c r="U132" s="75">
        <f t="shared" si="65"/>
        <v>0</v>
      </c>
      <c r="V132" s="173"/>
      <c r="W132" s="75">
        <f t="shared" si="69"/>
        <v>376850</v>
      </c>
      <c r="X132" s="75">
        <f t="shared" si="66"/>
        <v>0</v>
      </c>
      <c r="Y132" s="173"/>
      <c r="Z132" s="75">
        <f t="shared" si="70"/>
        <v>376850</v>
      </c>
      <c r="AA132" s="75">
        <f t="shared" si="67"/>
        <v>0</v>
      </c>
      <c r="AB132" s="173"/>
    </row>
    <row r="133" spans="2:28" ht="13.2" customHeight="1" x14ac:dyDescent="0.25">
      <c r="B133" s="92" t="s">
        <v>363</v>
      </c>
      <c r="C133" s="170" t="s">
        <v>364</v>
      </c>
      <c r="D133" s="171" t="s">
        <v>365</v>
      </c>
      <c r="E133" s="75"/>
      <c r="F133" s="75"/>
      <c r="G133" s="75"/>
      <c r="H133" s="75"/>
      <c r="I133" s="75"/>
      <c r="J133" s="75"/>
      <c r="K133" s="75">
        <f>[1]BAZE_2024!G71</f>
        <v>62511.517776000001</v>
      </c>
      <c r="L133" s="101">
        <f t="shared" si="71"/>
        <v>62511.517776000001</v>
      </c>
      <c r="M133" s="101">
        <v>62512</v>
      </c>
      <c r="N133" s="101">
        <f>ROUND(M133,0)</f>
        <v>62512</v>
      </c>
      <c r="O133" s="75">
        <f t="shared" si="63"/>
        <v>0</v>
      </c>
      <c r="P133" s="102"/>
      <c r="Q133" s="75">
        <f t="shared" si="73"/>
        <v>62512</v>
      </c>
      <c r="R133" s="75">
        <f t="shared" si="64"/>
        <v>0</v>
      </c>
      <c r="S133" s="103"/>
      <c r="T133" s="75">
        <f t="shared" si="68"/>
        <v>62512</v>
      </c>
      <c r="U133" s="75">
        <f t="shared" si="65"/>
        <v>0</v>
      </c>
      <c r="V133" s="103"/>
      <c r="W133" s="75">
        <f t="shared" si="69"/>
        <v>62512</v>
      </c>
      <c r="X133" s="75">
        <f t="shared" si="66"/>
        <v>0</v>
      </c>
      <c r="Y133" s="103"/>
      <c r="Z133" s="75">
        <f t="shared" si="70"/>
        <v>62512</v>
      </c>
      <c r="AA133" s="75">
        <f t="shared" si="67"/>
        <v>0</v>
      </c>
      <c r="AB133" s="103"/>
    </row>
    <row r="134" spans="2:28" ht="14.4" customHeight="1" x14ac:dyDescent="0.25">
      <c r="B134" s="92" t="s">
        <v>366</v>
      </c>
      <c r="C134" s="170" t="s">
        <v>367</v>
      </c>
      <c r="D134" s="171" t="s">
        <v>368</v>
      </c>
      <c r="E134" s="75"/>
      <c r="F134" s="75"/>
      <c r="G134" s="75"/>
      <c r="H134" s="75"/>
      <c r="I134" s="75"/>
      <c r="J134" s="75"/>
      <c r="K134" s="75">
        <f>[1]BAZE_2024!G76</f>
        <v>45277.369875199998</v>
      </c>
      <c r="L134" s="101">
        <f t="shared" si="71"/>
        <v>45277.369875199998</v>
      </c>
      <c r="M134" s="101">
        <v>45277</v>
      </c>
      <c r="N134" s="101">
        <f t="shared" si="72"/>
        <v>45277</v>
      </c>
      <c r="O134" s="75">
        <f t="shared" si="63"/>
        <v>0</v>
      </c>
      <c r="P134" s="102"/>
      <c r="Q134" s="75">
        <f t="shared" si="73"/>
        <v>45277</v>
      </c>
      <c r="R134" s="75">
        <f t="shared" si="64"/>
        <v>0</v>
      </c>
      <c r="S134" s="103"/>
      <c r="T134" s="75">
        <f t="shared" si="68"/>
        <v>45277</v>
      </c>
      <c r="U134" s="75">
        <f t="shared" si="65"/>
        <v>0</v>
      </c>
      <c r="V134" s="103"/>
      <c r="W134" s="75">
        <f t="shared" si="69"/>
        <v>45277</v>
      </c>
      <c r="X134" s="75">
        <f t="shared" si="66"/>
        <v>0</v>
      </c>
      <c r="Y134" s="103"/>
      <c r="Z134" s="75">
        <f t="shared" si="70"/>
        <v>45277</v>
      </c>
      <c r="AA134" s="75">
        <f t="shared" si="67"/>
        <v>0</v>
      </c>
      <c r="AB134" s="103"/>
    </row>
    <row r="135" spans="2:28" ht="15.6" customHeight="1" x14ac:dyDescent="0.25">
      <c r="B135" s="92" t="s">
        <v>369</v>
      </c>
      <c r="C135" s="170" t="s">
        <v>370</v>
      </c>
      <c r="D135" s="171" t="s">
        <v>371</v>
      </c>
      <c r="E135" s="75"/>
      <c r="F135" s="75"/>
      <c r="G135" s="75"/>
      <c r="H135" s="75"/>
      <c r="I135" s="75"/>
      <c r="J135" s="75"/>
      <c r="K135" s="75">
        <f>[1]BAZE_2024!G77</f>
        <v>8039.5</v>
      </c>
      <c r="L135" s="101">
        <f t="shared" si="71"/>
        <v>8039.5</v>
      </c>
      <c r="M135" s="101">
        <v>8040</v>
      </c>
      <c r="N135" s="101">
        <f>ROUND(M135,0)+8232</f>
        <v>16272</v>
      </c>
      <c r="O135" s="75">
        <f t="shared" si="63"/>
        <v>8232</v>
      </c>
      <c r="P135" s="100" t="s">
        <v>201</v>
      </c>
      <c r="Q135" s="75">
        <f t="shared" si="73"/>
        <v>16272</v>
      </c>
      <c r="R135" s="75">
        <f t="shared" si="64"/>
        <v>0</v>
      </c>
      <c r="S135" s="173"/>
      <c r="T135" s="75">
        <f>ROUND(Q135,0)+50781</f>
        <v>67053</v>
      </c>
      <c r="U135" s="75">
        <f t="shared" si="65"/>
        <v>50781</v>
      </c>
      <c r="V135" s="173" t="s">
        <v>202</v>
      </c>
      <c r="W135" s="75">
        <f t="shared" si="69"/>
        <v>67053</v>
      </c>
      <c r="X135" s="75">
        <f t="shared" si="66"/>
        <v>0</v>
      </c>
      <c r="Y135" s="173"/>
      <c r="Z135" s="75">
        <f t="shared" si="70"/>
        <v>67053</v>
      </c>
      <c r="AA135" s="75">
        <f t="shared" si="67"/>
        <v>0</v>
      </c>
      <c r="AB135" s="173"/>
    </row>
    <row r="136" spans="2:28" ht="14.4" customHeight="1" x14ac:dyDescent="0.25">
      <c r="B136" s="92" t="s">
        <v>372</v>
      </c>
      <c r="C136" s="170" t="s">
        <v>373</v>
      </c>
      <c r="D136" s="171" t="s">
        <v>374</v>
      </c>
      <c r="E136" s="75"/>
      <c r="F136" s="75"/>
      <c r="G136" s="75"/>
      <c r="H136" s="75"/>
      <c r="I136" s="75"/>
      <c r="J136" s="75"/>
      <c r="K136" s="75">
        <f>[1]BAZE_2024!G78</f>
        <v>53045.204242480002</v>
      </c>
      <c r="L136" s="101">
        <f t="shared" si="71"/>
        <v>53045.204242480002</v>
      </c>
      <c r="M136" s="101">
        <v>53045</v>
      </c>
      <c r="N136" s="101">
        <f t="shared" si="72"/>
        <v>53045</v>
      </c>
      <c r="O136" s="75">
        <f t="shared" si="63"/>
        <v>0</v>
      </c>
      <c r="P136" s="172"/>
      <c r="Q136" s="75">
        <f>ROUND(N136,0)</f>
        <v>53045</v>
      </c>
      <c r="R136" s="75">
        <f t="shared" si="64"/>
        <v>0</v>
      </c>
      <c r="S136" s="173"/>
      <c r="T136" s="75">
        <f t="shared" si="68"/>
        <v>53045</v>
      </c>
      <c r="U136" s="75">
        <f t="shared" si="65"/>
        <v>0</v>
      </c>
      <c r="V136" s="173"/>
      <c r="W136" s="75">
        <f t="shared" si="69"/>
        <v>53045</v>
      </c>
      <c r="X136" s="75">
        <f t="shared" si="66"/>
        <v>0</v>
      </c>
      <c r="Y136" s="173"/>
      <c r="Z136" s="75">
        <f t="shared" si="70"/>
        <v>53045</v>
      </c>
      <c r="AA136" s="75">
        <f t="shared" si="67"/>
        <v>0</v>
      </c>
      <c r="AB136" s="173"/>
    </row>
    <row r="137" spans="2:28" ht="15" customHeight="1" x14ac:dyDescent="0.25">
      <c r="B137" s="92" t="s">
        <v>358</v>
      </c>
      <c r="C137" s="170" t="s">
        <v>375</v>
      </c>
      <c r="D137" s="171" t="s">
        <v>376</v>
      </c>
      <c r="E137" s="75"/>
      <c r="F137" s="75"/>
      <c r="G137" s="75"/>
      <c r="H137" s="75"/>
      <c r="I137" s="75"/>
      <c r="J137" s="75"/>
      <c r="K137" s="75">
        <f>[1]BAZE_2024!G81</f>
        <v>2229302</v>
      </c>
      <c r="L137" s="101">
        <f t="shared" si="71"/>
        <v>2229302</v>
      </c>
      <c r="M137" s="101">
        <v>2229302</v>
      </c>
      <c r="N137" s="101">
        <f t="shared" si="72"/>
        <v>2229302</v>
      </c>
      <c r="O137" s="75">
        <f t="shared" si="63"/>
        <v>0</v>
      </c>
      <c r="P137" s="102"/>
      <c r="Q137" s="75">
        <f t="shared" si="73"/>
        <v>2229302</v>
      </c>
      <c r="R137" s="75">
        <f t="shared" si="64"/>
        <v>0</v>
      </c>
      <c r="S137" s="103"/>
      <c r="T137" s="75">
        <f t="shared" si="68"/>
        <v>2229302</v>
      </c>
      <c r="U137" s="75">
        <f t="shared" si="65"/>
        <v>0</v>
      </c>
      <c r="V137" s="103"/>
      <c r="W137" s="75">
        <f>ROUND(T137,0)-50687</f>
        <v>2178615</v>
      </c>
      <c r="X137" s="75">
        <f t="shared" si="66"/>
        <v>-50687</v>
      </c>
      <c r="Y137" s="103" t="s">
        <v>377</v>
      </c>
      <c r="Z137" s="75">
        <f>ROUND(W137,0)-40000</f>
        <v>2138615</v>
      </c>
      <c r="AA137" s="75">
        <f t="shared" si="67"/>
        <v>-40000</v>
      </c>
      <c r="AB137" s="103" t="s">
        <v>797</v>
      </c>
    </row>
    <row r="138" spans="2:28" ht="13.95" customHeight="1" x14ac:dyDescent="0.25">
      <c r="B138" s="92" t="s">
        <v>358</v>
      </c>
      <c r="C138" s="170" t="s">
        <v>378</v>
      </c>
      <c r="D138" s="171" t="s">
        <v>379</v>
      </c>
      <c r="E138" s="75"/>
      <c r="F138" s="75"/>
      <c r="G138" s="75"/>
      <c r="H138" s="75"/>
      <c r="I138" s="75"/>
      <c r="J138" s="75"/>
      <c r="K138" s="75">
        <f>[1]BAZE_2024!G82</f>
        <v>6416104</v>
      </c>
      <c r="L138" s="101">
        <f t="shared" si="71"/>
        <v>6416104</v>
      </c>
      <c r="M138" s="101">
        <v>6416104</v>
      </c>
      <c r="N138" s="101">
        <f t="shared" si="72"/>
        <v>6416104</v>
      </c>
      <c r="O138" s="75">
        <f t="shared" si="63"/>
        <v>0</v>
      </c>
      <c r="P138" s="172"/>
      <c r="Q138" s="75">
        <f>ROUND(N138,0)+61071+20941</f>
        <v>6498116</v>
      </c>
      <c r="R138" s="75">
        <f t="shared" si="64"/>
        <v>82012</v>
      </c>
      <c r="S138" s="103" t="s">
        <v>380</v>
      </c>
      <c r="T138" s="75">
        <f t="shared" si="68"/>
        <v>6498116</v>
      </c>
      <c r="U138" s="75">
        <f t="shared" si="65"/>
        <v>0</v>
      </c>
      <c r="V138" s="173"/>
      <c r="W138" s="75">
        <f t="shared" si="69"/>
        <v>6498116</v>
      </c>
      <c r="X138" s="75">
        <f t="shared" si="66"/>
        <v>0</v>
      </c>
      <c r="Y138" s="173"/>
      <c r="Z138" s="75">
        <f>ROUND(W138,0)</f>
        <v>6498116</v>
      </c>
      <c r="AA138" s="75">
        <f t="shared" si="67"/>
        <v>0</v>
      </c>
      <c r="AB138" s="173"/>
    </row>
    <row r="139" spans="2:28" ht="42.6" customHeight="1" x14ac:dyDescent="0.25">
      <c r="B139" s="92" t="s">
        <v>381</v>
      </c>
      <c r="C139" s="170" t="s">
        <v>382</v>
      </c>
      <c r="D139" s="171" t="s">
        <v>383</v>
      </c>
      <c r="E139" s="75"/>
      <c r="F139" s="75"/>
      <c r="G139" s="75"/>
      <c r="H139" s="75"/>
      <c r="I139" s="75"/>
      <c r="J139" s="75"/>
      <c r="K139" s="75">
        <f>[1]BAZE_2024!G83</f>
        <v>410306.54376110004</v>
      </c>
      <c r="L139" s="101">
        <f t="shared" si="71"/>
        <v>410306.54376110004</v>
      </c>
      <c r="M139" s="101">
        <v>410307</v>
      </c>
      <c r="N139" s="101">
        <f>ROUND(M139,0)</f>
        <v>410307</v>
      </c>
      <c r="O139" s="75">
        <f t="shared" si="63"/>
        <v>0</v>
      </c>
      <c r="P139" s="102"/>
      <c r="Q139" s="75">
        <f>ROUND(N139,0)</f>
        <v>410307</v>
      </c>
      <c r="R139" s="75">
        <f t="shared" si="64"/>
        <v>0</v>
      </c>
      <c r="S139" s="103"/>
      <c r="T139" s="75">
        <f>ROUND(Q139,0)-6959</f>
        <v>403348</v>
      </c>
      <c r="U139" s="75">
        <f t="shared" si="65"/>
        <v>-6959</v>
      </c>
      <c r="V139" s="103" t="s">
        <v>384</v>
      </c>
      <c r="W139" s="75">
        <f t="shared" si="69"/>
        <v>403348</v>
      </c>
      <c r="X139" s="75">
        <f t="shared" si="66"/>
        <v>0</v>
      </c>
      <c r="Y139" s="103"/>
      <c r="Z139" s="75">
        <f>ROUND(W139,0)</f>
        <v>403348</v>
      </c>
      <c r="AA139" s="75">
        <f t="shared" si="67"/>
        <v>0</v>
      </c>
      <c r="AB139" s="103"/>
    </row>
    <row r="140" spans="2:28" x14ac:dyDescent="0.25">
      <c r="C140" s="175" t="s">
        <v>40</v>
      </c>
      <c r="D140" s="176" t="s">
        <v>385</v>
      </c>
      <c r="E140" s="50">
        <f>E141</f>
        <v>0</v>
      </c>
      <c r="F140" s="50">
        <f t="shared" ref="F140:L140" si="74">F141</f>
        <v>0</v>
      </c>
      <c r="G140" s="50">
        <f t="shared" si="74"/>
        <v>0</v>
      </c>
      <c r="H140" s="50">
        <f t="shared" si="74"/>
        <v>0</v>
      </c>
      <c r="I140" s="50">
        <f t="shared" si="74"/>
        <v>0</v>
      </c>
      <c r="J140" s="50">
        <f t="shared" si="74"/>
        <v>0</v>
      </c>
      <c r="K140" s="50">
        <f t="shared" si="74"/>
        <v>0</v>
      </c>
      <c r="L140" s="50">
        <f t="shared" si="74"/>
        <v>0</v>
      </c>
      <c r="M140" s="51">
        <v>0</v>
      </c>
      <c r="N140" s="51">
        <f t="shared" si="72"/>
        <v>0</v>
      </c>
      <c r="O140" s="50">
        <f t="shared" si="63"/>
        <v>0</v>
      </c>
      <c r="P140" s="52"/>
      <c r="Q140" s="50">
        <f>ROUND(N140,0)</f>
        <v>0</v>
      </c>
      <c r="R140" s="50">
        <f t="shared" si="64"/>
        <v>0</v>
      </c>
      <c r="S140" s="53"/>
      <c r="T140" s="50">
        <f t="shared" si="68"/>
        <v>0</v>
      </c>
      <c r="U140" s="50">
        <f t="shared" si="65"/>
        <v>0</v>
      </c>
      <c r="V140" s="53"/>
      <c r="W140" s="50">
        <f t="shared" si="69"/>
        <v>0</v>
      </c>
      <c r="X140" s="50">
        <f t="shared" si="66"/>
        <v>0</v>
      </c>
      <c r="Y140" s="53"/>
      <c r="Z140" s="50">
        <f>ROUND(W140,0)</f>
        <v>0</v>
      </c>
      <c r="AA140" s="50">
        <f t="shared" si="67"/>
        <v>0</v>
      </c>
      <c r="AB140" s="53"/>
    </row>
    <row r="141" spans="2:28" ht="13.95" customHeight="1" x14ac:dyDescent="0.25">
      <c r="B141" s="92" t="s">
        <v>386</v>
      </c>
      <c r="C141" s="170" t="s">
        <v>43</v>
      </c>
      <c r="D141" s="171" t="s">
        <v>387</v>
      </c>
      <c r="E141" s="75"/>
      <c r="F141" s="75"/>
      <c r="G141" s="75"/>
      <c r="H141" s="75"/>
      <c r="I141" s="75"/>
      <c r="J141" s="75"/>
      <c r="K141" s="75"/>
      <c r="L141" s="75">
        <f t="shared" si="71"/>
        <v>0</v>
      </c>
      <c r="M141" s="101">
        <v>0</v>
      </c>
      <c r="N141" s="101">
        <f t="shared" si="72"/>
        <v>0</v>
      </c>
      <c r="O141" s="75">
        <f t="shared" si="63"/>
        <v>0</v>
      </c>
      <c r="P141" s="172"/>
      <c r="Q141" s="75">
        <f>ROUND(N141,0)</f>
        <v>0</v>
      </c>
      <c r="R141" s="75">
        <f t="shared" si="64"/>
        <v>0</v>
      </c>
      <c r="S141" s="173"/>
      <c r="T141" s="75">
        <f t="shared" si="68"/>
        <v>0</v>
      </c>
      <c r="U141" s="75">
        <f t="shared" si="65"/>
        <v>0</v>
      </c>
      <c r="V141" s="173"/>
      <c r="W141" s="75">
        <f t="shared" si="69"/>
        <v>0</v>
      </c>
      <c r="X141" s="75">
        <f t="shared" si="66"/>
        <v>0</v>
      </c>
      <c r="Y141" s="173"/>
      <c r="Z141" s="75">
        <f>ROUND(W141,0)</f>
        <v>0</v>
      </c>
      <c r="AA141" s="75">
        <f t="shared" si="67"/>
        <v>0</v>
      </c>
      <c r="AB141" s="173"/>
    </row>
    <row r="142" spans="2:28" ht="15" customHeight="1" collapsed="1" x14ac:dyDescent="0.25">
      <c r="B142" s="92" t="s">
        <v>388</v>
      </c>
      <c r="C142" s="175" t="s">
        <v>48</v>
      </c>
      <c r="D142" s="176" t="s">
        <v>389</v>
      </c>
      <c r="E142" s="50"/>
      <c r="F142" s="50"/>
      <c r="G142" s="50"/>
      <c r="H142" s="50"/>
      <c r="I142" s="50"/>
      <c r="J142" s="50">
        <f>7000</f>
        <v>7000</v>
      </c>
      <c r="K142" s="50">
        <f>[1]BAZE_2024!G88</f>
        <v>1025367.7769225</v>
      </c>
      <c r="L142" s="50">
        <f>F142+G142+H142+I142+J142+K142</f>
        <v>1032367.7769225</v>
      </c>
      <c r="M142" s="51">
        <v>1032367.7769225</v>
      </c>
      <c r="N142" s="51">
        <f>ROUND(M142,0)+645</f>
        <v>1033013</v>
      </c>
      <c r="O142" s="50">
        <f t="shared" si="63"/>
        <v>645.22307750000618</v>
      </c>
      <c r="P142" s="67" t="s">
        <v>390</v>
      </c>
      <c r="Q142" s="50">
        <f>ROUND(N142,0)+13315</f>
        <v>1046328</v>
      </c>
      <c r="R142" s="50">
        <f t="shared" si="64"/>
        <v>13315</v>
      </c>
      <c r="S142" s="68" t="s">
        <v>391</v>
      </c>
      <c r="T142" s="50">
        <f t="shared" si="68"/>
        <v>1046328</v>
      </c>
      <c r="U142" s="50">
        <f t="shared" si="65"/>
        <v>0</v>
      </c>
      <c r="V142" s="68"/>
      <c r="W142" s="50">
        <f>ROUND(T142,0)-102</f>
        <v>1046226</v>
      </c>
      <c r="X142" s="50">
        <f t="shared" si="66"/>
        <v>-102</v>
      </c>
      <c r="Y142" s="68" t="s">
        <v>392</v>
      </c>
      <c r="Z142" s="50">
        <f>ROUND(W142,0)+12131</f>
        <v>1058357</v>
      </c>
      <c r="AA142" s="50">
        <f t="shared" si="67"/>
        <v>12131</v>
      </c>
      <c r="AB142" s="68" t="s">
        <v>393</v>
      </c>
    </row>
    <row r="143" spans="2:28" s="177" customFormat="1" ht="16.95" customHeight="1" x14ac:dyDescent="0.25">
      <c r="C143" s="175" t="s">
        <v>56</v>
      </c>
      <c r="D143" s="176" t="s">
        <v>394</v>
      </c>
      <c r="E143" s="50">
        <f t="shared" ref="E143:N143" si="75">E144+E147</f>
        <v>0</v>
      </c>
      <c r="F143" s="50">
        <f t="shared" si="75"/>
        <v>342263</v>
      </c>
      <c r="G143" s="50">
        <f t="shared" si="75"/>
        <v>0</v>
      </c>
      <c r="H143" s="50">
        <f t="shared" si="75"/>
        <v>0</v>
      </c>
      <c r="I143" s="50">
        <f t="shared" si="75"/>
        <v>0</v>
      </c>
      <c r="J143" s="50">
        <f t="shared" si="75"/>
        <v>2000</v>
      </c>
      <c r="K143" s="50">
        <f t="shared" si="75"/>
        <v>177686.07229136</v>
      </c>
      <c r="L143" s="50">
        <f t="shared" si="75"/>
        <v>521949.07229136</v>
      </c>
      <c r="M143" s="51">
        <v>521949.07229136</v>
      </c>
      <c r="N143" s="51">
        <f t="shared" si="75"/>
        <v>583582</v>
      </c>
      <c r="O143" s="50">
        <f t="shared" si="63"/>
        <v>61632.927708639996</v>
      </c>
      <c r="P143" s="67"/>
      <c r="Q143" s="50">
        <f>Q144+Q147</f>
        <v>587548</v>
      </c>
      <c r="R143" s="50">
        <f t="shared" si="64"/>
        <v>3966</v>
      </c>
      <c r="S143" s="68"/>
      <c r="T143" s="50">
        <f>T144+T147</f>
        <v>587548</v>
      </c>
      <c r="U143" s="50">
        <f t="shared" si="65"/>
        <v>0</v>
      </c>
      <c r="V143" s="68"/>
      <c r="W143" s="50">
        <f>W144+W147</f>
        <v>587548</v>
      </c>
      <c r="X143" s="50">
        <f t="shared" si="66"/>
        <v>0</v>
      </c>
      <c r="Y143" s="68"/>
      <c r="Z143" s="50">
        <f>Z144+Z147</f>
        <v>587548</v>
      </c>
      <c r="AA143" s="50">
        <f t="shared" si="67"/>
        <v>0</v>
      </c>
      <c r="AB143" s="68"/>
    </row>
    <row r="144" spans="2:28" x14ac:dyDescent="0.25">
      <c r="B144" s="92" t="s">
        <v>395</v>
      </c>
      <c r="C144" s="170" t="s">
        <v>59</v>
      </c>
      <c r="D144" s="171" t="s">
        <v>396</v>
      </c>
      <c r="E144" s="75">
        <f>SUM(E145:E146)</f>
        <v>0</v>
      </c>
      <c r="F144" s="75">
        <f t="shared" ref="F144:O144" si="76">SUM(F145:F146)</f>
        <v>0</v>
      </c>
      <c r="G144" s="75">
        <f t="shared" si="76"/>
        <v>0</v>
      </c>
      <c r="H144" s="75">
        <f t="shared" si="76"/>
        <v>0</v>
      </c>
      <c r="I144" s="75">
        <f t="shared" si="76"/>
        <v>0</v>
      </c>
      <c r="J144" s="75">
        <f t="shared" si="76"/>
        <v>2000</v>
      </c>
      <c r="K144" s="75">
        <f t="shared" si="76"/>
        <v>177686.07229136</v>
      </c>
      <c r="L144" s="75">
        <f t="shared" si="76"/>
        <v>179686.07229136</v>
      </c>
      <c r="M144" s="101">
        <v>179686.07229136</v>
      </c>
      <c r="N144" s="101">
        <f>SUM(N145:N146)</f>
        <v>179686</v>
      </c>
      <c r="O144" s="75">
        <f t="shared" si="76"/>
        <v>-7.2291360003873706E-2</v>
      </c>
      <c r="P144" s="174"/>
      <c r="Q144" s="75">
        <f>SUM(Q145:Q146)</f>
        <v>179686</v>
      </c>
      <c r="R144" s="75">
        <f t="shared" si="64"/>
        <v>0</v>
      </c>
      <c r="S144" s="75"/>
      <c r="T144" s="75">
        <f>SUM(T145:T146)</f>
        <v>179686</v>
      </c>
      <c r="U144" s="75">
        <f t="shared" si="65"/>
        <v>0</v>
      </c>
      <c r="V144" s="75"/>
      <c r="W144" s="75">
        <f>SUM(W145:W146)</f>
        <v>179686</v>
      </c>
      <c r="X144" s="75">
        <f t="shared" si="66"/>
        <v>0</v>
      </c>
      <c r="Y144" s="75"/>
      <c r="Z144" s="75">
        <f>SUM(Z145:Z146)</f>
        <v>179686</v>
      </c>
      <c r="AA144" s="75">
        <f t="shared" si="67"/>
        <v>0</v>
      </c>
      <c r="AB144" s="75"/>
    </row>
    <row r="145" spans="2:28" ht="15.75" customHeight="1" x14ac:dyDescent="0.25">
      <c r="B145" s="92" t="s">
        <v>395</v>
      </c>
      <c r="C145" s="178" t="s">
        <v>397</v>
      </c>
      <c r="D145" s="179" t="s">
        <v>398</v>
      </c>
      <c r="E145" s="44"/>
      <c r="F145" s="44"/>
      <c r="G145" s="44"/>
      <c r="H145" s="44"/>
      <c r="I145" s="44"/>
      <c r="J145" s="44">
        <f>2000</f>
        <v>2000</v>
      </c>
      <c r="K145" s="44">
        <f>[1]BAZE_2024!G94-K146</f>
        <v>148459.07229136</v>
      </c>
      <c r="L145" s="44">
        <f t="shared" ref="L145:L153" si="77">E145+F145+G145+H145+I145+J145+K145</f>
        <v>150459.07229136</v>
      </c>
      <c r="M145" s="45">
        <v>150459.07229136</v>
      </c>
      <c r="N145" s="45">
        <f>ROUND(M145,0)</f>
        <v>150459</v>
      </c>
      <c r="O145" s="44">
        <f t="shared" si="63"/>
        <v>-7.2291360003873706E-2</v>
      </c>
      <c r="P145" s="46"/>
      <c r="Q145" s="44">
        <f>ROUND(N145,0)-3283-544</f>
        <v>146632</v>
      </c>
      <c r="R145" s="44">
        <f t="shared" si="64"/>
        <v>-3827</v>
      </c>
      <c r="S145" s="282" t="s">
        <v>399</v>
      </c>
      <c r="T145" s="44">
        <f>ROUND(Q145,0)-660</f>
        <v>145972</v>
      </c>
      <c r="U145" s="44">
        <f t="shared" si="65"/>
        <v>-660</v>
      </c>
      <c r="V145" s="71" t="s">
        <v>400</v>
      </c>
      <c r="W145" s="44">
        <f>ROUND(T145,0)</f>
        <v>145972</v>
      </c>
      <c r="X145" s="44">
        <f t="shared" si="66"/>
        <v>0</v>
      </c>
      <c r="Y145" s="47"/>
      <c r="Z145" s="44">
        <f>ROUND(W145,0)</f>
        <v>145972</v>
      </c>
      <c r="AA145" s="44">
        <f t="shared" si="67"/>
        <v>0</v>
      </c>
      <c r="AB145" s="47"/>
    </row>
    <row r="146" spans="2:28" ht="15.6" customHeight="1" x14ac:dyDescent="0.25">
      <c r="B146" s="92"/>
      <c r="C146" s="178" t="s">
        <v>401</v>
      </c>
      <c r="D146" s="179" t="s">
        <v>402</v>
      </c>
      <c r="E146" s="44"/>
      <c r="F146" s="44"/>
      <c r="G146" s="44"/>
      <c r="H146" s="44"/>
      <c r="I146" s="44"/>
      <c r="J146" s="44"/>
      <c r="K146" s="44">
        <f>[1]BAZE_2024!G97</f>
        <v>29227</v>
      </c>
      <c r="L146" s="44">
        <f t="shared" si="77"/>
        <v>29227</v>
      </c>
      <c r="M146" s="45">
        <v>29227</v>
      </c>
      <c r="N146" s="45">
        <f>ROUND(M146,0)</f>
        <v>29227</v>
      </c>
      <c r="O146" s="44">
        <f t="shared" si="63"/>
        <v>0</v>
      </c>
      <c r="P146" s="46"/>
      <c r="Q146" s="44">
        <f>ROUND(N146,0)+3283+544</f>
        <v>33054</v>
      </c>
      <c r="R146" s="44">
        <f t="shared" si="64"/>
        <v>3827</v>
      </c>
      <c r="S146" s="283"/>
      <c r="T146" s="44">
        <f>ROUND(Q146,0)+660</f>
        <v>33714</v>
      </c>
      <c r="U146" s="44">
        <f t="shared" si="65"/>
        <v>660</v>
      </c>
      <c r="V146" s="47"/>
      <c r="W146" s="44">
        <f>ROUND(T146,0)</f>
        <v>33714</v>
      </c>
      <c r="X146" s="44">
        <f t="shared" si="66"/>
        <v>0</v>
      </c>
      <c r="Y146" s="47"/>
      <c r="Z146" s="44">
        <f>ROUND(W146,0)</f>
        <v>33714</v>
      </c>
      <c r="AA146" s="44">
        <f t="shared" si="67"/>
        <v>0</v>
      </c>
      <c r="AB146" s="47"/>
    </row>
    <row r="147" spans="2:28" ht="27.6" x14ac:dyDescent="0.25">
      <c r="B147" s="92" t="s">
        <v>403</v>
      </c>
      <c r="C147" s="170" t="s">
        <v>61</v>
      </c>
      <c r="D147" s="171" t="s">
        <v>404</v>
      </c>
      <c r="E147" s="75">
        <f>E60</f>
        <v>0</v>
      </c>
      <c r="F147" s="96">
        <f>F60</f>
        <v>342263</v>
      </c>
      <c r="G147" s="75"/>
      <c r="H147" s="75"/>
      <c r="I147" s="75"/>
      <c r="J147" s="75"/>
      <c r="K147" s="75"/>
      <c r="L147" s="75">
        <f t="shared" si="77"/>
        <v>342263</v>
      </c>
      <c r="M147" s="101">
        <v>342263</v>
      </c>
      <c r="N147" s="101">
        <f>ROUND(M147,0)+1093+59292+1248</f>
        <v>403896</v>
      </c>
      <c r="O147" s="75">
        <f t="shared" si="63"/>
        <v>61633</v>
      </c>
      <c r="P147" s="103" t="s">
        <v>405</v>
      </c>
      <c r="Q147" s="75">
        <f>ROUND(N147,0)+3966</f>
        <v>407862</v>
      </c>
      <c r="R147" s="75">
        <f t="shared" si="64"/>
        <v>3966</v>
      </c>
      <c r="S147" s="75" t="s">
        <v>188</v>
      </c>
      <c r="T147" s="75">
        <f>ROUND(Q147,0)</f>
        <v>407862</v>
      </c>
      <c r="U147" s="75">
        <f t="shared" si="65"/>
        <v>0</v>
      </c>
      <c r="V147" s="75"/>
      <c r="W147" s="75">
        <f>ROUND(T147,0)</f>
        <v>407862</v>
      </c>
      <c r="X147" s="75">
        <f t="shared" si="66"/>
        <v>0</v>
      </c>
      <c r="Y147" s="75"/>
      <c r="Z147" s="75">
        <f>ROUND(W147,0)</f>
        <v>407862</v>
      </c>
      <c r="AA147" s="75">
        <f t="shared" si="67"/>
        <v>0</v>
      </c>
      <c r="AB147" s="75"/>
    </row>
    <row r="148" spans="2:28" x14ac:dyDescent="0.25">
      <c r="C148" s="175" t="s">
        <v>62</v>
      </c>
      <c r="D148" s="176" t="s">
        <v>406</v>
      </c>
      <c r="E148" s="50">
        <f>E149</f>
        <v>0</v>
      </c>
      <c r="F148" s="50">
        <f t="shared" ref="F148:N148" si="78">F149</f>
        <v>70000</v>
      </c>
      <c r="G148" s="50">
        <f t="shared" si="78"/>
        <v>0</v>
      </c>
      <c r="H148" s="50">
        <f t="shared" si="78"/>
        <v>0</v>
      </c>
      <c r="I148" s="50">
        <f t="shared" si="78"/>
        <v>0</v>
      </c>
      <c r="J148" s="50">
        <f t="shared" si="78"/>
        <v>0</v>
      </c>
      <c r="K148" s="50">
        <f t="shared" si="78"/>
        <v>0</v>
      </c>
      <c r="L148" s="50">
        <f t="shared" si="78"/>
        <v>70000</v>
      </c>
      <c r="M148" s="51">
        <v>70000</v>
      </c>
      <c r="N148" s="51">
        <f t="shared" si="78"/>
        <v>174970</v>
      </c>
      <c r="O148" s="50">
        <f t="shared" si="63"/>
        <v>104970</v>
      </c>
      <c r="P148" s="52"/>
      <c r="Q148" s="50">
        <f>Q149</f>
        <v>174970</v>
      </c>
      <c r="R148" s="50">
        <f t="shared" si="64"/>
        <v>0</v>
      </c>
      <c r="S148" s="53"/>
      <c r="T148" s="50">
        <f>T149</f>
        <v>174970</v>
      </c>
      <c r="U148" s="50">
        <f t="shared" si="65"/>
        <v>0</v>
      </c>
      <c r="V148" s="53"/>
      <c r="W148" s="50">
        <f>W149</f>
        <v>174970</v>
      </c>
      <c r="X148" s="50">
        <f t="shared" si="66"/>
        <v>0</v>
      </c>
      <c r="Y148" s="53"/>
      <c r="Z148" s="50">
        <f>Z149</f>
        <v>174970</v>
      </c>
      <c r="AA148" s="50">
        <f t="shared" si="67"/>
        <v>0</v>
      </c>
      <c r="AB148" s="53"/>
    </row>
    <row r="149" spans="2:28" ht="16.2" customHeight="1" x14ac:dyDescent="0.25">
      <c r="B149" s="92" t="s">
        <v>407</v>
      </c>
      <c r="C149" s="170" t="s">
        <v>65</v>
      </c>
      <c r="D149" s="171" t="s">
        <v>408</v>
      </c>
      <c r="E149" s="75">
        <f>E21</f>
        <v>0</v>
      </c>
      <c r="F149" s="75">
        <f>F21</f>
        <v>70000</v>
      </c>
      <c r="G149" s="75"/>
      <c r="H149" s="75"/>
      <c r="I149" s="75"/>
      <c r="J149" s="75"/>
      <c r="K149" s="75"/>
      <c r="L149" s="75">
        <f>E149+F149+G149+H149+I149+J149+K149</f>
        <v>70000</v>
      </c>
      <c r="M149" s="101">
        <v>70000</v>
      </c>
      <c r="N149" s="101">
        <f>ROUND(M149,0)+104970</f>
        <v>174970</v>
      </c>
      <c r="O149" s="75">
        <f t="shared" si="63"/>
        <v>104970</v>
      </c>
      <c r="P149" s="103" t="s">
        <v>1</v>
      </c>
      <c r="Q149" s="75">
        <f>ROUND(N149,0)</f>
        <v>174970</v>
      </c>
      <c r="R149" s="75">
        <f t="shared" si="64"/>
        <v>0</v>
      </c>
      <c r="S149" s="103"/>
      <c r="T149" s="75">
        <f>ROUND(Q149,0)</f>
        <v>174970</v>
      </c>
      <c r="U149" s="75">
        <f t="shared" si="65"/>
        <v>0</v>
      </c>
      <c r="V149" s="103"/>
      <c r="W149" s="75">
        <f>ROUND(T149,0)</f>
        <v>174970</v>
      </c>
      <c r="X149" s="75">
        <f t="shared" si="66"/>
        <v>0</v>
      </c>
      <c r="Y149" s="103"/>
      <c r="Z149" s="75">
        <f>ROUND(W149,0)</f>
        <v>174970</v>
      </c>
      <c r="AA149" s="75">
        <f t="shared" si="67"/>
        <v>0</v>
      </c>
      <c r="AB149" s="103"/>
    </row>
    <row r="150" spans="2:28" ht="27.6" x14ac:dyDescent="0.25">
      <c r="C150" s="175" t="s">
        <v>70</v>
      </c>
      <c r="D150" s="176" t="s">
        <v>409</v>
      </c>
      <c r="E150" s="50">
        <f t="shared" ref="E150:N150" si="79">E151+E152+E153+E154+E172</f>
        <v>2120107.83</v>
      </c>
      <c r="F150" s="50">
        <f t="shared" si="79"/>
        <v>16000</v>
      </c>
      <c r="G150" s="50">
        <f t="shared" si="79"/>
        <v>1019792</v>
      </c>
      <c r="H150" s="50">
        <f t="shared" si="79"/>
        <v>517437</v>
      </c>
      <c r="I150" s="50">
        <f t="shared" si="79"/>
        <v>6321839.2470302833</v>
      </c>
      <c r="J150" s="50">
        <f t="shared" si="79"/>
        <v>2656512</v>
      </c>
      <c r="K150" s="50">
        <f t="shared" si="79"/>
        <v>1530989.7586342003</v>
      </c>
      <c r="L150" s="51">
        <f t="shared" si="79"/>
        <v>14182677.835664485</v>
      </c>
      <c r="M150" s="51">
        <v>14182678.841957785</v>
      </c>
      <c r="N150" s="51">
        <f t="shared" si="79"/>
        <v>14286414</v>
      </c>
      <c r="O150" s="50">
        <f>O152+O153+O154+O172</f>
        <v>103735.15804221481</v>
      </c>
      <c r="P150" s="54"/>
      <c r="Q150" s="50">
        <f>Q151+Q152+Q153+Q154+Q172</f>
        <v>14591725</v>
      </c>
      <c r="R150" s="50">
        <f t="shared" si="64"/>
        <v>305311</v>
      </c>
      <c r="S150" s="50"/>
      <c r="T150" s="50">
        <f>T151+T152+T153+T154+T172</f>
        <v>14665800</v>
      </c>
      <c r="U150" s="50">
        <f t="shared" si="65"/>
        <v>74075</v>
      </c>
      <c r="V150" s="50"/>
      <c r="W150" s="50">
        <f>W151+W152+W153+W154+W172</f>
        <v>15381807</v>
      </c>
      <c r="X150" s="50">
        <f t="shared" si="66"/>
        <v>716007</v>
      </c>
      <c r="Y150" s="50"/>
      <c r="Z150" s="50">
        <f>Z151+Z152+Z153+Z154+Z172</f>
        <v>15480469</v>
      </c>
      <c r="AA150" s="50">
        <f t="shared" si="67"/>
        <v>98662</v>
      </c>
      <c r="AB150" s="50"/>
    </row>
    <row r="151" spans="2:28" ht="15.6" customHeight="1" x14ac:dyDescent="0.25">
      <c r="B151" s="92" t="s">
        <v>386</v>
      </c>
      <c r="C151" s="170" t="s">
        <v>73</v>
      </c>
      <c r="D151" s="180" t="s">
        <v>387</v>
      </c>
      <c r="E151" s="75"/>
      <c r="F151" s="75"/>
      <c r="G151" s="75"/>
      <c r="H151" s="75"/>
      <c r="I151" s="75"/>
      <c r="J151" s="75"/>
      <c r="K151" s="181">
        <f>[1]BAZE_2024!G107</f>
        <v>70000</v>
      </c>
      <c r="L151" s="181">
        <f>E151+F151+G151+H151+I151+J151+K151</f>
        <v>70000</v>
      </c>
      <c r="M151" s="182">
        <v>70000</v>
      </c>
      <c r="N151" s="101">
        <f>ROUND(M151,0)</f>
        <v>70000</v>
      </c>
      <c r="O151" s="75">
        <f>N151-M151</f>
        <v>0</v>
      </c>
      <c r="P151" s="172"/>
      <c r="Q151" s="75">
        <f>ROUND(N151,0)</f>
        <v>70000</v>
      </c>
      <c r="R151" s="75">
        <f t="shared" si="64"/>
        <v>0</v>
      </c>
      <c r="S151" s="173"/>
      <c r="T151" s="75">
        <f>ROUND(Q151,0)</f>
        <v>70000</v>
      </c>
      <c r="U151" s="75">
        <f t="shared" si="65"/>
        <v>0</v>
      </c>
      <c r="V151" s="173"/>
      <c r="W151" s="75">
        <f>ROUND(T151,0)</f>
        <v>70000</v>
      </c>
      <c r="X151" s="75">
        <f t="shared" si="66"/>
        <v>0</v>
      </c>
      <c r="Y151" s="173"/>
      <c r="Z151" s="75">
        <f>ROUND(W151,0)</f>
        <v>70000</v>
      </c>
      <c r="AA151" s="75">
        <f t="shared" si="67"/>
        <v>0</v>
      </c>
      <c r="AB151" s="173"/>
    </row>
    <row r="152" spans="2:28" ht="28.2" customHeight="1" x14ac:dyDescent="0.25">
      <c r="B152" s="92" t="s">
        <v>410</v>
      </c>
      <c r="C152" s="170" t="s">
        <v>85</v>
      </c>
      <c r="D152" s="180" t="s">
        <v>411</v>
      </c>
      <c r="E152" s="181"/>
      <c r="F152" s="181"/>
      <c r="G152" s="181"/>
      <c r="H152" s="181"/>
      <c r="I152" s="181"/>
      <c r="J152" s="181">
        <f>15000</f>
        <v>15000</v>
      </c>
      <c r="K152" s="181">
        <f>[1]BAZE_2024!G108</f>
        <v>315451.62734220002</v>
      </c>
      <c r="L152" s="181">
        <f t="shared" si="77"/>
        <v>330451.62734220002</v>
      </c>
      <c r="M152" s="182">
        <v>330452</v>
      </c>
      <c r="N152" s="182">
        <f>ROUND(M152,0)</f>
        <v>330452</v>
      </c>
      <c r="O152" s="181">
        <f t="shared" si="63"/>
        <v>0</v>
      </c>
      <c r="P152" s="102"/>
      <c r="Q152" s="181">
        <f>ROUND(N152,0)</f>
        <v>330452</v>
      </c>
      <c r="R152" s="181">
        <f t="shared" si="64"/>
        <v>0</v>
      </c>
      <c r="S152" s="183"/>
      <c r="T152" s="181">
        <f>ROUND(Q152,0)</f>
        <v>330452</v>
      </c>
      <c r="U152" s="181">
        <f t="shared" si="65"/>
        <v>0</v>
      </c>
      <c r="V152" s="183"/>
      <c r="W152" s="181">
        <f>ROUND(T152,0)</f>
        <v>330452</v>
      </c>
      <c r="X152" s="181">
        <f t="shared" si="66"/>
        <v>0</v>
      </c>
      <c r="Y152" s="183"/>
      <c r="Z152" s="181">
        <f>ROUND(W152,0)</f>
        <v>330452</v>
      </c>
      <c r="AA152" s="181">
        <f t="shared" si="67"/>
        <v>0</v>
      </c>
      <c r="AB152" s="183"/>
    </row>
    <row r="153" spans="2:28" ht="16.2" customHeight="1" x14ac:dyDescent="0.25">
      <c r="B153" s="92" t="s">
        <v>412</v>
      </c>
      <c r="C153" s="170" t="s">
        <v>413</v>
      </c>
      <c r="D153" s="180" t="s">
        <v>414</v>
      </c>
      <c r="E153" s="181"/>
      <c r="F153" s="181"/>
      <c r="G153" s="181"/>
      <c r="H153" s="181"/>
      <c r="I153" s="181"/>
      <c r="J153" s="181">
        <v>79126</v>
      </c>
      <c r="K153" s="181">
        <f>[1]BAZE_2024!G137</f>
        <v>313928.73621730006</v>
      </c>
      <c r="L153" s="181">
        <f t="shared" si="77"/>
        <v>393054.73621730006</v>
      </c>
      <c r="M153" s="182">
        <v>393055</v>
      </c>
      <c r="N153" s="182">
        <f>ROUND(M153,0)</f>
        <v>393055</v>
      </c>
      <c r="O153" s="181">
        <f t="shared" si="63"/>
        <v>0</v>
      </c>
      <c r="P153" s="102"/>
      <c r="Q153" s="181">
        <f>ROUND(N153,0)</f>
        <v>393055</v>
      </c>
      <c r="R153" s="181">
        <f t="shared" si="64"/>
        <v>0</v>
      </c>
      <c r="S153" s="103"/>
      <c r="T153" s="181">
        <f>ROUND(Q153,0)</f>
        <v>393055</v>
      </c>
      <c r="U153" s="181">
        <f t="shared" si="65"/>
        <v>0</v>
      </c>
      <c r="V153" s="103"/>
      <c r="W153" s="181">
        <f>ROUND(T153,0)</f>
        <v>393055</v>
      </c>
      <c r="X153" s="181">
        <f t="shared" si="66"/>
        <v>0</v>
      </c>
      <c r="Y153" s="103"/>
      <c r="Z153" s="181">
        <f>ROUND(W153,0)</f>
        <v>393055</v>
      </c>
      <c r="AA153" s="181">
        <f t="shared" si="67"/>
        <v>0</v>
      </c>
      <c r="AB153" s="103"/>
    </row>
    <row r="154" spans="2:28" x14ac:dyDescent="0.25">
      <c r="C154" s="170" t="s">
        <v>415</v>
      </c>
      <c r="D154" s="180" t="s">
        <v>416</v>
      </c>
      <c r="E154" s="181">
        <f t="shared" ref="E154:O154" si="80">SUM(E155:E171)</f>
        <v>234997</v>
      </c>
      <c r="F154" s="181">
        <f t="shared" si="80"/>
        <v>16000</v>
      </c>
      <c r="G154" s="181">
        <f t="shared" si="80"/>
        <v>637053</v>
      </c>
      <c r="H154" s="181">
        <f t="shared" si="80"/>
        <v>0</v>
      </c>
      <c r="I154" s="181">
        <f t="shared" si="80"/>
        <v>0</v>
      </c>
      <c r="J154" s="181">
        <f t="shared" si="80"/>
        <v>526803</v>
      </c>
      <c r="K154" s="181">
        <f t="shared" si="80"/>
        <v>424516.63014720002</v>
      </c>
      <c r="L154" s="181">
        <f t="shared" si="80"/>
        <v>1839369.6301472001</v>
      </c>
      <c r="M154" s="182">
        <v>1839370</v>
      </c>
      <c r="N154" s="182">
        <f t="shared" si="80"/>
        <v>1839370</v>
      </c>
      <c r="O154" s="181">
        <f t="shared" si="80"/>
        <v>0</v>
      </c>
      <c r="P154" s="184"/>
      <c r="Q154" s="181">
        <f>SUM(Q155:Q171)</f>
        <v>1841370</v>
      </c>
      <c r="R154" s="181">
        <f t="shared" si="64"/>
        <v>2000</v>
      </c>
      <c r="S154" s="181"/>
      <c r="T154" s="181">
        <f>SUM(T155:T171)</f>
        <v>1834021</v>
      </c>
      <c r="U154" s="181">
        <f t="shared" si="65"/>
        <v>-7349</v>
      </c>
      <c r="V154" s="181"/>
      <c r="W154" s="181">
        <f>SUM(W155:W171)</f>
        <v>1862424</v>
      </c>
      <c r="X154" s="181">
        <f t="shared" si="66"/>
        <v>28403</v>
      </c>
      <c r="Y154" s="181"/>
      <c r="Z154" s="181">
        <f>SUM(Z155:Z171)</f>
        <v>1762264</v>
      </c>
      <c r="AA154" s="181">
        <f t="shared" si="67"/>
        <v>-100160</v>
      </c>
      <c r="AB154" s="181"/>
    </row>
    <row r="155" spans="2:28" ht="118.5" customHeight="1" x14ac:dyDescent="0.25">
      <c r="B155" s="92" t="s">
        <v>197</v>
      </c>
      <c r="C155" s="178" t="s">
        <v>417</v>
      </c>
      <c r="D155" s="143" t="s">
        <v>418</v>
      </c>
      <c r="E155" s="44"/>
      <c r="F155" s="44">
        <v>16000</v>
      </c>
      <c r="G155" s="44">
        <f>G106</f>
        <v>10621</v>
      </c>
      <c r="H155" s="44"/>
      <c r="I155" s="44"/>
      <c r="J155" s="44">
        <f>10621+85000+56800+120000-SUM(E155:I155)</f>
        <v>245800</v>
      </c>
      <c r="K155" s="44">
        <f>[1]BAZE_2024!G113</f>
        <v>424516.63014720002</v>
      </c>
      <c r="L155" s="44">
        <f>E155+F155+G155+H155+I155+J155+K155</f>
        <v>696937.63014720008</v>
      </c>
      <c r="M155" s="45">
        <v>696938</v>
      </c>
      <c r="N155" s="45">
        <f>ROUND(M155,0)</f>
        <v>696938</v>
      </c>
      <c r="O155" s="44">
        <f t="shared" si="63"/>
        <v>0</v>
      </c>
      <c r="P155" s="185"/>
      <c r="Q155" s="44">
        <f>ROUND(N155,0)+2000</f>
        <v>698938</v>
      </c>
      <c r="R155" s="44">
        <f t="shared" si="64"/>
        <v>2000</v>
      </c>
      <c r="S155" s="66" t="s">
        <v>419</v>
      </c>
      <c r="T155" s="44">
        <f>ROUND(Q155,0)-7349+5000+26640</f>
        <v>723229</v>
      </c>
      <c r="U155" s="44">
        <f t="shared" si="65"/>
        <v>24291</v>
      </c>
      <c r="V155" s="66" t="s">
        <v>420</v>
      </c>
      <c r="W155" s="44">
        <f>ROUND(T155,0)-5801-44284-3347</f>
        <v>669797</v>
      </c>
      <c r="X155" s="44">
        <f t="shared" si="66"/>
        <v>-53432</v>
      </c>
      <c r="Y155" s="66" t="s">
        <v>421</v>
      </c>
      <c r="Z155" s="44">
        <f>ROUND(W155,0)+44284-85085-120000+19840</f>
        <v>528836</v>
      </c>
      <c r="AA155" s="44">
        <f t="shared" si="67"/>
        <v>-140961</v>
      </c>
      <c r="AB155" s="66" t="s">
        <v>794</v>
      </c>
    </row>
    <row r="156" spans="2:28" ht="18.600000000000001" customHeight="1" x14ac:dyDescent="0.25">
      <c r="B156" s="92" t="s">
        <v>422</v>
      </c>
      <c r="C156" s="178" t="s">
        <v>423</v>
      </c>
      <c r="D156" s="143" t="s">
        <v>424</v>
      </c>
      <c r="E156" s="44"/>
      <c r="F156" s="44"/>
      <c r="G156" s="44"/>
      <c r="H156" s="44"/>
      <c r="I156" s="44"/>
      <c r="J156" s="44">
        <v>40000</v>
      </c>
      <c r="K156" s="44"/>
      <c r="L156" s="44">
        <f t="shared" ref="L156:L171" si="81">E156+F156+G156+H156+I156+J156+K156</f>
        <v>40000</v>
      </c>
      <c r="M156" s="45">
        <v>40000</v>
      </c>
      <c r="N156" s="45">
        <f t="shared" ref="N156:N171" si="82">ROUND(M156,0)</f>
        <v>40000</v>
      </c>
      <c r="O156" s="44">
        <f t="shared" si="63"/>
        <v>0</v>
      </c>
      <c r="P156" s="185"/>
      <c r="Q156" s="44">
        <f t="shared" ref="Q156:Q168" si="83">ROUND(N156,0)</f>
        <v>40000</v>
      </c>
      <c r="R156" s="44">
        <f t="shared" si="64"/>
        <v>0</v>
      </c>
      <c r="S156" s="66"/>
      <c r="T156" s="44">
        <f>ROUND(Q156,0)</f>
        <v>40000</v>
      </c>
      <c r="U156" s="44">
        <f t="shared" si="65"/>
        <v>0</v>
      </c>
      <c r="V156" s="66"/>
      <c r="W156" s="44">
        <f>ROUND(T156,0)</f>
        <v>40000</v>
      </c>
      <c r="X156" s="44">
        <f t="shared" si="66"/>
        <v>0</v>
      </c>
      <c r="Y156" s="66"/>
      <c r="Z156" s="44">
        <f t="shared" ref="Z156:Z171" si="84">ROUND(W156,0)</f>
        <v>40000</v>
      </c>
      <c r="AA156" s="44">
        <f t="shared" si="67"/>
        <v>0</v>
      </c>
      <c r="AB156" s="66"/>
    </row>
    <row r="157" spans="2:28" ht="16.5" customHeight="1" x14ac:dyDescent="0.25">
      <c r="B157" s="92" t="s">
        <v>422</v>
      </c>
      <c r="C157" s="178" t="s">
        <v>425</v>
      </c>
      <c r="D157" s="143" t="s">
        <v>426</v>
      </c>
      <c r="E157" s="44"/>
      <c r="F157" s="44"/>
      <c r="G157" s="44"/>
      <c r="H157" s="44"/>
      <c r="I157" s="44"/>
      <c r="J157" s="44">
        <f>5094+10000</f>
        <v>15094</v>
      </c>
      <c r="K157" s="44"/>
      <c r="L157" s="44">
        <f t="shared" si="81"/>
        <v>15094</v>
      </c>
      <c r="M157" s="45">
        <v>15094</v>
      </c>
      <c r="N157" s="45">
        <f t="shared" si="82"/>
        <v>15094</v>
      </c>
      <c r="O157" s="44">
        <f t="shared" si="63"/>
        <v>0</v>
      </c>
      <c r="P157" s="185"/>
      <c r="Q157" s="44">
        <f t="shared" si="83"/>
        <v>15094</v>
      </c>
      <c r="R157" s="44">
        <f t="shared" si="64"/>
        <v>0</v>
      </c>
      <c r="S157" s="66"/>
      <c r="T157" s="44">
        <f>ROUND(Q157,0)</f>
        <v>15094</v>
      </c>
      <c r="U157" s="44">
        <f t="shared" si="65"/>
        <v>0</v>
      </c>
      <c r="V157" s="66"/>
      <c r="W157" s="44">
        <f>ROUND(T157,0)</f>
        <v>15094</v>
      </c>
      <c r="X157" s="44">
        <f t="shared" si="66"/>
        <v>0</v>
      </c>
      <c r="Y157" s="66"/>
      <c r="Z157" s="44">
        <f t="shared" si="84"/>
        <v>15094</v>
      </c>
      <c r="AA157" s="44">
        <f t="shared" si="67"/>
        <v>0</v>
      </c>
      <c r="AB157" s="66"/>
    </row>
    <row r="158" spans="2:28" ht="28.2" customHeight="1" x14ac:dyDescent="0.25">
      <c r="B158" s="92" t="s">
        <v>427</v>
      </c>
      <c r="C158" s="186" t="s">
        <v>428</v>
      </c>
      <c r="D158" s="97" t="s">
        <v>429</v>
      </c>
      <c r="E158" s="44">
        <f>E75</f>
        <v>50458</v>
      </c>
      <c r="F158" s="44"/>
      <c r="G158" s="44"/>
      <c r="H158" s="44"/>
      <c r="I158" s="44"/>
      <c r="J158" s="44">
        <f>50458-SUM(E158:I158)</f>
        <v>0</v>
      </c>
      <c r="K158" s="44"/>
      <c r="L158" s="44">
        <f t="shared" si="81"/>
        <v>50458</v>
      </c>
      <c r="M158" s="45">
        <v>50458</v>
      </c>
      <c r="N158" s="45">
        <f>ROUND(M158,0)</f>
        <v>50458</v>
      </c>
      <c r="O158" s="44">
        <f t="shared" si="63"/>
        <v>0</v>
      </c>
      <c r="P158" s="185"/>
      <c r="Q158" s="44">
        <f t="shared" si="83"/>
        <v>50458</v>
      </c>
      <c r="R158" s="44">
        <f t="shared" si="64"/>
        <v>0</v>
      </c>
      <c r="S158" s="66"/>
      <c r="T158" s="44">
        <f>ROUND(Q158,0)</f>
        <v>50458</v>
      </c>
      <c r="U158" s="44">
        <f t="shared" si="65"/>
        <v>0</v>
      </c>
      <c r="V158" s="66"/>
      <c r="W158" s="44">
        <f>ROUND(T158,0)</f>
        <v>50458</v>
      </c>
      <c r="X158" s="44">
        <f t="shared" si="66"/>
        <v>0</v>
      </c>
      <c r="Y158" s="66"/>
      <c r="Z158" s="44">
        <f t="shared" si="84"/>
        <v>50458</v>
      </c>
      <c r="AA158" s="44">
        <f t="shared" si="67"/>
        <v>0</v>
      </c>
      <c r="AB158" s="66"/>
    </row>
    <row r="159" spans="2:28" ht="28.5" customHeight="1" x14ac:dyDescent="0.25">
      <c r="B159" s="92" t="s">
        <v>430</v>
      </c>
      <c r="C159" s="186" t="s">
        <v>431</v>
      </c>
      <c r="D159" s="188" t="s">
        <v>432</v>
      </c>
      <c r="E159" s="44"/>
      <c r="F159" s="44"/>
      <c r="G159" s="44">
        <f>G83</f>
        <v>118650</v>
      </c>
      <c r="H159" s="44"/>
      <c r="I159" s="44"/>
      <c r="J159" s="44">
        <f>145650-SUM(E159:I159)</f>
        <v>27000</v>
      </c>
      <c r="K159" s="44"/>
      <c r="L159" s="44">
        <f t="shared" si="81"/>
        <v>145650</v>
      </c>
      <c r="M159" s="45">
        <v>145650</v>
      </c>
      <c r="N159" s="45">
        <f t="shared" si="82"/>
        <v>145650</v>
      </c>
      <c r="O159" s="44">
        <f t="shared" si="63"/>
        <v>0</v>
      </c>
      <c r="P159" s="185"/>
      <c r="Q159" s="44">
        <f>ROUND(N159,0)</f>
        <v>145650</v>
      </c>
      <c r="R159" s="44">
        <f t="shared" si="64"/>
        <v>0</v>
      </c>
      <c r="S159" s="66"/>
      <c r="T159" s="44">
        <f>ROUND(Q159,0)-5000-26640</f>
        <v>114010</v>
      </c>
      <c r="U159" s="44">
        <f t="shared" si="65"/>
        <v>-31640</v>
      </c>
      <c r="V159" s="66" t="s">
        <v>433</v>
      </c>
      <c r="W159" s="44">
        <f>ROUND(T159,0)+3347</f>
        <v>117357</v>
      </c>
      <c r="X159" s="44">
        <f t="shared" si="66"/>
        <v>3347</v>
      </c>
      <c r="Y159" s="66" t="s">
        <v>434</v>
      </c>
      <c r="Z159" s="44">
        <f t="shared" si="84"/>
        <v>117357</v>
      </c>
      <c r="AA159" s="44">
        <f t="shared" si="67"/>
        <v>0</v>
      </c>
      <c r="AB159" s="66"/>
    </row>
    <row r="160" spans="2:28" ht="15.75" customHeight="1" x14ac:dyDescent="0.25">
      <c r="B160" s="92" t="s">
        <v>435</v>
      </c>
      <c r="C160" s="186" t="s">
        <v>436</v>
      </c>
      <c r="D160" s="188" t="s">
        <v>249</v>
      </c>
      <c r="E160" s="44"/>
      <c r="F160" s="44"/>
      <c r="G160" s="44">
        <f>G84</f>
        <v>390462</v>
      </c>
      <c r="H160" s="44"/>
      <c r="I160" s="44"/>
      <c r="J160" s="44">
        <f>397337-SUM(E160:I160)</f>
        <v>6875</v>
      </c>
      <c r="K160" s="44"/>
      <c r="L160" s="44">
        <f t="shared" si="81"/>
        <v>397337</v>
      </c>
      <c r="M160" s="45">
        <v>397337</v>
      </c>
      <c r="N160" s="45">
        <f t="shared" si="82"/>
        <v>397337</v>
      </c>
      <c r="O160" s="44">
        <f t="shared" si="63"/>
        <v>0</v>
      </c>
      <c r="P160" s="185"/>
      <c r="Q160" s="44">
        <f t="shared" si="83"/>
        <v>397337</v>
      </c>
      <c r="R160" s="44">
        <f t="shared" si="64"/>
        <v>0</v>
      </c>
      <c r="S160" s="66"/>
      <c r="T160" s="44">
        <f t="shared" ref="T160:T168" si="85">ROUND(Q160,0)</f>
        <v>397337</v>
      </c>
      <c r="U160" s="44">
        <f t="shared" si="65"/>
        <v>0</v>
      </c>
      <c r="V160" s="66"/>
      <c r="W160" s="44">
        <f>ROUND(T160,0)</f>
        <v>397337</v>
      </c>
      <c r="X160" s="44">
        <f t="shared" si="66"/>
        <v>0</v>
      </c>
      <c r="Y160" s="66"/>
      <c r="Z160" s="44">
        <f t="shared" si="84"/>
        <v>397337</v>
      </c>
      <c r="AA160" s="44">
        <f t="shared" si="67"/>
        <v>0</v>
      </c>
      <c r="AB160" s="66"/>
    </row>
    <row r="161" spans="2:28" ht="15" customHeight="1" x14ac:dyDescent="0.25">
      <c r="B161" s="187" t="s">
        <v>437</v>
      </c>
      <c r="C161" s="186" t="s">
        <v>438</v>
      </c>
      <c r="D161" s="188" t="s">
        <v>211</v>
      </c>
      <c r="E161" s="44">
        <f>E68</f>
        <v>16012</v>
      </c>
      <c r="F161" s="44"/>
      <c r="G161" s="44">
        <f t="shared" ref="G161:G166" si="86">G68</f>
        <v>63988</v>
      </c>
      <c r="H161" s="44"/>
      <c r="I161" s="44"/>
      <c r="J161" s="44">
        <f>207440-SUM(E161:I161)</f>
        <v>127440</v>
      </c>
      <c r="K161" s="44"/>
      <c r="L161" s="44">
        <f t="shared" si="81"/>
        <v>207440</v>
      </c>
      <c r="M161" s="45">
        <v>207440</v>
      </c>
      <c r="N161" s="45">
        <f t="shared" si="82"/>
        <v>207440</v>
      </c>
      <c r="O161" s="44">
        <f t="shared" si="63"/>
        <v>0</v>
      </c>
      <c r="P161" s="70"/>
      <c r="Q161" s="44">
        <f t="shared" si="83"/>
        <v>207440</v>
      </c>
      <c r="R161" s="44">
        <f t="shared" si="64"/>
        <v>0</v>
      </c>
      <c r="S161" s="71"/>
      <c r="T161" s="44">
        <f t="shared" si="85"/>
        <v>207440</v>
      </c>
      <c r="U161" s="44">
        <f t="shared" si="65"/>
        <v>0</v>
      </c>
      <c r="V161" s="71"/>
      <c r="W161" s="44">
        <f>ROUND(T161,0)+22000+50687</f>
        <v>280127</v>
      </c>
      <c r="X161" s="44">
        <f t="shared" si="66"/>
        <v>72687</v>
      </c>
      <c r="Y161" s="71" t="s">
        <v>439</v>
      </c>
      <c r="Z161" s="44">
        <f t="shared" si="84"/>
        <v>280127</v>
      </c>
      <c r="AA161" s="44">
        <f t="shared" si="67"/>
        <v>0</v>
      </c>
      <c r="AB161" s="71"/>
    </row>
    <row r="162" spans="2:28" ht="29.25" customHeight="1" x14ac:dyDescent="0.25">
      <c r="B162" s="92" t="s">
        <v>440</v>
      </c>
      <c r="C162" s="186" t="s">
        <v>441</v>
      </c>
      <c r="D162" s="188" t="s">
        <v>214</v>
      </c>
      <c r="E162" s="44"/>
      <c r="F162" s="44"/>
      <c r="G162" s="44">
        <f t="shared" si="86"/>
        <v>2532</v>
      </c>
      <c r="H162" s="44"/>
      <c r="I162" s="44"/>
      <c r="J162" s="44">
        <f>14067-SUM(E162:I162)</f>
        <v>11535</v>
      </c>
      <c r="K162" s="44"/>
      <c r="L162" s="44">
        <f t="shared" si="81"/>
        <v>14067</v>
      </c>
      <c r="M162" s="45">
        <v>14067</v>
      </c>
      <c r="N162" s="45">
        <f t="shared" si="82"/>
        <v>14067</v>
      </c>
      <c r="O162" s="44">
        <f t="shared" si="63"/>
        <v>0</v>
      </c>
      <c r="P162" s="70"/>
      <c r="Q162" s="44">
        <f t="shared" si="83"/>
        <v>14067</v>
      </c>
      <c r="R162" s="44">
        <f t="shared" si="64"/>
        <v>0</v>
      </c>
      <c r="S162" s="71"/>
      <c r="T162" s="44">
        <f t="shared" si="85"/>
        <v>14067</v>
      </c>
      <c r="U162" s="44">
        <f t="shared" si="65"/>
        <v>0</v>
      </c>
      <c r="V162" s="71"/>
      <c r="W162" s="44">
        <f>ROUND(T162,0)+5801</f>
        <v>19868</v>
      </c>
      <c r="X162" s="44">
        <f t="shared" si="66"/>
        <v>5801</v>
      </c>
      <c r="Y162" s="71" t="s">
        <v>442</v>
      </c>
      <c r="Z162" s="44">
        <f t="shared" si="84"/>
        <v>19868</v>
      </c>
      <c r="AA162" s="44">
        <f t="shared" si="67"/>
        <v>0</v>
      </c>
      <c r="AB162" s="71"/>
    </row>
    <row r="163" spans="2:28" ht="33" customHeight="1" x14ac:dyDescent="0.25">
      <c r="B163" s="92" t="s">
        <v>197</v>
      </c>
      <c r="C163" s="186" t="s">
        <v>443</v>
      </c>
      <c r="D163" s="188" t="s">
        <v>216</v>
      </c>
      <c r="E163" s="44"/>
      <c r="F163" s="44"/>
      <c r="G163" s="44">
        <f t="shared" si="86"/>
        <v>5135</v>
      </c>
      <c r="H163" s="44"/>
      <c r="I163" s="44"/>
      <c r="J163" s="44">
        <f>7900-SUM(E163:I163)</f>
        <v>2765</v>
      </c>
      <c r="K163" s="44"/>
      <c r="L163" s="44">
        <f t="shared" si="81"/>
        <v>7900</v>
      </c>
      <c r="M163" s="45">
        <v>7900</v>
      </c>
      <c r="N163" s="45">
        <f t="shared" si="82"/>
        <v>7900</v>
      </c>
      <c r="O163" s="44">
        <f t="shared" si="63"/>
        <v>0</v>
      </c>
      <c r="P163" s="70"/>
      <c r="Q163" s="44">
        <f t="shared" si="83"/>
        <v>7900</v>
      </c>
      <c r="R163" s="44">
        <f t="shared" si="64"/>
        <v>0</v>
      </c>
      <c r="S163" s="71"/>
      <c r="T163" s="44">
        <f t="shared" si="85"/>
        <v>7900</v>
      </c>
      <c r="U163" s="44">
        <f t="shared" si="65"/>
        <v>0</v>
      </c>
      <c r="V163" s="71"/>
      <c r="W163" s="44">
        <f t="shared" ref="W163:W171" si="87">ROUND(T163,0)</f>
        <v>7900</v>
      </c>
      <c r="X163" s="44">
        <f t="shared" si="66"/>
        <v>0</v>
      </c>
      <c r="Y163" s="71"/>
      <c r="Z163" s="44">
        <f t="shared" si="84"/>
        <v>7900</v>
      </c>
      <c r="AA163" s="44">
        <f t="shared" si="67"/>
        <v>0</v>
      </c>
      <c r="AB163" s="71"/>
    </row>
    <row r="164" spans="2:28" ht="17.399999999999999" customHeight="1" x14ac:dyDescent="0.25">
      <c r="B164" s="92" t="s">
        <v>197</v>
      </c>
      <c r="C164" s="186" t="s">
        <v>444</v>
      </c>
      <c r="D164" s="188" t="s">
        <v>218</v>
      </c>
      <c r="E164" s="44"/>
      <c r="F164" s="44"/>
      <c r="G164" s="44">
        <f t="shared" si="86"/>
        <v>9000</v>
      </c>
      <c r="H164" s="44"/>
      <c r="I164" s="44"/>
      <c r="J164" s="44">
        <f>9000-SUM(E164:I164)</f>
        <v>0</v>
      </c>
      <c r="K164" s="44"/>
      <c r="L164" s="44">
        <f t="shared" si="81"/>
        <v>9000</v>
      </c>
      <c r="M164" s="45">
        <v>9000</v>
      </c>
      <c r="N164" s="45">
        <f t="shared" si="82"/>
        <v>9000</v>
      </c>
      <c r="O164" s="44">
        <f t="shared" si="63"/>
        <v>0</v>
      </c>
      <c r="P164" s="70"/>
      <c r="Q164" s="44">
        <f t="shared" si="83"/>
        <v>9000</v>
      </c>
      <c r="R164" s="44">
        <f t="shared" si="64"/>
        <v>0</v>
      </c>
      <c r="S164" s="71"/>
      <c r="T164" s="44">
        <f t="shared" si="85"/>
        <v>9000</v>
      </c>
      <c r="U164" s="44">
        <f t="shared" si="65"/>
        <v>0</v>
      </c>
      <c r="V164" s="71"/>
      <c r="W164" s="44">
        <f t="shared" si="87"/>
        <v>9000</v>
      </c>
      <c r="X164" s="44">
        <f t="shared" si="66"/>
        <v>0</v>
      </c>
      <c r="Y164" s="71"/>
      <c r="Z164" s="44">
        <f t="shared" si="84"/>
        <v>9000</v>
      </c>
      <c r="AA164" s="44">
        <f t="shared" si="67"/>
        <v>0</v>
      </c>
      <c r="AB164" s="71"/>
    </row>
    <row r="165" spans="2:28" ht="55.95" customHeight="1" x14ac:dyDescent="0.25">
      <c r="B165" s="92" t="s">
        <v>197</v>
      </c>
      <c r="C165" s="186" t="s">
        <v>445</v>
      </c>
      <c r="D165" s="188" t="s">
        <v>220</v>
      </c>
      <c r="E165" s="44"/>
      <c r="F165" s="44"/>
      <c r="G165" s="44">
        <f t="shared" si="86"/>
        <v>6010</v>
      </c>
      <c r="H165" s="44"/>
      <c r="I165" s="44"/>
      <c r="J165" s="44">
        <f>12020-SUM(E165:I165)</f>
        <v>6010</v>
      </c>
      <c r="K165" s="44"/>
      <c r="L165" s="44">
        <f t="shared" si="81"/>
        <v>12020</v>
      </c>
      <c r="M165" s="45">
        <v>12020</v>
      </c>
      <c r="N165" s="45">
        <f t="shared" si="82"/>
        <v>12020</v>
      </c>
      <c r="O165" s="44">
        <f t="shared" si="63"/>
        <v>0</v>
      </c>
      <c r="P165" s="70"/>
      <c r="Q165" s="44">
        <f t="shared" si="83"/>
        <v>12020</v>
      </c>
      <c r="R165" s="44">
        <f t="shared" si="64"/>
        <v>0</v>
      </c>
      <c r="S165" s="71"/>
      <c r="T165" s="44">
        <f t="shared" si="85"/>
        <v>12020</v>
      </c>
      <c r="U165" s="44">
        <f t="shared" si="65"/>
        <v>0</v>
      </c>
      <c r="V165" s="71"/>
      <c r="W165" s="44">
        <f t="shared" si="87"/>
        <v>12020</v>
      </c>
      <c r="X165" s="44">
        <f t="shared" si="66"/>
        <v>0</v>
      </c>
      <c r="Y165" s="71"/>
      <c r="Z165" s="44">
        <f t="shared" si="84"/>
        <v>12020</v>
      </c>
      <c r="AA165" s="44">
        <f t="shared" si="67"/>
        <v>0</v>
      </c>
      <c r="AB165" s="71"/>
    </row>
    <row r="166" spans="2:28" ht="40.950000000000003" customHeight="1" x14ac:dyDescent="0.25">
      <c r="B166" s="92" t="s">
        <v>197</v>
      </c>
      <c r="C166" s="186" t="s">
        <v>446</v>
      </c>
      <c r="D166" s="188" t="s">
        <v>222</v>
      </c>
      <c r="E166" s="44"/>
      <c r="F166" s="44"/>
      <c r="G166" s="44">
        <f t="shared" si="86"/>
        <v>30655</v>
      </c>
      <c r="H166" s="44"/>
      <c r="I166" s="44"/>
      <c r="J166" s="44">
        <f>30655-SUM(E166:I166)</f>
        <v>0</v>
      </c>
      <c r="K166" s="44"/>
      <c r="L166" s="44">
        <f t="shared" si="81"/>
        <v>30655</v>
      </c>
      <c r="M166" s="45">
        <v>30655</v>
      </c>
      <c r="N166" s="45">
        <f t="shared" si="82"/>
        <v>30655</v>
      </c>
      <c r="O166" s="44">
        <f t="shared" si="63"/>
        <v>0</v>
      </c>
      <c r="P166" s="70"/>
      <c r="Q166" s="44">
        <f t="shared" si="83"/>
        <v>30655</v>
      </c>
      <c r="R166" s="44">
        <f t="shared" si="64"/>
        <v>0</v>
      </c>
      <c r="S166" s="71"/>
      <c r="T166" s="44">
        <f t="shared" si="85"/>
        <v>30655</v>
      </c>
      <c r="U166" s="44">
        <f t="shared" si="65"/>
        <v>0</v>
      </c>
      <c r="V166" s="71"/>
      <c r="W166" s="44">
        <f t="shared" si="87"/>
        <v>30655</v>
      </c>
      <c r="X166" s="44">
        <f t="shared" si="66"/>
        <v>0</v>
      </c>
      <c r="Y166" s="71"/>
      <c r="Z166" s="44">
        <f t="shared" si="84"/>
        <v>30655</v>
      </c>
      <c r="AA166" s="44">
        <f t="shared" si="67"/>
        <v>0</v>
      </c>
      <c r="AB166" s="71"/>
    </row>
    <row r="167" spans="2:28" ht="16.95" customHeight="1" x14ac:dyDescent="0.25">
      <c r="B167" s="92" t="s">
        <v>223</v>
      </c>
      <c r="C167" s="186" t="s">
        <v>447</v>
      </c>
      <c r="D167" s="188" t="s">
        <v>225</v>
      </c>
      <c r="E167" s="44">
        <f>E74</f>
        <v>168527</v>
      </c>
      <c r="F167" s="44"/>
      <c r="G167" s="44"/>
      <c r="H167" s="44"/>
      <c r="I167" s="44"/>
      <c r="J167" s="44"/>
      <c r="K167" s="44"/>
      <c r="L167" s="44">
        <f t="shared" si="81"/>
        <v>168527</v>
      </c>
      <c r="M167" s="45">
        <v>168527</v>
      </c>
      <c r="N167" s="45">
        <f t="shared" si="82"/>
        <v>168527</v>
      </c>
      <c r="O167" s="44">
        <f t="shared" si="63"/>
        <v>0</v>
      </c>
      <c r="P167" s="70"/>
      <c r="Q167" s="44">
        <f t="shared" si="83"/>
        <v>168527</v>
      </c>
      <c r="R167" s="44">
        <f t="shared" si="64"/>
        <v>0</v>
      </c>
      <c r="S167" s="71"/>
      <c r="T167" s="44">
        <f t="shared" si="85"/>
        <v>168527</v>
      </c>
      <c r="U167" s="44">
        <f t="shared" si="65"/>
        <v>0</v>
      </c>
      <c r="V167" s="71"/>
      <c r="W167" s="44">
        <f t="shared" si="87"/>
        <v>168527</v>
      </c>
      <c r="X167" s="44">
        <f t="shared" si="66"/>
        <v>0</v>
      </c>
      <c r="Y167" s="71"/>
      <c r="Z167" s="44">
        <f t="shared" si="84"/>
        <v>168527</v>
      </c>
      <c r="AA167" s="44">
        <f t="shared" si="67"/>
        <v>0</v>
      </c>
      <c r="AB167" s="71"/>
    </row>
    <row r="168" spans="2:28" ht="42.6" customHeight="1" x14ac:dyDescent="0.25">
      <c r="B168" s="92" t="s">
        <v>197</v>
      </c>
      <c r="C168" s="186" t="s">
        <v>448</v>
      </c>
      <c r="D168" s="188" t="s">
        <v>449</v>
      </c>
      <c r="E168" s="44"/>
      <c r="F168" s="44"/>
      <c r="G168" s="44"/>
      <c r="H168" s="44"/>
      <c r="I168" s="44"/>
      <c r="J168" s="44">
        <f>44284-SUM(E168:I168)</f>
        <v>44284</v>
      </c>
      <c r="K168" s="44"/>
      <c r="L168" s="44">
        <f>E168+F168+G168+H168+I168+J168+K168</f>
        <v>44284</v>
      </c>
      <c r="M168" s="45">
        <v>44284</v>
      </c>
      <c r="N168" s="45">
        <f t="shared" si="82"/>
        <v>44284</v>
      </c>
      <c r="O168" s="44">
        <f t="shared" si="63"/>
        <v>0</v>
      </c>
      <c r="P168" s="70"/>
      <c r="Q168" s="44">
        <f t="shared" si="83"/>
        <v>44284</v>
      </c>
      <c r="R168" s="44">
        <f t="shared" si="64"/>
        <v>0</v>
      </c>
      <c r="S168" s="71"/>
      <c r="T168" s="44">
        <f t="shared" si="85"/>
        <v>44284</v>
      </c>
      <c r="U168" s="44">
        <f t="shared" si="65"/>
        <v>0</v>
      </c>
      <c r="V168" s="71"/>
      <c r="W168" s="44">
        <f t="shared" si="87"/>
        <v>44284</v>
      </c>
      <c r="X168" s="44">
        <f t="shared" si="66"/>
        <v>0</v>
      </c>
      <c r="Y168" s="71"/>
      <c r="Z168" s="44">
        <f>ROUND(W168,0)-44284</f>
        <v>0</v>
      </c>
      <c r="AA168" s="44">
        <f t="shared" si="67"/>
        <v>-44284</v>
      </c>
      <c r="AB168" s="66" t="s">
        <v>450</v>
      </c>
    </row>
    <row r="169" spans="2:28" ht="27" customHeight="1" x14ac:dyDescent="0.25">
      <c r="B169" s="92" t="s">
        <v>451</v>
      </c>
      <c r="C169" s="186" t="s">
        <v>452</v>
      </c>
      <c r="D169" s="97" t="s">
        <v>453</v>
      </c>
      <c r="E169" s="44"/>
      <c r="F169" s="44"/>
      <c r="G169" s="44"/>
      <c r="H169" s="44"/>
      <c r="I169" s="44"/>
      <c r="J169" s="44"/>
      <c r="K169" s="44"/>
      <c r="L169" s="44">
        <f t="shared" si="81"/>
        <v>0</v>
      </c>
      <c r="M169" s="45">
        <v>0</v>
      </c>
      <c r="N169" s="45">
        <f t="shared" si="82"/>
        <v>0</v>
      </c>
      <c r="O169" s="44">
        <f t="shared" si="63"/>
        <v>0</v>
      </c>
      <c r="P169" s="185"/>
      <c r="Q169" s="44"/>
      <c r="R169" s="44">
        <f t="shared" si="64"/>
        <v>0</v>
      </c>
      <c r="S169" s="66"/>
      <c r="T169" s="44"/>
      <c r="U169" s="44">
        <f t="shared" si="65"/>
        <v>0</v>
      </c>
      <c r="V169" s="66"/>
      <c r="W169" s="44">
        <f t="shared" si="87"/>
        <v>0</v>
      </c>
      <c r="X169" s="44">
        <f t="shared" si="66"/>
        <v>0</v>
      </c>
      <c r="Y169" s="66"/>
      <c r="Z169" s="44">
        <f>ROUND(W169,0)+85085</f>
        <v>85085</v>
      </c>
      <c r="AA169" s="44">
        <f t="shared" si="67"/>
        <v>85085</v>
      </c>
      <c r="AB169" s="66" t="s">
        <v>454</v>
      </c>
    </row>
    <row r="170" spans="2:28" ht="30.6" customHeight="1" x14ac:dyDescent="0.25">
      <c r="B170" s="92" t="s">
        <v>283</v>
      </c>
      <c r="C170" s="186" t="s">
        <v>455</v>
      </c>
      <c r="D170" s="188" t="s">
        <v>456</v>
      </c>
      <c r="E170" s="44">
        <f>E97</f>
        <v>0</v>
      </c>
      <c r="F170" s="44"/>
      <c r="G170" s="44"/>
      <c r="H170" s="44"/>
      <c r="I170" s="44"/>
      <c r="J170" s="44"/>
      <c r="K170" s="44"/>
      <c r="L170" s="44">
        <f t="shared" si="81"/>
        <v>0</v>
      </c>
      <c r="M170" s="45">
        <v>0</v>
      </c>
      <c r="N170" s="45">
        <f t="shared" si="82"/>
        <v>0</v>
      </c>
      <c r="O170" s="44">
        <f t="shared" si="63"/>
        <v>0</v>
      </c>
      <c r="P170" s="185"/>
      <c r="Q170" s="44"/>
      <c r="R170" s="44">
        <f t="shared" si="64"/>
        <v>0</v>
      </c>
      <c r="S170" s="189"/>
      <c r="T170" s="44"/>
      <c r="U170" s="44">
        <f t="shared" si="65"/>
        <v>0</v>
      </c>
      <c r="V170" s="66"/>
      <c r="W170" s="44">
        <f t="shared" si="87"/>
        <v>0</v>
      </c>
      <c r="X170" s="44">
        <f t="shared" si="66"/>
        <v>0</v>
      </c>
      <c r="Y170" s="66"/>
      <c r="Z170" s="44">
        <f t="shared" si="84"/>
        <v>0</v>
      </c>
      <c r="AA170" s="44">
        <f t="shared" si="67"/>
        <v>0</v>
      </c>
      <c r="AB170" s="66"/>
    </row>
    <row r="171" spans="2:28" ht="32.4" customHeight="1" x14ac:dyDescent="0.25">
      <c r="B171" s="92" t="s">
        <v>457</v>
      </c>
      <c r="C171" s="186" t="s">
        <v>444</v>
      </c>
      <c r="D171" s="188" t="s">
        <v>251</v>
      </c>
      <c r="E171" s="44"/>
      <c r="F171" s="44"/>
      <c r="G171" s="44">
        <f>G85</f>
        <v>0</v>
      </c>
      <c r="H171" s="44"/>
      <c r="I171" s="44"/>
      <c r="J171" s="44"/>
      <c r="K171" s="44"/>
      <c r="L171" s="44">
        <f t="shared" si="81"/>
        <v>0</v>
      </c>
      <c r="M171" s="45">
        <v>0</v>
      </c>
      <c r="N171" s="45">
        <f t="shared" si="82"/>
        <v>0</v>
      </c>
      <c r="O171" s="44">
        <f t="shared" si="63"/>
        <v>0</v>
      </c>
      <c r="P171" s="185"/>
      <c r="Q171" s="44"/>
      <c r="R171" s="44">
        <f t="shared" si="64"/>
        <v>0</v>
      </c>
      <c r="S171" s="190"/>
      <c r="T171" s="44"/>
      <c r="U171" s="44">
        <f t="shared" si="65"/>
        <v>0</v>
      </c>
      <c r="V171" s="190"/>
      <c r="W171" s="44">
        <f t="shared" si="87"/>
        <v>0</v>
      </c>
      <c r="X171" s="44">
        <f t="shared" si="66"/>
        <v>0</v>
      </c>
      <c r="Y171" s="190"/>
      <c r="Z171" s="44">
        <f t="shared" si="84"/>
        <v>0</v>
      </c>
      <c r="AA171" s="44">
        <f t="shared" si="67"/>
        <v>0</v>
      </c>
      <c r="AB171" s="190"/>
    </row>
    <row r="172" spans="2:28" ht="29.25" customHeight="1" x14ac:dyDescent="0.25">
      <c r="C172" s="170" t="s">
        <v>458</v>
      </c>
      <c r="D172" s="180" t="s">
        <v>459</v>
      </c>
      <c r="E172" s="181">
        <f>SUM(E173:E191)</f>
        <v>1885110.83</v>
      </c>
      <c r="F172" s="181">
        <f t="shared" ref="F172:N172" si="88">SUM(F173:F178,F182:F191)</f>
        <v>0</v>
      </c>
      <c r="G172" s="181">
        <f t="shared" si="88"/>
        <v>382739</v>
      </c>
      <c r="H172" s="181">
        <f t="shared" si="88"/>
        <v>517437</v>
      </c>
      <c r="I172" s="181">
        <f t="shared" si="88"/>
        <v>6321839.2470302833</v>
      </c>
      <c r="J172" s="181">
        <f t="shared" si="88"/>
        <v>2035583</v>
      </c>
      <c r="K172" s="181">
        <f t="shared" si="88"/>
        <v>407092.76492750004</v>
      </c>
      <c r="L172" s="181">
        <f t="shared" si="88"/>
        <v>11549801.841957785</v>
      </c>
      <c r="M172" s="182">
        <v>11549801.841957785</v>
      </c>
      <c r="N172" s="182">
        <f t="shared" si="88"/>
        <v>11653537</v>
      </c>
      <c r="O172" s="181">
        <f t="shared" si="63"/>
        <v>103735.15804221481</v>
      </c>
      <c r="P172" s="191"/>
      <c r="Q172" s="181">
        <f>SUM(Q173:Q178,Q182:Q191)</f>
        <v>11956848</v>
      </c>
      <c r="R172" s="181">
        <f t="shared" si="64"/>
        <v>303311</v>
      </c>
      <c r="S172" s="192"/>
      <c r="T172" s="181">
        <f>SUM(T173:T178,T182:T191)</f>
        <v>12038272</v>
      </c>
      <c r="U172" s="181">
        <f t="shared" si="65"/>
        <v>81424</v>
      </c>
      <c r="V172" s="192"/>
      <c r="W172" s="181">
        <f>SUM(W173:W178,W182:W191)</f>
        <v>12725876</v>
      </c>
      <c r="X172" s="181">
        <f t="shared" si="66"/>
        <v>687604</v>
      </c>
      <c r="Y172" s="192"/>
      <c r="Z172" s="181">
        <f>SUM(Z173:Z178,Z182:Z191)</f>
        <v>12924698</v>
      </c>
      <c r="AA172" s="181">
        <f t="shared" si="67"/>
        <v>198822</v>
      </c>
      <c r="AB172" s="192"/>
    </row>
    <row r="173" spans="2:28" ht="27.6" customHeight="1" x14ac:dyDescent="0.25">
      <c r="B173" s="92" t="s">
        <v>460</v>
      </c>
      <c r="C173" s="178" t="s">
        <v>461</v>
      </c>
      <c r="D173" s="188" t="s">
        <v>462</v>
      </c>
      <c r="E173" s="44"/>
      <c r="F173" s="44"/>
      <c r="G173" s="44"/>
      <c r="H173" s="44"/>
      <c r="I173" s="44"/>
      <c r="J173" s="44">
        <v>1037000</v>
      </c>
      <c r="K173" s="44">
        <f>[1]BAZE_2024!G142</f>
        <v>162200.02932750003</v>
      </c>
      <c r="L173" s="44">
        <f t="shared" ref="L173:L191" si="89">E173+F173+G173+H173+I173+J173+K173</f>
        <v>1199200.0293275001</v>
      </c>
      <c r="M173" s="45">
        <v>1199200.0293275001</v>
      </c>
      <c r="N173" s="45">
        <f>ROUND(M173,0)</f>
        <v>1199200</v>
      </c>
      <c r="O173" s="44">
        <f t="shared" si="63"/>
        <v>-2.9327500145882368E-2</v>
      </c>
      <c r="P173" s="193"/>
      <c r="Q173" s="44">
        <f>ROUND(N173,0)</f>
        <v>1199200</v>
      </c>
      <c r="R173" s="44">
        <f t="shared" si="64"/>
        <v>0</v>
      </c>
      <c r="S173" s="190"/>
      <c r="T173" s="44">
        <f>ROUND(Q173,0)</f>
        <v>1199200</v>
      </c>
      <c r="U173" s="44">
        <f t="shared" si="65"/>
        <v>0</v>
      </c>
      <c r="V173" s="190"/>
      <c r="W173" s="44">
        <f>ROUND(T173,0)</f>
        <v>1199200</v>
      </c>
      <c r="X173" s="44">
        <f t="shared" si="66"/>
        <v>0</v>
      </c>
      <c r="Y173" s="190"/>
      <c r="Z173" s="44">
        <f>ROUND(W173,0)+2400</f>
        <v>1201600</v>
      </c>
      <c r="AA173" s="44">
        <f t="shared" si="67"/>
        <v>2400</v>
      </c>
      <c r="AB173" s="190" t="s">
        <v>463</v>
      </c>
    </row>
    <row r="174" spans="2:28" ht="13.95" customHeight="1" x14ac:dyDescent="0.25">
      <c r="B174" s="92" t="s">
        <v>464</v>
      </c>
      <c r="C174" s="178" t="s">
        <v>465</v>
      </c>
      <c r="D174" s="188" t="s">
        <v>466</v>
      </c>
      <c r="E174" s="44">
        <f>E59</f>
        <v>1875164.83</v>
      </c>
      <c r="F174" s="44"/>
      <c r="G174" s="44"/>
      <c r="H174" s="44"/>
      <c r="I174" s="44"/>
      <c r="J174" s="44"/>
      <c r="K174" s="44"/>
      <c r="L174" s="194">
        <f t="shared" si="89"/>
        <v>1875164.83</v>
      </c>
      <c r="M174" s="45">
        <v>1875164.83</v>
      </c>
      <c r="N174" s="45">
        <f t="shared" ref="N174:N187" si="90">ROUND(M174,0)</f>
        <v>1875165</v>
      </c>
      <c r="O174" s="44">
        <f t="shared" si="63"/>
        <v>0.16999999992549419</v>
      </c>
      <c r="P174" s="185"/>
      <c r="Q174" s="44">
        <f>ROUND(N174,0)</f>
        <v>1875165</v>
      </c>
      <c r="R174" s="44">
        <f t="shared" si="64"/>
        <v>0</v>
      </c>
      <c r="S174" s="66"/>
      <c r="T174" s="44">
        <f>ROUND(Q174,0)</f>
        <v>1875165</v>
      </c>
      <c r="U174" s="44">
        <f t="shared" si="65"/>
        <v>0</v>
      </c>
      <c r="V174" s="66"/>
      <c r="W174" s="44">
        <f>ROUND(T174,0)</f>
        <v>1875165</v>
      </c>
      <c r="X174" s="44">
        <f t="shared" si="66"/>
        <v>0</v>
      </c>
      <c r="Y174" s="66"/>
      <c r="Z174" s="44">
        <f>ROUND(W174,0)</f>
        <v>1875165</v>
      </c>
      <c r="AA174" s="44">
        <f t="shared" si="67"/>
        <v>0</v>
      </c>
      <c r="AB174" s="66"/>
    </row>
    <row r="175" spans="2:28" ht="27" customHeight="1" x14ac:dyDescent="0.25">
      <c r="B175" s="92" t="s">
        <v>205</v>
      </c>
      <c r="C175" s="186" t="s">
        <v>467</v>
      </c>
      <c r="D175" s="188" t="s">
        <v>333</v>
      </c>
      <c r="E175" s="44">
        <f>E67</f>
        <v>9946</v>
      </c>
      <c r="F175" s="44"/>
      <c r="G175" s="44">
        <f>G67</f>
        <v>0</v>
      </c>
      <c r="H175" s="44">
        <f>H115</f>
        <v>353405</v>
      </c>
      <c r="I175" s="44"/>
      <c r="J175" s="44">
        <f>353405+9946-SUM(E175:I175)</f>
        <v>0</v>
      </c>
      <c r="K175" s="44"/>
      <c r="L175" s="44">
        <f t="shared" si="89"/>
        <v>363351</v>
      </c>
      <c r="M175" s="45">
        <v>363351</v>
      </c>
      <c r="N175" s="45">
        <f>ROUND(M175,0)-1-3420+92966</f>
        <v>452896</v>
      </c>
      <c r="O175" s="44">
        <f t="shared" si="63"/>
        <v>89545</v>
      </c>
      <c r="P175" s="66" t="s">
        <v>468</v>
      </c>
      <c r="Q175" s="44">
        <f>ROUND(N175,0)</f>
        <v>452896</v>
      </c>
      <c r="R175" s="44">
        <f t="shared" si="64"/>
        <v>0</v>
      </c>
      <c r="S175" s="66"/>
      <c r="T175" s="44">
        <f>ROUND(Q175,0)</f>
        <v>452896</v>
      </c>
      <c r="U175" s="44">
        <f t="shared" si="65"/>
        <v>0</v>
      </c>
      <c r="V175" s="66"/>
      <c r="W175" s="44">
        <f>ROUND(T175,0)</f>
        <v>452896</v>
      </c>
      <c r="X175" s="44">
        <f t="shared" si="66"/>
        <v>0</v>
      </c>
      <c r="Y175" s="66"/>
      <c r="Z175" s="44">
        <f>ROUND(W175,0)</f>
        <v>452896</v>
      </c>
      <c r="AA175" s="44">
        <f t="shared" si="67"/>
        <v>0</v>
      </c>
      <c r="AB175" s="66"/>
    </row>
    <row r="176" spans="2:28" ht="27" customHeight="1" x14ac:dyDescent="0.25">
      <c r="B176" s="92" t="s">
        <v>469</v>
      </c>
      <c r="C176" s="186" t="s">
        <v>470</v>
      </c>
      <c r="D176" s="188" t="s">
        <v>471</v>
      </c>
      <c r="E176" s="44"/>
      <c r="F176" s="44"/>
      <c r="G176" s="44"/>
      <c r="H176" s="44"/>
      <c r="I176" s="44"/>
      <c r="J176" s="44"/>
      <c r="K176" s="44"/>
      <c r="L176" s="44"/>
      <c r="M176" s="45"/>
      <c r="N176" s="45"/>
      <c r="O176" s="44"/>
      <c r="P176" s="66"/>
      <c r="Q176" s="44"/>
      <c r="R176" s="44"/>
      <c r="S176" s="66"/>
      <c r="T176" s="44"/>
      <c r="U176" s="44"/>
      <c r="V176" s="66"/>
      <c r="W176" s="44"/>
      <c r="X176" s="44"/>
      <c r="Y176" s="66"/>
      <c r="Z176" s="44">
        <v>120000</v>
      </c>
      <c r="AA176" s="44">
        <f t="shared" si="67"/>
        <v>120000</v>
      </c>
      <c r="AB176" s="66" t="s">
        <v>472</v>
      </c>
    </row>
    <row r="177" spans="2:28" ht="14.25" customHeight="1" x14ac:dyDescent="0.25">
      <c r="B177" s="92" t="s">
        <v>473</v>
      </c>
      <c r="C177" s="178" t="s">
        <v>474</v>
      </c>
      <c r="D177" s="188" t="s">
        <v>475</v>
      </c>
      <c r="E177" s="195">
        <f>E105</f>
        <v>0</v>
      </c>
      <c r="F177" s="44"/>
      <c r="G177" s="44"/>
      <c r="H177" s="44"/>
      <c r="I177" s="114">
        <f>[1]BAZE_2024!G155-SUM(E177:H177)</f>
        <v>1574037</v>
      </c>
      <c r="J177" s="114"/>
      <c r="K177" s="44"/>
      <c r="L177" s="194">
        <f t="shared" si="89"/>
        <v>1574037</v>
      </c>
      <c r="M177" s="45">
        <v>1574037</v>
      </c>
      <c r="N177" s="45">
        <f>ROUND(M177,0)+168382-168382</f>
        <v>1574037</v>
      </c>
      <c r="O177" s="44">
        <f t="shared" si="63"/>
        <v>0</v>
      </c>
      <c r="P177" s="100" t="s">
        <v>476</v>
      </c>
      <c r="Q177" s="44">
        <f>ROUND(N177,0)</f>
        <v>1574037</v>
      </c>
      <c r="R177" s="44">
        <f t="shared" si="64"/>
        <v>0</v>
      </c>
      <c r="S177" s="66"/>
      <c r="T177" s="44">
        <f>ROUND(Q177,0)</f>
        <v>1574037</v>
      </c>
      <c r="U177" s="44">
        <f t="shared" si="65"/>
        <v>0</v>
      </c>
      <c r="V177" s="66"/>
      <c r="W177" s="44">
        <f>ROUND(T177,0)+680342</f>
        <v>2254379</v>
      </c>
      <c r="X177" s="44">
        <f t="shared" si="66"/>
        <v>680342</v>
      </c>
      <c r="Y177" s="66" t="s">
        <v>312</v>
      </c>
      <c r="Z177" s="44">
        <f>ROUND(W177,0)</f>
        <v>2254379</v>
      </c>
      <c r="AA177" s="44">
        <f t="shared" si="67"/>
        <v>0</v>
      </c>
      <c r="AB177" s="66"/>
    </row>
    <row r="178" spans="2:28" ht="32.25" customHeight="1" x14ac:dyDescent="0.25">
      <c r="B178" s="92" t="s">
        <v>12</v>
      </c>
      <c r="C178" s="178" t="s">
        <v>477</v>
      </c>
      <c r="D178" s="188" t="s">
        <v>478</v>
      </c>
      <c r="E178" s="44"/>
      <c r="F178" s="44"/>
      <c r="G178" s="44"/>
      <c r="H178" s="44"/>
      <c r="I178" s="44">
        <f>SUM(I179:I181)</f>
        <v>4747802.2470302833</v>
      </c>
      <c r="J178" s="44">
        <f>SUM(J179:J181)</f>
        <v>411283</v>
      </c>
      <c r="K178" s="44">
        <f>SUM(K179:K181)</f>
        <v>244892.73560000001</v>
      </c>
      <c r="L178" s="194">
        <f t="shared" si="89"/>
        <v>5403977.9826302836</v>
      </c>
      <c r="M178" s="196">
        <v>5403977.9826302836</v>
      </c>
      <c r="N178" s="196">
        <f>SUM(N179:N181)</f>
        <v>5418168</v>
      </c>
      <c r="O178" s="44">
        <f t="shared" si="63"/>
        <v>14190.017369716428</v>
      </c>
      <c r="P178" s="185"/>
      <c r="Q178" s="114">
        <f>SUM(Q179:Q181)</f>
        <v>5367776</v>
      </c>
      <c r="R178" s="44">
        <f t="shared" si="64"/>
        <v>-50392</v>
      </c>
      <c r="S178" s="66"/>
      <c r="T178" s="114">
        <f>SUM(T179:T181)</f>
        <v>5373200</v>
      </c>
      <c r="U178" s="44">
        <f t="shared" si="65"/>
        <v>5424</v>
      </c>
      <c r="V178" s="66"/>
      <c r="W178" s="114">
        <f>SUM(W179:W181)</f>
        <v>5380462</v>
      </c>
      <c r="X178" s="44">
        <f t="shared" si="66"/>
        <v>7262</v>
      </c>
      <c r="Y178" s="66"/>
      <c r="Z178" s="114">
        <f>SUM(Z179:Z181)</f>
        <v>5420641</v>
      </c>
      <c r="AA178" s="44">
        <f t="shared" si="67"/>
        <v>40179</v>
      </c>
      <c r="AB178" s="66"/>
    </row>
    <row r="179" spans="2:28" s="207" customFormat="1" ht="164.25" customHeight="1" x14ac:dyDescent="0.25">
      <c r="B179" s="197"/>
      <c r="C179" s="198" t="s">
        <v>479</v>
      </c>
      <c r="D179" s="199" t="s">
        <v>480</v>
      </c>
      <c r="E179" s="200"/>
      <c r="F179" s="200"/>
      <c r="G179" s="200"/>
      <c r="H179" s="200"/>
      <c r="I179" s="201">
        <f>[1]BAZE_2024!G150-K181</f>
        <v>4397802.2470302833</v>
      </c>
      <c r="J179" s="200">
        <f>47801+106152+140756+17500+12000+77074</f>
        <v>401283</v>
      </c>
      <c r="K179" s="200"/>
      <c r="L179" s="202">
        <f t="shared" si="89"/>
        <v>4799085.2470302833</v>
      </c>
      <c r="M179" s="203">
        <v>4799085.2470302833</v>
      </c>
      <c r="N179" s="203">
        <f>ROUND(M179,0)+13000-645+1835</f>
        <v>4813275</v>
      </c>
      <c r="O179" s="200">
        <f t="shared" si="63"/>
        <v>14189.752969716676</v>
      </c>
      <c r="P179" s="204" t="s">
        <v>481</v>
      </c>
      <c r="Q179" s="205">
        <f>ROUND(N179,0)-10919-6705-19453</f>
        <v>4776198</v>
      </c>
      <c r="R179" s="200">
        <f t="shared" si="64"/>
        <v>-37077</v>
      </c>
      <c r="S179" s="206" t="s">
        <v>482</v>
      </c>
      <c r="T179" s="205">
        <f>ROUND(Q179,0)-9076+3500+11000</f>
        <v>4781622</v>
      </c>
      <c r="U179" s="200">
        <f t="shared" si="65"/>
        <v>5424</v>
      </c>
      <c r="V179" s="206" t="s">
        <v>483</v>
      </c>
      <c r="W179" s="205">
        <f>ROUND(T179,0)+276+62+102+28+165+6629</f>
        <v>4788884</v>
      </c>
      <c r="X179" s="200">
        <f t="shared" si="66"/>
        <v>7262</v>
      </c>
      <c r="Y179" s="66" t="s">
        <v>484</v>
      </c>
      <c r="Z179" s="205">
        <f>ROUND(W179,0)-6508-328-4600+10757-2978+19000-6000+40000</f>
        <v>4838227</v>
      </c>
      <c r="AA179" s="200">
        <f t="shared" si="67"/>
        <v>49343</v>
      </c>
      <c r="AB179" s="66" t="s">
        <v>798</v>
      </c>
    </row>
    <row r="180" spans="2:28" s="207" customFormat="1" ht="100.5" customHeight="1" x14ac:dyDescent="0.25">
      <c r="B180" s="197"/>
      <c r="C180" s="198" t="s">
        <v>485</v>
      </c>
      <c r="D180" s="199" t="s">
        <v>486</v>
      </c>
      <c r="E180" s="200"/>
      <c r="F180" s="200"/>
      <c r="G180" s="200"/>
      <c r="H180" s="200"/>
      <c r="I180" s="201">
        <f>[1]BAZE_2024!G161</f>
        <v>350000</v>
      </c>
      <c r="K180" s="200"/>
      <c r="L180" s="202">
        <f t="shared" si="89"/>
        <v>350000</v>
      </c>
      <c r="M180" s="203">
        <v>350000</v>
      </c>
      <c r="N180" s="203">
        <f t="shared" si="90"/>
        <v>350000</v>
      </c>
      <c r="O180" s="200">
        <f t="shared" si="63"/>
        <v>0</v>
      </c>
      <c r="P180" s="204"/>
      <c r="Q180" s="205">
        <f>ROUND(N180,0)-13315</f>
        <v>336685</v>
      </c>
      <c r="R180" s="200">
        <f t="shared" si="64"/>
        <v>-13315</v>
      </c>
      <c r="S180" s="206" t="s">
        <v>391</v>
      </c>
      <c r="T180" s="205">
        <f>ROUND(Q180,0)</f>
        <v>336685</v>
      </c>
      <c r="U180" s="200">
        <f t="shared" si="65"/>
        <v>0</v>
      </c>
      <c r="V180" s="206"/>
      <c r="W180" s="205">
        <f t="shared" ref="W180:W191" si="91">ROUND(T180,0)</f>
        <v>336685</v>
      </c>
      <c r="X180" s="200">
        <f t="shared" si="66"/>
        <v>0</v>
      </c>
      <c r="Y180" s="206"/>
      <c r="Z180" s="205">
        <f>ROUND(W180,0)-7000-3130-18034</f>
        <v>308521</v>
      </c>
      <c r="AA180" s="200">
        <f t="shared" si="67"/>
        <v>-28164</v>
      </c>
      <c r="AB180" s="206" t="s">
        <v>487</v>
      </c>
    </row>
    <row r="181" spans="2:28" s="207" customFormat="1" ht="60.75" customHeight="1" x14ac:dyDescent="0.25">
      <c r="B181" s="197"/>
      <c r="C181" s="198" t="s">
        <v>488</v>
      </c>
      <c r="D181" s="199" t="s">
        <v>489</v>
      </c>
      <c r="E181" s="200"/>
      <c r="F181" s="200"/>
      <c r="G181" s="200"/>
      <c r="H181" s="200"/>
      <c r="I181" s="200"/>
      <c r="J181" s="200">
        <f>10000+77074-77074</f>
        <v>10000</v>
      </c>
      <c r="K181" s="200">
        <f>[1]BAZE_2024!G147</f>
        <v>244892.73560000001</v>
      </c>
      <c r="L181" s="202">
        <f t="shared" si="89"/>
        <v>254892.73560000001</v>
      </c>
      <c r="M181" s="203">
        <v>254892.73560000001</v>
      </c>
      <c r="N181" s="203">
        <f t="shared" si="90"/>
        <v>254893</v>
      </c>
      <c r="O181" s="200">
        <f t="shared" si="63"/>
        <v>0.26439999998547137</v>
      </c>
      <c r="P181" s="204"/>
      <c r="Q181" s="205">
        <f>ROUND(N181,0)</f>
        <v>254893</v>
      </c>
      <c r="R181" s="200">
        <f t="shared" si="64"/>
        <v>0</v>
      </c>
      <c r="S181" s="206"/>
      <c r="T181" s="205">
        <f>ROUND(Q181,0)</f>
        <v>254893</v>
      </c>
      <c r="U181" s="200">
        <f t="shared" si="65"/>
        <v>0</v>
      </c>
      <c r="V181" s="206"/>
      <c r="W181" s="205">
        <f t="shared" si="91"/>
        <v>254893</v>
      </c>
      <c r="X181" s="200">
        <f t="shared" si="66"/>
        <v>0</v>
      </c>
      <c r="Y181" s="206"/>
      <c r="Z181" s="205">
        <f>ROUND(W181,0)+13000+6000</f>
        <v>273893</v>
      </c>
      <c r="AA181" s="200">
        <f t="shared" si="67"/>
        <v>19000</v>
      </c>
      <c r="AB181" s="206" t="s">
        <v>490</v>
      </c>
    </row>
    <row r="182" spans="2:28" ht="26.4" customHeight="1" x14ac:dyDescent="0.25">
      <c r="B182" s="92" t="s">
        <v>12</v>
      </c>
      <c r="C182" s="186" t="s">
        <v>491</v>
      </c>
      <c r="D182" s="188" t="s">
        <v>492</v>
      </c>
      <c r="E182" s="208"/>
      <c r="F182" s="208"/>
      <c r="G182" s="208"/>
      <c r="H182" s="208"/>
      <c r="I182" s="208"/>
      <c r="J182" s="208">
        <f>35000</f>
        <v>35000</v>
      </c>
      <c r="K182" s="208"/>
      <c r="L182" s="44">
        <f t="shared" si="89"/>
        <v>35000</v>
      </c>
      <c r="M182" s="45">
        <v>35000</v>
      </c>
      <c r="N182" s="45">
        <f t="shared" si="90"/>
        <v>35000</v>
      </c>
      <c r="O182" s="44">
        <f t="shared" si="63"/>
        <v>0</v>
      </c>
      <c r="P182" s="185"/>
      <c r="Q182" s="44">
        <f t="shared" ref="Q182:Q191" si="92">ROUND(N182,0)</f>
        <v>35000</v>
      </c>
      <c r="R182" s="44">
        <f t="shared" si="64"/>
        <v>0</v>
      </c>
      <c r="S182" s="66"/>
      <c r="T182" s="44">
        <f t="shared" ref="T182:T189" si="93">ROUND(Q182,0)</f>
        <v>35000</v>
      </c>
      <c r="U182" s="44">
        <f t="shared" si="65"/>
        <v>0</v>
      </c>
      <c r="V182" s="66"/>
      <c r="W182" s="44">
        <f t="shared" si="91"/>
        <v>35000</v>
      </c>
      <c r="X182" s="44">
        <f t="shared" si="66"/>
        <v>0</v>
      </c>
      <c r="Y182" s="66"/>
      <c r="Z182" s="44">
        <f>ROUND(W182,0)</f>
        <v>35000</v>
      </c>
      <c r="AA182" s="44">
        <f t="shared" si="67"/>
        <v>0</v>
      </c>
      <c r="AB182" s="66"/>
    </row>
    <row r="183" spans="2:28" ht="41.4" customHeight="1" x14ac:dyDescent="0.25">
      <c r="B183" s="92" t="s">
        <v>12</v>
      </c>
      <c r="C183" s="186" t="s">
        <v>493</v>
      </c>
      <c r="D183" s="188" t="s">
        <v>494</v>
      </c>
      <c r="E183" s="208"/>
      <c r="F183" s="208"/>
      <c r="G183" s="208"/>
      <c r="H183" s="208"/>
      <c r="I183" s="208"/>
      <c r="J183" s="208">
        <f>210000</f>
        <v>210000</v>
      </c>
      <c r="K183" s="208"/>
      <c r="L183" s="44">
        <f t="shared" si="89"/>
        <v>210000</v>
      </c>
      <c r="M183" s="45">
        <v>210000</v>
      </c>
      <c r="N183" s="45">
        <f t="shared" si="90"/>
        <v>210000</v>
      </c>
      <c r="O183" s="44">
        <f t="shared" si="63"/>
        <v>0</v>
      </c>
      <c r="P183" s="185"/>
      <c r="Q183" s="44">
        <f>ROUND(N183,0)+90000</f>
        <v>300000</v>
      </c>
      <c r="R183" s="44">
        <f t="shared" si="64"/>
        <v>90000</v>
      </c>
      <c r="S183" s="66" t="s">
        <v>495</v>
      </c>
      <c r="T183" s="44">
        <f t="shared" si="93"/>
        <v>300000</v>
      </c>
      <c r="U183" s="44">
        <f t="shared" si="65"/>
        <v>0</v>
      </c>
      <c r="V183" s="66"/>
      <c r="W183" s="44">
        <f t="shared" si="91"/>
        <v>300000</v>
      </c>
      <c r="X183" s="44">
        <f t="shared" si="66"/>
        <v>0</v>
      </c>
      <c r="Y183" s="66"/>
      <c r="Z183" s="44">
        <f t="shared" ref="Z183:Z189" si="94">ROUND(W183,0)</f>
        <v>300000</v>
      </c>
      <c r="AA183" s="44">
        <f t="shared" si="67"/>
        <v>0</v>
      </c>
      <c r="AB183" s="66"/>
    </row>
    <row r="184" spans="2:28" ht="18" customHeight="1" x14ac:dyDescent="0.25">
      <c r="B184" s="92" t="s">
        <v>12</v>
      </c>
      <c r="C184" s="186" t="s">
        <v>496</v>
      </c>
      <c r="D184" s="188" t="s">
        <v>497</v>
      </c>
      <c r="E184" s="208"/>
      <c r="F184" s="208"/>
      <c r="G184" s="208"/>
      <c r="H184" s="208"/>
      <c r="I184" s="208"/>
      <c r="J184" s="208"/>
      <c r="K184" s="208"/>
      <c r="L184" s="44"/>
      <c r="M184" s="45"/>
      <c r="N184" s="45"/>
      <c r="O184" s="44"/>
      <c r="P184" s="185"/>
      <c r="Q184" s="44">
        <v>263703</v>
      </c>
      <c r="R184" s="44">
        <f t="shared" si="64"/>
        <v>263703</v>
      </c>
      <c r="S184" s="66"/>
      <c r="T184" s="44">
        <f>ROUND(Q184,0)</f>
        <v>263703</v>
      </c>
      <c r="U184" s="44">
        <f>T184-Q184</f>
        <v>0</v>
      </c>
      <c r="V184" s="66"/>
      <c r="W184" s="44">
        <f t="shared" si="91"/>
        <v>263703</v>
      </c>
      <c r="X184" s="44">
        <f>W184-T184</f>
        <v>0</v>
      </c>
      <c r="Y184" s="66"/>
      <c r="Z184" s="44">
        <f t="shared" si="94"/>
        <v>263703</v>
      </c>
      <c r="AA184" s="44">
        <f t="shared" si="67"/>
        <v>0</v>
      </c>
      <c r="AB184" s="66"/>
    </row>
    <row r="185" spans="2:28" ht="18.600000000000001" customHeight="1" x14ac:dyDescent="0.25">
      <c r="B185" s="92" t="s">
        <v>12</v>
      </c>
      <c r="C185" s="186" t="s">
        <v>498</v>
      </c>
      <c r="D185" s="188" t="s">
        <v>499</v>
      </c>
      <c r="E185" s="208"/>
      <c r="F185" s="208"/>
      <c r="G185" s="208"/>
      <c r="H185" s="208"/>
      <c r="I185" s="208"/>
      <c r="J185" s="208">
        <f>17500</f>
        <v>17500</v>
      </c>
      <c r="K185" s="208"/>
      <c r="L185" s="194">
        <f t="shared" si="89"/>
        <v>17500</v>
      </c>
      <c r="M185" s="45">
        <v>17500</v>
      </c>
      <c r="N185" s="45">
        <f t="shared" si="90"/>
        <v>17500</v>
      </c>
      <c r="O185" s="44">
        <f t="shared" si="63"/>
        <v>0</v>
      </c>
      <c r="P185" s="185"/>
      <c r="Q185" s="44">
        <f t="shared" si="92"/>
        <v>17500</v>
      </c>
      <c r="R185" s="44">
        <f t="shared" si="64"/>
        <v>0</v>
      </c>
      <c r="S185" s="66"/>
      <c r="T185" s="44">
        <f>ROUND(Q185,0)</f>
        <v>17500</v>
      </c>
      <c r="U185" s="44">
        <f t="shared" si="65"/>
        <v>0</v>
      </c>
      <c r="V185" s="66"/>
      <c r="W185" s="44">
        <f t="shared" si="91"/>
        <v>17500</v>
      </c>
      <c r="X185" s="44">
        <f t="shared" si="66"/>
        <v>0</v>
      </c>
      <c r="Y185" s="66"/>
      <c r="Z185" s="44">
        <f t="shared" si="94"/>
        <v>17500</v>
      </c>
      <c r="AA185" s="44">
        <f t="shared" si="67"/>
        <v>0</v>
      </c>
      <c r="AB185" s="66"/>
    </row>
    <row r="186" spans="2:28" ht="43.5" customHeight="1" x14ac:dyDescent="0.25">
      <c r="B186" s="92" t="s">
        <v>12</v>
      </c>
      <c r="C186" s="186" t="s">
        <v>500</v>
      </c>
      <c r="D186" s="188" t="s">
        <v>349</v>
      </c>
      <c r="E186" s="208"/>
      <c r="F186" s="208"/>
      <c r="G186" s="208"/>
      <c r="H186" s="208"/>
      <c r="I186" s="208"/>
      <c r="J186" s="208">
        <v>255000</v>
      </c>
      <c r="K186" s="208"/>
      <c r="L186" s="194">
        <f t="shared" si="89"/>
        <v>255000</v>
      </c>
      <c r="M186" s="45">
        <v>255000</v>
      </c>
      <c r="N186" s="45">
        <f t="shared" si="90"/>
        <v>255000</v>
      </c>
      <c r="O186" s="44">
        <f t="shared" si="63"/>
        <v>0</v>
      </c>
      <c r="P186" s="185"/>
      <c r="Q186" s="44">
        <f t="shared" si="92"/>
        <v>255000</v>
      </c>
      <c r="R186" s="44">
        <f t="shared" si="64"/>
        <v>0</v>
      </c>
      <c r="S186" s="66"/>
      <c r="T186" s="44">
        <f t="shared" si="93"/>
        <v>255000</v>
      </c>
      <c r="U186" s="44">
        <f t="shared" si="65"/>
        <v>0</v>
      </c>
      <c r="V186" s="66"/>
      <c r="W186" s="44">
        <f t="shared" si="91"/>
        <v>255000</v>
      </c>
      <c r="X186" s="44">
        <f t="shared" si="66"/>
        <v>0</v>
      </c>
      <c r="Y186" s="66"/>
      <c r="Z186" s="44">
        <f>ROUND(W186,0)-15000</f>
        <v>240000</v>
      </c>
      <c r="AA186" s="44">
        <f t="shared" si="67"/>
        <v>-15000</v>
      </c>
      <c r="AB186" s="66" t="s">
        <v>501</v>
      </c>
    </row>
    <row r="187" spans="2:28" ht="62.25" customHeight="1" x14ac:dyDescent="0.25">
      <c r="B187" s="92" t="s">
        <v>12</v>
      </c>
      <c r="C187" s="186" t="s">
        <v>502</v>
      </c>
      <c r="D187" s="188" t="s">
        <v>503</v>
      </c>
      <c r="E187" s="208"/>
      <c r="F187" s="208"/>
      <c r="G187" s="208"/>
      <c r="H187" s="208"/>
      <c r="I187" s="208"/>
      <c r="J187" s="208">
        <f>39800</f>
        <v>39800</v>
      </c>
      <c r="K187" s="208"/>
      <c r="L187" s="194">
        <f t="shared" si="89"/>
        <v>39800</v>
      </c>
      <c r="M187" s="45">
        <v>39800</v>
      </c>
      <c r="N187" s="45">
        <f t="shared" si="90"/>
        <v>39800</v>
      </c>
      <c r="O187" s="44">
        <f t="shared" si="63"/>
        <v>0</v>
      </c>
      <c r="P187" s="185"/>
      <c r="Q187" s="44">
        <f t="shared" si="92"/>
        <v>39800</v>
      </c>
      <c r="R187" s="44">
        <f t="shared" si="64"/>
        <v>0</v>
      </c>
      <c r="S187" s="66"/>
      <c r="T187" s="44">
        <f t="shared" si="93"/>
        <v>39800</v>
      </c>
      <c r="U187" s="44">
        <f t="shared" si="65"/>
        <v>0</v>
      </c>
      <c r="V187" s="66"/>
      <c r="W187" s="44">
        <f t="shared" si="91"/>
        <v>39800</v>
      </c>
      <c r="X187" s="44">
        <f t="shared" si="66"/>
        <v>0</v>
      </c>
      <c r="Y187" s="66"/>
      <c r="Z187" s="44">
        <f>ROUND(W187,0)-10022-10757-19000</f>
        <v>21</v>
      </c>
      <c r="AA187" s="44">
        <f t="shared" si="67"/>
        <v>-39779</v>
      </c>
      <c r="AB187" s="66" t="s">
        <v>504</v>
      </c>
    </row>
    <row r="188" spans="2:28" ht="29.4" customHeight="1" x14ac:dyDescent="0.25">
      <c r="B188" s="92" t="s">
        <v>12</v>
      </c>
      <c r="C188" s="186" t="s">
        <v>502</v>
      </c>
      <c r="D188" s="188" t="s">
        <v>505</v>
      </c>
      <c r="E188" s="208"/>
      <c r="F188" s="208"/>
      <c r="G188" s="208"/>
      <c r="H188" s="208"/>
      <c r="I188" s="208"/>
      <c r="J188" s="208">
        <f>30000</f>
        <v>30000</v>
      </c>
      <c r="K188" s="208"/>
      <c r="L188" s="194">
        <f>E188+F188+G188+H188+I188+J188+K188</f>
        <v>30000</v>
      </c>
      <c r="M188" s="45">
        <v>30000</v>
      </c>
      <c r="N188" s="45">
        <f>ROUND(M188,0)</f>
        <v>30000</v>
      </c>
      <c r="O188" s="44">
        <f>N188-M188</f>
        <v>0</v>
      </c>
      <c r="P188" s="185"/>
      <c r="Q188" s="44">
        <f>ROUND(N188,0)</f>
        <v>30000</v>
      </c>
      <c r="R188" s="44">
        <f>Q188-N188</f>
        <v>0</v>
      </c>
      <c r="S188" s="66"/>
      <c r="T188" s="44">
        <f>ROUND(Q188,0)</f>
        <v>30000</v>
      </c>
      <c r="U188" s="44">
        <f>T188-Q188</f>
        <v>0</v>
      </c>
      <c r="V188" s="66"/>
      <c r="W188" s="44">
        <f t="shared" si="91"/>
        <v>30000</v>
      </c>
      <c r="X188" s="44">
        <f>W188-T188</f>
        <v>0</v>
      </c>
      <c r="Y188" s="66"/>
      <c r="Z188" s="44">
        <f t="shared" si="94"/>
        <v>30000</v>
      </c>
      <c r="AA188" s="44">
        <f>Z188-W188</f>
        <v>0</v>
      </c>
      <c r="AB188" s="66"/>
    </row>
    <row r="189" spans="2:28" ht="18.600000000000001" customHeight="1" x14ac:dyDescent="0.25">
      <c r="B189" s="92" t="s">
        <v>252</v>
      </c>
      <c r="C189" s="186" t="s">
        <v>506</v>
      </c>
      <c r="D189" s="188" t="s">
        <v>254</v>
      </c>
      <c r="E189" s="208"/>
      <c r="F189" s="208"/>
      <c r="G189" s="208">
        <f>G86</f>
        <v>382739</v>
      </c>
      <c r="H189" s="208">
        <f>H120</f>
        <v>164032</v>
      </c>
      <c r="I189" s="208"/>
      <c r="J189" s="208">
        <f>546771-SUM(E189:I189)</f>
        <v>0</v>
      </c>
      <c r="K189" s="208"/>
      <c r="L189" s="44">
        <f t="shared" si="89"/>
        <v>546771</v>
      </c>
      <c r="M189" s="45">
        <v>546771</v>
      </c>
      <c r="N189" s="45">
        <f>ROUND(M189,0)</f>
        <v>546771</v>
      </c>
      <c r="O189" s="44">
        <f>N189-M189</f>
        <v>0</v>
      </c>
      <c r="P189" s="185"/>
      <c r="Q189" s="44">
        <f t="shared" si="92"/>
        <v>546771</v>
      </c>
      <c r="R189" s="44">
        <f t="shared" si="64"/>
        <v>0</v>
      </c>
      <c r="S189" s="66"/>
      <c r="T189" s="44">
        <f t="shared" si="93"/>
        <v>546771</v>
      </c>
      <c r="U189" s="44">
        <f t="shared" si="65"/>
        <v>0</v>
      </c>
      <c r="V189" s="66"/>
      <c r="W189" s="44">
        <f t="shared" si="91"/>
        <v>546771</v>
      </c>
      <c r="X189" s="44">
        <f t="shared" si="66"/>
        <v>0</v>
      </c>
      <c r="Y189" s="66"/>
      <c r="Z189" s="44">
        <f t="shared" si="94"/>
        <v>546771</v>
      </c>
      <c r="AA189" s="44">
        <f t="shared" ref="AA189:AA259" si="95">Z189-W189</f>
        <v>0</v>
      </c>
      <c r="AB189" s="66"/>
    </row>
    <row r="190" spans="2:28" ht="105.75" customHeight="1" x14ac:dyDescent="0.25">
      <c r="B190" s="92"/>
      <c r="C190" s="186" t="s">
        <v>507</v>
      </c>
      <c r="D190" s="188" t="s">
        <v>508</v>
      </c>
      <c r="E190" s="208"/>
      <c r="F190" s="208"/>
      <c r="G190" s="208"/>
      <c r="H190" s="208"/>
      <c r="I190" s="208"/>
      <c r="J190" s="208"/>
      <c r="K190" s="208"/>
      <c r="L190" s="194">
        <f t="shared" si="89"/>
        <v>0</v>
      </c>
      <c r="M190" s="45">
        <v>0</v>
      </c>
      <c r="N190" s="45">
        <f>ROUND(M190,0)</f>
        <v>0</v>
      </c>
      <c r="O190" s="44">
        <f>N190-M190</f>
        <v>0</v>
      </c>
      <c r="P190" s="66"/>
      <c r="Q190" s="44">
        <f t="shared" si="92"/>
        <v>0</v>
      </c>
      <c r="R190" s="44">
        <f t="shared" si="64"/>
        <v>0</v>
      </c>
      <c r="S190" s="66"/>
      <c r="T190" s="44">
        <f>ROUND(Q190,0)+55000</f>
        <v>55000</v>
      </c>
      <c r="U190" s="44">
        <f t="shared" si="65"/>
        <v>55000</v>
      </c>
      <c r="V190" s="66" t="s">
        <v>509</v>
      </c>
      <c r="W190" s="44">
        <f t="shared" si="91"/>
        <v>55000</v>
      </c>
      <c r="X190" s="44">
        <f t="shared" si="66"/>
        <v>0</v>
      </c>
      <c r="Y190" s="66"/>
      <c r="Z190" s="44">
        <f>ROUND(W190,0)+6508+15000+328+7000+3130+18034</f>
        <v>105000</v>
      </c>
      <c r="AA190" s="44">
        <f t="shared" si="95"/>
        <v>50000</v>
      </c>
      <c r="AB190" s="66" t="s">
        <v>510</v>
      </c>
    </row>
    <row r="191" spans="2:28" ht="45.75" customHeight="1" x14ac:dyDescent="0.25">
      <c r="B191" s="92" t="s">
        <v>511</v>
      </c>
      <c r="C191" s="186" t="s">
        <v>512</v>
      </c>
      <c r="D191" s="188" t="s">
        <v>513</v>
      </c>
      <c r="E191" s="208"/>
      <c r="F191" s="44"/>
      <c r="G191" s="44"/>
      <c r="H191" s="44"/>
      <c r="I191" s="44"/>
      <c r="J191" s="57"/>
      <c r="K191" s="44"/>
      <c r="L191" s="57">
        <f t="shared" si="89"/>
        <v>0</v>
      </c>
      <c r="M191" s="45">
        <v>0</v>
      </c>
      <c r="N191" s="45">
        <f>ROUND(M191,0)</f>
        <v>0</v>
      </c>
      <c r="O191" s="44">
        <f>N191-M191</f>
        <v>0</v>
      </c>
      <c r="P191" s="70"/>
      <c r="Q191" s="44">
        <f t="shared" si="92"/>
        <v>0</v>
      </c>
      <c r="R191" s="44">
        <f t="shared" si="64"/>
        <v>0</v>
      </c>
      <c r="S191" s="71"/>
      <c r="T191" s="44">
        <f>ROUND(Q191,0)+21000</f>
        <v>21000</v>
      </c>
      <c r="U191" s="44">
        <f t="shared" si="65"/>
        <v>21000</v>
      </c>
      <c r="V191" s="66" t="s">
        <v>509</v>
      </c>
      <c r="W191" s="44">
        <f t="shared" si="91"/>
        <v>21000</v>
      </c>
      <c r="X191" s="44">
        <f t="shared" si="66"/>
        <v>0</v>
      </c>
      <c r="Y191" s="71"/>
      <c r="Z191" s="44">
        <f>ROUND(W191,0)+31000+10022</f>
        <v>62022</v>
      </c>
      <c r="AA191" s="44">
        <f t="shared" si="95"/>
        <v>41022</v>
      </c>
      <c r="AB191" s="71" t="s">
        <v>514</v>
      </c>
    </row>
    <row r="192" spans="2:28" x14ac:dyDescent="0.25">
      <c r="C192" s="175" t="s">
        <v>107</v>
      </c>
      <c r="D192" s="176" t="s">
        <v>515</v>
      </c>
      <c r="E192" s="50">
        <f>SUM(E193,E198:E202)+E205+E206</f>
        <v>185742</v>
      </c>
      <c r="F192" s="50">
        <f t="shared" ref="F192:N192" si="96">SUM(F193,F198:F202)+F205+F206</f>
        <v>13088</v>
      </c>
      <c r="G192" s="50">
        <f t="shared" si="96"/>
        <v>0</v>
      </c>
      <c r="H192" s="50">
        <f t="shared" si="96"/>
        <v>0</v>
      </c>
      <c r="I192" s="50">
        <f t="shared" si="96"/>
        <v>0</v>
      </c>
      <c r="J192" s="50">
        <f t="shared" si="96"/>
        <v>568865</v>
      </c>
      <c r="K192" s="50">
        <f t="shared" si="96"/>
        <v>1751486.8453729004</v>
      </c>
      <c r="L192" s="50">
        <f t="shared" si="96"/>
        <v>2519181.8453729004</v>
      </c>
      <c r="M192" s="50">
        <v>2519181.6714729005</v>
      </c>
      <c r="N192" s="51">
        <f t="shared" si="96"/>
        <v>2529195</v>
      </c>
      <c r="O192" s="50">
        <f>SUM(O193,O198:O206)</f>
        <v>10013.342056599839</v>
      </c>
      <c r="P192" s="54"/>
      <c r="Q192" s="50">
        <f>SUM(Q193,Q198:Q202)+Q205+Q206</f>
        <v>2529195</v>
      </c>
      <c r="R192" s="50">
        <f t="shared" si="64"/>
        <v>0</v>
      </c>
      <c r="S192" s="50"/>
      <c r="T192" s="50">
        <f>SUM(T193,T198:T202)+T205+T206</f>
        <v>2527695</v>
      </c>
      <c r="U192" s="50">
        <f t="shared" si="65"/>
        <v>-1500</v>
      </c>
      <c r="V192" s="50"/>
      <c r="W192" s="50">
        <f>SUM(W193,W198:W202)+W205+W206</f>
        <v>2554562</v>
      </c>
      <c r="X192" s="50">
        <f t="shared" si="66"/>
        <v>26867</v>
      </c>
      <c r="Y192" s="50"/>
      <c r="Z192" s="50">
        <f>SUM(Z193,Z198:Z202)+Z205+Z206</f>
        <v>2554562</v>
      </c>
      <c r="AA192" s="50">
        <f t="shared" si="95"/>
        <v>0</v>
      </c>
      <c r="AB192" s="50"/>
    </row>
    <row r="193" spans="2:28" ht="23.25" customHeight="1" x14ac:dyDescent="0.25">
      <c r="C193" s="170" t="s">
        <v>110</v>
      </c>
      <c r="D193" s="171" t="s">
        <v>516</v>
      </c>
      <c r="E193" s="75">
        <f>SUM(E194:E197)</f>
        <v>0</v>
      </c>
      <c r="F193" s="75">
        <f t="shared" ref="F193:L193" si="97">SUM(F194:F197)</f>
        <v>13088</v>
      </c>
      <c r="G193" s="75">
        <f t="shared" si="97"/>
        <v>0</v>
      </c>
      <c r="H193" s="75">
        <f t="shared" si="97"/>
        <v>0</v>
      </c>
      <c r="I193" s="75">
        <f t="shared" si="97"/>
        <v>0</v>
      </c>
      <c r="J193" s="75">
        <f t="shared" si="97"/>
        <v>389850</v>
      </c>
      <c r="K193" s="75">
        <f>SUM(K194:K197)</f>
        <v>923419.79004240013</v>
      </c>
      <c r="L193" s="75">
        <f t="shared" si="97"/>
        <v>1326357.7900424001</v>
      </c>
      <c r="M193" s="101">
        <v>1326357.7900424001</v>
      </c>
      <c r="N193" s="101">
        <f>SUM(N194:N197)</f>
        <v>1326358</v>
      </c>
      <c r="O193" s="101">
        <f>SUM(O194:O197)</f>
        <v>0.20995759987272322</v>
      </c>
      <c r="P193" s="101">
        <f>SUM(P194:P197)</f>
        <v>0</v>
      </c>
      <c r="Q193" s="101">
        <f>SUM(Q194:Q197)</f>
        <v>1326358</v>
      </c>
      <c r="R193" s="75">
        <f t="shared" si="64"/>
        <v>0</v>
      </c>
      <c r="S193" s="75"/>
      <c r="T193" s="101">
        <f>SUM(T194:T197)</f>
        <v>1334858</v>
      </c>
      <c r="U193" s="75">
        <f t="shared" si="65"/>
        <v>8500</v>
      </c>
      <c r="V193" s="75"/>
      <c r="W193" s="75">
        <f>SUM(W194:W197)</f>
        <v>1355693</v>
      </c>
      <c r="X193" s="75">
        <f t="shared" si="66"/>
        <v>20835</v>
      </c>
      <c r="Y193" s="75"/>
      <c r="Z193" s="75">
        <f>SUM(Z194:Z197)</f>
        <v>1355693</v>
      </c>
      <c r="AA193" s="75">
        <f t="shared" si="95"/>
        <v>0</v>
      </c>
      <c r="AB193" s="75"/>
    </row>
    <row r="194" spans="2:28" ht="15.75" customHeight="1" x14ac:dyDescent="0.25">
      <c r="B194" s="92" t="s">
        <v>517</v>
      </c>
      <c r="C194" s="178" t="s">
        <v>518</v>
      </c>
      <c r="D194" s="179" t="s">
        <v>519</v>
      </c>
      <c r="E194" s="44"/>
      <c r="F194" s="44">
        <v>8329</v>
      </c>
      <c r="G194" s="44"/>
      <c r="H194" s="44"/>
      <c r="I194" s="44"/>
      <c r="J194" s="44">
        <f>164500+21200</f>
        <v>185700</v>
      </c>
      <c r="K194" s="44">
        <f>[1]BAZE_2024!G173</f>
        <v>444020.85509206675</v>
      </c>
      <c r="L194" s="44">
        <f t="shared" ref="L194:L206" si="98">E194+F194+G194+H194+I194+J194+K194</f>
        <v>638049.85509206681</v>
      </c>
      <c r="M194" s="45">
        <v>638049.85509206681</v>
      </c>
      <c r="N194" s="45">
        <f>ROUND(M194,0)</f>
        <v>638050</v>
      </c>
      <c r="O194" s="44">
        <f t="shared" ref="O194:O257" si="99">N194-M194</f>
        <v>0.14490793319419026</v>
      </c>
      <c r="P194" s="185"/>
      <c r="Q194" s="44">
        <f t="shared" ref="Q194:Q201" si="100">ROUND(N194,0)</f>
        <v>638050</v>
      </c>
      <c r="R194" s="44">
        <f t="shared" si="64"/>
        <v>0</v>
      </c>
      <c r="S194" s="209"/>
      <c r="T194" s="44">
        <f>ROUND(Q194,0)</f>
        <v>638050</v>
      </c>
      <c r="U194" s="44">
        <f t="shared" si="65"/>
        <v>0</v>
      </c>
      <c r="V194" s="209"/>
      <c r="W194" s="44">
        <f>ROUND(T194,0)+21000</f>
        <v>659050</v>
      </c>
      <c r="X194" s="44">
        <f t="shared" si="66"/>
        <v>21000</v>
      </c>
      <c r="Y194" s="209" t="s">
        <v>96</v>
      </c>
      <c r="Z194" s="44">
        <f t="shared" ref="Z194:Z201" si="101">ROUND(W194,0)</f>
        <v>659050</v>
      </c>
      <c r="AA194" s="44">
        <f t="shared" si="95"/>
        <v>0</v>
      </c>
      <c r="AB194" s="209"/>
    </row>
    <row r="195" spans="2:28" ht="12" customHeight="1" x14ac:dyDescent="0.25">
      <c r="B195" s="92" t="s">
        <v>520</v>
      </c>
      <c r="C195" s="178" t="s">
        <v>521</v>
      </c>
      <c r="D195" s="179" t="s">
        <v>522</v>
      </c>
      <c r="E195" s="44"/>
      <c r="F195" s="44">
        <v>4759</v>
      </c>
      <c r="G195" s="44"/>
      <c r="H195" s="44"/>
      <c r="I195" s="44"/>
      <c r="J195" s="44">
        <f>176650+21500</f>
        <v>198150</v>
      </c>
      <c r="K195" s="44">
        <f>[1]BAZE_2024!G181</f>
        <v>282270.86028633331</v>
      </c>
      <c r="L195" s="44">
        <f t="shared" si="98"/>
        <v>485179.86028633331</v>
      </c>
      <c r="M195" s="45">
        <v>485179.86028633331</v>
      </c>
      <c r="N195" s="45">
        <f>ROUND(M195,0)</f>
        <v>485180</v>
      </c>
      <c r="O195" s="44">
        <f t="shared" si="99"/>
        <v>0.1397136666928418</v>
      </c>
      <c r="P195" s="185"/>
      <c r="Q195" s="44">
        <f t="shared" si="100"/>
        <v>485180</v>
      </c>
      <c r="R195" s="44">
        <f t="shared" si="64"/>
        <v>0</v>
      </c>
      <c r="S195" s="66"/>
      <c r="T195" s="44">
        <f>ROUND(Q195,0)+8500</f>
        <v>493680</v>
      </c>
      <c r="U195" s="44">
        <f t="shared" si="65"/>
        <v>8500</v>
      </c>
      <c r="V195" s="209" t="s">
        <v>523</v>
      </c>
      <c r="W195" s="44">
        <f>ROUND(T195,0)-165</f>
        <v>493515</v>
      </c>
      <c r="X195" s="44">
        <f t="shared" si="66"/>
        <v>-165</v>
      </c>
      <c r="Y195" s="66" t="s">
        <v>524</v>
      </c>
      <c r="Z195" s="44">
        <f t="shared" si="101"/>
        <v>493515</v>
      </c>
      <c r="AA195" s="44">
        <f t="shared" si="95"/>
        <v>0</v>
      </c>
      <c r="AB195" s="66"/>
    </row>
    <row r="196" spans="2:28" ht="13.2" customHeight="1" x14ac:dyDescent="0.25">
      <c r="B196" s="92" t="s">
        <v>525</v>
      </c>
      <c r="C196" s="178" t="s">
        <v>526</v>
      </c>
      <c r="D196" s="179" t="s">
        <v>527</v>
      </c>
      <c r="E196" s="44"/>
      <c r="F196" s="44"/>
      <c r="G196" s="44"/>
      <c r="H196" s="44"/>
      <c r="I196" s="44"/>
      <c r="J196" s="44">
        <f>3000</f>
        <v>3000</v>
      </c>
      <c r="K196" s="44">
        <f>[1]BAZE_2024!G208</f>
        <v>169588.07466400001</v>
      </c>
      <c r="L196" s="44">
        <f t="shared" si="98"/>
        <v>172588.07466400001</v>
      </c>
      <c r="M196" s="45">
        <v>172588.07466400001</v>
      </c>
      <c r="N196" s="45">
        <f>ROUND(M196,0)</f>
        <v>172588</v>
      </c>
      <c r="O196" s="44">
        <f t="shared" si="99"/>
        <v>-7.466400001430884E-2</v>
      </c>
      <c r="P196" s="70"/>
      <c r="Q196" s="44">
        <f t="shared" si="100"/>
        <v>172588</v>
      </c>
      <c r="R196" s="44">
        <f t="shared" si="64"/>
        <v>0</v>
      </c>
      <c r="S196" s="71"/>
      <c r="T196" s="44">
        <f t="shared" ref="T196:T206" si="102">ROUND(Q196,0)</f>
        <v>172588</v>
      </c>
      <c r="U196" s="44">
        <f t="shared" si="65"/>
        <v>0</v>
      </c>
      <c r="V196" s="71"/>
      <c r="W196" s="44">
        <f t="shared" ref="W196:W206" si="103">ROUND(T196,0)</f>
        <v>172588</v>
      </c>
      <c r="X196" s="44">
        <f t="shared" si="66"/>
        <v>0</v>
      </c>
      <c r="Y196" s="71"/>
      <c r="Z196" s="44">
        <f t="shared" si="101"/>
        <v>172588</v>
      </c>
      <c r="AA196" s="44">
        <f t="shared" si="95"/>
        <v>0</v>
      </c>
      <c r="AB196" s="71"/>
    </row>
    <row r="197" spans="2:28" ht="16.95" customHeight="1" x14ac:dyDescent="0.25">
      <c r="B197" s="92" t="s">
        <v>528</v>
      </c>
      <c r="C197" s="178" t="s">
        <v>529</v>
      </c>
      <c r="D197" s="179" t="s">
        <v>530</v>
      </c>
      <c r="E197" s="44"/>
      <c r="F197" s="44"/>
      <c r="G197" s="44"/>
      <c r="H197" s="44"/>
      <c r="I197" s="44"/>
      <c r="J197" s="44">
        <f>500+2500</f>
        <v>3000</v>
      </c>
      <c r="K197" s="44">
        <f>[1]BAZE_2024!G214</f>
        <v>27540</v>
      </c>
      <c r="L197" s="44">
        <f>E197+F197+G197+H197+I197+J197+K197</f>
        <v>30540</v>
      </c>
      <c r="M197" s="94">
        <v>30540</v>
      </c>
      <c r="N197" s="94">
        <f>ROUND(M197,0)</f>
        <v>30540</v>
      </c>
      <c r="O197" s="44">
        <f>N197-M197</f>
        <v>0</v>
      </c>
      <c r="P197" s="210"/>
      <c r="Q197" s="44">
        <f t="shared" si="100"/>
        <v>30540</v>
      </c>
      <c r="R197" s="44">
        <f t="shared" si="64"/>
        <v>0</v>
      </c>
      <c r="S197" s="71"/>
      <c r="T197" s="44">
        <f t="shared" si="102"/>
        <v>30540</v>
      </c>
      <c r="U197" s="44">
        <f t="shared" si="65"/>
        <v>0</v>
      </c>
      <c r="V197" s="211"/>
      <c r="W197" s="44">
        <f t="shared" si="103"/>
        <v>30540</v>
      </c>
      <c r="X197" s="44">
        <f t="shared" si="66"/>
        <v>0</v>
      </c>
      <c r="Y197" s="211"/>
      <c r="Z197" s="44">
        <f t="shared" si="101"/>
        <v>30540</v>
      </c>
      <c r="AA197" s="44">
        <f t="shared" si="95"/>
        <v>0</v>
      </c>
      <c r="AB197" s="211"/>
    </row>
    <row r="198" spans="2:28" ht="29.4" customHeight="1" x14ac:dyDescent="0.25">
      <c r="B198" s="92" t="s">
        <v>531</v>
      </c>
      <c r="C198" s="212" t="s">
        <v>532</v>
      </c>
      <c r="D198" s="171" t="s">
        <v>533</v>
      </c>
      <c r="E198" s="75">
        <f>E81</f>
        <v>185742</v>
      </c>
      <c r="F198" s="75"/>
      <c r="G198" s="75">
        <f>G81</f>
        <v>0</v>
      </c>
      <c r="H198" s="75"/>
      <c r="I198" s="75"/>
      <c r="J198" s="75"/>
      <c r="K198" s="75"/>
      <c r="L198" s="75">
        <f t="shared" si="98"/>
        <v>185742</v>
      </c>
      <c r="M198" s="101">
        <v>185742</v>
      </c>
      <c r="N198" s="101">
        <f>ROUND(M198,0)+10013</f>
        <v>195755</v>
      </c>
      <c r="O198" s="75">
        <f t="shared" si="99"/>
        <v>10013</v>
      </c>
      <c r="P198" s="213" t="s">
        <v>534</v>
      </c>
      <c r="Q198" s="75">
        <f t="shared" si="100"/>
        <v>195755</v>
      </c>
      <c r="R198" s="75">
        <f t="shared" si="64"/>
        <v>0</v>
      </c>
      <c r="S198" s="214"/>
      <c r="T198" s="75">
        <f t="shared" si="102"/>
        <v>195755</v>
      </c>
      <c r="U198" s="75">
        <f t="shared" si="65"/>
        <v>0</v>
      </c>
      <c r="V198" s="214"/>
      <c r="W198" s="75">
        <f t="shared" si="103"/>
        <v>195755</v>
      </c>
      <c r="X198" s="75">
        <f t="shared" si="66"/>
        <v>0</v>
      </c>
      <c r="Y198" s="214"/>
      <c r="Z198" s="75">
        <f t="shared" si="101"/>
        <v>195755</v>
      </c>
      <c r="AA198" s="75">
        <f t="shared" si="95"/>
        <v>0</v>
      </c>
      <c r="AB198" s="214"/>
    </row>
    <row r="199" spans="2:28" ht="27" customHeight="1" x14ac:dyDescent="0.25">
      <c r="B199" s="92" t="s">
        <v>535</v>
      </c>
      <c r="C199" s="212" t="s">
        <v>536</v>
      </c>
      <c r="D199" s="171" t="s">
        <v>537</v>
      </c>
      <c r="E199" s="75">
        <v>0</v>
      </c>
      <c r="F199" s="75"/>
      <c r="G199" s="75"/>
      <c r="H199" s="75"/>
      <c r="I199" s="75"/>
      <c r="J199" s="75"/>
      <c r="K199" s="75"/>
      <c r="L199" s="75">
        <f t="shared" si="98"/>
        <v>0</v>
      </c>
      <c r="M199" s="101">
        <v>0</v>
      </c>
      <c r="N199" s="101">
        <f t="shared" ref="N199:N206" si="104">ROUND(M199,0)</f>
        <v>0</v>
      </c>
      <c r="O199" s="75">
        <f t="shared" si="99"/>
        <v>0</v>
      </c>
      <c r="P199" s="102"/>
      <c r="Q199" s="75">
        <f t="shared" si="100"/>
        <v>0</v>
      </c>
      <c r="R199" s="75">
        <f t="shared" si="64"/>
        <v>0</v>
      </c>
      <c r="S199" s="103"/>
      <c r="T199" s="75">
        <f t="shared" si="102"/>
        <v>0</v>
      </c>
      <c r="U199" s="75">
        <f t="shared" si="65"/>
        <v>0</v>
      </c>
      <c r="V199" s="103"/>
      <c r="W199" s="75">
        <f t="shared" si="103"/>
        <v>0</v>
      </c>
      <c r="X199" s="75">
        <f t="shared" si="66"/>
        <v>0</v>
      </c>
      <c r="Y199" s="103"/>
      <c r="Z199" s="75">
        <f t="shared" si="101"/>
        <v>0</v>
      </c>
      <c r="AA199" s="75">
        <f t="shared" si="95"/>
        <v>0</v>
      </c>
      <c r="AB199" s="103"/>
    </row>
    <row r="200" spans="2:28" ht="15" customHeight="1" x14ac:dyDescent="0.25">
      <c r="B200" s="92" t="s">
        <v>538</v>
      </c>
      <c r="C200" s="170" t="s">
        <v>539</v>
      </c>
      <c r="D200" s="171" t="s">
        <v>540</v>
      </c>
      <c r="E200" s="75"/>
      <c r="F200" s="75"/>
      <c r="G200" s="75"/>
      <c r="H200" s="75"/>
      <c r="I200" s="75"/>
      <c r="J200" s="75"/>
      <c r="K200" s="75">
        <f>[1]BAZE_2024!G188</f>
        <v>153395.37309000001</v>
      </c>
      <c r="L200" s="75">
        <f t="shared" si="98"/>
        <v>153395.37309000001</v>
      </c>
      <c r="M200" s="101">
        <v>153395.37309000001</v>
      </c>
      <c r="N200" s="101">
        <f t="shared" si="104"/>
        <v>153395</v>
      </c>
      <c r="O200" s="75">
        <f t="shared" si="99"/>
        <v>-0.37309000000823289</v>
      </c>
      <c r="P200" s="215"/>
      <c r="Q200" s="75">
        <f t="shared" si="100"/>
        <v>153395</v>
      </c>
      <c r="R200" s="75">
        <f t="shared" si="64"/>
        <v>0</v>
      </c>
      <c r="S200" s="214"/>
      <c r="T200" s="75">
        <f t="shared" si="102"/>
        <v>153395</v>
      </c>
      <c r="U200" s="75">
        <f t="shared" si="65"/>
        <v>0</v>
      </c>
      <c r="V200" s="214"/>
      <c r="W200" s="75">
        <f>ROUND(T200,0)-276</f>
        <v>153119</v>
      </c>
      <c r="X200" s="75">
        <f t="shared" si="66"/>
        <v>-276</v>
      </c>
      <c r="Y200" s="214" t="s">
        <v>541</v>
      </c>
      <c r="Z200" s="75">
        <f t="shared" si="101"/>
        <v>153119</v>
      </c>
      <c r="AA200" s="75">
        <f t="shared" si="95"/>
        <v>0</v>
      </c>
      <c r="AB200" s="214"/>
    </row>
    <row r="201" spans="2:28" ht="15.6" customHeight="1" x14ac:dyDescent="0.25">
      <c r="B201" s="92" t="s">
        <v>542</v>
      </c>
      <c r="C201" s="170" t="s">
        <v>543</v>
      </c>
      <c r="D201" s="171" t="s">
        <v>544</v>
      </c>
      <c r="E201" s="75"/>
      <c r="F201" s="75"/>
      <c r="G201" s="75"/>
      <c r="H201" s="75"/>
      <c r="I201" s="75"/>
      <c r="J201" s="75"/>
      <c r="K201" s="75">
        <f>[1]BAZE_2024!G193</f>
        <v>64813.521870000011</v>
      </c>
      <c r="L201" s="75">
        <f t="shared" si="98"/>
        <v>64813.521870000011</v>
      </c>
      <c r="M201" s="101">
        <v>64813.521870000011</v>
      </c>
      <c r="N201" s="101">
        <f t="shared" si="104"/>
        <v>64814</v>
      </c>
      <c r="O201" s="75">
        <f t="shared" si="99"/>
        <v>0.47812999998859596</v>
      </c>
      <c r="P201" s="215"/>
      <c r="Q201" s="75">
        <f t="shared" si="100"/>
        <v>64814</v>
      </c>
      <c r="R201" s="75">
        <f t="shared" si="64"/>
        <v>0</v>
      </c>
      <c r="S201" s="214"/>
      <c r="T201" s="75">
        <f t="shared" si="102"/>
        <v>64814</v>
      </c>
      <c r="U201" s="75">
        <f t="shared" si="65"/>
        <v>0</v>
      </c>
      <c r="V201" s="214"/>
      <c r="W201" s="75">
        <f>ROUND(T201,0)-62</f>
        <v>64752</v>
      </c>
      <c r="X201" s="75">
        <f t="shared" si="66"/>
        <v>-62</v>
      </c>
      <c r="Y201" s="214" t="s">
        <v>545</v>
      </c>
      <c r="Z201" s="75">
        <f t="shared" si="101"/>
        <v>64752</v>
      </c>
      <c r="AA201" s="75">
        <f t="shared" si="95"/>
        <v>0</v>
      </c>
      <c r="AB201" s="214"/>
    </row>
    <row r="202" spans="2:28" ht="15" customHeight="1" x14ac:dyDescent="0.25">
      <c r="B202" s="92" t="s">
        <v>303</v>
      </c>
      <c r="C202" s="170" t="s">
        <v>546</v>
      </c>
      <c r="D202" s="171" t="s">
        <v>547</v>
      </c>
      <c r="E202" s="75">
        <f>E203+E204</f>
        <v>0</v>
      </c>
      <c r="F202" s="75">
        <f t="shared" ref="F202:N202" si="105">F203+F204</f>
        <v>0</v>
      </c>
      <c r="G202" s="75">
        <f t="shared" si="105"/>
        <v>0</v>
      </c>
      <c r="H202" s="75">
        <f t="shared" si="105"/>
        <v>0</v>
      </c>
      <c r="I202" s="75">
        <f t="shared" si="105"/>
        <v>0</v>
      </c>
      <c r="J202" s="75">
        <f t="shared" si="105"/>
        <v>175015</v>
      </c>
      <c r="K202" s="75">
        <f t="shared" si="105"/>
        <v>590629.98647050001</v>
      </c>
      <c r="L202" s="75">
        <f t="shared" si="105"/>
        <v>765644.98647050001</v>
      </c>
      <c r="M202" s="101">
        <v>765644.98647050001</v>
      </c>
      <c r="N202" s="101">
        <f t="shared" si="105"/>
        <v>765645</v>
      </c>
      <c r="O202" s="75">
        <f t="shared" si="99"/>
        <v>1.3529499992728233E-2</v>
      </c>
      <c r="P202" s="102"/>
      <c r="Q202" s="75">
        <f>Q203+Q204</f>
        <v>765645</v>
      </c>
      <c r="R202" s="75">
        <f t="shared" ref="R202:R282" si="106">Q202-N202</f>
        <v>0</v>
      </c>
      <c r="S202" s="103"/>
      <c r="T202" s="75">
        <f>T203+T204</f>
        <v>755645</v>
      </c>
      <c r="U202" s="75">
        <f t="shared" ref="U202:U282" si="107">T202-Q202</f>
        <v>-10000</v>
      </c>
      <c r="V202" s="103"/>
      <c r="W202" s="75">
        <f>W203+W204</f>
        <v>762015</v>
      </c>
      <c r="X202" s="75">
        <f t="shared" ref="X202:X282" si="108">W202-T202</f>
        <v>6370</v>
      </c>
      <c r="Y202" s="103"/>
      <c r="Z202" s="75">
        <f>Z203+Z204</f>
        <v>762015</v>
      </c>
      <c r="AA202" s="75">
        <f t="shared" si="95"/>
        <v>0</v>
      </c>
      <c r="AB202" s="103"/>
    </row>
    <row r="203" spans="2:28" ht="15" customHeight="1" x14ac:dyDescent="0.25">
      <c r="B203" s="92"/>
      <c r="C203" s="216" t="s">
        <v>548</v>
      </c>
      <c r="D203" s="179" t="s">
        <v>549</v>
      </c>
      <c r="E203" s="44"/>
      <c r="F203" s="44"/>
      <c r="G203" s="44"/>
      <c r="H203" s="44"/>
      <c r="I203" s="44"/>
      <c r="J203" s="44">
        <v>175015</v>
      </c>
      <c r="K203" s="44">
        <f>[1]BAZE_2024!G198</f>
        <v>590629.98647050001</v>
      </c>
      <c r="L203" s="44">
        <f t="shared" si="98"/>
        <v>765644.98647050001</v>
      </c>
      <c r="M203" s="94">
        <v>765644.98647050001</v>
      </c>
      <c r="N203" s="94">
        <f>ROUND(M203,0)-126968</f>
        <v>638677</v>
      </c>
      <c r="O203" s="208">
        <f t="shared" si="99"/>
        <v>-126967.98647050001</v>
      </c>
      <c r="P203" s="71" t="s">
        <v>550</v>
      </c>
      <c r="Q203" s="44">
        <f>ROUND(N203,0)-43878</f>
        <v>594799</v>
      </c>
      <c r="R203" s="44">
        <f t="shared" si="106"/>
        <v>-43878</v>
      </c>
      <c r="S203" s="71" t="s">
        <v>551</v>
      </c>
      <c r="T203" s="44">
        <f>ROUND(Q203,0)-10000</f>
        <v>584799</v>
      </c>
      <c r="U203" s="44">
        <f t="shared" si="107"/>
        <v>-10000</v>
      </c>
      <c r="V203" s="71" t="s">
        <v>552</v>
      </c>
      <c r="W203" s="44">
        <f>ROUND(T203,0)+6370-926</f>
        <v>590243</v>
      </c>
      <c r="X203" s="44">
        <f t="shared" si="108"/>
        <v>5444</v>
      </c>
      <c r="Y203" s="71" t="s">
        <v>553</v>
      </c>
      <c r="Z203" s="44">
        <f>ROUND(W203,0)</f>
        <v>590243</v>
      </c>
      <c r="AA203" s="44">
        <f t="shared" si="95"/>
        <v>0</v>
      </c>
      <c r="AB203" s="71"/>
    </row>
    <row r="204" spans="2:28" ht="15" customHeight="1" x14ac:dyDescent="0.25">
      <c r="B204" s="92"/>
      <c r="C204" s="217" t="s">
        <v>554</v>
      </c>
      <c r="D204" s="179" t="s">
        <v>555</v>
      </c>
      <c r="E204" s="44"/>
      <c r="F204" s="44"/>
      <c r="G204" s="44"/>
      <c r="H204" s="44"/>
      <c r="I204" s="44"/>
      <c r="J204" s="44"/>
      <c r="K204" s="44"/>
      <c r="L204" s="44">
        <f t="shared" si="98"/>
        <v>0</v>
      </c>
      <c r="M204" s="94">
        <v>0</v>
      </c>
      <c r="N204" s="94">
        <v>126968</v>
      </c>
      <c r="O204" s="208">
        <f t="shared" si="99"/>
        <v>126968</v>
      </c>
      <c r="P204" s="70"/>
      <c r="Q204" s="44">
        <f>ROUND(N204,0)+43878</f>
        <v>170846</v>
      </c>
      <c r="R204" s="44">
        <f t="shared" si="106"/>
        <v>43878</v>
      </c>
      <c r="S204" s="71" t="s">
        <v>551</v>
      </c>
      <c r="T204" s="44">
        <f t="shared" si="102"/>
        <v>170846</v>
      </c>
      <c r="U204" s="44">
        <f t="shared" si="107"/>
        <v>0</v>
      </c>
      <c r="V204" s="71"/>
      <c r="W204" s="44">
        <f>ROUND(T204,0)+926</f>
        <v>171772</v>
      </c>
      <c r="X204" s="44">
        <f t="shared" si="108"/>
        <v>926</v>
      </c>
      <c r="Y204" s="71" t="s">
        <v>556</v>
      </c>
      <c r="Z204" s="44">
        <f>ROUND(W204,0)</f>
        <v>171772</v>
      </c>
      <c r="AA204" s="44">
        <f t="shared" si="95"/>
        <v>0</v>
      </c>
      <c r="AB204" s="71"/>
    </row>
    <row r="205" spans="2:28" ht="15.6" customHeight="1" x14ac:dyDescent="0.25">
      <c r="B205" s="92" t="s">
        <v>557</v>
      </c>
      <c r="C205" s="170" t="s">
        <v>558</v>
      </c>
      <c r="D205" s="171" t="s">
        <v>559</v>
      </c>
      <c r="E205" s="75"/>
      <c r="F205" s="75"/>
      <c r="G205" s="75"/>
      <c r="H205" s="75"/>
      <c r="I205" s="75"/>
      <c r="J205" s="75">
        <v>4000</v>
      </c>
      <c r="K205" s="75"/>
      <c r="L205" s="75">
        <f t="shared" si="98"/>
        <v>4000</v>
      </c>
      <c r="M205" s="101">
        <v>4000</v>
      </c>
      <c r="N205" s="101">
        <f t="shared" si="104"/>
        <v>4000</v>
      </c>
      <c r="O205" s="75">
        <f t="shared" si="99"/>
        <v>0</v>
      </c>
      <c r="P205" s="172"/>
      <c r="Q205" s="75">
        <f>ROUND(N205,0)</f>
        <v>4000</v>
      </c>
      <c r="R205" s="75">
        <f t="shared" si="106"/>
        <v>0</v>
      </c>
      <c r="S205" s="173"/>
      <c r="T205" s="75">
        <f t="shared" si="102"/>
        <v>4000</v>
      </c>
      <c r="U205" s="75">
        <f t="shared" si="107"/>
        <v>0</v>
      </c>
      <c r="V205" s="173"/>
      <c r="W205" s="75">
        <f t="shared" si="103"/>
        <v>4000</v>
      </c>
      <c r="X205" s="75">
        <f t="shared" si="108"/>
        <v>0</v>
      </c>
      <c r="Y205" s="173"/>
      <c r="Z205" s="75">
        <f>ROUND(W205,0)</f>
        <v>4000</v>
      </c>
      <c r="AA205" s="75">
        <f t="shared" si="95"/>
        <v>0</v>
      </c>
      <c r="AB205" s="173"/>
    </row>
    <row r="206" spans="2:28" ht="15.6" customHeight="1" x14ac:dyDescent="0.25">
      <c r="B206" s="92" t="s">
        <v>560</v>
      </c>
      <c r="C206" s="170" t="s">
        <v>561</v>
      </c>
      <c r="D206" s="171" t="s">
        <v>562</v>
      </c>
      <c r="E206" s="75"/>
      <c r="F206" s="75"/>
      <c r="G206" s="75"/>
      <c r="H206" s="75"/>
      <c r="I206" s="75"/>
      <c r="J206" s="75"/>
      <c r="K206" s="75">
        <f>[1]BAZE_2024!G277</f>
        <v>19228.173900000002</v>
      </c>
      <c r="L206" s="75">
        <f t="shared" si="98"/>
        <v>19228.173900000002</v>
      </c>
      <c r="M206" s="101">
        <v>19228</v>
      </c>
      <c r="N206" s="101">
        <f t="shared" si="104"/>
        <v>19228</v>
      </c>
      <c r="O206" s="75">
        <f t="shared" si="99"/>
        <v>0</v>
      </c>
      <c r="P206" s="172"/>
      <c r="Q206" s="75">
        <f>ROUND(N206,0)</f>
        <v>19228</v>
      </c>
      <c r="R206" s="75">
        <f t="shared" si="106"/>
        <v>0</v>
      </c>
      <c r="S206" s="173"/>
      <c r="T206" s="75">
        <f t="shared" si="102"/>
        <v>19228</v>
      </c>
      <c r="U206" s="75">
        <f t="shared" si="107"/>
        <v>0</v>
      </c>
      <c r="V206" s="173"/>
      <c r="W206" s="75">
        <f t="shared" si="103"/>
        <v>19228</v>
      </c>
      <c r="X206" s="75">
        <f t="shared" si="108"/>
        <v>0</v>
      </c>
      <c r="Y206" s="173"/>
      <c r="Z206" s="75">
        <f>ROUND(W206,0)</f>
        <v>19228</v>
      </c>
      <c r="AA206" s="75">
        <f t="shared" si="95"/>
        <v>0</v>
      </c>
      <c r="AB206" s="173"/>
    </row>
    <row r="207" spans="2:28" s="161" customFormat="1" ht="15.6" customHeight="1" x14ac:dyDescent="0.25">
      <c r="C207" s="175" t="s">
        <v>116</v>
      </c>
      <c r="D207" s="176" t="s">
        <v>563</v>
      </c>
      <c r="E207" s="50">
        <f t="shared" ref="E207:L207" si="109">E208+E215+E218+E223+E224+E225+E227+E228</f>
        <v>236536</v>
      </c>
      <c r="F207" s="50">
        <f t="shared" si="109"/>
        <v>861000</v>
      </c>
      <c r="G207" s="50">
        <f t="shared" si="109"/>
        <v>0</v>
      </c>
      <c r="H207" s="50">
        <f t="shared" si="109"/>
        <v>0</v>
      </c>
      <c r="I207" s="50">
        <f t="shared" si="109"/>
        <v>0</v>
      </c>
      <c r="J207" s="50">
        <f t="shared" si="109"/>
        <v>488272</v>
      </c>
      <c r="K207" s="50">
        <f t="shared" si="109"/>
        <v>2211217.7610668591</v>
      </c>
      <c r="L207" s="50">
        <f t="shared" si="109"/>
        <v>3797025.7610668591</v>
      </c>
      <c r="M207" s="50">
        <v>3797025.7610668591</v>
      </c>
      <c r="N207" s="50">
        <f t="shared" ref="N207:T207" si="110">N208+N215+N218+N223+N224+N225+N226+N227+N228</f>
        <v>3834372</v>
      </c>
      <c r="O207" s="50">
        <f t="shared" si="110"/>
        <v>37346.238933140878</v>
      </c>
      <c r="P207" s="50">
        <f t="shared" si="110"/>
        <v>0</v>
      </c>
      <c r="Q207" s="50">
        <f t="shared" si="110"/>
        <v>3834372</v>
      </c>
      <c r="R207" s="50">
        <f t="shared" si="110"/>
        <v>0</v>
      </c>
      <c r="S207" s="50">
        <f t="shared" si="110"/>
        <v>0</v>
      </c>
      <c r="T207" s="50">
        <f t="shared" si="110"/>
        <v>3806675</v>
      </c>
      <c r="U207" s="50">
        <f t="shared" si="107"/>
        <v>-27697</v>
      </c>
      <c r="V207" s="50"/>
      <c r="W207" s="50">
        <f>W208+W215+W218+W223+W224+W225+W226+W227+W228</f>
        <v>3850931</v>
      </c>
      <c r="X207" s="50">
        <f t="shared" si="108"/>
        <v>44256</v>
      </c>
      <c r="Y207" s="50"/>
      <c r="Z207" s="50">
        <f>Z208+Z215+Z218+Z223+Z224+Z225+Z226+Z227+Z228</f>
        <v>3850931</v>
      </c>
      <c r="AA207" s="50">
        <f t="shared" si="95"/>
        <v>0</v>
      </c>
      <c r="AB207" s="50"/>
    </row>
    <row r="208" spans="2:28" s="161" customFormat="1" ht="15" customHeight="1" x14ac:dyDescent="0.25">
      <c r="C208" s="170" t="s">
        <v>119</v>
      </c>
      <c r="D208" s="171" t="s">
        <v>564</v>
      </c>
      <c r="E208" s="75">
        <f t="shared" ref="E208:O208" si="111">E209+E210+E211+E212+E214</f>
        <v>0</v>
      </c>
      <c r="F208" s="75">
        <f t="shared" si="111"/>
        <v>611000</v>
      </c>
      <c r="G208" s="75">
        <f t="shared" si="111"/>
        <v>0</v>
      </c>
      <c r="H208" s="75">
        <f t="shared" si="111"/>
        <v>0</v>
      </c>
      <c r="I208" s="75">
        <f t="shared" si="111"/>
        <v>0</v>
      </c>
      <c r="J208" s="75">
        <f t="shared" si="111"/>
        <v>478022</v>
      </c>
      <c r="K208" s="75">
        <f t="shared" si="111"/>
        <v>1667965.0633929078</v>
      </c>
      <c r="L208" s="75">
        <f t="shared" si="111"/>
        <v>2756987.0633929078</v>
      </c>
      <c r="M208" s="101">
        <v>2756987.0633929078</v>
      </c>
      <c r="N208" s="101">
        <f t="shared" si="111"/>
        <v>2756987</v>
      </c>
      <c r="O208" s="75">
        <f t="shared" si="111"/>
        <v>-6.3392907846719027E-2</v>
      </c>
      <c r="P208" s="174"/>
      <c r="Q208" s="75">
        <f>SUM(Q209:Q214)</f>
        <v>2756987</v>
      </c>
      <c r="R208" s="75">
        <f>SUM(R209:R214)</f>
        <v>0</v>
      </c>
      <c r="S208" s="75">
        <f>SUM(S209:S214)</f>
        <v>0</v>
      </c>
      <c r="T208" s="75">
        <f>SUM(T209:T214)</f>
        <v>2756987</v>
      </c>
      <c r="U208" s="75">
        <f t="shared" si="107"/>
        <v>0</v>
      </c>
      <c r="V208" s="75"/>
      <c r="W208" s="75">
        <f>SUM(W209:W214)</f>
        <v>2756959</v>
      </c>
      <c r="X208" s="75">
        <f t="shared" si="108"/>
        <v>-28</v>
      </c>
      <c r="Y208" s="75"/>
      <c r="Z208" s="75">
        <f>SUM(Z209:Z214)</f>
        <v>2756959</v>
      </c>
      <c r="AA208" s="75">
        <f t="shared" si="95"/>
        <v>0</v>
      </c>
      <c r="AB208" s="75"/>
    </row>
    <row r="209" spans="2:28" s="218" customFormat="1" ht="18.600000000000001" customHeight="1" outlineLevel="1" x14ac:dyDescent="0.25">
      <c r="B209" s="218">
        <v>1010</v>
      </c>
      <c r="C209" s="216" t="s">
        <v>565</v>
      </c>
      <c r="D209" s="219" t="s">
        <v>566</v>
      </c>
      <c r="E209" s="208"/>
      <c r="F209" s="208"/>
      <c r="G209" s="208"/>
      <c r="H209" s="208"/>
      <c r="I209" s="208"/>
      <c r="J209" s="208">
        <v>52362</v>
      </c>
      <c r="K209" s="208">
        <f>[1]BAZE_2024!G228-K210</f>
        <v>598572.06339290785</v>
      </c>
      <c r="L209" s="208">
        <f>E209+F209+G209+H209+I209+J209+K209</f>
        <v>650934.06339290785</v>
      </c>
      <c r="M209" s="220">
        <v>650934.06339290785</v>
      </c>
      <c r="N209" s="220">
        <f>ROUND(M209,0)</f>
        <v>650934</v>
      </c>
      <c r="O209" s="208">
        <f t="shared" si="99"/>
        <v>-6.3392907846719027E-2</v>
      </c>
      <c r="P209" s="221"/>
      <c r="Q209" s="208">
        <f>ROUND(N209,0)</f>
        <v>650934</v>
      </c>
      <c r="R209" s="208">
        <f t="shared" si="106"/>
        <v>0</v>
      </c>
      <c r="S209" s="66"/>
      <c r="T209" s="208">
        <f>ROUND(Q209,0)</f>
        <v>650934</v>
      </c>
      <c r="U209" s="208">
        <f t="shared" si="107"/>
        <v>0</v>
      </c>
      <c r="V209" s="66"/>
      <c r="W209" s="208">
        <f>ROUND(T209,0)-1186</f>
        <v>649748</v>
      </c>
      <c r="X209" s="208">
        <f t="shared" si="108"/>
        <v>-1186</v>
      </c>
      <c r="Y209" s="71" t="s">
        <v>567</v>
      </c>
      <c r="Z209" s="208">
        <f>ROUND(W209,0)</f>
        <v>649748</v>
      </c>
      <c r="AA209" s="208">
        <f t="shared" si="95"/>
        <v>0</v>
      </c>
      <c r="AB209" s="71"/>
    </row>
    <row r="210" spans="2:28" s="218" customFormat="1" ht="16.2" customHeight="1" outlineLevel="1" x14ac:dyDescent="0.25">
      <c r="B210" s="218">
        <v>1010</v>
      </c>
      <c r="C210" s="217" t="s">
        <v>568</v>
      </c>
      <c r="D210" s="219" t="s">
        <v>569</v>
      </c>
      <c r="E210" s="208"/>
      <c r="F210" s="208">
        <f>50000+60000</f>
        <v>110000</v>
      </c>
      <c r="G210" s="222"/>
      <c r="H210" s="222"/>
      <c r="I210" s="208"/>
      <c r="J210" s="208">
        <f>425660</f>
        <v>425660</v>
      </c>
      <c r="K210" s="208">
        <f>[1]BAZE_2024!G231</f>
        <v>1063173</v>
      </c>
      <c r="L210" s="208">
        <f>E210+F210+G210+H210+I210+J210+K210</f>
        <v>1598833</v>
      </c>
      <c r="M210" s="220">
        <v>1598833</v>
      </c>
      <c r="N210" s="220">
        <f>ROUND(M210,0)</f>
        <v>1598833</v>
      </c>
      <c r="O210" s="208">
        <f t="shared" si="99"/>
        <v>0</v>
      </c>
      <c r="P210" s="70"/>
      <c r="Q210" s="208">
        <f>ROUND(N210,0)</f>
        <v>1598833</v>
      </c>
      <c r="R210" s="208">
        <f t="shared" si="106"/>
        <v>0</v>
      </c>
      <c r="S210" s="99"/>
      <c r="T210" s="208">
        <f>ROUND(Q210,0)</f>
        <v>1598833</v>
      </c>
      <c r="U210" s="208">
        <f t="shared" si="107"/>
        <v>0</v>
      </c>
      <c r="V210" s="99"/>
      <c r="W210" s="208">
        <f>ROUND(T210,0)</f>
        <v>1598833</v>
      </c>
      <c r="X210" s="208">
        <f t="shared" si="108"/>
        <v>0</v>
      </c>
      <c r="Y210" s="99"/>
      <c r="Z210" s="208">
        <f>ROUND(W210,0)</f>
        <v>1598833</v>
      </c>
      <c r="AA210" s="208">
        <f t="shared" si="95"/>
        <v>0</v>
      </c>
      <c r="AB210" s="99"/>
    </row>
    <row r="211" spans="2:28" s="218" customFormat="1" ht="17.399999999999999" customHeight="1" outlineLevel="1" x14ac:dyDescent="0.25">
      <c r="B211" s="218">
        <v>1010</v>
      </c>
      <c r="C211" s="217" t="s">
        <v>570</v>
      </c>
      <c r="D211" s="219" t="s">
        <v>571</v>
      </c>
      <c r="E211" s="208"/>
      <c r="F211" s="208">
        <f>F58</f>
        <v>0</v>
      </c>
      <c r="G211" s="222"/>
      <c r="H211" s="222"/>
      <c r="I211" s="208"/>
      <c r="J211" s="222"/>
      <c r="K211" s="208"/>
      <c r="L211" s="208">
        <f>E211+F211+G211+H211+I211+J211+K211</f>
        <v>0</v>
      </c>
      <c r="M211" s="220">
        <v>0</v>
      </c>
      <c r="N211" s="220">
        <f>ROUND(M211,0)</f>
        <v>0</v>
      </c>
      <c r="O211" s="208">
        <f t="shared" si="99"/>
        <v>0</v>
      </c>
      <c r="P211" s="98"/>
      <c r="Q211" s="208">
        <f>ROUND(N211,0)</f>
        <v>0</v>
      </c>
      <c r="R211" s="208">
        <f t="shared" si="106"/>
        <v>0</v>
      </c>
      <c r="S211" s="99"/>
      <c r="T211" s="208">
        <f>ROUND(Q211,0)</f>
        <v>0</v>
      </c>
      <c r="U211" s="208">
        <f t="shared" si="107"/>
        <v>0</v>
      </c>
      <c r="V211" s="99"/>
      <c r="W211" s="208">
        <f>ROUND(T211,0)</f>
        <v>0</v>
      </c>
      <c r="X211" s="208">
        <f t="shared" si="108"/>
        <v>0</v>
      </c>
      <c r="Y211" s="99"/>
      <c r="Z211" s="208">
        <f>ROUND(W211,0)</f>
        <v>0</v>
      </c>
      <c r="AA211" s="208">
        <f t="shared" si="95"/>
        <v>0</v>
      </c>
      <c r="AB211" s="99"/>
    </row>
    <row r="212" spans="2:28" s="218" customFormat="1" outlineLevel="1" x14ac:dyDescent="0.25">
      <c r="B212" s="218">
        <v>1012</v>
      </c>
      <c r="C212" s="217" t="s">
        <v>572</v>
      </c>
      <c r="D212" s="219" t="s">
        <v>573</v>
      </c>
      <c r="E212" s="208"/>
      <c r="F212" s="208">
        <f>F57</f>
        <v>501000</v>
      </c>
      <c r="G212" s="208"/>
      <c r="H212" s="208"/>
      <c r="I212" s="208"/>
      <c r="J212" s="208"/>
      <c r="K212" s="208"/>
      <c r="L212" s="208">
        <f>E212+F212+G212+H212+I212+J212+K212</f>
        <v>501000</v>
      </c>
      <c r="M212" s="220">
        <v>501000</v>
      </c>
      <c r="N212" s="220">
        <f>ROUND(M212,0)</f>
        <v>501000</v>
      </c>
      <c r="O212" s="208">
        <f t="shared" si="99"/>
        <v>0</v>
      </c>
      <c r="P212" s="221"/>
      <c r="Q212" s="208">
        <f>ROUND(N212,0)</f>
        <v>501000</v>
      </c>
      <c r="R212" s="208">
        <f t="shared" si="106"/>
        <v>0</v>
      </c>
      <c r="S212" s="223"/>
      <c r="T212" s="208">
        <f>ROUND(Q212,0)</f>
        <v>501000</v>
      </c>
      <c r="U212" s="208">
        <f t="shared" si="107"/>
        <v>0</v>
      </c>
      <c r="V212" s="223"/>
      <c r="W212" s="208">
        <f>ROUND(T212,0)</f>
        <v>501000</v>
      </c>
      <c r="X212" s="208">
        <f t="shared" si="108"/>
        <v>0</v>
      </c>
      <c r="Y212" s="223"/>
      <c r="Z212" s="208">
        <f>ROUND(W212,0)</f>
        <v>501000</v>
      </c>
      <c r="AA212" s="208">
        <f t="shared" si="95"/>
        <v>0</v>
      </c>
      <c r="AB212" s="223"/>
    </row>
    <row r="213" spans="2:28" s="218" customFormat="1" outlineLevel="1" x14ac:dyDescent="0.25">
      <c r="C213" s="217" t="s">
        <v>574</v>
      </c>
      <c r="D213" s="219" t="s">
        <v>575</v>
      </c>
      <c r="E213" s="208"/>
      <c r="F213" s="208"/>
      <c r="G213" s="208"/>
      <c r="H213" s="208"/>
      <c r="I213" s="208"/>
      <c r="J213" s="208"/>
      <c r="K213" s="208"/>
      <c r="L213" s="208"/>
      <c r="M213" s="220"/>
      <c r="N213" s="220"/>
      <c r="O213" s="208"/>
      <c r="P213" s="221"/>
      <c r="Q213" s="208"/>
      <c r="R213" s="208"/>
      <c r="S213" s="223"/>
      <c r="T213" s="208"/>
      <c r="U213" s="208"/>
      <c r="V213" s="223"/>
      <c r="W213" s="208">
        <f>1186</f>
        <v>1186</v>
      </c>
      <c r="X213" s="208">
        <f t="shared" si="108"/>
        <v>1186</v>
      </c>
      <c r="Y213" s="71" t="s">
        <v>567</v>
      </c>
      <c r="Z213" s="208">
        <f>1186</f>
        <v>1186</v>
      </c>
      <c r="AA213" s="208">
        <f t="shared" si="95"/>
        <v>0</v>
      </c>
      <c r="AB213" s="71"/>
    </row>
    <row r="214" spans="2:28" s="218" customFormat="1" outlineLevel="1" x14ac:dyDescent="0.25">
      <c r="B214" s="218">
        <v>1015</v>
      </c>
      <c r="C214" s="217" t="s">
        <v>576</v>
      </c>
      <c r="D214" s="219" t="s">
        <v>577</v>
      </c>
      <c r="E214" s="208"/>
      <c r="F214" s="208"/>
      <c r="G214" s="222"/>
      <c r="H214" s="222"/>
      <c r="I214" s="208"/>
      <c r="J214" s="222"/>
      <c r="K214" s="208">
        <f>[1]BAZE_2024!G249</f>
        <v>6220</v>
      </c>
      <c r="L214" s="208">
        <f>E214+F214+G214+H214+I214+J214+K214</f>
        <v>6220</v>
      </c>
      <c r="M214" s="220">
        <v>6220</v>
      </c>
      <c r="N214" s="220">
        <f>ROUND(M214,0)</f>
        <v>6220</v>
      </c>
      <c r="O214" s="208">
        <f t="shared" si="99"/>
        <v>0</v>
      </c>
      <c r="P214" s="221"/>
      <c r="Q214" s="208">
        <f>ROUND(N214,0)</f>
        <v>6220</v>
      </c>
      <c r="R214" s="208">
        <f t="shared" si="106"/>
        <v>0</v>
      </c>
      <c r="S214" s="223"/>
      <c r="T214" s="208">
        <f>ROUND(Q214,0)</f>
        <v>6220</v>
      </c>
      <c r="U214" s="208">
        <f t="shared" si="107"/>
        <v>0</v>
      </c>
      <c r="V214" s="223"/>
      <c r="W214" s="208">
        <f>ROUND(T214,0)-28</f>
        <v>6192</v>
      </c>
      <c r="X214" s="208">
        <f t="shared" si="108"/>
        <v>-28</v>
      </c>
      <c r="Y214" s="223" t="s">
        <v>578</v>
      </c>
      <c r="Z214" s="208">
        <f>ROUND(W214,0)</f>
        <v>6192</v>
      </c>
      <c r="AA214" s="208">
        <f t="shared" si="95"/>
        <v>0</v>
      </c>
      <c r="AB214" s="223"/>
    </row>
    <row r="215" spans="2:28" s="161" customFormat="1" ht="19.5" customHeight="1" x14ac:dyDescent="0.25">
      <c r="C215" s="170" t="s">
        <v>126</v>
      </c>
      <c r="D215" s="171" t="s">
        <v>579</v>
      </c>
      <c r="E215" s="75">
        <f t="shared" ref="E215:L215" si="112">E216+E217</f>
        <v>12607</v>
      </c>
      <c r="F215" s="75">
        <f t="shared" si="112"/>
        <v>0</v>
      </c>
      <c r="G215" s="75">
        <f t="shared" si="112"/>
        <v>0</v>
      </c>
      <c r="H215" s="75">
        <f t="shared" si="112"/>
        <v>0</v>
      </c>
      <c r="I215" s="75">
        <f>I216+I217</f>
        <v>0</v>
      </c>
      <c r="J215" s="75">
        <f t="shared" si="112"/>
        <v>0</v>
      </c>
      <c r="K215" s="75">
        <f t="shared" si="112"/>
        <v>1407</v>
      </c>
      <c r="L215" s="75">
        <f t="shared" si="112"/>
        <v>14014</v>
      </c>
      <c r="M215" s="101">
        <v>14014</v>
      </c>
      <c r="N215" s="101">
        <f>N216+N217</f>
        <v>14244</v>
      </c>
      <c r="O215" s="75">
        <f t="shared" si="99"/>
        <v>230</v>
      </c>
      <c r="P215" s="102"/>
      <c r="Q215" s="75">
        <f>Q216+Q217</f>
        <v>14244</v>
      </c>
      <c r="R215" s="75">
        <f t="shared" si="106"/>
        <v>0</v>
      </c>
      <c r="S215" s="103"/>
      <c r="T215" s="75">
        <f>T216+T217</f>
        <v>14244</v>
      </c>
      <c r="U215" s="75">
        <f t="shared" si="107"/>
        <v>0</v>
      </c>
      <c r="V215" s="103"/>
      <c r="W215" s="75">
        <f>W216+W217</f>
        <v>14244</v>
      </c>
      <c r="X215" s="75">
        <f t="shared" si="108"/>
        <v>0</v>
      </c>
      <c r="Y215" s="103"/>
      <c r="Z215" s="75">
        <f>Z216+Z217</f>
        <v>14244</v>
      </c>
      <c r="AA215" s="75">
        <f t="shared" si="95"/>
        <v>0</v>
      </c>
      <c r="AB215" s="103"/>
    </row>
    <row r="216" spans="2:28" s="218" customFormat="1" outlineLevel="1" x14ac:dyDescent="0.25">
      <c r="B216" s="218">
        <v>1011</v>
      </c>
      <c r="C216" s="217" t="s">
        <v>580</v>
      </c>
      <c r="D216" s="219" t="s">
        <v>581</v>
      </c>
      <c r="E216" s="208"/>
      <c r="F216" s="208"/>
      <c r="G216" s="208"/>
      <c r="H216" s="208"/>
      <c r="I216" s="208"/>
      <c r="J216" s="208"/>
      <c r="K216" s="208">
        <f>[1]BAZE_2024!G253</f>
        <v>1407</v>
      </c>
      <c r="L216" s="208">
        <f>E216+F216+G216+H216+I216+J216+K216</f>
        <v>1407</v>
      </c>
      <c r="M216" s="220">
        <v>1407</v>
      </c>
      <c r="N216" s="220">
        <f>ROUND(M216,0)</f>
        <v>1407</v>
      </c>
      <c r="O216" s="208">
        <f t="shared" si="99"/>
        <v>0</v>
      </c>
      <c r="P216" s="221"/>
      <c r="Q216" s="208">
        <f>ROUND(N216,0)</f>
        <v>1407</v>
      </c>
      <c r="R216" s="208">
        <f t="shared" si="106"/>
        <v>0</v>
      </c>
      <c r="S216" s="223"/>
      <c r="T216" s="208">
        <f>ROUND(Q216,0)</f>
        <v>1407</v>
      </c>
      <c r="U216" s="208">
        <f t="shared" si="107"/>
        <v>0</v>
      </c>
      <c r="V216" s="223"/>
      <c r="W216" s="208">
        <f>ROUND(T216,0)</f>
        <v>1407</v>
      </c>
      <c r="X216" s="208">
        <f t="shared" si="108"/>
        <v>0</v>
      </c>
      <c r="Y216" s="223"/>
      <c r="Z216" s="208">
        <f>ROUND(W216,0)</f>
        <v>1407</v>
      </c>
      <c r="AA216" s="208">
        <f t="shared" si="95"/>
        <v>0</v>
      </c>
      <c r="AB216" s="223"/>
    </row>
    <row r="217" spans="2:28" s="218" customFormat="1" outlineLevel="1" x14ac:dyDescent="0.25">
      <c r="B217" s="218">
        <v>1011</v>
      </c>
      <c r="C217" s="217" t="s">
        <v>582</v>
      </c>
      <c r="D217" s="219" t="s">
        <v>583</v>
      </c>
      <c r="E217" s="208">
        <f>E64</f>
        <v>12607</v>
      </c>
      <c r="F217" s="208">
        <f>F64</f>
        <v>0</v>
      </c>
      <c r="G217" s="208"/>
      <c r="H217" s="208"/>
      <c r="I217" s="208"/>
      <c r="J217" s="208"/>
      <c r="K217" s="208"/>
      <c r="L217" s="208">
        <f>E217+F217+G217+H217+I217+J217+K217</f>
        <v>12607</v>
      </c>
      <c r="M217" s="220">
        <v>12607</v>
      </c>
      <c r="N217" s="220">
        <f>ROUND(M217,0)+230</f>
        <v>12837</v>
      </c>
      <c r="O217" s="208">
        <f t="shared" si="99"/>
        <v>230</v>
      </c>
      <c r="P217" s="223" t="s">
        <v>1</v>
      </c>
      <c r="Q217" s="208">
        <f>ROUND(N217,0)</f>
        <v>12837</v>
      </c>
      <c r="R217" s="208">
        <f t="shared" si="106"/>
        <v>0</v>
      </c>
      <c r="S217" s="223"/>
      <c r="T217" s="208">
        <f>ROUND(Q217,0)</f>
        <v>12837</v>
      </c>
      <c r="U217" s="208">
        <f t="shared" si="107"/>
        <v>0</v>
      </c>
      <c r="V217" s="223"/>
      <c r="W217" s="208">
        <f>ROUND(T217,0)</f>
        <v>12837</v>
      </c>
      <c r="X217" s="208">
        <f t="shared" si="108"/>
        <v>0</v>
      </c>
      <c r="Y217" s="223"/>
      <c r="Z217" s="208">
        <f>ROUND(W217,0)</f>
        <v>12837</v>
      </c>
      <c r="AA217" s="208">
        <f t="shared" si="95"/>
        <v>0</v>
      </c>
      <c r="AB217" s="223"/>
    </row>
    <row r="218" spans="2:28" s="161" customFormat="1" ht="27" customHeight="1" x14ac:dyDescent="0.25">
      <c r="C218" s="170" t="s">
        <v>128</v>
      </c>
      <c r="D218" s="171" t="s">
        <v>584</v>
      </c>
      <c r="E218" s="77">
        <f t="shared" ref="E218:O218" si="113">SUM(E219:E222)</f>
        <v>209617</v>
      </c>
      <c r="F218" s="77">
        <f t="shared" si="113"/>
        <v>0</v>
      </c>
      <c r="G218" s="77">
        <f t="shared" si="113"/>
        <v>0</v>
      </c>
      <c r="H218" s="77">
        <f t="shared" si="113"/>
        <v>0</v>
      </c>
      <c r="I218" s="77">
        <f t="shared" si="113"/>
        <v>0</v>
      </c>
      <c r="J218" s="77">
        <f t="shared" si="113"/>
        <v>10250</v>
      </c>
      <c r="K218" s="77">
        <f t="shared" si="113"/>
        <v>402246.62317695009</v>
      </c>
      <c r="L218" s="77">
        <f>SUM(L219:L222)</f>
        <v>622113.62317695003</v>
      </c>
      <c r="M218" s="76">
        <v>622113.62317695003</v>
      </c>
      <c r="N218" s="76">
        <f t="shared" si="113"/>
        <v>659230</v>
      </c>
      <c r="O218" s="77">
        <f t="shared" si="113"/>
        <v>37116.376823049912</v>
      </c>
      <c r="P218" s="172"/>
      <c r="Q218" s="77">
        <f>SUM(Q219:Q222)</f>
        <v>659230</v>
      </c>
      <c r="R218" s="77">
        <f t="shared" si="106"/>
        <v>0</v>
      </c>
      <c r="S218" s="173"/>
      <c r="T218" s="77">
        <f>SUM(T219:T222)</f>
        <v>631533</v>
      </c>
      <c r="U218" s="77">
        <f t="shared" si="107"/>
        <v>-27697</v>
      </c>
      <c r="V218" s="173"/>
      <c r="W218" s="77">
        <f>SUM(W219:W222)</f>
        <v>631533</v>
      </c>
      <c r="X218" s="77">
        <f t="shared" si="108"/>
        <v>0</v>
      </c>
      <c r="Y218" s="173"/>
      <c r="Z218" s="77">
        <f>SUM(Z219:Z222)</f>
        <v>631533</v>
      </c>
      <c r="AA218" s="77">
        <f t="shared" si="95"/>
        <v>0</v>
      </c>
      <c r="AB218" s="173"/>
    </row>
    <row r="219" spans="2:28" s="161" customFormat="1" ht="15" customHeight="1" x14ac:dyDescent="0.25">
      <c r="B219" s="1" t="s">
        <v>585</v>
      </c>
      <c r="C219" s="224" t="s">
        <v>586</v>
      </c>
      <c r="D219" s="225" t="s">
        <v>587</v>
      </c>
      <c r="E219" s="44"/>
      <c r="F219" s="44"/>
      <c r="G219" s="44"/>
      <c r="H219" s="44"/>
      <c r="I219" s="44"/>
      <c r="J219" s="44"/>
      <c r="K219" s="44">
        <f>[1]BAZE_2024!G236</f>
        <v>402246.62317695009</v>
      </c>
      <c r="L219" s="44">
        <f t="shared" ref="L219:L228" si="114">E219+F219+G219+H219+I219+J219+K219</f>
        <v>402246.62317695009</v>
      </c>
      <c r="M219" s="45">
        <v>402246.62317695009</v>
      </c>
      <c r="N219" s="45">
        <f>ROUND(M219,0)</f>
        <v>402247</v>
      </c>
      <c r="O219" s="44">
        <f t="shared" si="99"/>
        <v>0.37682304991176352</v>
      </c>
      <c r="P219" s="46"/>
      <c r="Q219" s="44">
        <f>ROUND(N219,0)</f>
        <v>402247</v>
      </c>
      <c r="R219" s="44">
        <f t="shared" si="106"/>
        <v>0</v>
      </c>
      <c r="S219" s="66"/>
      <c r="T219" s="44">
        <f>ROUND(Q219,0)-27697</f>
        <v>374550</v>
      </c>
      <c r="U219" s="44">
        <f t="shared" si="107"/>
        <v>-27697</v>
      </c>
      <c r="V219" s="66" t="s">
        <v>384</v>
      </c>
      <c r="W219" s="44">
        <f>ROUND(T219,0)-3745</f>
        <v>370805</v>
      </c>
      <c r="X219" s="44">
        <f t="shared" si="108"/>
        <v>-3745</v>
      </c>
      <c r="Y219" s="71" t="s">
        <v>588</v>
      </c>
      <c r="Z219" s="44">
        <f>ROUND(W219,0)</f>
        <v>370805</v>
      </c>
      <c r="AA219" s="44">
        <f t="shared" si="95"/>
        <v>0</v>
      </c>
      <c r="AB219" s="71"/>
    </row>
    <row r="220" spans="2:28" s="161" customFormat="1" ht="15" customHeight="1" x14ac:dyDescent="0.25">
      <c r="B220" s="1" t="s">
        <v>585</v>
      </c>
      <c r="C220" s="224" t="s">
        <v>589</v>
      </c>
      <c r="D220" s="225" t="s">
        <v>590</v>
      </c>
      <c r="E220" s="44"/>
      <c r="F220" s="44"/>
      <c r="G220" s="44"/>
      <c r="H220" s="44"/>
      <c r="I220" s="44"/>
      <c r="J220" s="44"/>
      <c r="K220" s="44"/>
      <c r="L220" s="44"/>
      <c r="M220" s="45"/>
      <c r="N220" s="45"/>
      <c r="O220" s="44"/>
      <c r="P220" s="46"/>
      <c r="Q220" s="44"/>
      <c r="R220" s="44"/>
      <c r="S220" s="66"/>
      <c r="T220" s="44"/>
      <c r="U220" s="44"/>
      <c r="V220" s="66"/>
      <c r="W220" s="44">
        <f>3745</f>
        <v>3745</v>
      </c>
      <c r="X220" s="44">
        <f t="shared" si="108"/>
        <v>3745</v>
      </c>
      <c r="Y220" s="71" t="s">
        <v>588</v>
      </c>
      <c r="Z220" s="44">
        <f>3745</f>
        <v>3745</v>
      </c>
      <c r="AA220" s="44">
        <f t="shared" si="95"/>
        <v>0</v>
      </c>
      <c r="AB220" s="71"/>
    </row>
    <row r="221" spans="2:28" s="161" customFormat="1" ht="15.75" customHeight="1" x14ac:dyDescent="0.25">
      <c r="B221" s="1" t="s">
        <v>585</v>
      </c>
      <c r="C221" s="226" t="s">
        <v>591</v>
      </c>
      <c r="D221" s="225" t="s">
        <v>592</v>
      </c>
      <c r="E221" s="44">
        <f>E78</f>
        <v>0</v>
      </c>
      <c r="F221" s="44"/>
      <c r="G221" s="44"/>
      <c r="H221" s="44"/>
      <c r="I221" s="44">
        <f>I78</f>
        <v>0</v>
      </c>
      <c r="J221" s="44">
        <f>10250-SUM(E221:I221)</f>
        <v>10250</v>
      </c>
      <c r="K221" s="44"/>
      <c r="L221" s="44">
        <f t="shared" si="114"/>
        <v>10250</v>
      </c>
      <c r="M221" s="45">
        <v>10250</v>
      </c>
      <c r="N221" s="45">
        <f>ROUND(M221,0)+38150</f>
        <v>48400</v>
      </c>
      <c r="O221" s="44">
        <f t="shared" si="99"/>
        <v>38150</v>
      </c>
      <c r="P221" s="47" t="s">
        <v>593</v>
      </c>
      <c r="Q221" s="44">
        <f t="shared" ref="Q221:Q228" si="115">ROUND(N221,0)</f>
        <v>48400</v>
      </c>
      <c r="R221" s="44">
        <f t="shared" si="106"/>
        <v>0</v>
      </c>
      <c r="S221" s="47"/>
      <c r="T221" s="44">
        <f t="shared" ref="T221:T228" si="116">ROUND(Q221,0)</f>
        <v>48400</v>
      </c>
      <c r="U221" s="44">
        <f t="shared" si="107"/>
        <v>0</v>
      </c>
      <c r="V221" s="47"/>
      <c r="W221" s="44">
        <f t="shared" ref="W221:W228" si="117">ROUND(T221,0)</f>
        <v>48400</v>
      </c>
      <c r="X221" s="44">
        <f t="shared" si="108"/>
        <v>0</v>
      </c>
      <c r="Y221" s="47"/>
      <c r="Z221" s="44">
        <f t="shared" ref="Z221:Z228" si="118">ROUND(W221,0)</f>
        <v>48400</v>
      </c>
      <c r="AA221" s="44">
        <f t="shared" si="95"/>
        <v>0</v>
      </c>
      <c r="AB221" s="47"/>
    </row>
    <row r="222" spans="2:28" s="161" customFormat="1" ht="15.6" customHeight="1" x14ac:dyDescent="0.25">
      <c r="B222" s="1" t="s">
        <v>594</v>
      </c>
      <c r="C222" s="224" t="s">
        <v>595</v>
      </c>
      <c r="D222" s="225" t="s">
        <v>596</v>
      </c>
      <c r="E222" s="44">
        <f>E79</f>
        <v>209617</v>
      </c>
      <c r="F222" s="44"/>
      <c r="G222" s="44">
        <f>G79</f>
        <v>0</v>
      </c>
      <c r="H222" s="44"/>
      <c r="I222" s="44">
        <f>I79</f>
        <v>0</v>
      </c>
      <c r="J222" s="44"/>
      <c r="K222" s="44"/>
      <c r="L222" s="44">
        <f t="shared" si="114"/>
        <v>209617</v>
      </c>
      <c r="M222" s="45">
        <v>209617</v>
      </c>
      <c r="N222" s="45">
        <f>ROUND(M222,0)-1034</f>
        <v>208583</v>
      </c>
      <c r="O222" s="44">
        <f t="shared" si="99"/>
        <v>-1034</v>
      </c>
      <c r="P222" s="47" t="s">
        <v>1</v>
      </c>
      <c r="Q222" s="44">
        <f t="shared" si="115"/>
        <v>208583</v>
      </c>
      <c r="R222" s="44">
        <f t="shared" si="106"/>
        <v>0</v>
      </c>
      <c r="S222" s="47"/>
      <c r="T222" s="44">
        <f t="shared" si="116"/>
        <v>208583</v>
      </c>
      <c r="U222" s="44">
        <f t="shared" si="107"/>
        <v>0</v>
      </c>
      <c r="V222" s="47"/>
      <c r="W222" s="44">
        <f t="shared" si="117"/>
        <v>208583</v>
      </c>
      <c r="X222" s="44">
        <f t="shared" si="108"/>
        <v>0</v>
      </c>
      <c r="Y222" s="47"/>
      <c r="Z222" s="44">
        <f t="shared" si="118"/>
        <v>208583</v>
      </c>
      <c r="AA222" s="44">
        <f t="shared" si="95"/>
        <v>0</v>
      </c>
      <c r="AB222" s="47"/>
    </row>
    <row r="223" spans="2:28" s="161" customFormat="1" ht="16.2" customHeight="1" x14ac:dyDescent="0.25">
      <c r="C223" s="170" t="s">
        <v>597</v>
      </c>
      <c r="D223" s="171" t="s">
        <v>598</v>
      </c>
      <c r="E223" s="75"/>
      <c r="F223" s="75"/>
      <c r="G223" s="174"/>
      <c r="H223" s="174"/>
      <c r="I223" s="75"/>
      <c r="J223" s="174"/>
      <c r="K223" s="75">
        <f>[1]BAZE_2024!G256</f>
        <v>139599.07449700119</v>
      </c>
      <c r="L223" s="75">
        <f t="shared" si="114"/>
        <v>139599.07449700119</v>
      </c>
      <c r="M223" s="101">
        <v>139599.07449700119</v>
      </c>
      <c r="N223" s="101">
        <f>ROUND(M223,0)</f>
        <v>139599</v>
      </c>
      <c r="O223" s="75">
        <f t="shared" si="99"/>
        <v>-7.4497001187410206E-2</v>
      </c>
      <c r="P223" s="172"/>
      <c r="Q223" s="75">
        <f>ROUND(N223,0)</f>
        <v>139599</v>
      </c>
      <c r="R223" s="75">
        <f t="shared" si="106"/>
        <v>0</v>
      </c>
      <c r="S223" s="103"/>
      <c r="T223" s="75">
        <f t="shared" si="116"/>
        <v>139599</v>
      </c>
      <c r="U223" s="75">
        <f t="shared" si="107"/>
        <v>0</v>
      </c>
      <c r="V223" s="103"/>
      <c r="W223" s="75">
        <f t="shared" si="117"/>
        <v>139599</v>
      </c>
      <c r="X223" s="75">
        <f t="shared" si="108"/>
        <v>0</v>
      </c>
      <c r="Y223" s="103"/>
      <c r="Z223" s="75">
        <f t="shared" si="118"/>
        <v>139599</v>
      </c>
      <c r="AA223" s="75">
        <f t="shared" si="95"/>
        <v>0</v>
      </c>
      <c r="AB223" s="103"/>
    </row>
    <row r="224" spans="2:28" s="161" customFormat="1" ht="18.75" customHeight="1" x14ac:dyDescent="0.25">
      <c r="B224" s="1">
        <v>1016</v>
      </c>
      <c r="C224" s="170" t="s">
        <v>599</v>
      </c>
      <c r="D224" s="171" t="s">
        <v>191</v>
      </c>
      <c r="E224" s="75"/>
      <c r="F224" s="75">
        <f>F62</f>
        <v>50000</v>
      </c>
      <c r="G224" s="75"/>
      <c r="H224" s="75"/>
      <c r="I224" s="75"/>
      <c r="J224" s="75"/>
      <c r="K224" s="75"/>
      <c r="L224" s="75">
        <f t="shared" si="114"/>
        <v>50000</v>
      </c>
      <c r="M224" s="101">
        <v>50000</v>
      </c>
      <c r="N224" s="101">
        <f>ROUND(M224,0)</f>
        <v>50000</v>
      </c>
      <c r="O224" s="75">
        <f t="shared" si="99"/>
        <v>0</v>
      </c>
      <c r="P224" s="172"/>
      <c r="Q224" s="75">
        <f>ROUND(N224,0)</f>
        <v>50000</v>
      </c>
      <c r="R224" s="75">
        <f t="shared" si="106"/>
        <v>0</v>
      </c>
      <c r="S224" s="173"/>
      <c r="T224" s="75">
        <f t="shared" si="116"/>
        <v>50000</v>
      </c>
      <c r="U224" s="75">
        <f t="shared" si="107"/>
        <v>0</v>
      </c>
      <c r="V224" s="173"/>
      <c r="W224" s="75">
        <f>ROUND(T224,0)</f>
        <v>50000</v>
      </c>
      <c r="X224" s="75">
        <f t="shared" si="108"/>
        <v>0</v>
      </c>
      <c r="Y224" s="173"/>
      <c r="Z224" s="75">
        <f t="shared" si="118"/>
        <v>50000</v>
      </c>
      <c r="AA224" s="75">
        <f t="shared" si="95"/>
        <v>0</v>
      </c>
      <c r="AB224" s="173"/>
    </row>
    <row r="225" spans="2:28" s="161" customFormat="1" ht="18.75" customHeight="1" x14ac:dyDescent="0.25">
      <c r="B225" s="1">
        <v>1017</v>
      </c>
      <c r="C225" s="170" t="s">
        <v>600</v>
      </c>
      <c r="D225" s="171" t="s">
        <v>193</v>
      </c>
      <c r="E225" s="75">
        <f>E63</f>
        <v>0</v>
      </c>
      <c r="F225" s="75">
        <f>F63</f>
        <v>200000</v>
      </c>
      <c r="G225" s="75"/>
      <c r="H225" s="75"/>
      <c r="I225" s="75"/>
      <c r="J225" s="75"/>
      <c r="K225" s="75"/>
      <c r="L225" s="75">
        <f t="shared" si="114"/>
        <v>200000</v>
      </c>
      <c r="M225" s="101">
        <v>200000</v>
      </c>
      <c r="N225" s="101">
        <f>ROUND(M225,0)</f>
        <v>200000</v>
      </c>
      <c r="O225" s="75">
        <f t="shared" si="99"/>
        <v>0</v>
      </c>
      <c r="P225" s="172"/>
      <c r="Q225" s="75">
        <f t="shared" si="115"/>
        <v>200000</v>
      </c>
      <c r="R225" s="75">
        <f t="shared" si="106"/>
        <v>0</v>
      </c>
      <c r="S225" s="173"/>
      <c r="T225" s="75">
        <f t="shared" si="116"/>
        <v>200000</v>
      </c>
      <c r="U225" s="75">
        <f t="shared" si="107"/>
        <v>0</v>
      </c>
      <c r="V225" s="173"/>
      <c r="W225" s="75">
        <f t="shared" si="117"/>
        <v>200000</v>
      </c>
      <c r="X225" s="75">
        <f t="shared" si="108"/>
        <v>0</v>
      </c>
      <c r="Y225" s="173"/>
      <c r="Z225" s="75">
        <f t="shared" si="118"/>
        <v>200000</v>
      </c>
      <c r="AA225" s="75">
        <f t="shared" si="95"/>
        <v>0</v>
      </c>
      <c r="AB225" s="173"/>
    </row>
    <row r="226" spans="2:28" s="161" customFormat="1" ht="40.200000000000003" customHeight="1" x14ac:dyDescent="0.25">
      <c r="B226" s="1">
        <v>1018</v>
      </c>
      <c r="C226" s="170" t="s">
        <v>601</v>
      </c>
      <c r="D226" s="171" t="s">
        <v>449</v>
      </c>
      <c r="E226" s="75"/>
      <c r="F226" s="75"/>
      <c r="G226" s="75"/>
      <c r="H226" s="75"/>
      <c r="I226" s="75"/>
      <c r="J226" s="75"/>
      <c r="K226" s="75"/>
      <c r="L226" s="75"/>
      <c r="M226" s="101"/>
      <c r="N226" s="101"/>
      <c r="O226" s="75"/>
      <c r="P226" s="172"/>
      <c r="Q226" s="75"/>
      <c r="R226" s="75"/>
      <c r="S226" s="173"/>
      <c r="T226" s="75"/>
      <c r="U226" s="75"/>
      <c r="V226" s="173"/>
      <c r="W226" s="75">
        <v>44284</v>
      </c>
      <c r="X226" s="75">
        <f t="shared" si="108"/>
        <v>44284</v>
      </c>
      <c r="Y226" s="103" t="s">
        <v>602</v>
      </c>
      <c r="Z226" s="75">
        <f t="shared" si="118"/>
        <v>44284</v>
      </c>
      <c r="AA226" s="75">
        <f t="shared" si="95"/>
        <v>0</v>
      </c>
      <c r="AB226" s="103"/>
    </row>
    <row r="227" spans="2:28" ht="40.950000000000003" customHeight="1" x14ac:dyDescent="0.25">
      <c r="B227" s="1" t="s">
        <v>603</v>
      </c>
      <c r="C227" s="170" t="s">
        <v>604</v>
      </c>
      <c r="D227" s="171" t="s">
        <v>605</v>
      </c>
      <c r="E227" s="75">
        <v>10226</v>
      </c>
      <c r="F227" s="75"/>
      <c r="G227" s="75"/>
      <c r="H227" s="75"/>
      <c r="I227" s="75"/>
      <c r="J227" s="75"/>
      <c r="K227" s="75"/>
      <c r="L227" s="75">
        <f t="shared" si="114"/>
        <v>10226</v>
      </c>
      <c r="M227" s="101">
        <v>10226</v>
      </c>
      <c r="N227" s="101">
        <f>ROUND(M227,0)</f>
        <v>10226</v>
      </c>
      <c r="O227" s="75">
        <f>N227-M227</f>
        <v>0</v>
      </c>
      <c r="P227" s="172"/>
      <c r="Q227" s="44">
        <f t="shared" si="115"/>
        <v>10226</v>
      </c>
      <c r="R227" s="44">
        <f t="shared" si="106"/>
        <v>0</v>
      </c>
      <c r="S227" s="66"/>
      <c r="T227" s="44">
        <f t="shared" si="116"/>
        <v>10226</v>
      </c>
      <c r="U227" s="44">
        <f t="shared" si="107"/>
        <v>0</v>
      </c>
      <c r="V227" s="66"/>
      <c r="W227" s="44">
        <f t="shared" si="117"/>
        <v>10226</v>
      </c>
      <c r="X227" s="44">
        <f t="shared" si="108"/>
        <v>0</v>
      </c>
      <c r="Y227" s="66"/>
      <c r="Z227" s="44">
        <f t="shared" si="118"/>
        <v>10226</v>
      </c>
      <c r="AA227" s="44">
        <f t="shared" si="95"/>
        <v>0</v>
      </c>
      <c r="AB227" s="66"/>
    </row>
    <row r="228" spans="2:28" ht="44.4" customHeight="1" x14ac:dyDescent="0.25">
      <c r="B228" s="1" t="s">
        <v>606</v>
      </c>
      <c r="C228" s="170" t="s">
        <v>607</v>
      </c>
      <c r="D228" s="171" t="s">
        <v>608</v>
      </c>
      <c r="E228" s="75">
        <f>E76-E227</f>
        <v>4086</v>
      </c>
      <c r="F228" s="75"/>
      <c r="G228" s="75"/>
      <c r="H228" s="75"/>
      <c r="I228" s="75"/>
      <c r="J228" s="75"/>
      <c r="K228" s="75"/>
      <c r="L228" s="75">
        <f t="shared" si="114"/>
        <v>4086</v>
      </c>
      <c r="M228" s="101">
        <v>4086</v>
      </c>
      <c r="N228" s="101">
        <f>ROUND(M228,0)</f>
        <v>4086</v>
      </c>
      <c r="O228" s="75">
        <f>N228-M228</f>
        <v>0</v>
      </c>
      <c r="P228" s="172"/>
      <c r="Q228" s="44">
        <f t="shared" si="115"/>
        <v>4086</v>
      </c>
      <c r="R228" s="44">
        <f t="shared" si="106"/>
        <v>0</v>
      </c>
      <c r="S228" s="66"/>
      <c r="T228" s="44">
        <f t="shared" si="116"/>
        <v>4086</v>
      </c>
      <c r="U228" s="44">
        <f t="shared" si="107"/>
        <v>0</v>
      </c>
      <c r="V228" s="66"/>
      <c r="W228" s="44">
        <f t="shared" si="117"/>
        <v>4086</v>
      </c>
      <c r="X228" s="44">
        <f t="shared" si="108"/>
        <v>0</v>
      </c>
      <c r="Y228" s="66"/>
      <c r="Z228" s="44">
        <f t="shared" si="118"/>
        <v>4086</v>
      </c>
      <c r="AA228" s="44">
        <f t="shared" si="95"/>
        <v>0</v>
      </c>
      <c r="AB228" s="66"/>
    </row>
    <row r="229" spans="2:28" x14ac:dyDescent="0.25">
      <c r="C229" s="175" t="s">
        <v>131</v>
      </c>
      <c r="D229" s="176" t="s">
        <v>609</v>
      </c>
      <c r="E229" s="50">
        <f>E230+E231+E235+E239+E243+E247+E251+E262+E263+E281+E284+E287+E288+E289+E290+E291+E292+E293</f>
        <v>165325</v>
      </c>
      <c r="F229" s="50">
        <f t="shared" ref="F229:N229" si="119">F230+F231+F235+F239+F243+F247+F251+F262+F263+F281+F284+F287+F288+F289+F290+F291+F292+F293</f>
        <v>7761344.3728</v>
      </c>
      <c r="G229" s="50">
        <f t="shared" si="119"/>
        <v>150645</v>
      </c>
      <c r="H229" s="50">
        <f t="shared" si="119"/>
        <v>1355724</v>
      </c>
      <c r="I229" s="50">
        <f t="shared" si="119"/>
        <v>582664</v>
      </c>
      <c r="J229" s="50">
        <f t="shared" si="119"/>
        <v>642304</v>
      </c>
      <c r="K229" s="50">
        <f t="shared" si="119"/>
        <v>13951687.577217994</v>
      </c>
      <c r="L229" s="50">
        <f t="shared" si="119"/>
        <v>24609693.950017992</v>
      </c>
      <c r="M229" s="51">
        <v>24609695.260866992</v>
      </c>
      <c r="N229" s="51">
        <f t="shared" si="119"/>
        <v>25093873</v>
      </c>
      <c r="O229" s="50">
        <f>N229-M229</f>
        <v>484177.73913300782</v>
      </c>
      <c r="P229" s="54"/>
      <c r="Q229" s="50">
        <f>Q230+Q231+Q235+Q239+Q243+Q247+Q251+Q262+Q263+Q281+Q284+Q287+Q288+Q289+Q290+Q291+Q292+Q293</f>
        <v>25311613</v>
      </c>
      <c r="R229" s="50">
        <f t="shared" si="106"/>
        <v>217740</v>
      </c>
      <c r="S229" s="50"/>
      <c r="T229" s="50">
        <f>T230+T231+T235+T239+T243+T247+T251+T262+T263+T281+T284+T287+T288+T289+T290+T291+T292+T293</f>
        <v>25298401</v>
      </c>
      <c r="U229" s="50">
        <f t="shared" si="107"/>
        <v>-13212</v>
      </c>
      <c r="V229" s="50"/>
      <c r="W229" s="50">
        <f>W230+W231+W235+W239+W243+W247+W251+W262+W263+W281+W284+W287+W288+W289+W290+W291+W292+W293</f>
        <v>25291772</v>
      </c>
      <c r="X229" s="50">
        <f t="shared" si="108"/>
        <v>-6629</v>
      </c>
      <c r="Y229" s="50"/>
      <c r="Z229" s="50">
        <f>Z230+Z231+Z235+Z239+Z243+Z247+Z251+Z262+Z263+Z281+Z284+Z287+Z288+Z289+Z290+Z291+Z292+Z293</f>
        <v>25713889</v>
      </c>
      <c r="AA229" s="50">
        <f t="shared" si="95"/>
        <v>422117</v>
      </c>
      <c r="AB229" s="50"/>
    </row>
    <row r="230" spans="2:28" ht="27.6" customHeight="1" x14ac:dyDescent="0.25">
      <c r="B230" s="227" t="s">
        <v>610</v>
      </c>
      <c r="C230" s="170" t="s">
        <v>611</v>
      </c>
      <c r="D230" s="180" t="s">
        <v>612</v>
      </c>
      <c r="E230" s="75"/>
      <c r="F230" s="75"/>
      <c r="G230" s="75"/>
      <c r="H230" s="75"/>
      <c r="I230" s="75"/>
      <c r="J230" s="75"/>
      <c r="K230" s="75">
        <f>[1]BAZE_2024!G268</f>
        <v>750000</v>
      </c>
      <c r="L230" s="75">
        <f>E230+F230+G230+H230+I230+J230+K230</f>
        <v>750000</v>
      </c>
      <c r="M230" s="101">
        <v>750000</v>
      </c>
      <c r="N230" s="101">
        <f>ROUND(M230,0)</f>
        <v>750000</v>
      </c>
      <c r="O230" s="75">
        <f t="shared" si="99"/>
        <v>0</v>
      </c>
      <c r="P230" s="102"/>
      <c r="Q230" s="75">
        <f>ROUND(N230,0)</f>
        <v>750000</v>
      </c>
      <c r="R230" s="75">
        <f t="shared" si="106"/>
        <v>0</v>
      </c>
      <c r="S230" s="103"/>
      <c r="T230" s="75">
        <f>ROUND(Q230,0)</f>
        <v>750000</v>
      </c>
      <c r="U230" s="75">
        <f t="shared" si="107"/>
        <v>0</v>
      </c>
      <c r="V230" s="103"/>
      <c r="W230" s="75">
        <f>ROUND(T230,0)</f>
        <v>750000</v>
      </c>
      <c r="X230" s="75">
        <f t="shared" si="108"/>
        <v>0</v>
      </c>
      <c r="Y230" s="103"/>
      <c r="Z230" s="75">
        <f>ROUND(W230,0)+80000+70000</f>
        <v>900000</v>
      </c>
      <c r="AA230" s="75">
        <f t="shared" si="95"/>
        <v>150000</v>
      </c>
      <c r="AB230" s="103" t="s">
        <v>293</v>
      </c>
    </row>
    <row r="231" spans="2:28" ht="18" customHeight="1" x14ac:dyDescent="0.25">
      <c r="C231" s="170" t="s">
        <v>613</v>
      </c>
      <c r="D231" s="180" t="s">
        <v>614</v>
      </c>
      <c r="E231" s="75">
        <f>SUM(E232:E234)</f>
        <v>0</v>
      </c>
      <c r="F231" s="75">
        <f t="shared" ref="F231:N231" si="120">SUM(F232:F234)</f>
        <v>413462</v>
      </c>
      <c r="G231" s="75">
        <f t="shared" si="120"/>
        <v>0</v>
      </c>
      <c r="H231" s="75">
        <f t="shared" si="120"/>
        <v>0</v>
      </c>
      <c r="I231" s="75">
        <f t="shared" si="120"/>
        <v>0</v>
      </c>
      <c r="J231" s="75">
        <f t="shared" si="120"/>
        <v>103222</v>
      </c>
      <c r="K231" s="75">
        <f t="shared" si="120"/>
        <v>1804783.5649073652</v>
      </c>
      <c r="L231" s="75">
        <f t="shared" si="120"/>
        <v>2321467.5649073655</v>
      </c>
      <c r="M231" s="101">
        <v>2321467.5649073655</v>
      </c>
      <c r="N231" s="101">
        <f t="shared" si="120"/>
        <v>2327886</v>
      </c>
      <c r="O231" s="75">
        <f t="shared" si="99"/>
        <v>6418.4350926345214</v>
      </c>
      <c r="P231" s="172"/>
      <c r="Q231" s="75">
        <f>SUM(Q232:Q234)</f>
        <v>2335378</v>
      </c>
      <c r="R231" s="75">
        <f t="shared" si="106"/>
        <v>7492</v>
      </c>
      <c r="S231" s="173"/>
      <c r="T231" s="75">
        <f>SUM(T232:T234)</f>
        <v>2312869</v>
      </c>
      <c r="U231" s="75">
        <f t="shared" si="107"/>
        <v>-22509</v>
      </c>
      <c r="V231" s="173"/>
      <c r="W231" s="75">
        <f>SUM(W232:W234)</f>
        <v>2312869</v>
      </c>
      <c r="X231" s="75">
        <f t="shared" si="108"/>
        <v>0</v>
      </c>
      <c r="Y231" s="173"/>
      <c r="Z231" s="75">
        <f>SUM(Z232:Z234)</f>
        <v>2315847</v>
      </c>
      <c r="AA231" s="75">
        <f t="shared" si="95"/>
        <v>2978</v>
      </c>
      <c r="AB231" s="173"/>
    </row>
    <row r="232" spans="2:28" ht="16.2" customHeight="1" x14ac:dyDescent="0.25">
      <c r="B232" s="92" t="s">
        <v>615</v>
      </c>
      <c r="C232" s="178" t="s">
        <v>616</v>
      </c>
      <c r="D232" s="143" t="s">
        <v>617</v>
      </c>
      <c r="E232" s="228">
        <v>0</v>
      </c>
      <c r="F232" s="228">
        <f>407268+6194</f>
        <v>413462</v>
      </c>
      <c r="G232" s="229"/>
      <c r="H232" s="229"/>
      <c r="I232" s="229"/>
      <c r="J232" s="229"/>
      <c r="K232" s="229"/>
      <c r="L232" s="229">
        <f>E232+F232+G232+H232+I232+J232+K232</f>
        <v>413462</v>
      </c>
      <c r="M232" s="230">
        <v>413462</v>
      </c>
      <c r="N232" s="230">
        <f>ROUND(M232,0)+399+324</f>
        <v>414185</v>
      </c>
      <c r="O232" s="229">
        <f t="shared" si="99"/>
        <v>723</v>
      </c>
      <c r="P232" s="71" t="s">
        <v>618</v>
      </c>
      <c r="Q232" s="229">
        <f>ROUND(N232,0)+7380+112</f>
        <v>421677</v>
      </c>
      <c r="R232" s="229">
        <f t="shared" si="106"/>
        <v>7492</v>
      </c>
      <c r="S232" s="71" t="s">
        <v>619</v>
      </c>
      <c r="T232" s="229">
        <f>ROUND(Q232,0)</f>
        <v>421677</v>
      </c>
      <c r="U232" s="229">
        <f t="shared" si="107"/>
        <v>0</v>
      </c>
      <c r="V232" s="71"/>
      <c r="W232" s="229">
        <f>ROUND(T232,0)</f>
        <v>421677</v>
      </c>
      <c r="X232" s="229">
        <f t="shared" si="108"/>
        <v>0</v>
      </c>
      <c r="Y232" s="71"/>
      <c r="Z232" s="229">
        <f>ROUND(W232,0)</f>
        <v>421677</v>
      </c>
      <c r="AA232" s="229">
        <f t="shared" si="95"/>
        <v>0</v>
      </c>
      <c r="AB232" s="71"/>
    </row>
    <row r="233" spans="2:28" ht="30" customHeight="1" x14ac:dyDescent="0.25">
      <c r="B233" s="92" t="s">
        <v>620</v>
      </c>
      <c r="C233" s="178" t="s">
        <v>621</v>
      </c>
      <c r="D233" s="143" t="s">
        <v>622</v>
      </c>
      <c r="E233" s="229"/>
      <c r="F233" s="229"/>
      <c r="G233" s="229"/>
      <c r="H233" s="229"/>
      <c r="I233" s="229"/>
      <c r="J233" s="229">
        <v>103222</v>
      </c>
      <c r="K233" s="229">
        <f>[1]BAZE_2024!G269</f>
        <v>1804783.5649073652</v>
      </c>
      <c r="L233" s="229">
        <f>E233+F233+G233+H233+I233+J233+K233</f>
        <v>1908005.5649073652</v>
      </c>
      <c r="M233" s="230">
        <v>1908005.5649073652</v>
      </c>
      <c r="N233" s="230">
        <f>ROUND(M233,0)-160317+5695</f>
        <v>1753384</v>
      </c>
      <c r="O233" s="229">
        <f t="shared" si="99"/>
        <v>-154621.56490736525</v>
      </c>
      <c r="P233" s="71" t="s">
        <v>623</v>
      </c>
      <c r="Q233" s="229">
        <f>ROUND(N233,0)-145959</f>
        <v>1607425</v>
      </c>
      <c r="R233" s="229">
        <f t="shared" si="106"/>
        <v>-145959</v>
      </c>
      <c r="S233" s="71" t="s">
        <v>624</v>
      </c>
      <c r="T233" s="229">
        <f>ROUND(Q233,0)-22509</f>
        <v>1584916</v>
      </c>
      <c r="U233" s="229">
        <f t="shared" si="107"/>
        <v>-22509</v>
      </c>
      <c r="V233" s="71" t="s">
        <v>384</v>
      </c>
      <c r="W233" s="229">
        <f>ROUND(T233,0)-7811</f>
        <v>1577105</v>
      </c>
      <c r="X233" s="229">
        <f t="shared" si="108"/>
        <v>-7811</v>
      </c>
      <c r="Y233" s="71" t="s">
        <v>625</v>
      </c>
      <c r="Z233" s="229">
        <f>ROUND(W233,0)</f>
        <v>1577105</v>
      </c>
      <c r="AA233" s="229">
        <f t="shared" si="95"/>
        <v>0</v>
      </c>
      <c r="AB233" s="71" t="s">
        <v>626</v>
      </c>
    </row>
    <row r="234" spans="2:28" ht="16.2" customHeight="1" x14ac:dyDescent="0.25">
      <c r="B234" s="92"/>
      <c r="C234" s="178" t="s">
        <v>627</v>
      </c>
      <c r="D234" s="143" t="s">
        <v>628</v>
      </c>
      <c r="E234" s="229"/>
      <c r="F234" s="229"/>
      <c r="G234" s="229"/>
      <c r="H234" s="229"/>
      <c r="I234" s="229"/>
      <c r="J234" s="229"/>
      <c r="K234" s="229"/>
      <c r="L234" s="229"/>
      <c r="M234" s="230"/>
      <c r="N234" s="230">
        <v>160317</v>
      </c>
      <c r="O234" s="229">
        <f t="shared" si="99"/>
        <v>160317</v>
      </c>
      <c r="P234" s="231"/>
      <c r="Q234" s="229">
        <f>ROUND(N234,0)+145959</f>
        <v>306276</v>
      </c>
      <c r="R234" s="229">
        <f>Q234-N234</f>
        <v>145959</v>
      </c>
      <c r="S234" s="71" t="s">
        <v>624</v>
      </c>
      <c r="T234" s="229">
        <f>ROUND(Q234,0)</f>
        <v>306276</v>
      </c>
      <c r="U234" s="229">
        <f t="shared" si="107"/>
        <v>0</v>
      </c>
      <c r="V234" s="71"/>
      <c r="W234" s="229">
        <f>ROUND(T234,0)+7811</f>
        <v>314087</v>
      </c>
      <c r="X234" s="229">
        <f t="shared" si="108"/>
        <v>7811</v>
      </c>
      <c r="Y234" s="71" t="s">
        <v>625</v>
      </c>
      <c r="Z234" s="229">
        <f>ROUND(W234,0)+2978</f>
        <v>317065</v>
      </c>
      <c r="AA234" s="229">
        <f t="shared" si="95"/>
        <v>2978</v>
      </c>
      <c r="AB234" s="71" t="s">
        <v>626</v>
      </c>
    </row>
    <row r="235" spans="2:28" ht="18" customHeight="1" x14ac:dyDescent="0.25">
      <c r="C235" s="170" t="s">
        <v>629</v>
      </c>
      <c r="D235" s="180" t="s">
        <v>630</v>
      </c>
      <c r="E235" s="75">
        <f>E236+E237+E238</f>
        <v>0</v>
      </c>
      <c r="F235" s="75">
        <f t="shared" ref="F235:N235" si="121">F236+F237+F238</f>
        <v>158733</v>
      </c>
      <c r="G235" s="75">
        <f t="shared" si="121"/>
        <v>0</v>
      </c>
      <c r="H235" s="75">
        <f t="shared" si="121"/>
        <v>0</v>
      </c>
      <c r="I235" s="75">
        <f t="shared" si="121"/>
        <v>0</v>
      </c>
      <c r="J235" s="75">
        <f t="shared" si="121"/>
        <v>0</v>
      </c>
      <c r="K235" s="75">
        <f t="shared" si="121"/>
        <v>1289102.9786112006</v>
      </c>
      <c r="L235" s="75">
        <f t="shared" si="121"/>
        <v>1447835.9786112006</v>
      </c>
      <c r="M235" s="101">
        <v>1447835.9786112006</v>
      </c>
      <c r="N235" s="101">
        <f t="shared" si="121"/>
        <v>1429177</v>
      </c>
      <c r="O235" s="75">
        <f t="shared" si="99"/>
        <v>-18658.978611200582</v>
      </c>
      <c r="P235" s="172"/>
      <c r="Q235" s="75">
        <f>Q236+Q237+Q238</f>
        <v>1432166</v>
      </c>
      <c r="R235" s="75">
        <f t="shared" si="106"/>
        <v>2989</v>
      </c>
      <c r="S235" s="173"/>
      <c r="T235" s="75">
        <f>T236+T237+T238</f>
        <v>1426182</v>
      </c>
      <c r="U235" s="75">
        <f t="shared" si="107"/>
        <v>-5984</v>
      </c>
      <c r="V235" s="173"/>
      <c r="W235" s="75">
        <f>W236+W237+W238</f>
        <v>1426182</v>
      </c>
      <c r="X235" s="75">
        <f t="shared" si="108"/>
        <v>0</v>
      </c>
      <c r="Y235" s="173"/>
      <c r="Z235" s="75">
        <f>Z236+Z237+Z238</f>
        <v>1430782</v>
      </c>
      <c r="AA235" s="75">
        <f t="shared" si="95"/>
        <v>4600</v>
      </c>
      <c r="AB235" s="173"/>
    </row>
    <row r="236" spans="2:28" ht="16.5" customHeight="1" x14ac:dyDescent="0.25">
      <c r="B236" s="92" t="s">
        <v>631</v>
      </c>
      <c r="C236" s="178" t="s">
        <v>632</v>
      </c>
      <c r="D236" s="143" t="s">
        <v>617</v>
      </c>
      <c r="E236" s="228">
        <v>0</v>
      </c>
      <c r="F236" s="228">
        <f>158733</f>
        <v>158733</v>
      </c>
      <c r="G236" s="44"/>
      <c r="H236" s="44"/>
      <c r="I236" s="44"/>
      <c r="J236" s="44"/>
      <c r="K236" s="44"/>
      <c r="L236" s="44">
        <f>E236+F236+G236+H236+I236+J236+K236</f>
        <v>158733</v>
      </c>
      <c r="M236" s="45">
        <v>158733</v>
      </c>
      <c r="N236" s="45">
        <f>ROUND(M236,0)+525</f>
        <v>159258</v>
      </c>
      <c r="O236" s="44">
        <f t="shared" si="99"/>
        <v>525</v>
      </c>
      <c r="P236" s="71" t="s">
        <v>618</v>
      </c>
      <c r="Q236" s="44">
        <f>ROUND(N236,0)+2989</f>
        <v>162247</v>
      </c>
      <c r="R236" s="44">
        <f t="shared" si="106"/>
        <v>2989</v>
      </c>
      <c r="S236" s="71" t="s">
        <v>619</v>
      </c>
      <c r="T236" s="44">
        <f>ROUND(Q236,0)</f>
        <v>162247</v>
      </c>
      <c r="U236" s="44">
        <f t="shared" si="107"/>
        <v>0</v>
      </c>
      <c r="V236" s="71"/>
      <c r="W236" s="44">
        <f>ROUND(T236,0)</f>
        <v>162247</v>
      </c>
      <c r="X236" s="44">
        <f t="shared" si="108"/>
        <v>0</v>
      </c>
      <c r="Y236" s="71"/>
      <c r="Z236" s="44">
        <f>ROUND(W236,0)</f>
        <v>162247</v>
      </c>
      <c r="AA236" s="44">
        <f t="shared" si="95"/>
        <v>0</v>
      </c>
      <c r="AB236" s="71"/>
    </row>
    <row r="237" spans="2:28" ht="13.5" customHeight="1" x14ac:dyDescent="0.25">
      <c r="B237" s="92" t="s">
        <v>633</v>
      </c>
      <c r="C237" s="178" t="s">
        <v>634</v>
      </c>
      <c r="D237" s="143" t="s">
        <v>622</v>
      </c>
      <c r="E237" s="44"/>
      <c r="F237" s="44"/>
      <c r="G237" s="44"/>
      <c r="H237" s="44"/>
      <c r="I237" s="44"/>
      <c r="J237" s="44"/>
      <c r="K237" s="44">
        <f>[1]BAZE_2024!G281</f>
        <v>1289102.9786112006</v>
      </c>
      <c r="L237" s="44">
        <f>E237+F237+G237+H237+I237+J237+K237</f>
        <v>1289102.9786112006</v>
      </c>
      <c r="M237" s="45">
        <v>1289102.9786112006</v>
      </c>
      <c r="N237" s="45">
        <f>ROUND(M237,0)-119772-19184</f>
        <v>1150147</v>
      </c>
      <c r="O237" s="44">
        <f t="shared" si="99"/>
        <v>-138955.97861120058</v>
      </c>
      <c r="P237" s="71" t="s">
        <v>623</v>
      </c>
      <c r="Q237" s="44">
        <f>ROUND(N237,0)-64977</f>
        <v>1085170</v>
      </c>
      <c r="R237" s="44">
        <f t="shared" si="106"/>
        <v>-64977</v>
      </c>
      <c r="S237" s="71" t="s">
        <v>635</v>
      </c>
      <c r="T237" s="44">
        <f>ROUND(Q237,0)-3036</f>
        <v>1082134</v>
      </c>
      <c r="U237" s="44">
        <f t="shared" si="107"/>
        <v>-3036</v>
      </c>
      <c r="V237" s="71" t="s">
        <v>384</v>
      </c>
      <c r="W237" s="44">
        <f>ROUND(T237,0)</f>
        <v>1082134</v>
      </c>
      <c r="X237" s="44">
        <f t="shared" si="108"/>
        <v>0</v>
      </c>
      <c r="Y237" s="71"/>
      <c r="Z237" s="44">
        <f>ROUND(W237,0)</f>
        <v>1082134</v>
      </c>
      <c r="AA237" s="44">
        <f t="shared" si="95"/>
        <v>0</v>
      </c>
      <c r="AB237" s="71"/>
    </row>
    <row r="238" spans="2:28" ht="13.2" customHeight="1" x14ac:dyDescent="0.25">
      <c r="B238" s="92"/>
      <c r="C238" s="178" t="s">
        <v>636</v>
      </c>
      <c r="D238" s="143" t="s">
        <v>628</v>
      </c>
      <c r="E238" s="44"/>
      <c r="F238" s="44"/>
      <c r="G238" s="44"/>
      <c r="H238" s="44"/>
      <c r="I238" s="44"/>
      <c r="J238" s="44"/>
      <c r="K238" s="44"/>
      <c r="L238" s="44"/>
      <c r="M238" s="45"/>
      <c r="N238" s="45">
        <v>119772</v>
      </c>
      <c r="O238" s="44">
        <f t="shared" si="99"/>
        <v>119772</v>
      </c>
      <c r="P238" s="70"/>
      <c r="Q238" s="44">
        <f>ROUND(N238,0)+64977</f>
        <v>184749</v>
      </c>
      <c r="R238" s="44">
        <f>Q238-N238</f>
        <v>64977</v>
      </c>
      <c r="S238" s="71" t="s">
        <v>635</v>
      </c>
      <c r="T238" s="44">
        <f>ROUND(Q238,0)-2948</f>
        <v>181801</v>
      </c>
      <c r="U238" s="44">
        <f t="shared" si="107"/>
        <v>-2948</v>
      </c>
      <c r="V238" s="71" t="s">
        <v>384</v>
      </c>
      <c r="W238" s="44">
        <f>ROUND(T238,0)</f>
        <v>181801</v>
      </c>
      <c r="X238" s="44">
        <f>W238-T238</f>
        <v>0</v>
      </c>
      <c r="Y238" s="71"/>
      <c r="Z238" s="44">
        <f>ROUND(W238,0)+4600</f>
        <v>186401</v>
      </c>
      <c r="AA238" s="44">
        <f t="shared" si="95"/>
        <v>4600</v>
      </c>
      <c r="AB238" s="71" t="s">
        <v>637</v>
      </c>
    </row>
    <row r="239" spans="2:28" ht="18" customHeight="1" x14ac:dyDescent="0.25">
      <c r="C239" s="232" t="s">
        <v>638</v>
      </c>
      <c r="D239" s="180" t="s">
        <v>639</v>
      </c>
      <c r="E239" s="75">
        <f>E240+E241+E242</f>
        <v>0</v>
      </c>
      <c r="F239" s="75">
        <f t="shared" ref="F239:K239" si="122">F240+F241+F242</f>
        <v>238164</v>
      </c>
      <c r="G239" s="75">
        <f t="shared" si="122"/>
        <v>0</v>
      </c>
      <c r="H239" s="75">
        <f t="shared" si="122"/>
        <v>0</v>
      </c>
      <c r="I239" s="75">
        <f t="shared" si="122"/>
        <v>154032</v>
      </c>
      <c r="J239" s="75">
        <f t="shared" si="122"/>
        <v>10900</v>
      </c>
      <c r="K239" s="75">
        <f t="shared" si="122"/>
        <v>1191033.4529886562</v>
      </c>
      <c r="L239" s="75">
        <f>L240+L241+L242</f>
        <v>1594129.4529886562</v>
      </c>
      <c r="M239" s="101">
        <v>1594129.4529886562</v>
      </c>
      <c r="N239" s="101">
        <f>N240+N241+N242</f>
        <v>1595142</v>
      </c>
      <c r="O239" s="75">
        <f t="shared" si="99"/>
        <v>1012.5470113437623</v>
      </c>
      <c r="P239" s="172"/>
      <c r="Q239" s="75">
        <f>Q240+Q241+Q242</f>
        <v>1599680</v>
      </c>
      <c r="R239" s="75">
        <f t="shared" si="106"/>
        <v>4538</v>
      </c>
      <c r="S239" s="173"/>
      <c r="T239" s="75">
        <f>T240+T241+T242</f>
        <v>1599680</v>
      </c>
      <c r="U239" s="75">
        <f t="shared" si="107"/>
        <v>0</v>
      </c>
      <c r="V239" s="173"/>
      <c r="W239" s="75">
        <f>W240+W241+W242</f>
        <v>1602830</v>
      </c>
      <c r="X239" s="75">
        <f t="shared" si="108"/>
        <v>3150</v>
      </c>
      <c r="Y239" s="173"/>
      <c r="Z239" s="75">
        <f>Z240+Z241+Z242</f>
        <v>1614666</v>
      </c>
      <c r="AA239" s="75">
        <f t="shared" si="95"/>
        <v>11836</v>
      </c>
      <c r="AB239" s="173"/>
    </row>
    <row r="240" spans="2:28" ht="13.5" customHeight="1" x14ac:dyDescent="0.25">
      <c r="B240" s="1" t="s">
        <v>640</v>
      </c>
      <c r="C240" s="178" t="s">
        <v>641</v>
      </c>
      <c r="D240" s="143" t="s">
        <v>617</v>
      </c>
      <c r="E240" s="228">
        <v>0</v>
      </c>
      <c r="F240" s="228">
        <f>238164</f>
        <v>238164</v>
      </c>
      <c r="G240" s="44"/>
      <c r="H240" s="44"/>
      <c r="I240" s="44"/>
      <c r="J240" s="44"/>
      <c r="K240" s="44"/>
      <c r="L240" s="44">
        <f>E240+F240+G240+H240+I240+J240+K240</f>
        <v>238164</v>
      </c>
      <c r="M240" s="45">
        <v>238164</v>
      </c>
      <c r="N240" s="45">
        <f>ROUND(M240,0)+1013</f>
        <v>239177</v>
      </c>
      <c r="O240" s="44">
        <f t="shared" si="99"/>
        <v>1013</v>
      </c>
      <c r="P240" s="71" t="s">
        <v>618</v>
      </c>
      <c r="Q240" s="44">
        <f>ROUND(N240,0)+4538</f>
        <v>243715</v>
      </c>
      <c r="R240" s="44">
        <f t="shared" si="106"/>
        <v>4538</v>
      </c>
      <c r="S240" s="47" t="s">
        <v>642</v>
      </c>
      <c r="T240" s="44">
        <f>ROUND(Q240,0)</f>
        <v>243715</v>
      </c>
      <c r="U240" s="44">
        <f t="shared" si="107"/>
        <v>0</v>
      </c>
      <c r="V240" s="71"/>
      <c r="W240" s="44">
        <f>ROUND(T240,0)</f>
        <v>243715</v>
      </c>
      <c r="X240" s="44">
        <f t="shared" si="108"/>
        <v>0</v>
      </c>
      <c r="Y240" s="71"/>
      <c r="Z240" s="44">
        <f>ROUND(W240,0)</f>
        <v>243715</v>
      </c>
      <c r="AA240" s="44">
        <f t="shared" si="95"/>
        <v>0</v>
      </c>
      <c r="AB240" s="71"/>
    </row>
    <row r="241" spans="2:28" ht="63" customHeight="1" x14ac:dyDescent="0.25">
      <c r="B241" s="1" t="s">
        <v>643</v>
      </c>
      <c r="C241" s="178" t="s">
        <v>644</v>
      </c>
      <c r="D241" s="143" t="s">
        <v>622</v>
      </c>
      <c r="E241" s="44"/>
      <c r="F241" s="44"/>
      <c r="G241" s="44"/>
      <c r="H241" s="44"/>
      <c r="I241" s="44"/>
      <c r="J241" s="44">
        <v>10900</v>
      </c>
      <c r="K241" s="44">
        <f>[1]BAZE_2024!G288-I242</f>
        <v>1191033.4529886562</v>
      </c>
      <c r="L241" s="44">
        <f>E241+F241+G241+H241+I241+J241+K241</f>
        <v>1201933.4529886562</v>
      </c>
      <c r="M241" s="45">
        <v>1201933.4529886562</v>
      </c>
      <c r="N241" s="45">
        <f>ROUND(M241,0)-10900</f>
        <v>1191033</v>
      </c>
      <c r="O241" s="44">
        <f t="shared" si="99"/>
        <v>-10900.452988656238</v>
      </c>
      <c r="P241" s="275" t="s">
        <v>645</v>
      </c>
      <c r="Q241" s="44">
        <f>ROUND(N241,0)</f>
        <v>1191033</v>
      </c>
      <c r="R241" s="44">
        <f t="shared" si="106"/>
        <v>0</v>
      </c>
      <c r="S241" s="71"/>
      <c r="T241" s="44">
        <f>ROUND(Q241,0)</f>
        <v>1191033</v>
      </c>
      <c r="U241" s="44">
        <f t="shared" si="107"/>
        <v>0</v>
      </c>
      <c r="V241" s="71"/>
      <c r="W241" s="44">
        <f>ROUND(T241,0)+3150</f>
        <v>1194183</v>
      </c>
      <c r="X241" s="44">
        <f t="shared" si="108"/>
        <v>3150</v>
      </c>
      <c r="Y241" s="71" t="s">
        <v>646</v>
      </c>
      <c r="Z241" s="44">
        <f>ROUND(W241,0)+2300+9536</f>
        <v>1206019</v>
      </c>
      <c r="AA241" s="44">
        <f t="shared" si="95"/>
        <v>11836</v>
      </c>
      <c r="AB241" s="71" t="s">
        <v>647</v>
      </c>
    </row>
    <row r="242" spans="2:28" ht="17.399999999999999" customHeight="1" x14ac:dyDescent="0.25">
      <c r="C242" s="178" t="s">
        <v>648</v>
      </c>
      <c r="D242" s="143" t="s">
        <v>628</v>
      </c>
      <c r="E242" s="44"/>
      <c r="F242" s="44"/>
      <c r="G242" s="44"/>
      <c r="H242" s="44"/>
      <c r="I242" s="96">
        <f>[1]BAZE_2024!G291</f>
        <v>154032</v>
      </c>
      <c r="J242" s="44"/>
      <c r="K242" s="44"/>
      <c r="L242" s="44">
        <f>E242+F242+G242+H242+I242+J242+K242</f>
        <v>154032</v>
      </c>
      <c r="M242" s="45">
        <v>154032</v>
      </c>
      <c r="N242" s="45">
        <f>ROUND(M242,0)+10900</f>
        <v>164932</v>
      </c>
      <c r="O242" s="44">
        <f>N242-M242</f>
        <v>10900</v>
      </c>
      <c r="P242" s="276"/>
      <c r="Q242" s="44">
        <f>ROUND(N242,0)</f>
        <v>164932</v>
      </c>
      <c r="R242" s="44">
        <f t="shared" si="106"/>
        <v>0</v>
      </c>
      <c r="S242" s="71"/>
      <c r="T242" s="44">
        <f>ROUND(Q242,0)</f>
        <v>164932</v>
      </c>
      <c r="U242" s="44">
        <f t="shared" si="107"/>
        <v>0</v>
      </c>
      <c r="V242" s="71"/>
      <c r="W242" s="44">
        <f>ROUND(T242,0)</f>
        <v>164932</v>
      </c>
      <c r="X242" s="44">
        <f t="shared" si="108"/>
        <v>0</v>
      </c>
      <c r="Y242" s="71"/>
      <c r="Z242" s="44">
        <f>ROUND(W242,0)</f>
        <v>164932</v>
      </c>
      <c r="AA242" s="44">
        <f t="shared" si="95"/>
        <v>0</v>
      </c>
      <c r="AB242" s="71"/>
    </row>
    <row r="243" spans="2:28" x14ac:dyDescent="0.25">
      <c r="B243" s="1" t="s">
        <v>649</v>
      </c>
      <c r="C243" s="232" t="s">
        <v>650</v>
      </c>
      <c r="D243" s="180" t="s">
        <v>651</v>
      </c>
      <c r="E243" s="75">
        <f>SUM(E244:E246)</f>
        <v>0</v>
      </c>
      <c r="F243" s="75">
        <f t="shared" ref="F243:N243" si="123">SUM(F244:F246)</f>
        <v>152284</v>
      </c>
      <c r="G243" s="75">
        <f t="shared" si="123"/>
        <v>0</v>
      </c>
      <c r="H243" s="75">
        <f t="shared" si="123"/>
        <v>0</v>
      </c>
      <c r="I243" s="75">
        <f t="shared" si="123"/>
        <v>144835</v>
      </c>
      <c r="J243" s="75">
        <f t="shared" si="123"/>
        <v>0</v>
      </c>
      <c r="K243" s="75">
        <f t="shared" si="123"/>
        <v>1154321.1020564402</v>
      </c>
      <c r="L243" s="75">
        <f t="shared" si="123"/>
        <v>1451440.1020564402</v>
      </c>
      <c r="M243" s="101">
        <v>1451440.1020564402</v>
      </c>
      <c r="N243" s="101">
        <f t="shared" si="123"/>
        <v>1453093</v>
      </c>
      <c r="O243" s="75">
        <f t="shared" si="99"/>
        <v>1652.8979435598012</v>
      </c>
      <c r="P243" s="172"/>
      <c r="Q243" s="75">
        <f>SUM(Q244:Q246)</f>
        <v>1456118</v>
      </c>
      <c r="R243" s="75">
        <f t="shared" si="106"/>
        <v>3025</v>
      </c>
      <c r="S243" s="173"/>
      <c r="T243" s="75">
        <f>SUM(T244:T246)</f>
        <v>1451590</v>
      </c>
      <c r="U243" s="75">
        <f t="shared" si="107"/>
        <v>-4528</v>
      </c>
      <c r="V243" s="173"/>
      <c r="W243" s="75">
        <f>SUM(W244:W246)</f>
        <v>1451590</v>
      </c>
      <c r="X243" s="75">
        <f t="shared" si="108"/>
        <v>0</v>
      </c>
      <c r="Y243" s="173"/>
      <c r="Z243" s="75">
        <f>SUM(Z244:Z246)</f>
        <v>1451590</v>
      </c>
      <c r="AA243" s="75">
        <f t="shared" si="95"/>
        <v>0</v>
      </c>
      <c r="AB243" s="173"/>
    </row>
    <row r="244" spans="2:28" s="234" customFormat="1" ht="17.25" customHeight="1" x14ac:dyDescent="0.25">
      <c r="B244" s="233" t="s">
        <v>652</v>
      </c>
      <c r="C244" s="178" t="s">
        <v>653</v>
      </c>
      <c r="D244" s="143" t="s">
        <v>617</v>
      </c>
      <c r="E244" s="228">
        <v>0</v>
      </c>
      <c r="F244" s="228">
        <f>152284</f>
        <v>152284</v>
      </c>
      <c r="G244" s="229"/>
      <c r="H244" s="229"/>
      <c r="I244" s="229"/>
      <c r="J244" s="229"/>
      <c r="K244" s="229"/>
      <c r="L244" s="44">
        <f>E244+F244+G244+H244+I244+J244+K244</f>
        <v>152284</v>
      </c>
      <c r="M244" s="45">
        <v>152284</v>
      </c>
      <c r="N244" s="45">
        <f>ROUND(M244,0)+1917-264</f>
        <v>153937</v>
      </c>
      <c r="O244" s="229">
        <f t="shared" si="99"/>
        <v>1653</v>
      </c>
      <c r="P244" s="71" t="s">
        <v>618</v>
      </c>
      <c r="Q244" s="44">
        <f>ROUND(N244,0)+3025</f>
        <v>156962</v>
      </c>
      <c r="R244" s="229">
        <f t="shared" si="106"/>
        <v>3025</v>
      </c>
      <c r="S244" s="47" t="s">
        <v>642</v>
      </c>
      <c r="T244" s="44">
        <f>ROUND(Q244,0)</f>
        <v>156962</v>
      </c>
      <c r="U244" s="229">
        <f t="shared" si="107"/>
        <v>0</v>
      </c>
      <c r="V244" s="47"/>
      <c r="W244" s="44">
        <f>ROUND(T244,0)</f>
        <v>156962</v>
      </c>
      <c r="X244" s="229">
        <f t="shared" si="108"/>
        <v>0</v>
      </c>
      <c r="Y244" s="47"/>
      <c r="Z244" s="44">
        <f>ROUND(W244,0)</f>
        <v>156962</v>
      </c>
      <c r="AA244" s="229">
        <f t="shared" si="95"/>
        <v>0</v>
      </c>
      <c r="AB244" s="47"/>
    </row>
    <row r="245" spans="2:28" s="234" customFormat="1" ht="15.6" customHeight="1" x14ac:dyDescent="0.25">
      <c r="C245" s="178" t="s">
        <v>654</v>
      </c>
      <c r="D245" s="143" t="s">
        <v>622</v>
      </c>
      <c r="E245" s="229"/>
      <c r="F245" s="229"/>
      <c r="G245" s="229"/>
      <c r="H245" s="229"/>
      <c r="I245" s="229"/>
      <c r="J245" s="229"/>
      <c r="K245" s="229">
        <f>[1]BAZE_2024!G295-I246</f>
        <v>1154321.1020564402</v>
      </c>
      <c r="L245" s="44">
        <f>E245+F245+G245+H245+I245+J245+K245</f>
        <v>1154321.1020564402</v>
      </c>
      <c r="M245" s="45">
        <v>1154321.1020564402</v>
      </c>
      <c r="N245" s="45">
        <f>ROUND(M245,0)</f>
        <v>1154321</v>
      </c>
      <c r="O245" s="229">
        <f t="shared" si="99"/>
        <v>-0.10205644019879401</v>
      </c>
      <c r="P245" s="70"/>
      <c r="Q245" s="44">
        <f>ROUND(N245,0)</f>
        <v>1154321</v>
      </c>
      <c r="R245" s="229">
        <f t="shared" si="106"/>
        <v>0</v>
      </c>
      <c r="S245" s="47"/>
      <c r="T245" s="44">
        <f>ROUND(Q245,0)-4528</f>
        <v>1149793</v>
      </c>
      <c r="U245" s="229">
        <f t="shared" si="107"/>
        <v>-4528</v>
      </c>
      <c r="V245" s="47" t="s">
        <v>384</v>
      </c>
      <c r="W245" s="44">
        <f>ROUND(T245,0)</f>
        <v>1149793</v>
      </c>
      <c r="X245" s="229">
        <f t="shared" si="108"/>
        <v>0</v>
      </c>
      <c r="Y245" s="47"/>
      <c r="Z245" s="44">
        <f>ROUND(W245,0)</f>
        <v>1149793</v>
      </c>
      <c r="AA245" s="229">
        <f t="shared" si="95"/>
        <v>0</v>
      </c>
      <c r="AB245" s="47"/>
    </row>
    <row r="246" spans="2:28" s="234" customFormat="1" ht="13.95" customHeight="1" x14ac:dyDescent="0.25">
      <c r="C246" s="178" t="s">
        <v>655</v>
      </c>
      <c r="D246" s="143" t="s">
        <v>628</v>
      </c>
      <c r="E246" s="229"/>
      <c r="F246" s="229"/>
      <c r="G246" s="229"/>
      <c r="H246" s="229"/>
      <c r="I246" s="96">
        <f>[1]BAZE_2024!G298</f>
        <v>144835</v>
      </c>
      <c r="J246" s="229"/>
      <c r="K246" s="229"/>
      <c r="L246" s="44">
        <f>E246+F246+G246+H246+I246+J246+K246</f>
        <v>144835</v>
      </c>
      <c r="M246" s="45">
        <v>144835</v>
      </c>
      <c r="N246" s="45">
        <f>ROUND(M246,0)</f>
        <v>144835</v>
      </c>
      <c r="O246" s="229">
        <f>N246-M246</f>
        <v>0</v>
      </c>
      <c r="P246" s="70"/>
      <c r="Q246" s="44">
        <f>ROUND(N246,0)</f>
        <v>144835</v>
      </c>
      <c r="R246" s="229">
        <f t="shared" si="106"/>
        <v>0</v>
      </c>
      <c r="S246" s="71"/>
      <c r="T246" s="44">
        <f>ROUND(Q246,0)</f>
        <v>144835</v>
      </c>
      <c r="U246" s="229">
        <f t="shared" si="107"/>
        <v>0</v>
      </c>
      <c r="V246" s="71"/>
      <c r="W246" s="44">
        <f>ROUND(T246,0)</f>
        <v>144835</v>
      </c>
      <c r="X246" s="229">
        <f t="shared" si="108"/>
        <v>0</v>
      </c>
      <c r="Y246" s="71"/>
      <c r="Z246" s="44">
        <f>ROUND(W246,0)</f>
        <v>144835</v>
      </c>
      <c r="AA246" s="229">
        <f t="shared" si="95"/>
        <v>0</v>
      </c>
      <c r="AB246" s="71"/>
    </row>
    <row r="247" spans="2:28" x14ac:dyDescent="0.25">
      <c r="C247" s="232" t="s">
        <v>656</v>
      </c>
      <c r="D247" s="180" t="s">
        <v>657</v>
      </c>
      <c r="E247" s="75">
        <f t="shared" ref="E247:J247" si="124">(E248+E249+E250)</f>
        <v>0</v>
      </c>
      <c r="F247" s="75">
        <f t="shared" si="124"/>
        <v>77879</v>
      </c>
      <c r="G247" s="75">
        <f t="shared" si="124"/>
        <v>0</v>
      </c>
      <c r="H247" s="75">
        <f t="shared" si="124"/>
        <v>0</v>
      </c>
      <c r="I247" s="75">
        <f>(I248+I249+I250)</f>
        <v>0</v>
      </c>
      <c r="J247" s="75">
        <f t="shared" si="124"/>
        <v>0</v>
      </c>
      <c r="K247" s="75">
        <f>(K248+K249+K250)</f>
        <v>2783810.5</v>
      </c>
      <c r="L247" s="75">
        <f>L248+L249+L250</f>
        <v>2861689.5</v>
      </c>
      <c r="M247" s="101">
        <v>2861690</v>
      </c>
      <c r="N247" s="101">
        <f>N248+N249+N250</f>
        <v>2818998</v>
      </c>
      <c r="O247" s="75">
        <f t="shared" si="99"/>
        <v>-42692</v>
      </c>
      <c r="P247" s="172"/>
      <c r="Q247" s="75">
        <f>Q248+Q249+Q250</f>
        <v>2827823</v>
      </c>
      <c r="R247" s="75">
        <f t="shared" si="106"/>
        <v>8825</v>
      </c>
      <c r="S247" s="173"/>
      <c r="T247" s="75">
        <f>T248+T249+T250</f>
        <v>2827823</v>
      </c>
      <c r="U247" s="75">
        <f t="shared" si="107"/>
        <v>0</v>
      </c>
      <c r="V247" s="173"/>
      <c r="W247" s="75">
        <f>W248+W249+W250</f>
        <v>2827823</v>
      </c>
      <c r="X247" s="75">
        <f t="shared" si="108"/>
        <v>0</v>
      </c>
      <c r="Y247" s="173"/>
      <c r="Z247" s="75">
        <f>Z248+Z249+Z250</f>
        <v>3046262</v>
      </c>
      <c r="AA247" s="75">
        <f t="shared" si="95"/>
        <v>218439</v>
      </c>
      <c r="AB247" s="173" t="s">
        <v>293</v>
      </c>
    </row>
    <row r="248" spans="2:28" s="234" customFormat="1" ht="16.95" customHeight="1" x14ac:dyDescent="0.25">
      <c r="B248" s="233" t="s">
        <v>658</v>
      </c>
      <c r="C248" s="235" t="s">
        <v>659</v>
      </c>
      <c r="D248" s="236" t="s">
        <v>660</v>
      </c>
      <c r="E248" s="44"/>
      <c r="F248" s="229">
        <f>44403+33476</f>
        <v>77879</v>
      </c>
      <c r="G248" s="229"/>
      <c r="H248" s="229"/>
      <c r="I248" s="229"/>
      <c r="J248" s="229"/>
      <c r="K248" s="229">
        <f>[1]BAZE_2024!G310</f>
        <v>755440.5</v>
      </c>
      <c r="L248" s="44">
        <f>E248+F248+G248+H248+I248+J248+K248</f>
        <v>833319.5</v>
      </c>
      <c r="M248" s="45">
        <v>833320</v>
      </c>
      <c r="N248" s="45">
        <f>ROUND(M248,0)-44403+1711</f>
        <v>790628</v>
      </c>
      <c r="O248" s="229">
        <f t="shared" si="99"/>
        <v>-42692</v>
      </c>
      <c r="P248" s="100" t="s">
        <v>661</v>
      </c>
      <c r="Q248" s="44">
        <f>ROUND(N248,0)+8825</f>
        <v>799453</v>
      </c>
      <c r="R248" s="229">
        <f t="shared" si="106"/>
        <v>8825</v>
      </c>
      <c r="S248" s="211" t="s">
        <v>662</v>
      </c>
      <c r="T248" s="44">
        <f>ROUND(Q248,0)</f>
        <v>799453</v>
      </c>
      <c r="U248" s="229">
        <f t="shared" si="107"/>
        <v>0</v>
      </c>
      <c r="V248" s="47"/>
      <c r="W248" s="44">
        <f>ROUND(T248,0)</f>
        <v>799453</v>
      </c>
      <c r="X248" s="229">
        <f t="shared" si="108"/>
        <v>0</v>
      </c>
      <c r="Y248" s="47"/>
      <c r="Z248" s="44">
        <f>ROUND(W248,0)-179115</f>
        <v>620338</v>
      </c>
      <c r="AA248" s="229">
        <f t="shared" si="95"/>
        <v>-179115</v>
      </c>
      <c r="AB248" s="47" t="s">
        <v>293</v>
      </c>
    </row>
    <row r="249" spans="2:28" s="234" customFormat="1" ht="16.2" customHeight="1" x14ac:dyDescent="0.25">
      <c r="B249" s="233" t="s">
        <v>663</v>
      </c>
      <c r="C249" s="235" t="s">
        <v>664</v>
      </c>
      <c r="D249" s="236" t="s">
        <v>665</v>
      </c>
      <c r="E249" s="229"/>
      <c r="F249" s="229"/>
      <c r="G249" s="229"/>
      <c r="H249" s="229"/>
      <c r="I249" s="229"/>
      <c r="J249" s="229"/>
      <c r="K249" s="229">
        <f>[1]BAZE_2024!G313</f>
        <v>1865620</v>
      </c>
      <c r="L249" s="44">
        <f>E249+F249+G249+H249+I249+J249+K249</f>
        <v>1865620</v>
      </c>
      <c r="M249" s="45">
        <v>1865620</v>
      </c>
      <c r="N249" s="45">
        <f>ROUND(M249,0)</f>
        <v>1865620</v>
      </c>
      <c r="O249" s="229">
        <f t="shared" si="99"/>
        <v>0</v>
      </c>
      <c r="P249" s="46"/>
      <c r="Q249" s="44">
        <f>ROUND(N249,0)</f>
        <v>1865620</v>
      </c>
      <c r="R249" s="229">
        <f t="shared" si="106"/>
        <v>0</v>
      </c>
      <c r="S249" s="47"/>
      <c r="T249" s="44">
        <f>ROUND(Q249,0)</f>
        <v>1865620</v>
      </c>
      <c r="U249" s="229">
        <f t="shared" si="107"/>
        <v>0</v>
      </c>
      <c r="V249" s="47"/>
      <c r="W249" s="44">
        <f>ROUND(T249,0)</f>
        <v>1865620</v>
      </c>
      <c r="X249" s="229">
        <f t="shared" si="108"/>
        <v>0</v>
      </c>
      <c r="Y249" s="47"/>
      <c r="Z249" s="44">
        <f>ROUND(W249,0)+338737</f>
        <v>2204357</v>
      </c>
      <c r="AA249" s="229">
        <f t="shared" si="95"/>
        <v>338737</v>
      </c>
      <c r="AB249" s="47" t="s">
        <v>293</v>
      </c>
    </row>
    <row r="250" spans="2:28" x14ac:dyDescent="0.25">
      <c r="B250" s="92" t="s">
        <v>666</v>
      </c>
      <c r="C250" s="178" t="s">
        <v>667</v>
      </c>
      <c r="D250" s="143" t="s">
        <v>668</v>
      </c>
      <c r="E250" s="229"/>
      <c r="F250" s="229"/>
      <c r="G250" s="229"/>
      <c r="H250" s="229"/>
      <c r="I250" s="229"/>
      <c r="J250" s="229"/>
      <c r="K250" s="229">
        <f>[1]BAZE_2024!G314</f>
        <v>162750</v>
      </c>
      <c r="L250" s="44">
        <f>E250+F250+G250+H250+I250+J250+K250</f>
        <v>162750</v>
      </c>
      <c r="M250" s="45">
        <v>162750</v>
      </c>
      <c r="N250" s="45">
        <f>ROUND(M250,0)</f>
        <v>162750</v>
      </c>
      <c r="O250" s="229">
        <f t="shared" si="99"/>
        <v>0</v>
      </c>
      <c r="P250" s="46"/>
      <c r="Q250" s="44">
        <f>ROUND(N250,0)</f>
        <v>162750</v>
      </c>
      <c r="R250" s="229">
        <f t="shared" si="106"/>
        <v>0</v>
      </c>
      <c r="S250" s="47"/>
      <c r="T250" s="44">
        <f>ROUND(Q250,0)</f>
        <v>162750</v>
      </c>
      <c r="U250" s="229">
        <f t="shared" si="107"/>
        <v>0</v>
      </c>
      <c r="V250" s="47"/>
      <c r="W250" s="44">
        <f>ROUND(T250,0)</f>
        <v>162750</v>
      </c>
      <c r="X250" s="229">
        <f t="shared" si="108"/>
        <v>0</v>
      </c>
      <c r="Y250" s="47"/>
      <c r="Z250" s="44">
        <f>ROUND(W250,0)+58817</f>
        <v>221567</v>
      </c>
      <c r="AA250" s="229">
        <f t="shared" si="95"/>
        <v>58817</v>
      </c>
      <c r="AB250" s="47" t="s">
        <v>293</v>
      </c>
    </row>
    <row r="251" spans="2:28" s="161" customFormat="1" ht="15.75" customHeight="1" x14ac:dyDescent="0.25">
      <c r="C251" s="232" t="s">
        <v>669</v>
      </c>
      <c r="D251" s="180" t="s">
        <v>793</v>
      </c>
      <c r="E251" s="181">
        <f>E252+E256+E257+E258+E259+E260+E261</f>
        <v>0</v>
      </c>
      <c r="F251" s="181">
        <f t="shared" ref="F251:L251" si="125">F252+F256+F257+F258+F259+F260+F261</f>
        <v>1180262</v>
      </c>
      <c r="G251" s="181">
        <f t="shared" si="125"/>
        <v>15469</v>
      </c>
      <c r="H251" s="181">
        <f t="shared" si="125"/>
        <v>0</v>
      </c>
      <c r="I251" s="181">
        <f t="shared" si="125"/>
        <v>283797</v>
      </c>
      <c r="J251" s="181">
        <f t="shared" si="125"/>
        <v>63010</v>
      </c>
      <c r="K251" s="181">
        <f t="shared" si="125"/>
        <v>596962.47414999991</v>
      </c>
      <c r="L251" s="181">
        <f t="shared" si="125"/>
        <v>2139500.4741500001</v>
      </c>
      <c r="M251" s="182">
        <v>2139500.4741500001</v>
      </c>
      <c r="N251" s="182">
        <f>N252+N256+N257+N258+N259+N260+N261</f>
        <v>2133236</v>
      </c>
      <c r="O251" s="181">
        <f t="shared" si="99"/>
        <v>-6264.4741500001401</v>
      </c>
      <c r="P251" s="191"/>
      <c r="Q251" s="181">
        <f>Q252+Q256+Q257+Q258+Q259+Q260+Q261</f>
        <v>2205896</v>
      </c>
      <c r="R251" s="181">
        <f t="shared" si="106"/>
        <v>72660</v>
      </c>
      <c r="S251" s="192"/>
      <c r="T251" s="181">
        <f>T252+T256+T257+T258+T259+T260+T261</f>
        <v>2200705</v>
      </c>
      <c r="U251" s="181">
        <f t="shared" si="107"/>
        <v>-5191</v>
      </c>
      <c r="V251" s="192"/>
      <c r="W251" s="181">
        <f>W252+W256+W257+W258+W259+W260+W261</f>
        <v>2200705</v>
      </c>
      <c r="X251" s="181">
        <f t="shared" si="108"/>
        <v>0</v>
      </c>
      <c r="Y251" s="192"/>
      <c r="Z251" s="181">
        <f>Z252+Z256+Z257+Z258+Z259+Z260+Z261</f>
        <v>2246805</v>
      </c>
      <c r="AA251" s="181">
        <f t="shared" si="95"/>
        <v>46100</v>
      </c>
      <c r="AB251" s="192"/>
    </row>
    <row r="252" spans="2:28" s="41" customFormat="1" ht="17.25" customHeight="1" x14ac:dyDescent="0.25">
      <c r="B252" s="65" t="s">
        <v>670</v>
      </c>
      <c r="C252" s="178" t="s">
        <v>671</v>
      </c>
      <c r="D252" s="143" t="s">
        <v>617</v>
      </c>
      <c r="E252" s="44">
        <v>0</v>
      </c>
      <c r="F252" s="44">
        <f>1070901+56200</f>
        <v>1127101</v>
      </c>
      <c r="G252" s="44"/>
      <c r="H252" s="44"/>
      <c r="I252" s="44"/>
      <c r="J252" s="44"/>
      <c r="K252" s="44"/>
      <c r="L252" s="44">
        <f t="shared" ref="L252:L276" si="126">E252+F252+G252+H252+I252+J252+K252</f>
        <v>1127101</v>
      </c>
      <c r="M252" s="45">
        <v>1127101</v>
      </c>
      <c r="N252" s="45">
        <f>N253+N254+N255</f>
        <v>1201531</v>
      </c>
      <c r="O252" s="44">
        <f t="shared" si="99"/>
        <v>74430</v>
      </c>
      <c r="P252" s="100" t="s">
        <v>661</v>
      </c>
      <c r="Q252" s="44">
        <f>Q253+Q254+Q255</f>
        <v>1239539</v>
      </c>
      <c r="R252" s="44">
        <f t="shared" si="106"/>
        <v>38008</v>
      </c>
      <c r="S252" s="71"/>
      <c r="T252" s="44">
        <f>T253+T254+T255</f>
        <v>1239539</v>
      </c>
      <c r="U252" s="44">
        <f t="shared" si="107"/>
        <v>0</v>
      </c>
      <c r="V252" s="71"/>
      <c r="W252" s="44">
        <f>W253+W254+W255</f>
        <v>1239539</v>
      </c>
      <c r="X252" s="44">
        <f t="shared" si="108"/>
        <v>0</v>
      </c>
      <c r="Y252" s="71"/>
      <c r="Z252" s="44">
        <f>Z253+Z254+Z255</f>
        <v>1239539</v>
      </c>
      <c r="AA252" s="44">
        <f t="shared" si="95"/>
        <v>0</v>
      </c>
      <c r="AB252" s="71"/>
    </row>
    <row r="253" spans="2:28" s="240" customFormat="1" ht="17.25" customHeight="1" x14ac:dyDescent="0.25">
      <c r="B253" s="237"/>
      <c r="C253" s="198" t="s">
        <v>672</v>
      </c>
      <c r="D253" s="199" t="s">
        <v>673</v>
      </c>
      <c r="E253" s="200"/>
      <c r="F253" s="200"/>
      <c r="G253" s="200"/>
      <c r="H253" s="200"/>
      <c r="I253" s="200"/>
      <c r="J253" s="200"/>
      <c r="K253" s="200"/>
      <c r="L253" s="200"/>
      <c r="M253" s="238">
        <v>1070901</v>
      </c>
      <c r="N253" s="238">
        <f>1070901+22307</f>
        <v>1093208</v>
      </c>
      <c r="O253" s="200">
        <f t="shared" si="99"/>
        <v>22307</v>
      </c>
      <c r="P253" s="239" t="s">
        <v>661</v>
      </c>
      <c r="Q253" s="200">
        <f t="shared" ref="Q253:Q262" si="127">ROUND(N253,0)</f>
        <v>1093208</v>
      </c>
      <c r="R253" s="200">
        <f t="shared" si="106"/>
        <v>0</v>
      </c>
      <c r="S253" s="211"/>
      <c r="T253" s="200">
        <f>ROUND(Q253,0)</f>
        <v>1093208</v>
      </c>
      <c r="U253" s="44">
        <f t="shared" si="107"/>
        <v>0</v>
      </c>
      <c r="V253" s="211"/>
      <c r="W253" s="200">
        <f>ROUND(T253,0)</f>
        <v>1093208</v>
      </c>
      <c r="X253" s="200">
        <f>W253-T253</f>
        <v>0</v>
      </c>
      <c r="Y253" s="211"/>
      <c r="Z253" s="200">
        <f t="shared" ref="Z253:Z262" si="128">ROUND(W253,0)</f>
        <v>1093208</v>
      </c>
      <c r="AA253" s="200">
        <f t="shared" si="95"/>
        <v>0</v>
      </c>
      <c r="AB253" s="211"/>
    </row>
    <row r="254" spans="2:28" s="240" customFormat="1" ht="19.95" customHeight="1" x14ac:dyDescent="0.25">
      <c r="B254" s="237"/>
      <c r="C254" s="198" t="s">
        <v>674</v>
      </c>
      <c r="D254" s="199" t="s">
        <v>675</v>
      </c>
      <c r="E254" s="200"/>
      <c r="F254" s="200"/>
      <c r="G254" s="200"/>
      <c r="H254" s="200"/>
      <c r="I254" s="200"/>
      <c r="J254" s="200"/>
      <c r="K254" s="200"/>
      <c r="L254" s="200"/>
      <c r="M254" s="238">
        <v>56200</v>
      </c>
      <c r="N254" s="238">
        <f>56200+52004-31</f>
        <v>108173</v>
      </c>
      <c r="O254" s="200">
        <f t="shared" si="99"/>
        <v>51973</v>
      </c>
      <c r="P254" s="239" t="s">
        <v>661</v>
      </c>
      <c r="Q254" s="200">
        <f>ROUND(N254,0)+18425</f>
        <v>126598</v>
      </c>
      <c r="R254" s="200">
        <f t="shared" si="106"/>
        <v>18425</v>
      </c>
      <c r="S254" s="211" t="s">
        <v>662</v>
      </c>
      <c r="T254" s="200">
        <f>ROUND(Q254,0)</f>
        <v>126598</v>
      </c>
      <c r="U254" s="44">
        <f t="shared" si="107"/>
        <v>0</v>
      </c>
      <c r="V254" s="211"/>
      <c r="W254" s="200">
        <f>ROUND(T254,0)</f>
        <v>126598</v>
      </c>
      <c r="X254" s="200">
        <f>W254-T254</f>
        <v>0</v>
      </c>
      <c r="Y254" s="211"/>
      <c r="Z254" s="200">
        <f t="shared" si="128"/>
        <v>126598</v>
      </c>
      <c r="AA254" s="200">
        <f t="shared" si="95"/>
        <v>0</v>
      </c>
      <c r="AB254" s="211"/>
    </row>
    <row r="255" spans="2:28" s="240" customFormat="1" ht="17.25" customHeight="1" x14ac:dyDescent="0.25">
      <c r="B255" s="237"/>
      <c r="C255" s="198" t="s">
        <v>676</v>
      </c>
      <c r="D255" s="199" t="s">
        <v>677</v>
      </c>
      <c r="E255" s="200"/>
      <c r="F255" s="200"/>
      <c r="G255" s="200"/>
      <c r="H255" s="200"/>
      <c r="I255" s="200"/>
      <c r="J255" s="200"/>
      <c r="K255" s="200"/>
      <c r="L255" s="200"/>
      <c r="M255" s="238"/>
      <c r="N255" s="238">
        <v>150</v>
      </c>
      <c r="O255" s="200">
        <f t="shared" si="99"/>
        <v>150</v>
      </c>
      <c r="P255" s="239" t="s">
        <v>661</v>
      </c>
      <c r="Q255" s="200">
        <f>ROUND(N255,0)+19583</f>
        <v>19733</v>
      </c>
      <c r="R255" s="200">
        <f t="shared" si="106"/>
        <v>19583</v>
      </c>
      <c r="S255" s="211" t="s">
        <v>619</v>
      </c>
      <c r="T255" s="200">
        <f>ROUND(Q255,0)</f>
        <v>19733</v>
      </c>
      <c r="U255" s="44">
        <f t="shared" si="107"/>
        <v>0</v>
      </c>
      <c r="V255" s="211"/>
      <c r="W255" s="200">
        <f>ROUND(T255,0)</f>
        <v>19733</v>
      </c>
      <c r="X255" s="200">
        <f>W255-T255</f>
        <v>0</v>
      </c>
      <c r="Y255" s="211"/>
      <c r="Z255" s="200">
        <f t="shared" si="128"/>
        <v>19733</v>
      </c>
      <c r="AA255" s="200">
        <f t="shared" si="95"/>
        <v>0</v>
      </c>
      <c r="AB255" s="211"/>
    </row>
    <row r="256" spans="2:28" s="41" customFormat="1" x14ac:dyDescent="0.25">
      <c r="B256" s="41" t="s">
        <v>670</v>
      </c>
      <c r="C256" s="178" t="s">
        <v>678</v>
      </c>
      <c r="D256" s="143" t="s">
        <v>679</v>
      </c>
      <c r="E256" s="44"/>
      <c r="F256" s="44">
        <v>49493</v>
      </c>
      <c r="G256" s="44"/>
      <c r="H256" s="44"/>
      <c r="I256" s="44"/>
      <c r="J256" s="44"/>
      <c r="K256" s="44"/>
      <c r="L256" s="44">
        <f t="shared" si="126"/>
        <v>49493</v>
      </c>
      <c r="M256" s="94">
        <v>49493</v>
      </c>
      <c r="N256" s="94">
        <f>ROUND(M256,0)+4754</f>
        <v>54247</v>
      </c>
      <c r="O256" s="44">
        <f t="shared" si="99"/>
        <v>4754</v>
      </c>
      <c r="P256" s="71" t="s">
        <v>618</v>
      </c>
      <c r="Q256" s="44">
        <f t="shared" si="127"/>
        <v>54247</v>
      </c>
      <c r="R256" s="44">
        <f t="shared" si="106"/>
        <v>0</v>
      </c>
      <c r="S256" s="71"/>
      <c r="T256" s="44">
        <f t="shared" ref="T256:T262" si="129">ROUND(Q256,0)</f>
        <v>54247</v>
      </c>
      <c r="U256" s="44">
        <f t="shared" si="107"/>
        <v>0</v>
      </c>
      <c r="V256" s="71"/>
      <c r="W256" s="44">
        <f t="shared" ref="W256:W261" si="130">ROUND(T256,0)</f>
        <v>54247</v>
      </c>
      <c r="X256" s="44">
        <f t="shared" si="108"/>
        <v>0</v>
      </c>
      <c r="Y256" s="71"/>
      <c r="Z256" s="44">
        <f t="shared" si="128"/>
        <v>54247</v>
      </c>
      <c r="AA256" s="44">
        <f t="shared" si="95"/>
        <v>0</v>
      </c>
      <c r="AB256" s="71"/>
    </row>
    <row r="257" spans="2:28" s="41" customFormat="1" ht="18" customHeight="1" x14ac:dyDescent="0.25">
      <c r="B257" s="65" t="s">
        <v>680</v>
      </c>
      <c r="C257" s="178" t="s">
        <v>681</v>
      </c>
      <c r="D257" s="143" t="s">
        <v>622</v>
      </c>
      <c r="E257" s="44"/>
      <c r="F257" s="44"/>
      <c r="G257" s="44"/>
      <c r="H257" s="44"/>
      <c r="I257" s="44"/>
      <c r="J257" s="44">
        <v>63010</v>
      </c>
      <c r="K257" s="44">
        <f>[1]BAZE_2024!G322-I258</f>
        <v>596962.47414999991</v>
      </c>
      <c r="L257" s="44">
        <f t="shared" si="126"/>
        <v>659972.47414999991</v>
      </c>
      <c r="M257" s="45">
        <v>659972.47414999991</v>
      </c>
      <c r="N257" s="45">
        <f>ROUND(M257,0)-42018-43430</f>
        <v>574524</v>
      </c>
      <c r="O257" s="44">
        <f t="shared" si="99"/>
        <v>-85448.474149999907</v>
      </c>
      <c r="P257" s="100" t="s">
        <v>682</v>
      </c>
      <c r="Q257" s="44">
        <f t="shared" si="127"/>
        <v>574524</v>
      </c>
      <c r="R257" s="44">
        <f t="shared" si="106"/>
        <v>0</v>
      </c>
      <c r="S257" s="71" t="s">
        <v>683</v>
      </c>
      <c r="T257" s="44">
        <f>ROUND(Q257,0)-5191</f>
        <v>569333</v>
      </c>
      <c r="U257" s="44">
        <f t="shared" si="107"/>
        <v>-5191</v>
      </c>
      <c r="V257" s="71" t="s">
        <v>384</v>
      </c>
      <c r="W257" s="44">
        <f t="shared" si="130"/>
        <v>569333</v>
      </c>
      <c r="X257" s="44">
        <f t="shared" si="108"/>
        <v>0</v>
      </c>
      <c r="Y257" s="71"/>
      <c r="Z257" s="44">
        <f t="shared" si="128"/>
        <v>569333</v>
      </c>
      <c r="AA257" s="44">
        <f t="shared" si="95"/>
        <v>0</v>
      </c>
      <c r="AB257" s="71"/>
    </row>
    <row r="258" spans="2:28" s="41" customFormat="1" ht="16.95" customHeight="1" x14ac:dyDescent="0.25">
      <c r="B258" s="65"/>
      <c r="C258" s="178" t="s">
        <v>684</v>
      </c>
      <c r="D258" s="143" t="s">
        <v>628</v>
      </c>
      <c r="E258" s="44"/>
      <c r="F258" s="44"/>
      <c r="G258" s="44"/>
      <c r="H258" s="44"/>
      <c r="I258" s="96">
        <f>[1]BAZE_2024!G325</f>
        <v>283797</v>
      </c>
      <c r="J258" s="44"/>
      <c r="K258" s="44"/>
      <c r="L258" s="44">
        <f t="shared" si="126"/>
        <v>283797</v>
      </c>
      <c r="M258" s="45">
        <v>283797</v>
      </c>
      <c r="N258" s="45">
        <f>ROUND(M258,0)</f>
        <v>283797</v>
      </c>
      <c r="O258" s="44">
        <f t="shared" ref="O258:O261" si="131">N258-M258</f>
        <v>0</v>
      </c>
      <c r="P258" s="70"/>
      <c r="Q258" s="44">
        <f t="shared" si="127"/>
        <v>283797</v>
      </c>
      <c r="R258" s="44">
        <f t="shared" si="106"/>
        <v>0</v>
      </c>
      <c r="S258" s="71"/>
      <c r="T258" s="44">
        <f t="shared" si="129"/>
        <v>283797</v>
      </c>
      <c r="U258" s="44">
        <f t="shared" si="107"/>
        <v>0</v>
      </c>
      <c r="V258" s="71"/>
      <c r="W258" s="44">
        <f>ROUND(T258,0)</f>
        <v>283797</v>
      </c>
      <c r="X258" s="44">
        <f t="shared" si="108"/>
        <v>0</v>
      </c>
      <c r="Y258" s="71"/>
      <c r="Z258" s="44">
        <f t="shared" si="128"/>
        <v>283797</v>
      </c>
      <c r="AA258" s="44">
        <f t="shared" si="95"/>
        <v>0</v>
      </c>
      <c r="AB258" s="71"/>
    </row>
    <row r="259" spans="2:28" s="41" customFormat="1" ht="16.95" customHeight="1" x14ac:dyDescent="0.25">
      <c r="B259" s="65" t="s">
        <v>685</v>
      </c>
      <c r="C259" s="178" t="s">
        <v>686</v>
      </c>
      <c r="D259" s="143" t="s">
        <v>687</v>
      </c>
      <c r="E259" s="44">
        <f>E56</f>
        <v>0</v>
      </c>
      <c r="F259" s="44">
        <f>F56</f>
        <v>3668</v>
      </c>
      <c r="G259" s="44"/>
      <c r="H259" s="44"/>
      <c r="I259" s="44"/>
      <c r="J259" s="44"/>
      <c r="K259" s="44"/>
      <c r="L259" s="44">
        <f t="shared" si="126"/>
        <v>3668</v>
      </c>
      <c r="M259" s="45">
        <v>3668</v>
      </c>
      <c r="N259" s="45">
        <f>ROUND(M259,0)</f>
        <v>3668</v>
      </c>
      <c r="O259" s="44">
        <f t="shared" si="131"/>
        <v>0</v>
      </c>
      <c r="P259" s="46"/>
      <c r="Q259" s="44">
        <f>ROUND(N259,0)+7552</f>
        <v>11220</v>
      </c>
      <c r="R259" s="44">
        <f t="shared" si="106"/>
        <v>7552</v>
      </c>
      <c r="S259" s="47" t="s">
        <v>175</v>
      </c>
      <c r="T259" s="44">
        <f t="shared" si="129"/>
        <v>11220</v>
      </c>
      <c r="U259" s="44">
        <f t="shared" si="107"/>
        <v>0</v>
      </c>
      <c r="V259" s="47"/>
      <c r="W259" s="44">
        <f t="shared" si="130"/>
        <v>11220</v>
      </c>
      <c r="X259" s="44">
        <f t="shared" si="108"/>
        <v>0</v>
      </c>
      <c r="Y259" s="47"/>
      <c r="Z259" s="44">
        <f t="shared" si="128"/>
        <v>11220</v>
      </c>
      <c r="AA259" s="44">
        <f t="shared" si="95"/>
        <v>0</v>
      </c>
      <c r="AB259" s="47"/>
    </row>
    <row r="260" spans="2:28" s="161" customFormat="1" ht="31.2" customHeight="1" x14ac:dyDescent="0.25">
      <c r="B260" s="92" t="s">
        <v>688</v>
      </c>
      <c r="C260" s="178" t="s">
        <v>689</v>
      </c>
      <c r="D260" s="143" t="s">
        <v>690</v>
      </c>
      <c r="E260" s="44"/>
      <c r="F260" s="44"/>
      <c r="G260" s="44">
        <f>3165+12304</f>
        <v>15469</v>
      </c>
      <c r="H260" s="44"/>
      <c r="I260" s="44"/>
      <c r="J260" s="44"/>
      <c r="K260" s="44"/>
      <c r="L260" s="44">
        <f t="shared" si="126"/>
        <v>15469</v>
      </c>
      <c r="M260" s="45">
        <v>15469</v>
      </c>
      <c r="N260" s="45">
        <f>ROUND(M260,0)</f>
        <v>15469</v>
      </c>
      <c r="O260" s="44">
        <f t="shared" si="131"/>
        <v>0</v>
      </c>
      <c r="P260" s="46"/>
      <c r="Q260" s="44">
        <f>ROUND(N260,0)+27100</f>
        <v>42569</v>
      </c>
      <c r="R260" s="44">
        <f t="shared" si="106"/>
        <v>27100</v>
      </c>
      <c r="S260" s="241" t="s">
        <v>691</v>
      </c>
      <c r="T260" s="44">
        <f t="shared" si="129"/>
        <v>42569</v>
      </c>
      <c r="U260" s="44">
        <f t="shared" si="107"/>
        <v>0</v>
      </c>
      <c r="V260" s="107"/>
      <c r="W260" s="44">
        <f t="shared" si="130"/>
        <v>42569</v>
      </c>
      <c r="X260" s="44">
        <f t="shared" si="108"/>
        <v>0</v>
      </c>
      <c r="Y260" s="107"/>
      <c r="Z260" s="44">
        <f>ROUND(W260,0)+16100+30000</f>
        <v>88669</v>
      </c>
      <c r="AA260" s="44">
        <f t="shared" ref="AA260:AA302" si="132">Z260-W260</f>
        <v>46100</v>
      </c>
      <c r="AB260" s="274" t="s">
        <v>792</v>
      </c>
    </row>
    <row r="261" spans="2:28" s="161" customFormat="1" ht="15" customHeight="1" x14ac:dyDescent="0.25">
      <c r="B261" s="92" t="s">
        <v>692</v>
      </c>
      <c r="C261" s="178" t="s">
        <v>693</v>
      </c>
      <c r="D261" s="143" t="s">
        <v>694</v>
      </c>
      <c r="E261" s="44"/>
      <c r="F261" s="44"/>
      <c r="G261" s="44"/>
      <c r="H261" s="44"/>
      <c r="I261" s="44"/>
      <c r="J261" s="44"/>
      <c r="K261" s="44"/>
      <c r="L261" s="44">
        <f t="shared" si="126"/>
        <v>0</v>
      </c>
      <c r="M261" s="45">
        <v>0</v>
      </c>
      <c r="N261" s="45">
        <f>ROUND(M261,0)</f>
        <v>0</v>
      </c>
      <c r="O261" s="44">
        <f t="shared" si="131"/>
        <v>0</v>
      </c>
      <c r="P261" s="46"/>
      <c r="Q261" s="44">
        <f t="shared" si="127"/>
        <v>0</v>
      </c>
      <c r="R261" s="44">
        <f t="shared" si="106"/>
        <v>0</v>
      </c>
      <c r="S261" s="47"/>
      <c r="T261" s="44">
        <f t="shared" si="129"/>
        <v>0</v>
      </c>
      <c r="U261" s="44">
        <f t="shared" si="107"/>
        <v>0</v>
      </c>
      <c r="V261" s="47"/>
      <c r="W261" s="44">
        <f t="shared" si="130"/>
        <v>0</v>
      </c>
      <c r="X261" s="44">
        <f t="shared" si="108"/>
        <v>0</v>
      </c>
      <c r="Y261" s="47"/>
      <c r="Z261" s="44">
        <f t="shared" si="128"/>
        <v>0</v>
      </c>
      <c r="AA261" s="44">
        <f t="shared" si="132"/>
        <v>0</v>
      </c>
      <c r="AB261" s="47"/>
    </row>
    <row r="262" spans="2:28" ht="13.5" customHeight="1" x14ac:dyDescent="0.25">
      <c r="B262" s="92" t="s">
        <v>695</v>
      </c>
      <c r="C262" s="232" t="s">
        <v>696</v>
      </c>
      <c r="D262" s="180" t="s">
        <v>337</v>
      </c>
      <c r="E262" s="181"/>
      <c r="F262" s="181"/>
      <c r="G262" s="181"/>
      <c r="H262" s="181">
        <f>H117</f>
        <v>0</v>
      </c>
      <c r="I262" s="181"/>
      <c r="J262" s="181">
        <f>0-SUM(E262:I262)</f>
        <v>0</v>
      </c>
      <c r="K262" s="181"/>
      <c r="L262" s="181">
        <f t="shared" si="126"/>
        <v>0</v>
      </c>
      <c r="M262" s="182">
        <v>0</v>
      </c>
      <c r="N262" s="182">
        <f>ROUND(M262,0)+19357+102058</f>
        <v>121415</v>
      </c>
      <c r="O262" s="181">
        <f>N262-M262</f>
        <v>121415</v>
      </c>
      <c r="P262" s="103" t="s">
        <v>697</v>
      </c>
      <c r="Q262" s="181">
        <f t="shared" si="127"/>
        <v>121415</v>
      </c>
      <c r="R262" s="181">
        <f t="shared" si="106"/>
        <v>0</v>
      </c>
      <c r="S262" s="103"/>
      <c r="T262" s="181">
        <f t="shared" si="129"/>
        <v>121415</v>
      </c>
      <c r="U262" s="181">
        <f t="shared" si="107"/>
        <v>0</v>
      </c>
      <c r="V262" s="103"/>
      <c r="W262" s="181">
        <f>ROUND(T262,0)-6629</f>
        <v>114786</v>
      </c>
      <c r="X262" s="181">
        <f t="shared" si="108"/>
        <v>-6629</v>
      </c>
      <c r="Y262" s="103" t="s">
        <v>698</v>
      </c>
      <c r="Z262" s="181">
        <f t="shared" si="128"/>
        <v>114786</v>
      </c>
      <c r="AA262" s="181">
        <f t="shared" si="132"/>
        <v>0</v>
      </c>
      <c r="AB262" s="103"/>
    </row>
    <row r="263" spans="2:28" s="41" customFormat="1" ht="15.75" customHeight="1" x14ac:dyDescent="0.25">
      <c r="B263" s="65"/>
      <c r="C263" s="232" t="s">
        <v>699</v>
      </c>
      <c r="D263" s="180" t="s">
        <v>700</v>
      </c>
      <c r="E263" s="181">
        <f>E264+E268+E269+E270+E271+E272+E273+E274+E275+E276+E277</f>
        <v>130917</v>
      </c>
      <c r="F263" s="181">
        <f t="shared" ref="F263:P263" si="133">F264+F268+F269+F270+F271+F272+F273+F274+F275+F276+F277</f>
        <v>4557199</v>
      </c>
      <c r="G263" s="181">
        <f t="shared" si="133"/>
        <v>135176</v>
      </c>
      <c r="H263" s="181">
        <f t="shared" si="133"/>
        <v>813982</v>
      </c>
      <c r="I263" s="181">
        <f t="shared" si="133"/>
        <v>0</v>
      </c>
      <c r="J263" s="181">
        <f t="shared" si="133"/>
        <v>226335</v>
      </c>
      <c r="K263" s="181">
        <f t="shared" si="133"/>
        <v>2667982.7446570531</v>
      </c>
      <c r="L263" s="181">
        <f t="shared" si="133"/>
        <v>8531591.7446570527</v>
      </c>
      <c r="M263" s="181">
        <v>8531591.7446570527</v>
      </c>
      <c r="N263" s="182">
        <f>N264+N268+N269+N270+N271+N272+N273+N274+N275+N276+N277</f>
        <v>8748498</v>
      </c>
      <c r="O263" s="182">
        <f t="shared" si="133"/>
        <v>216906.25534294697</v>
      </c>
      <c r="P263" s="182" t="e">
        <f t="shared" si="133"/>
        <v>#VALUE!</v>
      </c>
      <c r="Q263" s="182">
        <f>Q264+Q268+Q269+Q270+Q271+Q272+Q273+Q274+Q275+Q276+Q277</f>
        <v>8832612</v>
      </c>
      <c r="R263" s="181">
        <f t="shared" si="106"/>
        <v>84114</v>
      </c>
      <c r="S263" s="103"/>
      <c r="T263" s="182">
        <f>T264+T268+T269+T270+T271+T272+T273+T274+T275+T276+T277</f>
        <v>8853612</v>
      </c>
      <c r="U263" s="181">
        <f t="shared" si="107"/>
        <v>21000</v>
      </c>
      <c r="V263" s="103"/>
      <c r="W263" s="181">
        <f>W264+W268+W269+W270+W271+W272+W273+W274+W275+W276+W277</f>
        <v>8850462</v>
      </c>
      <c r="X263" s="181">
        <f t="shared" si="108"/>
        <v>-3150</v>
      </c>
      <c r="Y263" s="103"/>
      <c r="Z263" s="181">
        <f>Z264+Z268+Z269+Z270+Z271+Z272+Z273+Z274+Z275+Z276+Z277</f>
        <v>8838626</v>
      </c>
      <c r="AA263" s="181">
        <f t="shared" si="132"/>
        <v>-11836</v>
      </c>
      <c r="AB263" s="103"/>
    </row>
    <row r="264" spans="2:28" s="41" customFormat="1" ht="17.25" customHeight="1" x14ac:dyDescent="0.25">
      <c r="B264" s="65" t="s">
        <v>338</v>
      </c>
      <c r="C264" s="178" t="s">
        <v>701</v>
      </c>
      <c r="D264" s="143" t="s">
        <v>617</v>
      </c>
      <c r="E264" s="44">
        <v>0</v>
      </c>
      <c r="F264" s="44">
        <f>4021527+216761</f>
        <v>4238288</v>
      </c>
      <c r="G264" s="44"/>
      <c r="H264" s="44"/>
      <c r="I264" s="44"/>
      <c r="J264" s="44"/>
      <c r="K264" s="44"/>
      <c r="L264" s="44">
        <f t="shared" si="126"/>
        <v>4238288</v>
      </c>
      <c r="M264" s="45">
        <v>4238288</v>
      </c>
      <c r="N264" s="45">
        <f>SUM(N265:N267)</f>
        <v>4362146</v>
      </c>
      <c r="O264" s="44">
        <f t="shared" ref="O264:O302" si="134">N264-M264</f>
        <v>123858</v>
      </c>
      <c r="P264" s="100" t="s">
        <v>661</v>
      </c>
      <c r="Q264" s="44">
        <f>SUM(Q265:Q267)</f>
        <v>4407640</v>
      </c>
      <c r="R264" s="44">
        <f t="shared" si="106"/>
        <v>45494</v>
      </c>
      <c r="S264" s="71"/>
      <c r="T264" s="44">
        <f>SUM(T265:T267)</f>
        <v>4407640</v>
      </c>
      <c r="U264" s="44">
        <f t="shared" si="107"/>
        <v>0</v>
      </c>
      <c r="V264" s="71"/>
      <c r="W264" s="44">
        <f>SUM(W265:W267)</f>
        <v>4407640</v>
      </c>
      <c r="X264" s="44">
        <f t="shared" si="108"/>
        <v>0</v>
      </c>
      <c r="Y264" s="71"/>
      <c r="Z264" s="44">
        <f>SUM(Z265:Z267)</f>
        <v>4407640</v>
      </c>
      <c r="AA264" s="44">
        <f t="shared" si="132"/>
        <v>0</v>
      </c>
      <c r="AB264" s="71"/>
    </row>
    <row r="265" spans="2:28" s="240" customFormat="1" ht="17.25" customHeight="1" x14ac:dyDescent="0.25">
      <c r="B265" s="237"/>
      <c r="C265" s="198" t="s">
        <v>702</v>
      </c>
      <c r="D265" s="199" t="s">
        <v>673</v>
      </c>
      <c r="E265" s="200"/>
      <c r="F265" s="200"/>
      <c r="G265" s="200"/>
      <c r="H265" s="200"/>
      <c r="I265" s="200"/>
      <c r="J265" s="200"/>
      <c r="K265" s="200"/>
      <c r="L265" s="200"/>
      <c r="M265" s="238">
        <v>4021527</v>
      </c>
      <c r="N265" s="238">
        <f>4021527+17418-6716</f>
        <v>4032229</v>
      </c>
      <c r="O265" s="200">
        <f t="shared" si="134"/>
        <v>10702</v>
      </c>
      <c r="P265" s="239" t="s">
        <v>661</v>
      </c>
      <c r="Q265" s="200">
        <f>ROUND(N265,0)</f>
        <v>4032229</v>
      </c>
      <c r="R265" s="200">
        <f>Q265-N265</f>
        <v>0</v>
      </c>
      <c r="S265" s="211"/>
      <c r="T265" s="200">
        <f>ROUND(Q265,0)</f>
        <v>4032229</v>
      </c>
      <c r="U265" s="44">
        <f t="shared" si="107"/>
        <v>0</v>
      </c>
      <c r="V265" s="211"/>
      <c r="W265" s="44">
        <f>ROUND(T265,0)</f>
        <v>4032229</v>
      </c>
      <c r="X265" s="44">
        <f>W265-T265</f>
        <v>0</v>
      </c>
      <c r="Y265" s="211"/>
      <c r="Z265" s="44">
        <f>ROUND(W265,0)</f>
        <v>4032229</v>
      </c>
      <c r="AA265" s="44">
        <f t="shared" si="132"/>
        <v>0</v>
      </c>
      <c r="AB265" s="211"/>
    </row>
    <row r="266" spans="2:28" s="240" customFormat="1" ht="16.95" customHeight="1" x14ac:dyDescent="0.25">
      <c r="B266" s="237"/>
      <c r="C266" s="198" t="s">
        <v>703</v>
      </c>
      <c r="D266" s="199" t="s">
        <v>675</v>
      </c>
      <c r="E266" s="200"/>
      <c r="F266" s="200"/>
      <c r="G266" s="200"/>
      <c r="H266" s="200"/>
      <c r="I266" s="200"/>
      <c r="J266" s="200"/>
      <c r="K266" s="200"/>
      <c r="L266" s="200"/>
      <c r="M266" s="238">
        <v>216761</v>
      </c>
      <c r="N266" s="238">
        <f>216761+110614+3572+30+4-1482</f>
        <v>329499</v>
      </c>
      <c r="O266" s="200">
        <f t="shared" si="134"/>
        <v>112738</v>
      </c>
      <c r="P266" s="239" t="s">
        <v>661</v>
      </c>
      <c r="Q266" s="200">
        <f>ROUND(N266,0)-49310+22060+264</f>
        <v>302513</v>
      </c>
      <c r="R266" s="200">
        <f>Q266-N266</f>
        <v>-26986</v>
      </c>
      <c r="S266" s="211" t="s">
        <v>662</v>
      </c>
      <c r="T266" s="200">
        <f>ROUND(Q266,0)</f>
        <v>302513</v>
      </c>
      <c r="U266" s="44">
        <f t="shared" si="107"/>
        <v>0</v>
      </c>
      <c r="V266" s="211"/>
      <c r="W266" s="44">
        <f>ROUND(T266,0)</f>
        <v>302513</v>
      </c>
      <c r="X266" s="44">
        <f>W266-T266</f>
        <v>0</v>
      </c>
      <c r="Y266" s="211"/>
      <c r="Z266" s="44">
        <f>ROUND(W266,0)</f>
        <v>302513</v>
      </c>
      <c r="AA266" s="44">
        <f t="shared" si="132"/>
        <v>0</v>
      </c>
      <c r="AB266" s="211"/>
    </row>
    <row r="267" spans="2:28" s="240" customFormat="1" ht="17.25" customHeight="1" x14ac:dyDescent="0.25">
      <c r="B267" s="237"/>
      <c r="C267" s="198" t="s">
        <v>704</v>
      </c>
      <c r="D267" s="199" t="s">
        <v>677</v>
      </c>
      <c r="E267" s="200"/>
      <c r="F267" s="200"/>
      <c r="G267" s="200"/>
      <c r="H267" s="200"/>
      <c r="I267" s="200"/>
      <c r="J267" s="200"/>
      <c r="K267" s="200"/>
      <c r="L267" s="200"/>
      <c r="M267" s="238"/>
      <c r="N267" s="238">
        <f>418</f>
        <v>418</v>
      </c>
      <c r="O267" s="200">
        <f t="shared" si="134"/>
        <v>418</v>
      </c>
      <c r="P267" s="239" t="s">
        <v>661</v>
      </c>
      <c r="Q267" s="200">
        <f>ROUND(N267,0)-264+71355+538+851</f>
        <v>72898</v>
      </c>
      <c r="R267" s="200">
        <f>Q267-N267</f>
        <v>72480</v>
      </c>
      <c r="S267" s="211" t="s">
        <v>642</v>
      </c>
      <c r="T267" s="200">
        <f>ROUND(Q267,0)</f>
        <v>72898</v>
      </c>
      <c r="U267" s="44">
        <f t="shared" si="107"/>
        <v>0</v>
      </c>
      <c r="V267" s="211"/>
      <c r="W267" s="44">
        <f>ROUND(T267,0)</f>
        <v>72898</v>
      </c>
      <c r="X267" s="44">
        <f>W267-T267</f>
        <v>0</v>
      </c>
      <c r="Y267" s="211"/>
      <c r="Z267" s="44">
        <f>ROUND(W267,0)</f>
        <v>72898</v>
      </c>
      <c r="AA267" s="44">
        <f t="shared" si="132"/>
        <v>0</v>
      </c>
      <c r="AB267" s="211"/>
    </row>
    <row r="268" spans="2:28" s="41" customFormat="1" ht="14.4" customHeight="1" x14ac:dyDescent="0.25">
      <c r="B268" s="65" t="s">
        <v>705</v>
      </c>
      <c r="C268" s="178" t="s">
        <v>706</v>
      </c>
      <c r="D268" s="143" t="s">
        <v>622</v>
      </c>
      <c r="E268" s="44"/>
      <c r="F268" s="44"/>
      <c r="G268" s="44"/>
      <c r="H268" s="44"/>
      <c r="I268" s="44"/>
      <c r="J268" s="44">
        <f>17820+118000</f>
        <v>135820</v>
      </c>
      <c r="K268" s="44">
        <f>[1]BAZE_2024!G334</f>
        <v>1291398.8621271863</v>
      </c>
      <c r="L268" s="44">
        <f t="shared" si="126"/>
        <v>1427218.8621271863</v>
      </c>
      <c r="M268" s="45">
        <v>1427218.8621271863</v>
      </c>
      <c r="N268" s="45">
        <f>ROUND(M268,0)-337847+35517</f>
        <v>1124889</v>
      </c>
      <c r="O268" s="44">
        <f t="shared" si="134"/>
        <v>-302329.86212718626</v>
      </c>
      <c r="P268" s="71" t="s">
        <v>707</v>
      </c>
      <c r="Q268" s="44">
        <f>ROUND(N268,0)-146203</f>
        <v>978686</v>
      </c>
      <c r="R268" s="44">
        <f t="shared" si="106"/>
        <v>-146203</v>
      </c>
      <c r="S268" s="71" t="s">
        <v>708</v>
      </c>
      <c r="T268" s="44">
        <f>ROUND(Q268,0)+5000+16000</f>
        <v>999686</v>
      </c>
      <c r="U268" s="44">
        <f t="shared" si="107"/>
        <v>21000</v>
      </c>
      <c r="V268" s="242" t="s">
        <v>709</v>
      </c>
      <c r="W268" s="44">
        <f>ROUND(T268,0)-6000</f>
        <v>993686</v>
      </c>
      <c r="X268" s="44">
        <f t="shared" si="108"/>
        <v>-6000</v>
      </c>
      <c r="Y268" s="47" t="s">
        <v>710</v>
      </c>
      <c r="Z268" s="44">
        <f>ROUND(W268,0)-5600</f>
        <v>988086</v>
      </c>
      <c r="AA268" s="44">
        <f t="shared" si="132"/>
        <v>-5600</v>
      </c>
      <c r="AB268" s="277" t="s">
        <v>711</v>
      </c>
    </row>
    <row r="269" spans="2:28" s="41" customFormat="1" ht="18.600000000000001" customHeight="1" x14ac:dyDescent="0.25">
      <c r="B269" s="65"/>
      <c r="C269" s="178" t="s">
        <v>712</v>
      </c>
      <c r="D269" s="143" t="s">
        <v>628</v>
      </c>
      <c r="E269" s="44"/>
      <c r="F269" s="44"/>
      <c r="G269" s="44"/>
      <c r="H269" s="44"/>
      <c r="I269" s="44"/>
      <c r="J269" s="44"/>
      <c r="K269" s="44"/>
      <c r="L269" s="44"/>
      <c r="M269" s="45"/>
      <c r="N269" s="45">
        <v>337847</v>
      </c>
      <c r="O269" s="44">
        <f t="shared" si="134"/>
        <v>337847</v>
      </c>
      <c r="P269" s="71"/>
      <c r="Q269" s="44">
        <f>ROUND(N269,0)+10919+146203</f>
        <v>494969</v>
      </c>
      <c r="R269" s="44">
        <f>Q269-N269</f>
        <v>157122</v>
      </c>
      <c r="S269" s="71" t="s">
        <v>713</v>
      </c>
      <c r="T269" s="44">
        <f>ROUND(Q269,0)</f>
        <v>494969</v>
      </c>
      <c r="U269" s="44">
        <f t="shared" si="107"/>
        <v>0</v>
      </c>
      <c r="V269" s="71"/>
      <c r="W269" s="44">
        <f>ROUND(T269,0)+6000</f>
        <v>500969</v>
      </c>
      <c r="X269" s="44">
        <f>W269-T269</f>
        <v>6000</v>
      </c>
      <c r="Y269" s="47" t="s">
        <v>710</v>
      </c>
      <c r="Z269" s="44">
        <f>ROUND(W269,0)+5600</f>
        <v>506569</v>
      </c>
      <c r="AA269" s="44">
        <f t="shared" si="132"/>
        <v>5600</v>
      </c>
      <c r="AB269" s="278"/>
    </row>
    <row r="270" spans="2:28" s="41" customFormat="1" ht="15" customHeight="1" x14ac:dyDescent="0.25">
      <c r="B270" s="41" t="s">
        <v>714</v>
      </c>
      <c r="C270" s="178" t="s">
        <v>715</v>
      </c>
      <c r="D270" s="143" t="s">
        <v>716</v>
      </c>
      <c r="E270" s="44">
        <f>E82</f>
        <v>130917</v>
      </c>
      <c r="F270" s="44"/>
      <c r="G270" s="44">
        <f>G82-G260</f>
        <v>135176</v>
      </c>
      <c r="H270" s="44"/>
      <c r="I270" s="44"/>
      <c r="J270" s="44"/>
      <c r="K270" s="44"/>
      <c r="L270" s="44">
        <f t="shared" si="126"/>
        <v>266093</v>
      </c>
      <c r="M270" s="45">
        <v>266093</v>
      </c>
      <c r="N270" s="45">
        <f>ROUND(M270,0)</f>
        <v>266093</v>
      </c>
      <c r="O270" s="44">
        <f t="shared" si="134"/>
        <v>0</v>
      </c>
      <c r="P270" s="47"/>
      <c r="Q270" s="44">
        <f>ROUND(N270,0)-27100</f>
        <v>238993</v>
      </c>
      <c r="R270" s="44">
        <f t="shared" si="106"/>
        <v>-27100</v>
      </c>
      <c r="S270" s="241" t="s">
        <v>691</v>
      </c>
      <c r="T270" s="44">
        <f t="shared" ref="T270:T276" si="135">ROUND(Q270,0)</f>
        <v>238993</v>
      </c>
      <c r="U270" s="44">
        <f t="shared" si="107"/>
        <v>0</v>
      </c>
      <c r="V270" s="47"/>
      <c r="W270" s="44">
        <f t="shared" ref="W270:W276" si="136">ROUND(T270,0)</f>
        <v>238993</v>
      </c>
      <c r="X270" s="44">
        <f t="shared" si="108"/>
        <v>0</v>
      </c>
      <c r="Y270" s="47"/>
      <c r="Z270" s="44">
        <f t="shared" ref="Z270:Z276" si="137">ROUND(W270,0)</f>
        <v>238993</v>
      </c>
      <c r="AA270" s="44">
        <f t="shared" si="132"/>
        <v>0</v>
      </c>
      <c r="AB270" s="47"/>
    </row>
    <row r="271" spans="2:28" s="41" customFormat="1" ht="16.2" customHeight="1" x14ac:dyDescent="0.25">
      <c r="B271" s="65" t="s">
        <v>717</v>
      </c>
      <c r="C271" s="178" t="s">
        <v>718</v>
      </c>
      <c r="D271" s="143" t="s">
        <v>687</v>
      </c>
      <c r="E271" s="44">
        <f>E55</f>
        <v>0</v>
      </c>
      <c r="F271" s="44">
        <f>F55</f>
        <v>14485</v>
      </c>
      <c r="G271" s="44"/>
      <c r="H271" s="44"/>
      <c r="I271" s="44"/>
      <c r="J271" s="44"/>
      <c r="K271" s="44"/>
      <c r="L271" s="44">
        <f t="shared" si="126"/>
        <v>14485</v>
      </c>
      <c r="M271" s="45">
        <v>14485</v>
      </c>
      <c r="N271" s="45">
        <f>ROUND(M271,0)</f>
        <v>14485</v>
      </c>
      <c r="O271" s="44">
        <f t="shared" si="134"/>
        <v>0</v>
      </c>
      <c r="P271" s="47"/>
      <c r="Q271" s="44">
        <f>ROUND(N271,0)+26175</f>
        <v>40660</v>
      </c>
      <c r="R271" s="44">
        <f t="shared" si="106"/>
        <v>26175</v>
      </c>
      <c r="S271" s="47" t="s">
        <v>175</v>
      </c>
      <c r="T271" s="44">
        <f t="shared" si="135"/>
        <v>40660</v>
      </c>
      <c r="U271" s="44">
        <f t="shared" si="107"/>
        <v>0</v>
      </c>
      <c r="V271" s="47"/>
      <c r="W271" s="44">
        <f t="shared" si="136"/>
        <v>40660</v>
      </c>
      <c r="X271" s="44">
        <f t="shared" si="108"/>
        <v>0</v>
      </c>
      <c r="Y271" s="47"/>
      <c r="Z271" s="44">
        <f t="shared" si="137"/>
        <v>40660</v>
      </c>
      <c r="AA271" s="44">
        <f t="shared" si="132"/>
        <v>0</v>
      </c>
      <c r="AB271" s="47"/>
    </row>
    <row r="272" spans="2:28" s="243" customFormat="1" ht="27.75" customHeight="1" x14ac:dyDescent="0.25">
      <c r="B272" s="65" t="s">
        <v>705</v>
      </c>
      <c r="C272" s="178" t="s">
        <v>719</v>
      </c>
      <c r="D272" s="143" t="s">
        <v>340</v>
      </c>
      <c r="E272" s="44"/>
      <c r="F272" s="44"/>
      <c r="G272" s="44"/>
      <c r="H272" s="44">
        <f>H118</f>
        <v>30982</v>
      </c>
      <c r="I272" s="44"/>
      <c r="J272" s="44">
        <f>34497-SUM(E272:I272)</f>
        <v>3515</v>
      </c>
      <c r="K272" s="44"/>
      <c r="L272" s="44">
        <f t="shared" si="126"/>
        <v>34497</v>
      </c>
      <c r="M272" s="45">
        <v>34497</v>
      </c>
      <c r="N272" s="45">
        <f>ROUND(M272,0)+53231</f>
        <v>87728</v>
      </c>
      <c r="O272" s="44">
        <f t="shared" si="134"/>
        <v>53231</v>
      </c>
      <c r="P272" s="71" t="s">
        <v>720</v>
      </c>
      <c r="Q272" s="44">
        <f>ROUND(N272,0)</f>
        <v>87728</v>
      </c>
      <c r="R272" s="44">
        <f t="shared" si="106"/>
        <v>0</v>
      </c>
      <c r="S272" s="71"/>
      <c r="T272" s="44">
        <f t="shared" si="135"/>
        <v>87728</v>
      </c>
      <c r="U272" s="44">
        <f t="shared" si="107"/>
        <v>0</v>
      </c>
      <c r="V272" s="71"/>
      <c r="W272" s="44">
        <f t="shared" si="136"/>
        <v>87728</v>
      </c>
      <c r="X272" s="44">
        <f t="shared" si="108"/>
        <v>0</v>
      </c>
      <c r="Y272" s="71"/>
      <c r="Z272" s="44">
        <f t="shared" si="137"/>
        <v>87728</v>
      </c>
      <c r="AA272" s="44">
        <f t="shared" si="132"/>
        <v>0</v>
      </c>
      <c r="AB272" s="71"/>
    </row>
    <row r="273" spans="2:28" s="243" customFormat="1" ht="44.25" customHeight="1" x14ac:dyDescent="0.25">
      <c r="B273" s="65" t="s">
        <v>705</v>
      </c>
      <c r="C273" s="178" t="s">
        <v>721</v>
      </c>
      <c r="D273" s="143" t="s">
        <v>343</v>
      </c>
      <c r="E273" s="44"/>
      <c r="F273" s="44"/>
      <c r="G273" s="44"/>
      <c r="H273" s="44">
        <f>H119</f>
        <v>783000</v>
      </c>
      <c r="I273" s="44"/>
      <c r="J273" s="44">
        <f>870000-SUM(E273:I273)</f>
        <v>87000</v>
      </c>
      <c r="K273" s="44"/>
      <c r="L273" s="44">
        <f t="shared" si="126"/>
        <v>870000</v>
      </c>
      <c r="M273" s="45">
        <v>870000</v>
      </c>
      <c r="N273" s="45">
        <f>ROUND(M273,0)</f>
        <v>870000</v>
      </c>
      <c r="O273" s="44">
        <f>N273-M273</f>
        <v>0</v>
      </c>
      <c r="P273" s="70"/>
      <c r="Q273" s="44">
        <f>ROUND(N273,0)</f>
        <v>870000</v>
      </c>
      <c r="R273" s="44">
        <f>Q273-N273</f>
        <v>0</v>
      </c>
      <c r="S273" s="71"/>
      <c r="T273" s="44">
        <f t="shared" si="135"/>
        <v>870000</v>
      </c>
      <c r="U273" s="44">
        <f t="shared" si="107"/>
        <v>0</v>
      </c>
      <c r="V273" s="71"/>
      <c r="W273" s="44">
        <f>ROUND(T273,0)</f>
        <v>870000</v>
      </c>
      <c r="X273" s="44">
        <f>W273-T273</f>
        <v>0</v>
      </c>
      <c r="Y273" s="71"/>
      <c r="Z273" s="44">
        <f t="shared" si="137"/>
        <v>870000</v>
      </c>
      <c r="AA273" s="44">
        <f t="shared" si="132"/>
        <v>0</v>
      </c>
      <c r="AB273" s="71"/>
    </row>
    <row r="274" spans="2:28" s="243" customFormat="1" ht="18" customHeight="1" x14ac:dyDescent="0.25">
      <c r="B274" s="244" t="s">
        <v>722</v>
      </c>
      <c r="C274" s="178" t="s">
        <v>723</v>
      </c>
      <c r="D274" s="143" t="s">
        <v>724</v>
      </c>
      <c r="E274" s="44"/>
      <c r="F274" s="44"/>
      <c r="G274" s="44"/>
      <c r="H274" s="44"/>
      <c r="I274" s="44"/>
      <c r="J274" s="44"/>
      <c r="K274" s="44">
        <f>[1]BAZE_2024!G315</f>
        <v>1006133.6654766668</v>
      </c>
      <c r="L274" s="44">
        <f t="shared" si="126"/>
        <v>1006133.6654766668</v>
      </c>
      <c r="M274" s="45">
        <v>1006133.6654766668</v>
      </c>
      <c r="N274" s="45">
        <f>ROUND(M274,0)-197877-65904</f>
        <v>742353</v>
      </c>
      <c r="O274" s="44">
        <f t="shared" si="134"/>
        <v>-263780.66547666676</v>
      </c>
      <c r="P274" s="71" t="s">
        <v>725</v>
      </c>
      <c r="Q274" s="44">
        <f>ROUND(N274,0)-58159</f>
        <v>684194</v>
      </c>
      <c r="R274" s="44">
        <f t="shared" si="106"/>
        <v>-58159</v>
      </c>
      <c r="S274" s="71" t="s">
        <v>726</v>
      </c>
      <c r="T274" s="44">
        <f t="shared" si="135"/>
        <v>684194</v>
      </c>
      <c r="U274" s="44">
        <f t="shared" si="107"/>
        <v>0</v>
      </c>
      <c r="V274" s="71"/>
      <c r="W274" s="44">
        <f t="shared" si="136"/>
        <v>684194</v>
      </c>
      <c r="X274" s="44">
        <f t="shared" si="108"/>
        <v>0</v>
      </c>
      <c r="Y274" s="71"/>
      <c r="Z274" s="44">
        <f t="shared" si="137"/>
        <v>684194</v>
      </c>
      <c r="AA274" s="44">
        <f t="shared" si="132"/>
        <v>0</v>
      </c>
      <c r="AB274" s="71"/>
    </row>
    <row r="275" spans="2:28" s="243" customFormat="1" ht="18" customHeight="1" x14ac:dyDescent="0.25">
      <c r="B275" s="244"/>
      <c r="C275" s="178" t="s">
        <v>727</v>
      </c>
      <c r="D275" s="143" t="s">
        <v>728</v>
      </c>
      <c r="E275" s="44"/>
      <c r="F275" s="44"/>
      <c r="G275" s="44"/>
      <c r="H275" s="44"/>
      <c r="I275" s="44"/>
      <c r="J275" s="44"/>
      <c r="K275" s="44"/>
      <c r="L275" s="44"/>
      <c r="M275" s="45"/>
      <c r="N275" s="45">
        <v>197877</v>
      </c>
      <c r="O275" s="44">
        <f t="shared" si="134"/>
        <v>197877</v>
      </c>
      <c r="P275" s="71"/>
      <c r="Q275" s="44">
        <f>ROUND(N275,0)+19453+58159</f>
        <v>275489</v>
      </c>
      <c r="R275" s="44">
        <f>Q275-N275</f>
        <v>77612</v>
      </c>
      <c r="S275" s="71" t="s">
        <v>729</v>
      </c>
      <c r="T275" s="44">
        <f>ROUND(Q275,0)</f>
        <v>275489</v>
      </c>
      <c r="U275" s="44">
        <f>T275-Q275</f>
        <v>0</v>
      </c>
      <c r="V275" s="71"/>
      <c r="W275" s="44">
        <f>ROUND(T275,0)</f>
        <v>275489</v>
      </c>
      <c r="X275" s="44">
        <f>W275-T275</f>
        <v>0</v>
      </c>
      <c r="Y275" s="71"/>
      <c r="Z275" s="44">
        <f t="shared" si="137"/>
        <v>275489</v>
      </c>
      <c r="AA275" s="44">
        <f t="shared" si="132"/>
        <v>0</v>
      </c>
      <c r="AB275" s="71"/>
    </row>
    <row r="276" spans="2:28" s="243" customFormat="1" ht="15" customHeight="1" x14ac:dyDescent="0.25">
      <c r="B276" s="65" t="s">
        <v>338</v>
      </c>
      <c r="C276" s="178" t="s">
        <v>730</v>
      </c>
      <c r="D276" s="143" t="s">
        <v>731</v>
      </c>
      <c r="E276" s="44"/>
      <c r="F276" s="44">
        <v>166307</v>
      </c>
      <c r="G276" s="44"/>
      <c r="H276" s="44"/>
      <c r="I276" s="44"/>
      <c r="J276" s="44"/>
      <c r="K276" s="44"/>
      <c r="L276" s="44">
        <f t="shared" si="126"/>
        <v>166307</v>
      </c>
      <c r="M276" s="45">
        <v>166307</v>
      </c>
      <c r="N276" s="45">
        <f>ROUND(M276,0)+69974</f>
        <v>236281</v>
      </c>
      <c r="O276" s="44">
        <f t="shared" si="134"/>
        <v>69974</v>
      </c>
      <c r="P276" s="71" t="s">
        <v>618</v>
      </c>
      <c r="Q276" s="44">
        <f>ROUND(N276,0)</f>
        <v>236281</v>
      </c>
      <c r="R276" s="44">
        <f t="shared" si="106"/>
        <v>0</v>
      </c>
      <c r="S276" s="47"/>
      <c r="T276" s="44">
        <f t="shared" si="135"/>
        <v>236281</v>
      </c>
      <c r="U276" s="44">
        <f t="shared" si="107"/>
        <v>0</v>
      </c>
      <c r="V276" s="47"/>
      <c r="W276" s="44">
        <f t="shared" si="136"/>
        <v>236281</v>
      </c>
      <c r="X276" s="44">
        <f t="shared" si="108"/>
        <v>0</v>
      </c>
      <c r="Y276" s="47"/>
      <c r="Z276" s="44">
        <f t="shared" si="137"/>
        <v>236281</v>
      </c>
      <c r="AA276" s="44">
        <f t="shared" si="132"/>
        <v>0</v>
      </c>
      <c r="AB276" s="47"/>
    </row>
    <row r="277" spans="2:28" s="250" customFormat="1" ht="13.95" customHeight="1" x14ac:dyDescent="0.25">
      <c r="B277" s="244"/>
      <c r="C277" s="245" t="s">
        <v>732</v>
      </c>
      <c r="D277" s="246" t="s">
        <v>733</v>
      </c>
      <c r="E277" s="247">
        <f>E278+E279+E280</f>
        <v>0</v>
      </c>
      <c r="F277" s="247">
        <f t="shared" ref="F277:N277" si="138">F278+F279+F280</f>
        <v>138119</v>
      </c>
      <c r="G277" s="247">
        <f t="shared" si="138"/>
        <v>0</v>
      </c>
      <c r="H277" s="247">
        <f t="shared" si="138"/>
        <v>0</v>
      </c>
      <c r="I277" s="247">
        <f t="shared" si="138"/>
        <v>0</v>
      </c>
      <c r="J277" s="247">
        <f t="shared" si="138"/>
        <v>0</v>
      </c>
      <c r="K277" s="247">
        <f t="shared" si="138"/>
        <v>370450.2170532</v>
      </c>
      <c r="L277" s="247">
        <f t="shared" si="138"/>
        <v>508569.2170532</v>
      </c>
      <c r="M277" s="248">
        <v>508569.2170532</v>
      </c>
      <c r="N277" s="248">
        <f t="shared" si="138"/>
        <v>508799</v>
      </c>
      <c r="O277" s="247">
        <f t="shared" si="134"/>
        <v>229.78294679999817</v>
      </c>
      <c r="P277" s="249"/>
      <c r="Q277" s="247">
        <f>Q278+Q279+Q280</f>
        <v>517972</v>
      </c>
      <c r="R277" s="247">
        <f t="shared" si="106"/>
        <v>9173</v>
      </c>
      <c r="S277" s="247"/>
      <c r="T277" s="247">
        <f>T278+T279+T280</f>
        <v>517972</v>
      </c>
      <c r="U277" s="247">
        <f t="shared" si="107"/>
        <v>0</v>
      </c>
      <c r="V277" s="247"/>
      <c r="W277" s="247">
        <f>W278+W279+W280</f>
        <v>514822</v>
      </c>
      <c r="X277" s="247">
        <f t="shared" si="108"/>
        <v>-3150</v>
      </c>
      <c r="Y277" s="247"/>
      <c r="Z277" s="247">
        <f>Z278+Z279+Z280</f>
        <v>502986</v>
      </c>
      <c r="AA277" s="247">
        <f t="shared" si="132"/>
        <v>-11836</v>
      </c>
      <c r="AB277" s="247"/>
    </row>
    <row r="278" spans="2:28" s="243" customFormat="1" ht="12" customHeight="1" x14ac:dyDescent="0.25">
      <c r="B278" s="92" t="s">
        <v>734</v>
      </c>
      <c r="C278" s="251" t="s">
        <v>735</v>
      </c>
      <c r="D278" s="143" t="s">
        <v>736</v>
      </c>
      <c r="E278" s="44"/>
      <c r="F278" s="228">
        <f>138119</f>
        <v>138119</v>
      </c>
      <c r="G278" s="44"/>
      <c r="H278" s="44"/>
      <c r="I278" s="44"/>
      <c r="J278" s="44"/>
      <c r="K278" s="44"/>
      <c r="L278" s="44">
        <f>E278+F278+G278+H278+I278+J278+K278</f>
        <v>138119</v>
      </c>
      <c r="M278" s="45">
        <v>138119</v>
      </c>
      <c r="N278" s="45">
        <f>ROUND(M278,0)-46+276</f>
        <v>138349</v>
      </c>
      <c r="O278" s="44">
        <f t="shared" si="134"/>
        <v>230</v>
      </c>
      <c r="P278" s="71" t="s">
        <v>618</v>
      </c>
      <c r="Q278" s="44">
        <f>ROUND(N278,0)+2468</f>
        <v>140817</v>
      </c>
      <c r="R278" s="44">
        <f t="shared" si="106"/>
        <v>2468</v>
      </c>
      <c r="S278" s="71" t="s">
        <v>642</v>
      </c>
      <c r="T278" s="44">
        <f>ROUND(Q278,0)</f>
        <v>140817</v>
      </c>
      <c r="U278" s="44">
        <f t="shared" si="107"/>
        <v>0</v>
      </c>
      <c r="V278" s="71"/>
      <c r="W278" s="44">
        <f>ROUND(T278,0)</f>
        <v>140817</v>
      </c>
      <c r="X278" s="44">
        <f t="shared" si="108"/>
        <v>0</v>
      </c>
      <c r="Y278" s="71"/>
      <c r="Z278" s="44">
        <f>ROUND(W278,0)</f>
        <v>140817</v>
      </c>
      <c r="AA278" s="44">
        <f t="shared" si="132"/>
        <v>0</v>
      </c>
      <c r="AB278" s="71"/>
    </row>
    <row r="279" spans="2:28" s="161" customFormat="1" ht="63" customHeight="1" x14ac:dyDescent="0.25">
      <c r="B279" s="244" t="s">
        <v>737</v>
      </c>
      <c r="C279" s="251" t="s">
        <v>738</v>
      </c>
      <c r="D279" s="143" t="s">
        <v>739</v>
      </c>
      <c r="E279" s="44"/>
      <c r="F279" s="44"/>
      <c r="G279" s="44"/>
      <c r="H279" s="44"/>
      <c r="I279" s="44"/>
      <c r="J279" s="44"/>
      <c r="K279" s="44">
        <f>[1]BAZE_2024!G302</f>
        <v>370450.2170532</v>
      </c>
      <c r="L279" s="44">
        <f>E279+F279+G279+H279+I279+J279+K279</f>
        <v>370450.2170532</v>
      </c>
      <c r="M279" s="45">
        <v>370450.2170532</v>
      </c>
      <c r="N279" s="45">
        <f>ROUND(M279,0)-14058</f>
        <v>356392</v>
      </c>
      <c r="O279" s="44">
        <f t="shared" si="134"/>
        <v>-14058.217053200002</v>
      </c>
      <c r="P279" s="47"/>
      <c r="Q279" s="44">
        <f>ROUND(N279,0)-6000</f>
        <v>350392</v>
      </c>
      <c r="R279" s="44">
        <f t="shared" si="106"/>
        <v>-6000</v>
      </c>
      <c r="S279" s="47" t="s">
        <v>710</v>
      </c>
      <c r="T279" s="44">
        <f>ROUND(Q279,0)</f>
        <v>350392</v>
      </c>
      <c r="U279" s="44">
        <f t="shared" si="107"/>
        <v>0</v>
      </c>
      <c r="V279" s="47"/>
      <c r="W279" s="44">
        <f>ROUND(T279,0)-3150</f>
        <v>347242</v>
      </c>
      <c r="X279" s="44">
        <f t="shared" si="108"/>
        <v>-3150</v>
      </c>
      <c r="Y279" s="71" t="s">
        <v>646</v>
      </c>
      <c r="Z279" s="44">
        <f>ROUND(W279,0)-2300-9536</f>
        <v>335406</v>
      </c>
      <c r="AA279" s="44">
        <f t="shared" si="132"/>
        <v>-11836</v>
      </c>
      <c r="AB279" s="71" t="s">
        <v>647</v>
      </c>
    </row>
    <row r="280" spans="2:28" s="161" customFormat="1" ht="19.2" customHeight="1" x14ac:dyDescent="0.25">
      <c r="B280" s="244"/>
      <c r="C280" s="251" t="s">
        <v>740</v>
      </c>
      <c r="D280" s="143" t="s">
        <v>555</v>
      </c>
      <c r="E280" s="44"/>
      <c r="F280" s="44"/>
      <c r="G280" s="44"/>
      <c r="H280" s="44"/>
      <c r="I280" s="44"/>
      <c r="J280" s="44"/>
      <c r="K280" s="44"/>
      <c r="L280" s="44"/>
      <c r="M280" s="45"/>
      <c r="N280" s="45">
        <v>14058</v>
      </c>
      <c r="O280" s="44">
        <f t="shared" si="134"/>
        <v>14058</v>
      </c>
      <c r="P280" s="47" t="s">
        <v>550</v>
      </c>
      <c r="Q280" s="44">
        <f>ROUND(N280,0)+6705+6000</f>
        <v>26763</v>
      </c>
      <c r="R280" s="44">
        <f>Q280-N280</f>
        <v>12705</v>
      </c>
      <c r="S280" s="71" t="s">
        <v>741</v>
      </c>
      <c r="T280" s="44">
        <f>ROUND(Q280,0)</f>
        <v>26763</v>
      </c>
      <c r="U280" s="44">
        <f t="shared" si="107"/>
        <v>0</v>
      </c>
      <c r="V280" s="47"/>
      <c r="W280" s="44">
        <f>ROUND(T280,0)</f>
        <v>26763</v>
      </c>
      <c r="X280" s="44">
        <f>W280-T280</f>
        <v>0</v>
      </c>
      <c r="Y280" s="47"/>
      <c r="Z280" s="44">
        <f>ROUND(W280,0)</f>
        <v>26763</v>
      </c>
      <c r="AA280" s="44">
        <f t="shared" si="132"/>
        <v>0</v>
      </c>
      <c r="AB280" s="47"/>
    </row>
    <row r="281" spans="2:28" ht="18" customHeight="1" x14ac:dyDescent="0.25">
      <c r="C281" s="232" t="s">
        <v>742</v>
      </c>
      <c r="D281" s="180" t="s">
        <v>743</v>
      </c>
      <c r="E281" s="181">
        <f>E282+E283</f>
        <v>0</v>
      </c>
      <c r="F281" s="181">
        <f t="shared" ref="F281:N281" si="139">F282+F283</f>
        <v>651115.61239999998</v>
      </c>
      <c r="G281" s="181">
        <f t="shared" si="139"/>
        <v>0</v>
      </c>
      <c r="H281" s="181">
        <f t="shared" si="139"/>
        <v>0</v>
      </c>
      <c r="I281" s="181">
        <f t="shared" si="139"/>
        <v>0</v>
      </c>
      <c r="J281" s="181">
        <f t="shared" si="139"/>
        <v>9000</v>
      </c>
      <c r="K281" s="181">
        <f t="shared" si="139"/>
        <v>987089.57675100002</v>
      </c>
      <c r="L281" s="181">
        <f t="shared" si="139"/>
        <v>1647205.189151</v>
      </c>
      <c r="M281" s="182">
        <v>1647206</v>
      </c>
      <c r="N281" s="182">
        <f t="shared" si="139"/>
        <v>1852644</v>
      </c>
      <c r="O281" s="181">
        <f t="shared" si="134"/>
        <v>205438</v>
      </c>
      <c r="P281" s="184"/>
      <c r="Q281" s="181">
        <f>Q282+Q283</f>
        <v>1852644</v>
      </c>
      <c r="R281" s="181">
        <f t="shared" si="106"/>
        <v>0</v>
      </c>
      <c r="S281" s="181"/>
      <c r="T281" s="181">
        <f>T282+T283</f>
        <v>1856644</v>
      </c>
      <c r="U281" s="181">
        <f t="shared" si="107"/>
        <v>4000</v>
      </c>
      <c r="V281" s="181"/>
      <c r="W281" s="181">
        <f>W282+W283</f>
        <v>1856644</v>
      </c>
      <c r="X281" s="181">
        <f t="shared" si="108"/>
        <v>0</v>
      </c>
      <c r="Y281" s="181"/>
      <c r="Z281" s="181">
        <f>Z282+Z283</f>
        <v>1856644</v>
      </c>
      <c r="AA281" s="181">
        <f t="shared" si="132"/>
        <v>0</v>
      </c>
      <c r="AB281" s="181"/>
    </row>
    <row r="282" spans="2:28" ht="13.5" customHeight="1" x14ac:dyDescent="0.25">
      <c r="C282" s="178" t="s">
        <v>744</v>
      </c>
      <c r="D282" s="143" t="s">
        <v>745</v>
      </c>
      <c r="E282" s="44">
        <f>E44</f>
        <v>0</v>
      </c>
      <c r="F282" s="228">
        <f>F44</f>
        <v>651115.61239999998</v>
      </c>
      <c r="G282" s="44"/>
      <c r="H282" s="44"/>
      <c r="I282" s="44"/>
      <c r="J282" s="44"/>
      <c r="K282" s="44"/>
      <c r="L282" s="44">
        <f>E282+F282+G282+H282+I282+J282+K282</f>
        <v>651115.61239999998</v>
      </c>
      <c r="M282" s="45">
        <v>651116</v>
      </c>
      <c r="N282" s="45">
        <f>ROUND(M282,0)+1832+142597</f>
        <v>795545</v>
      </c>
      <c r="O282" s="44">
        <f t="shared" si="134"/>
        <v>144429</v>
      </c>
      <c r="P282" s="71" t="s">
        <v>746</v>
      </c>
      <c r="Q282" s="44">
        <f>ROUND(N282,0)</f>
        <v>795545</v>
      </c>
      <c r="R282" s="44">
        <f t="shared" si="106"/>
        <v>0</v>
      </c>
      <c r="S282" s="71"/>
      <c r="T282" s="44">
        <f>ROUND(Q282,0)</f>
        <v>795545</v>
      </c>
      <c r="U282" s="44">
        <f t="shared" si="107"/>
        <v>0</v>
      </c>
      <c r="V282" s="71"/>
      <c r="W282" s="44">
        <f>ROUND(T282,0)</f>
        <v>795545</v>
      </c>
      <c r="X282" s="44">
        <f t="shared" si="108"/>
        <v>0</v>
      </c>
      <c r="Y282" s="71"/>
      <c r="Z282" s="44">
        <f>ROUND(W282,0)</f>
        <v>795545</v>
      </c>
      <c r="AA282" s="44">
        <f t="shared" si="132"/>
        <v>0</v>
      </c>
      <c r="AB282" s="71"/>
    </row>
    <row r="283" spans="2:28" ht="25.95" customHeight="1" x14ac:dyDescent="0.25">
      <c r="C283" s="178" t="s">
        <v>747</v>
      </c>
      <c r="D283" s="143" t="s">
        <v>622</v>
      </c>
      <c r="E283" s="44"/>
      <c r="F283" s="44"/>
      <c r="G283" s="44"/>
      <c r="H283" s="44"/>
      <c r="I283" s="44"/>
      <c r="J283" s="44">
        <v>9000</v>
      </c>
      <c r="K283" s="44">
        <f>[1]BAZE_2024!G344</f>
        <v>987089.57675100002</v>
      </c>
      <c r="L283" s="44">
        <f>E283+F283+G283+H283+I283+J283+K283</f>
        <v>996089.57675100002</v>
      </c>
      <c r="M283" s="45">
        <v>996090</v>
      </c>
      <c r="N283" s="45">
        <f>ROUND(M283,0)+61009</f>
        <v>1057099</v>
      </c>
      <c r="O283" s="44">
        <f t="shared" si="134"/>
        <v>61009</v>
      </c>
      <c r="P283" s="252" t="s">
        <v>748</v>
      </c>
      <c r="Q283" s="44">
        <f>ROUND(N283,0)</f>
        <v>1057099</v>
      </c>
      <c r="R283" s="44">
        <f t="shared" ref="R283:R302" si="140">Q283-N283</f>
        <v>0</v>
      </c>
      <c r="S283" s="252"/>
      <c r="T283" s="44">
        <f>ROUND(Q283,0)+4000</f>
        <v>1061099</v>
      </c>
      <c r="U283" s="44">
        <f t="shared" ref="U283:U302" si="141">T283-Q283</f>
        <v>4000</v>
      </c>
      <c r="V283" s="209" t="s">
        <v>749</v>
      </c>
      <c r="W283" s="44">
        <f>ROUND(T283,0)</f>
        <v>1061099</v>
      </c>
      <c r="X283" s="44">
        <f t="shared" ref="X283:X302" si="142">W283-T283</f>
        <v>0</v>
      </c>
      <c r="Y283" s="252"/>
      <c r="Z283" s="44">
        <f>ROUND(W283,0)</f>
        <v>1061099</v>
      </c>
      <c r="AA283" s="44">
        <f t="shared" si="132"/>
        <v>0</v>
      </c>
      <c r="AB283" s="252"/>
    </row>
    <row r="284" spans="2:28" ht="16.2" customHeight="1" x14ac:dyDescent="0.25">
      <c r="C284" s="253" t="s">
        <v>750</v>
      </c>
      <c r="D284" s="180" t="s">
        <v>751</v>
      </c>
      <c r="E284" s="181">
        <f t="shared" ref="E284:L284" si="143">E285+E286</f>
        <v>0</v>
      </c>
      <c r="F284" s="181">
        <f t="shared" si="143"/>
        <v>314605.76040000003</v>
      </c>
      <c r="G284" s="181">
        <f t="shared" si="143"/>
        <v>0</v>
      </c>
      <c r="H284" s="181">
        <f t="shared" si="143"/>
        <v>0</v>
      </c>
      <c r="I284" s="181">
        <f>I285+I286</f>
        <v>0</v>
      </c>
      <c r="J284" s="181">
        <f t="shared" si="143"/>
        <v>0</v>
      </c>
      <c r="K284" s="181">
        <f t="shared" si="143"/>
        <v>391971.94149168005</v>
      </c>
      <c r="L284" s="181">
        <f t="shared" si="143"/>
        <v>706577.70189168002</v>
      </c>
      <c r="M284" s="182">
        <v>706577.70189168002</v>
      </c>
      <c r="N284" s="182">
        <f>N285+N286</f>
        <v>706619</v>
      </c>
      <c r="O284" s="181">
        <f t="shared" si="134"/>
        <v>41.298108319984749</v>
      </c>
      <c r="P284" s="191"/>
      <c r="Q284" s="181">
        <f>Q285+Q286</f>
        <v>740716</v>
      </c>
      <c r="R284" s="181">
        <f t="shared" si="140"/>
        <v>34097</v>
      </c>
      <c r="S284" s="192" t="s">
        <v>752</v>
      </c>
      <c r="T284" s="181">
        <f>T285+T286</f>
        <v>740716</v>
      </c>
      <c r="U284" s="181">
        <f t="shared" si="141"/>
        <v>0</v>
      </c>
      <c r="V284" s="192"/>
      <c r="W284" s="181">
        <f>W285+W286</f>
        <v>740716</v>
      </c>
      <c r="X284" s="181">
        <f t="shared" si="142"/>
        <v>0</v>
      </c>
      <c r="Y284" s="192"/>
      <c r="Z284" s="181">
        <f>Z285+Z286</f>
        <v>740716</v>
      </c>
      <c r="AA284" s="181">
        <f t="shared" si="132"/>
        <v>0</v>
      </c>
      <c r="AB284" s="192"/>
    </row>
    <row r="285" spans="2:28" ht="16.5" customHeight="1" x14ac:dyDescent="0.25">
      <c r="B285" s="92" t="s">
        <v>753</v>
      </c>
      <c r="C285" s="178" t="s">
        <v>754</v>
      </c>
      <c r="D285" s="143" t="s">
        <v>745</v>
      </c>
      <c r="E285" s="228">
        <f>E45</f>
        <v>0</v>
      </c>
      <c r="F285" s="228">
        <f>F45</f>
        <v>314605.76040000003</v>
      </c>
      <c r="G285" s="44"/>
      <c r="H285" s="44"/>
      <c r="I285" s="44"/>
      <c r="J285" s="44"/>
      <c r="K285" s="44"/>
      <c r="L285" s="44">
        <f t="shared" ref="L285:L291" si="144">E285+F285+G285+H285+I285+J285+K285</f>
        <v>314605.76040000003</v>
      </c>
      <c r="M285" s="45">
        <v>314605.76040000003</v>
      </c>
      <c r="N285" s="45">
        <f>ROUND(M285,0)+41</f>
        <v>314647</v>
      </c>
      <c r="O285" s="44">
        <f t="shared" si="134"/>
        <v>41.239599999971688</v>
      </c>
      <c r="P285" s="47" t="s">
        <v>1</v>
      </c>
      <c r="Q285" s="44">
        <f>ROUND(N285,0)-22981</f>
        <v>291666</v>
      </c>
      <c r="R285" s="44">
        <f t="shared" si="140"/>
        <v>-22981</v>
      </c>
      <c r="S285" s="47"/>
      <c r="T285" s="44">
        <f t="shared" ref="T285:T292" si="145">ROUND(Q285,0)</f>
        <v>291666</v>
      </c>
      <c r="U285" s="44">
        <f t="shared" si="141"/>
        <v>0</v>
      </c>
      <c r="V285" s="47"/>
      <c r="W285" s="44">
        <f t="shared" ref="W285:W291" si="146">ROUND(T285,0)</f>
        <v>291666</v>
      </c>
      <c r="X285" s="44">
        <f t="shared" si="142"/>
        <v>0</v>
      </c>
      <c r="Y285" s="47"/>
      <c r="Z285" s="44">
        <f t="shared" ref="Z285:Z291" si="147">ROUND(W285,0)</f>
        <v>291666</v>
      </c>
      <c r="AA285" s="44">
        <f t="shared" si="132"/>
        <v>0</v>
      </c>
      <c r="AB285" s="47"/>
    </row>
    <row r="286" spans="2:28" ht="16.5" customHeight="1" x14ac:dyDescent="0.25">
      <c r="B286" s="92" t="s">
        <v>755</v>
      </c>
      <c r="C286" s="178" t="s">
        <v>756</v>
      </c>
      <c r="D286" s="143" t="s">
        <v>757</v>
      </c>
      <c r="E286" s="44"/>
      <c r="F286" s="44"/>
      <c r="G286" s="44"/>
      <c r="H286" s="44"/>
      <c r="I286" s="44"/>
      <c r="J286" s="44"/>
      <c r="K286" s="44">
        <f>[1]BAZE_2024!G352</f>
        <v>391971.94149168005</v>
      </c>
      <c r="L286" s="44">
        <f t="shared" si="144"/>
        <v>391971.94149168005</v>
      </c>
      <c r="M286" s="45">
        <v>391971.94149168005</v>
      </c>
      <c r="N286" s="45">
        <f t="shared" ref="N286:N291" si="148">ROUND(M286,0)</f>
        <v>391972</v>
      </c>
      <c r="O286" s="44">
        <f t="shared" si="134"/>
        <v>5.8508319954853505E-2</v>
      </c>
      <c r="P286" s="70"/>
      <c r="Q286" s="44">
        <f>ROUND(N286,0)+57078</f>
        <v>449050</v>
      </c>
      <c r="R286" s="44">
        <f t="shared" si="140"/>
        <v>57078</v>
      </c>
      <c r="S286" s="71"/>
      <c r="T286" s="44">
        <f t="shared" si="145"/>
        <v>449050</v>
      </c>
      <c r="U286" s="44">
        <f t="shared" si="141"/>
        <v>0</v>
      </c>
      <c r="V286" s="71"/>
      <c r="W286" s="44">
        <f t="shared" si="146"/>
        <v>449050</v>
      </c>
      <c r="X286" s="44">
        <f t="shared" si="142"/>
        <v>0</v>
      </c>
      <c r="Y286" s="71"/>
      <c r="Z286" s="44">
        <f t="shared" si="147"/>
        <v>449050</v>
      </c>
      <c r="AA286" s="44">
        <f t="shared" si="132"/>
        <v>0</v>
      </c>
      <c r="AB286" s="71"/>
    </row>
    <row r="287" spans="2:28" ht="19.95" customHeight="1" x14ac:dyDescent="0.25">
      <c r="B287" s="92" t="s">
        <v>758</v>
      </c>
      <c r="C287" s="253" t="s">
        <v>759</v>
      </c>
      <c r="D287" s="180" t="s">
        <v>760</v>
      </c>
      <c r="E287" s="77"/>
      <c r="F287" s="77">
        <v>17640</v>
      </c>
      <c r="G287" s="77"/>
      <c r="H287" s="77"/>
      <c r="I287" s="77"/>
      <c r="J287" s="77">
        <f>77021+65541+8200-SUM(E287:I287)-J288</f>
        <v>130122</v>
      </c>
      <c r="K287" s="75">
        <f>[1]BAZE_2024!G358+[1]BAZE_2024!G364</f>
        <v>334629.24160460004</v>
      </c>
      <c r="L287" s="75">
        <f t="shared" si="144"/>
        <v>482391.24160460004</v>
      </c>
      <c r="M287" s="101">
        <v>482391.24160460004</v>
      </c>
      <c r="N287" s="101">
        <f t="shared" si="148"/>
        <v>482391</v>
      </c>
      <c r="O287" s="75">
        <f t="shared" si="134"/>
        <v>-0.2416046000435017</v>
      </c>
      <c r="P287" s="102"/>
      <c r="Q287" s="75">
        <f t="shared" ref="Q287:Q292" si="149">ROUND(N287,0)</f>
        <v>482391</v>
      </c>
      <c r="R287" s="75">
        <f t="shared" si="140"/>
        <v>0</v>
      </c>
      <c r="S287" s="103"/>
      <c r="T287" s="75">
        <f t="shared" si="145"/>
        <v>482391</v>
      </c>
      <c r="U287" s="75">
        <f t="shared" si="141"/>
        <v>0</v>
      </c>
      <c r="V287" s="103"/>
      <c r="W287" s="75">
        <f>ROUND(T287,0)</f>
        <v>482391</v>
      </c>
      <c r="X287" s="75">
        <f t="shared" si="142"/>
        <v>0</v>
      </c>
      <c r="Y287" s="103"/>
      <c r="Z287" s="75">
        <f t="shared" si="147"/>
        <v>482391</v>
      </c>
      <c r="AA287" s="75">
        <f t="shared" si="132"/>
        <v>0</v>
      </c>
      <c r="AB287" s="103"/>
    </row>
    <row r="288" spans="2:28" ht="18" customHeight="1" x14ac:dyDescent="0.25">
      <c r="B288" s="92"/>
      <c r="C288" s="253" t="s">
        <v>761</v>
      </c>
      <c r="D288" s="180" t="s">
        <v>762</v>
      </c>
      <c r="E288" s="77"/>
      <c r="F288" s="77"/>
      <c r="G288" s="77"/>
      <c r="H288" s="77"/>
      <c r="I288" s="77"/>
      <c r="J288" s="77">
        <v>3000</v>
      </c>
      <c r="K288" s="75"/>
      <c r="L288" s="75">
        <f t="shared" si="144"/>
        <v>3000</v>
      </c>
      <c r="M288" s="101">
        <v>3000</v>
      </c>
      <c r="N288" s="101">
        <f t="shared" si="148"/>
        <v>3000</v>
      </c>
      <c r="O288" s="75">
        <f t="shared" si="134"/>
        <v>0</v>
      </c>
      <c r="P288" s="102"/>
      <c r="Q288" s="75">
        <f t="shared" si="149"/>
        <v>3000</v>
      </c>
      <c r="R288" s="75">
        <f t="shared" si="140"/>
        <v>0</v>
      </c>
      <c r="S288" s="103"/>
      <c r="T288" s="75">
        <f t="shared" si="145"/>
        <v>3000</v>
      </c>
      <c r="U288" s="75">
        <f t="shared" si="141"/>
        <v>0</v>
      </c>
      <c r="V288" s="103"/>
      <c r="W288" s="75">
        <f t="shared" si="146"/>
        <v>3000</v>
      </c>
      <c r="X288" s="75">
        <f t="shared" si="142"/>
        <v>0</v>
      </c>
      <c r="Y288" s="103"/>
      <c r="Z288" s="75">
        <f t="shared" si="147"/>
        <v>3000</v>
      </c>
      <c r="AA288" s="75">
        <f t="shared" si="132"/>
        <v>0</v>
      </c>
      <c r="AB288" s="103"/>
    </row>
    <row r="289" spans="2:29" ht="31.95" customHeight="1" x14ac:dyDescent="0.25">
      <c r="B289" s="92" t="s">
        <v>763</v>
      </c>
      <c r="C289" s="253" t="s">
        <v>764</v>
      </c>
      <c r="D289" s="180" t="s">
        <v>765</v>
      </c>
      <c r="E289" s="77">
        <f>E80</f>
        <v>17962</v>
      </c>
      <c r="F289" s="77"/>
      <c r="G289" s="77"/>
      <c r="H289" s="77"/>
      <c r="I289" s="77"/>
      <c r="J289" s="77"/>
      <c r="K289" s="77"/>
      <c r="L289" s="75">
        <f t="shared" si="144"/>
        <v>17962</v>
      </c>
      <c r="M289" s="101">
        <v>17962</v>
      </c>
      <c r="N289" s="101">
        <f>ROUND(M289,0)-1841</f>
        <v>16121</v>
      </c>
      <c r="O289" s="75">
        <f t="shared" si="134"/>
        <v>-1841</v>
      </c>
      <c r="P289" s="103" t="s">
        <v>1</v>
      </c>
      <c r="Q289" s="75">
        <f t="shared" si="149"/>
        <v>16121</v>
      </c>
      <c r="R289" s="75">
        <f t="shared" si="140"/>
        <v>0</v>
      </c>
      <c r="S289" s="103"/>
      <c r="T289" s="75">
        <f t="shared" si="145"/>
        <v>16121</v>
      </c>
      <c r="U289" s="75">
        <f t="shared" si="141"/>
        <v>0</v>
      </c>
      <c r="V289" s="103"/>
      <c r="W289" s="75">
        <f t="shared" si="146"/>
        <v>16121</v>
      </c>
      <c r="X289" s="75">
        <f t="shared" si="142"/>
        <v>0</v>
      </c>
      <c r="Y289" s="103"/>
      <c r="Z289" s="75">
        <f t="shared" si="147"/>
        <v>16121</v>
      </c>
      <c r="AA289" s="75">
        <f t="shared" si="132"/>
        <v>0</v>
      </c>
      <c r="AB289" s="103"/>
    </row>
    <row r="290" spans="2:29" ht="27" customHeight="1" x14ac:dyDescent="0.25">
      <c r="B290" s="92" t="s">
        <v>766</v>
      </c>
      <c r="C290" s="253" t="s">
        <v>767</v>
      </c>
      <c r="D290" s="180" t="s">
        <v>768</v>
      </c>
      <c r="E290" s="77">
        <v>0</v>
      </c>
      <c r="F290" s="77"/>
      <c r="G290" s="77"/>
      <c r="H290" s="77"/>
      <c r="I290" s="77"/>
      <c r="J290" s="77">
        <f>1049-SUM(E290:I290)</f>
        <v>1049</v>
      </c>
      <c r="K290" s="77"/>
      <c r="L290" s="75">
        <f t="shared" si="144"/>
        <v>1049</v>
      </c>
      <c r="M290" s="101">
        <v>1049</v>
      </c>
      <c r="N290" s="101">
        <f t="shared" si="148"/>
        <v>1049</v>
      </c>
      <c r="O290" s="75">
        <f t="shared" si="134"/>
        <v>0</v>
      </c>
      <c r="P290" s="102"/>
      <c r="Q290" s="75">
        <f t="shared" si="149"/>
        <v>1049</v>
      </c>
      <c r="R290" s="75">
        <f t="shared" si="140"/>
        <v>0</v>
      </c>
      <c r="S290" s="103"/>
      <c r="T290" s="75">
        <f t="shared" si="145"/>
        <v>1049</v>
      </c>
      <c r="U290" s="75">
        <f t="shared" si="141"/>
        <v>0</v>
      </c>
      <c r="V290" s="103"/>
      <c r="W290" s="75">
        <f t="shared" si="146"/>
        <v>1049</v>
      </c>
      <c r="X290" s="75">
        <f t="shared" si="142"/>
        <v>0</v>
      </c>
      <c r="Y290" s="103"/>
      <c r="Z290" s="75">
        <f t="shared" si="147"/>
        <v>1049</v>
      </c>
      <c r="AA290" s="75">
        <f t="shared" si="132"/>
        <v>0</v>
      </c>
      <c r="AB290" s="103"/>
    </row>
    <row r="291" spans="2:29" ht="57.6" customHeight="1" x14ac:dyDescent="0.25">
      <c r="B291" s="92" t="s">
        <v>769</v>
      </c>
      <c r="C291" s="253" t="s">
        <v>770</v>
      </c>
      <c r="D291" s="180" t="s">
        <v>771</v>
      </c>
      <c r="E291" s="77">
        <f>E61</f>
        <v>700</v>
      </c>
      <c r="F291" s="77"/>
      <c r="G291" s="77"/>
      <c r="H291" s="77"/>
      <c r="I291" s="77"/>
      <c r="J291" s="77">
        <f>765-SUM(E291:I291)</f>
        <v>65</v>
      </c>
      <c r="K291" s="77"/>
      <c r="L291" s="75">
        <f t="shared" si="144"/>
        <v>765</v>
      </c>
      <c r="M291" s="101">
        <v>765</v>
      </c>
      <c r="N291" s="101">
        <f t="shared" si="148"/>
        <v>765</v>
      </c>
      <c r="O291" s="75">
        <f t="shared" si="134"/>
        <v>0</v>
      </c>
      <c r="P291" s="102"/>
      <c r="Q291" s="75">
        <f t="shared" si="149"/>
        <v>765</v>
      </c>
      <c r="R291" s="75">
        <f t="shared" si="140"/>
        <v>0</v>
      </c>
      <c r="S291" s="103"/>
      <c r="T291" s="75">
        <f t="shared" si="145"/>
        <v>765</v>
      </c>
      <c r="U291" s="75">
        <f t="shared" si="141"/>
        <v>0</v>
      </c>
      <c r="V291" s="103"/>
      <c r="W291" s="75">
        <f t="shared" si="146"/>
        <v>765</v>
      </c>
      <c r="X291" s="75">
        <f t="shared" si="142"/>
        <v>0</v>
      </c>
      <c r="Y291" s="103"/>
      <c r="Z291" s="75">
        <f t="shared" si="147"/>
        <v>765</v>
      </c>
      <c r="AA291" s="75">
        <f t="shared" si="132"/>
        <v>0</v>
      </c>
      <c r="AB291" s="103"/>
    </row>
    <row r="292" spans="2:29" ht="30.6" customHeight="1" x14ac:dyDescent="0.25">
      <c r="B292" s="92" t="s">
        <v>772</v>
      </c>
      <c r="C292" s="232" t="s">
        <v>773</v>
      </c>
      <c r="D292" s="180" t="s">
        <v>774</v>
      </c>
      <c r="E292" s="77"/>
      <c r="F292" s="77"/>
      <c r="G292" s="78"/>
      <c r="H292" s="77">
        <f>H114</f>
        <v>541742</v>
      </c>
      <c r="I292" s="77">
        <f>I293+I294</f>
        <v>0</v>
      </c>
      <c r="J292" s="77">
        <f>637343-SUM(E292:I292)</f>
        <v>95601</v>
      </c>
      <c r="K292" s="77"/>
      <c r="L292" s="77">
        <f>E292+F292+G292+H292+I292+J292+K292</f>
        <v>637343</v>
      </c>
      <c r="M292" s="101">
        <v>637343</v>
      </c>
      <c r="N292" s="101">
        <f>ROUND(M292,0)</f>
        <v>637343</v>
      </c>
      <c r="O292" s="75">
        <f>N292-M292</f>
        <v>0</v>
      </c>
      <c r="P292" s="102"/>
      <c r="Q292" s="75">
        <f t="shared" si="149"/>
        <v>637343</v>
      </c>
      <c r="R292" s="75">
        <f>Q292-N292</f>
        <v>0</v>
      </c>
      <c r="S292" s="103"/>
      <c r="T292" s="75">
        <f t="shared" si="145"/>
        <v>637343</v>
      </c>
      <c r="U292" s="75">
        <f t="shared" si="141"/>
        <v>0</v>
      </c>
      <c r="V292" s="103"/>
      <c r="W292" s="75">
        <f>ROUND(T292,0)</f>
        <v>637343</v>
      </c>
      <c r="X292" s="75">
        <f>W292-T292</f>
        <v>0</v>
      </c>
      <c r="Y292" s="103"/>
      <c r="Z292" s="75">
        <f>ROUND(W292,0)</f>
        <v>637343</v>
      </c>
      <c r="AA292" s="75">
        <f t="shared" si="132"/>
        <v>0</v>
      </c>
      <c r="AB292" s="103"/>
    </row>
    <row r="293" spans="2:29" ht="27" customHeight="1" x14ac:dyDescent="0.25">
      <c r="C293" s="232" t="s">
        <v>775</v>
      </c>
      <c r="D293" s="180" t="s">
        <v>234</v>
      </c>
      <c r="E293" s="77">
        <f>E294+E295</f>
        <v>15746</v>
      </c>
      <c r="F293" s="77">
        <f t="shared" ref="F293:L293" si="150">F294+F295</f>
        <v>0</v>
      </c>
      <c r="G293" s="77">
        <f t="shared" si="150"/>
        <v>0</v>
      </c>
      <c r="H293" s="77">
        <f t="shared" si="150"/>
        <v>0</v>
      </c>
      <c r="I293" s="77">
        <f>I294+I295</f>
        <v>0</v>
      </c>
      <c r="J293" s="77">
        <f t="shared" si="150"/>
        <v>0</v>
      </c>
      <c r="K293" s="77">
        <f t="shared" si="150"/>
        <v>0</v>
      </c>
      <c r="L293" s="77">
        <f t="shared" si="150"/>
        <v>15746</v>
      </c>
      <c r="M293" s="76">
        <v>15746</v>
      </c>
      <c r="N293" s="76">
        <f>N294+N295</f>
        <v>16496</v>
      </c>
      <c r="O293" s="75">
        <f t="shared" si="134"/>
        <v>750</v>
      </c>
      <c r="P293" s="102"/>
      <c r="Q293" s="77">
        <f>Q294+Q295</f>
        <v>16496</v>
      </c>
      <c r="R293" s="75">
        <f t="shared" si="140"/>
        <v>0</v>
      </c>
      <c r="S293" s="103"/>
      <c r="T293" s="77">
        <f>T294+T295</f>
        <v>16496</v>
      </c>
      <c r="U293" s="75">
        <f t="shared" si="141"/>
        <v>0</v>
      </c>
      <c r="V293" s="103"/>
      <c r="W293" s="77">
        <f>W294+W295</f>
        <v>16496</v>
      </c>
      <c r="X293" s="75">
        <f t="shared" si="142"/>
        <v>0</v>
      </c>
      <c r="Y293" s="103"/>
      <c r="Z293" s="77">
        <f>Z294+Z295</f>
        <v>16496</v>
      </c>
      <c r="AA293" s="75">
        <f t="shared" si="132"/>
        <v>0</v>
      </c>
      <c r="AB293" s="103"/>
    </row>
    <row r="294" spans="2:29" ht="14.4" customHeight="1" x14ac:dyDescent="0.25">
      <c r="B294" s="92" t="s">
        <v>776</v>
      </c>
      <c r="C294" s="178" t="s">
        <v>777</v>
      </c>
      <c r="D294" s="143" t="s">
        <v>778</v>
      </c>
      <c r="E294" s="44">
        <f>E77</f>
        <v>15746</v>
      </c>
      <c r="F294" s="44"/>
      <c r="G294" s="44"/>
      <c r="H294" s="44"/>
      <c r="I294" s="44"/>
      <c r="J294" s="44"/>
      <c r="K294" s="44"/>
      <c r="L294" s="44">
        <f>E294+F294+G294+H294+I294+J294+K294</f>
        <v>15746</v>
      </c>
      <c r="M294" s="45">
        <v>15746</v>
      </c>
      <c r="N294" s="45">
        <f>ROUND(M294,0)+750</f>
        <v>16496</v>
      </c>
      <c r="O294" s="44">
        <f t="shared" si="134"/>
        <v>750</v>
      </c>
      <c r="P294" s="71" t="s">
        <v>1</v>
      </c>
      <c r="Q294" s="44">
        <f>ROUND(N294,0)</f>
        <v>16496</v>
      </c>
      <c r="R294" s="44">
        <f t="shared" si="140"/>
        <v>0</v>
      </c>
      <c r="S294" s="71"/>
      <c r="T294" s="44">
        <f>ROUND(Q294,0)</f>
        <v>16496</v>
      </c>
      <c r="U294" s="44">
        <f t="shared" si="141"/>
        <v>0</v>
      </c>
      <c r="V294" s="71"/>
      <c r="W294" s="44">
        <f>ROUND(T294,0)</f>
        <v>16496</v>
      </c>
      <c r="X294" s="44">
        <f t="shared" si="142"/>
        <v>0</v>
      </c>
      <c r="Y294" s="71"/>
      <c r="Z294" s="44">
        <f>ROUND(W294,0)</f>
        <v>16496</v>
      </c>
      <c r="AA294" s="44">
        <f t="shared" si="132"/>
        <v>0</v>
      </c>
      <c r="AB294" s="71"/>
    </row>
    <row r="295" spans="2:29" s="161" customFormat="1" ht="15" customHeight="1" x14ac:dyDescent="0.25">
      <c r="B295" s="92" t="s">
        <v>779</v>
      </c>
      <c r="C295" s="178" t="s">
        <v>780</v>
      </c>
      <c r="D295" s="143" t="s">
        <v>781</v>
      </c>
      <c r="E295" s="44"/>
      <c r="F295" s="44"/>
      <c r="G295" s="44"/>
      <c r="H295" s="44"/>
      <c r="I295" s="44"/>
      <c r="J295" s="44"/>
      <c r="K295" s="44"/>
      <c r="L295" s="44">
        <f>E295+F295+G295+H295+I295+J295+K295</f>
        <v>0</v>
      </c>
      <c r="M295" s="45">
        <v>0</v>
      </c>
      <c r="N295" s="45">
        <f>ROUND(M295,0)</f>
        <v>0</v>
      </c>
      <c r="O295" s="44">
        <f t="shared" si="134"/>
        <v>0</v>
      </c>
      <c r="P295" s="70"/>
      <c r="Q295" s="44">
        <f>ROUND(N295,0)</f>
        <v>0</v>
      </c>
      <c r="R295" s="44">
        <f t="shared" si="140"/>
        <v>0</v>
      </c>
      <c r="S295" s="71"/>
      <c r="T295" s="44">
        <f>ROUND(Q295,0)</f>
        <v>0</v>
      </c>
      <c r="U295" s="44">
        <f t="shared" si="141"/>
        <v>0</v>
      </c>
      <c r="V295" s="71"/>
      <c r="W295" s="44">
        <f>ROUND(T295,0)</f>
        <v>0</v>
      </c>
      <c r="X295" s="44">
        <f t="shared" si="142"/>
        <v>0</v>
      </c>
      <c r="Y295" s="71"/>
      <c r="Z295" s="44">
        <f>ROUND(W295,0)</f>
        <v>0</v>
      </c>
      <c r="AA295" s="44">
        <f t="shared" si="132"/>
        <v>0</v>
      </c>
      <c r="AB295" s="71"/>
    </row>
    <row r="296" spans="2:29" s="161" customFormat="1" ht="17.399999999999999" customHeight="1" outlineLevel="1" x14ac:dyDescent="0.25">
      <c r="C296" s="175" t="s">
        <v>782</v>
      </c>
      <c r="D296" s="176" t="s">
        <v>783</v>
      </c>
      <c r="E296" s="50">
        <f t="shared" ref="E296:L296" si="151">SUM(E297:E298)</f>
        <v>0</v>
      </c>
      <c r="F296" s="50">
        <f t="shared" si="151"/>
        <v>0</v>
      </c>
      <c r="G296" s="50">
        <f t="shared" si="151"/>
        <v>0</v>
      </c>
      <c r="H296" s="50">
        <f t="shared" si="151"/>
        <v>0</v>
      </c>
      <c r="I296" s="50">
        <f>SUM(I297:I298)</f>
        <v>0</v>
      </c>
      <c r="J296" s="50">
        <f t="shared" si="151"/>
        <v>0</v>
      </c>
      <c r="K296" s="50">
        <f t="shared" si="151"/>
        <v>0</v>
      </c>
      <c r="L296" s="50">
        <f t="shared" si="151"/>
        <v>0</v>
      </c>
      <c r="M296" s="51">
        <v>0</v>
      </c>
      <c r="N296" s="51">
        <f>SUM(N297:N298)</f>
        <v>0</v>
      </c>
      <c r="O296" s="50">
        <f t="shared" si="134"/>
        <v>0</v>
      </c>
      <c r="P296" s="52"/>
      <c r="Q296" s="50">
        <f>SUM(Q297:Q298)</f>
        <v>0</v>
      </c>
      <c r="R296" s="50">
        <f t="shared" si="140"/>
        <v>0</v>
      </c>
      <c r="S296" s="53"/>
      <c r="T296" s="50">
        <f>SUM(T297:T298)</f>
        <v>0</v>
      </c>
      <c r="U296" s="50">
        <f t="shared" si="141"/>
        <v>0</v>
      </c>
      <c r="V296" s="53"/>
      <c r="W296" s="50">
        <f>SUM(W297:W298)</f>
        <v>0</v>
      </c>
      <c r="X296" s="50">
        <f t="shared" si="142"/>
        <v>0</v>
      </c>
      <c r="Y296" s="53"/>
      <c r="Z296" s="50">
        <f>SUM(Z297:Z298)</f>
        <v>0</v>
      </c>
      <c r="AA296" s="50">
        <f t="shared" si="132"/>
        <v>0</v>
      </c>
      <c r="AB296" s="53"/>
    </row>
    <row r="297" spans="2:29" ht="17.25" customHeight="1" outlineLevel="1" x14ac:dyDescent="0.25">
      <c r="C297" s="170" t="s">
        <v>136</v>
      </c>
      <c r="D297" s="171" t="s">
        <v>784</v>
      </c>
      <c r="E297" s="75"/>
      <c r="F297" s="75"/>
      <c r="G297" s="75"/>
      <c r="H297" s="75"/>
      <c r="I297" s="75"/>
      <c r="J297" s="181"/>
      <c r="K297" s="75"/>
      <c r="L297" s="75">
        <f>E297+F297+G297+H297+I297+J297+K297</f>
        <v>0</v>
      </c>
      <c r="M297" s="101"/>
      <c r="N297" s="101"/>
      <c r="O297" s="75">
        <f t="shared" si="134"/>
        <v>0</v>
      </c>
      <c r="P297" s="102"/>
      <c r="Q297" s="75"/>
      <c r="R297" s="75">
        <f t="shared" si="140"/>
        <v>0</v>
      </c>
      <c r="S297" s="103"/>
      <c r="T297" s="75"/>
      <c r="U297" s="75">
        <f t="shared" si="141"/>
        <v>0</v>
      </c>
      <c r="V297" s="103"/>
      <c r="W297" s="75">
        <f>ROUND(T297,0)</f>
        <v>0</v>
      </c>
      <c r="X297" s="75">
        <f t="shared" si="142"/>
        <v>0</v>
      </c>
      <c r="Y297" s="103"/>
      <c r="Z297" s="75">
        <f>ROUND(W297,0)</f>
        <v>0</v>
      </c>
      <c r="AA297" s="75">
        <f t="shared" si="132"/>
        <v>0</v>
      </c>
      <c r="AB297" s="103"/>
    </row>
    <row r="298" spans="2:29" ht="14.4" outlineLevel="1" thickBot="1" x14ac:dyDescent="0.3">
      <c r="C298" s="170" t="s">
        <v>203</v>
      </c>
      <c r="D298" s="171" t="s">
        <v>785</v>
      </c>
      <c r="E298" s="75"/>
      <c r="F298" s="75"/>
      <c r="G298" s="75"/>
      <c r="H298" s="75"/>
      <c r="I298" s="75"/>
      <c r="J298" s="75"/>
      <c r="K298" s="75"/>
      <c r="L298" s="75">
        <f>E298+F298+G298+H298+I298+J298+K298</f>
        <v>0</v>
      </c>
      <c r="M298" s="101"/>
      <c r="N298" s="101"/>
      <c r="O298" s="75">
        <f t="shared" si="134"/>
        <v>0</v>
      </c>
      <c r="P298" s="102"/>
      <c r="Q298" s="75"/>
      <c r="R298" s="75">
        <f t="shared" si="140"/>
        <v>0</v>
      </c>
      <c r="S298" s="103"/>
      <c r="T298" s="75"/>
      <c r="U298" s="75">
        <f t="shared" si="141"/>
        <v>0</v>
      </c>
      <c r="V298" s="103"/>
      <c r="W298" s="75">
        <f>ROUND(T298,0)</f>
        <v>0</v>
      </c>
      <c r="X298" s="75">
        <f t="shared" si="142"/>
        <v>0</v>
      </c>
      <c r="Y298" s="103"/>
      <c r="Z298" s="75">
        <f>ROUND(W298,0)</f>
        <v>0</v>
      </c>
      <c r="AA298" s="75">
        <f t="shared" si="132"/>
        <v>0</v>
      </c>
      <c r="AB298" s="103"/>
    </row>
    <row r="299" spans="2:29" s="161" customFormat="1" ht="30" customHeight="1" thickBot="1" x14ac:dyDescent="0.3">
      <c r="C299" s="254"/>
      <c r="D299" s="255" t="s">
        <v>786</v>
      </c>
      <c r="E299" s="256">
        <f t="shared" ref="E299:Q299" si="152">E130+E140+E142+E143+E148+E150+E192+E207+E229+E296</f>
        <v>2707710.83</v>
      </c>
      <c r="F299" s="256">
        <f t="shared" si="152"/>
        <v>9063695.3728</v>
      </c>
      <c r="G299" s="256">
        <f t="shared" si="152"/>
        <v>1170437</v>
      </c>
      <c r="H299" s="256">
        <f t="shared" si="152"/>
        <v>1873161</v>
      </c>
      <c r="I299" s="256">
        <f t="shared" si="152"/>
        <v>6904503.2470302833</v>
      </c>
      <c r="J299" s="256">
        <f t="shared" si="152"/>
        <v>4364953</v>
      </c>
      <c r="K299" s="256">
        <f t="shared" si="152"/>
        <v>32233358.782384261</v>
      </c>
      <c r="L299" s="256">
        <f t="shared" si="152"/>
        <v>58317819.23221454</v>
      </c>
      <c r="M299" s="257">
        <v>58317822.384578399</v>
      </c>
      <c r="N299" s="257">
        <f t="shared" si="152"/>
        <v>59128575</v>
      </c>
      <c r="O299" s="257">
        <f t="shared" si="152"/>
        <v>810752.62895110343</v>
      </c>
      <c r="P299" s="257" t="e">
        <f t="shared" si="152"/>
        <v>#VALUE!</v>
      </c>
      <c r="Q299" s="257">
        <f t="shared" si="152"/>
        <v>59750919</v>
      </c>
      <c r="R299" s="256">
        <f t="shared" si="140"/>
        <v>622344</v>
      </c>
      <c r="S299" s="258"/>
      <c r="T299" s="256">
        <f>T130+T140+T142+T143+T148+T150+T192+T207+T229+T296</f>
        <v>59826407</v>
      </c>
      <c r="U299" s="256">
        <f t="shared" si="141"/>
        <v>75488</v>
      </c>
      <c r="V299" s="258"/>
      <c r="W299" s="256">
        <f>W130+W140+W142+W143+W148+W150+W192+W207+W229+W296</f>
        <v>60556119</v>
      </c>
      <c r="X299" s="256">
        <f t="shared" si="142"/>
        <v>729712</v>
      </c>
      <c r="Y299" s="258"/>
      <c r="Z299" s="256">
        <f>Z130+Z140+Z142+Z143+Z148+Z150+Z192+Z207+Z229+Z296</f>
        <v>61049029</v>
      </c>
      <c r="AA299" s="256">
        <f t="shared" si="132"/>
        <v>492910</v>
      </c>
      <c r="AB299" s="258"/>
      <c r="AC299" s="259"/>
    </row>
    <row r="300" spans="2:29" s="41" customFormat="1" ht="23.25" customHeight="1" thickBot="1" x14ac:dyDescent="0.3">
      <c r="C300" s="175" t="s">
        <v>259</v>
      </c>
      <c r="D300" s="176" t="s">
        <v>787</v>
      </c>
      <c r="E300" s="50">
        <v>0</v>
      </c>
      <c r="F300" s="50"/>
      <c r="G300" s="50"/>
      <c r="H300" s="50"/>
      <c r="I300" s="50"/>
      <c r="J300" s="50">
        <f>3486155-SUM(E300:I300)</f>
        <v>3486155</v>
      </c>
      <c r="K300" s="50"/>
      <c r="L300" s="50">
        <f>E300+F300+G300+H300+J300+K300</f>
        <v>3486155</v>
      </c>
      <c r="M300" s="51">
        <v>3486155</v>
      </c>
      <c r="N300" s="51">
        <f>ROUND(M300,0)+37335+(133641+67)</f>
        <v>3657198</v>
      </c>
      <c r="O300" s="50">
        <f t="shared" si="134"/>
        <v>171043</v>
      </c>
      <c r="P300" s="260" t="s">
        <v>788</v>
      </c>
      <c r="Q300" s="50">
        <f>ROUND(N300,0)</f>
        <v>3657198</v>
      </c>
      <c r="R300" s="50">
        <f t="shared" si="140"/>
        <v>0</v>
      </c>
      <c r="S300" s="68"/>
      <c r="T300" s="50">
        <f>ROUND(Q300,0)</f>
        <v>3657198</v>
      </c>
      <c r="U300" s="50">
        <f t="shared" si="141"/>
        <v>0</v>
      </c>
      <c r="V300" s="68"/>
      <c r="W300" s="50">
        <f>ROUND(T300,0)</f>
        <v>3657198</v>
      </c>
      <c r="X300" s="50">
        <f t="shared" si="142"/>
        <v>0</v>
      </c>
      <c r="Y300" s="68"/>
      <c r="Z300" s="50">
        <f>ROUND(W300,0)</f>
        <v>3657198</v>
      </c>
      <c r="AA300" s="50">
        <f t="shared" si="132"/>
        <v>0</v>
      </c>
      <c r="AB300" s="68"/>
    </row>
    <row r="301" spans="2:29" ht="14.4" thickBot="1" x14ac:dyDescent="0.3">
      <c r="C301" s="254"/>
      <c r="D301" s="255" t="s">
        <v>789</v>
      </c>
      <c r="E301" s="261">
        <f>E299+E300</f>
        <v>2707710.83</v>
      </c>
      <c r="F301" s="261">
        <f t="shared" ref="F301:L301" si="153">F299+F300</f>
        <v>9063695.3728</v>
      </c>
      <c r="G301" s="261">
        <f t="shared" si="153"/>
        <v>1170437</v>
      </c>
      <c r="H301" s="261">
        <f t="shared" si="153"/>
        <v>1873161</v>
      </c>
      <c r="I301" s="261">
        <f>I299+I300</f>
        <v>6904503.2470302833</v>
      </c>
      <c r="J301" s="261">
        <f t="shared" si="153"/>
        <v>7851108</v>
      </c>
      <c r="K301" s="261">
        <f t="shared" si="153"/>
        <v>32233358.782384261</v>
      </c>
      <c r="L301" s="262">
        <f t="shared" si="153"/>
        <v>61803974.23221454</v>
      </c>
      <c r="M301" s="263">
        <v>61803977.384578399</v>
      </c>
      <c r="N301" s="263">
        <f>N299+N300</f>
        <v>62785773</v>
      </c>
      <c r="O301" s="261">
        <f t="shared" si="134"/>
        <v>981795.61542160064</v>
      </c>
      <c r="P301" s="264"/>
      <c r="Q301" s="261">
        <f>Q299+Q300</f>
        <v>63408117</v>
      </c>
      <c r="R301" s="261">
        <f t="shared" si="140"/>
        <v>622344</v>
      </c>
      <c r="S301" s="264"/>
      <c r="T301" s="261">
        <f>T299+T300</f>
        <v>63483605</v>
      </c>
      <c r="U301" s="261">
        <f t="shared" si="141"/>
        <v>75488</v>
      </c>
      <c r="V301" s="264"/>
      <c r="W301" s="261">
        <f>W299+W300</f>
        <v>64213317</v>
      </c>
      <c r="X301" s="261">
        <f t="shared" si="142"/>
        <v>729712</v>
      </c>
      <c r="Y301" s="264"/>
      <c r="Z301" s="261">
        <f>Z299+Z300</f>
        <v>64706227</v>
      </c>
      <c r="AA301" s="261">
        <f t="shared" si="132"/>
        <v>492910</v>
      </c>
      <c r="AB301" s="264"/>
    </row>
    <row r="302" spans="2:29" ht="15" thickTop="1" thickBot="1" x14ac:dyDescent="0.3">
      <c r="C302" s="265" t="s">
        <v>790</v>
      </c>
      <c r="D302" s="266" t="s">
        <v>791</v>
      </c>
      <c r="E302" s="267">
        <f t="shared" ref="E302:L302" si="154">E124-E301</f>
        <v>0</v>
      </c>
      <c r="F302" s="267">
        <f t="shared" si="154"/>
        <v>0</v>
      </c>
      <c r="G302" s="267">
        <f t="shared" si="154"/>
        <v>0</v>
      </c>
      <c r="H302" s="267">
        <f t="shared" si="154"/>
        <v>0</v>
      </c>
      <c r="I302" s="267">
        <f t="shared" si="154"/>
        <v>-5230466.2470302833</v>
      </c>
      <c r="J302" s="267">
        <f t="shared" si="154"/>
        <v>-7851108</v>
      </c>
      <c r="K302" s="267">
        <f t="shared" si="154"/>
        <v>6772673.8276157379</v>
      </c>
      <c r="L302" s="267">
        <f t="shared" si="154"/>
        <v>2.5805854573845863</v>
      </c>
      <c r="M302" s="268">
        <v>0.25542160123586655</v>
      </c>
      <c r="N302" s="268">
        <f>N124-N301-0.2</f>
        <v>80542.8</v>
      </c>
      <c r="O302" s="267">
        <f t="shared" si="134"/>
        <v>80542.544578398767</v>
      </c>
      <c r="P302" s="269"/>
      <c r="Q302" s="267">
        <f>Q124-Q301-0.2</f>
        <v>50316.800000000003</v>
      </c>
      <c r="R302" s="267">
        <f t="shared" si="140"/>
        <v>-30226</v>
      </c>
      <c r="S302" s="269"/>
      <c r="T302" s="267">
        <f>T124-T301-0.2</f>
        <v>58013.8</v>
      </c>
      <c r="U302" s="267">
        <f t="shared" si="141"/>
        <v>7697</v>
      </c>
      <c r="V302" s="269"/>
      <c r="W302" s="267">
        <f>W124-W301-0.2</f>
        <v>58013.8</v>
      </c>
      <c r="X302" s="267">
        <f t="shared" si="142"/>
        <v>0</v>
      </c>
      <c r="Y302" s="269"/>
      <c r="Z302" s="267">
        <f>Z124-Z301-0.2</f>
        <v>38078.800000000003</v>
      </c>
      <c r="AA302" s="267">
        <f t="shared" si="132"/>
        <v>-19935</v>
      </c>
      <c r="AB302" s="269"/>
    </row>
  </sheetData>
  <mergeCells count="7">
    <mergeCell ref="P241:P242"/>
    <mergeCell ref="AB268:AB269"/>
    <mergeCell ref="C2:D2"/>
    <mergeCell ref="C3:D3"/>
    <mergeCell ref="C127:D127"/>
    <mergeCell ref="C128:D128"/>
    <mergeCell ref="S145:S146"/>
  </mergeCells>
  <conditionalFormatting sqref="E302:O302">
    <cfRule type="cellIs" dxfId="4" priority="6" operator="lessThan">
      <formula>0</formula>
    </cfRule>
  </conditionalFormatting>
  <conditionalFormatting sqref="Q302:R302">
    <cfRule type="cellIs" dxfId="3" priority="4" operator="lessThan">
      <formula>0</formula>
    </cfRule>
  </conditionalFormatting>
  <conditionalFormatting sqref="T302:U302">
    <cfRule type="cellIs" dxfId="2" priority="3" operator="lessThan">
      <formula>0</formula>
    </cfRule>
  </conditionalFormatting>
  <conditionalFormatting sqref="W302:X302">
    <cfRule type="cellIs" dxfId="1" priority="2" operator="lessThan">
      <formula>0</formula>
    </cfRule>
  </conditionalFormatting>
  <conditionalFormatting sqref="Z302:AA302">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5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2024.gada budzeta plans_apvieno</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2024-08-15T11:41:06Z</dcterms:created>
  <dcterms:modified xsi:type="dcterms:W3CDTF">2024-08-22T20:32:18Z</dcterms:modified>
</cp:coreProperties>
</file>