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6_JŪNIJS\27.06.2024\Dokumentu PROJEKTI\"/>
    </mc:Choice>
  </mc:AlternateContent>
  <xr:revisionPtr revIDLastSave="0" documentId="8_{8D81313C-1CC0-43DE-A7B9-019E24DFCCFC}" xr6:coauthVersionLast="47" xr6:coauthVersionMax="47" xr10:uidLastSave="{00000000-0000-0000-0000-000000000000}"/>
  <bookViews>
    <workbookView xWindow="-120" yWindow="-120" windowWidth="29040" windowHeight="15720" xr2:uid="{68F0EB19-F4C0-4B38-8A68-9281081EC886}"/>
  </bookViews>
  <sheets>
    <sheet name="2024.gada budzeta plans_apvieno" sheetId="3" r:id="rId1"/>
    <sheet name="Līgumu saraksts_27062024" sheetId="4" r:id="rId2"/>
  </sheets>
  <definedNames>
    <definedName name="_0812" localSheetId="0">#REF!</definedName>
    <definedName name="_0812">#REF!</definedName>
    <definedName name="_xlnm._FilterDatabase" localSheetId="0" hidden="1">'2024.gada budzeta plans_apvieno'!#REF!</definedName>
    <definedName name="_xlnm._FilterDatabase" localSheetId="1" hidden="1">'Līgumu saraksts_27062024'!$C$5:$AW$138</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 localSheetId="0">#REF!</definedName>
    <definedName name="Kolonnas_virsraksta_reģions1..B11.1">#REF!</definedName>
    <definedName name="Kolonnas_virsraksta_reģions1..D4" localSheetId="0">#REF!</definedName>
    <definedName name="Kolonnas_virsraksta_reģions1..D4">#REF!</definedName>
    <definedName name="Kolonnas_virsraksta_reģions2..D7" localSheetId="0">#REF!</definedName>
    <definedName name="Kolonnas_virsraksta_reģions2..D7">#REF!</definedName>
    <definedName name="Kolonnas_virsraksta_reģions3..C12" localSheetId="0">#REF!</definedName>
    <definedName name="Kolonnas_virsraksta_reģions3..C12">#REF!</definedName>
    <definedName name="KolonnasNosaukums1" localSheetId="0">#REF!</definedName>
    <definedName name="KolonnasNosaukums1">#REF!</definedName>
    <definedName name="Parvadataji" localSheetId="0">#REF!</definedName>
    <definedName name="Parvadataji">#REF!</definedName>
    <definedName name="_xlnm.Print_Area" localSheetId="0">'2024.gada budzeta plans_apvieno'!$A$1:$Q$301</definedName>
    <definedName name="_xlnm.Print_Titles" localSheetId="0">'2024.gada budzeta plans_apvieno'!$5:$5</definedName>
    <definedName name="Saist_apmers_ar_galvojumu" localSheetId="0">#REF!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5" i="4" l="1"/>
  <c r="AY164" i="4"/>
  <c r="AX163" i="4"/>
  <c r="AW163" i="4"/>
  <c r="AU163" i="4"/>
  <c r="AT163" i="4"/>
  <c r="W163" i="4"/>
  <c r="T159" i="4"/>
  <c r="AX158" i="4"/>
  <c r="AW158" i="4"/>
  <c r="AU158" i="4"/>
  <c r="AT158" i="4"/>
  <c r="AQ158" i="4"/>
  <c r="AP158" i="4"/>
  <c r="AO158" i="4"/>
  <c r="AN158" i="4"/>
  <c r="AL158" i="4"/>
  <c r="AK158" i="4"/>
  <c r="AI158" i="4"/>
  <c r="AH158" i="4"/>
  <c r="N158" i="4"/>
  <c r="AS158" i="4" s="1"/>
  <c r="AH157" i="4"/>
  <c r="AG157" i="4"/>
  <c r="AF157" i="4"/>
  <c r="AE157" i="4"/>
  <c r="AD157" i="4"/>
  <c r="AC157" i="4"/>
  <c r="AB157" i="4"/>
  <c r="AA157" i="4"/>
  <c r="Z157" i="4"/>
  <c r="Y157" i="4"/>
  <c r="BE156" i="4"/>
  <c r="BC156" i="4"/>
  <c r="BB156" i="4"/>
  <c r="AZ156" i="4"/>
  <c r="N156" i="4"/>
  <c r="BB155" i="4"/>
  <c r="BC155" i="4" s="1"/>
  <c r="BE155" i="4" s="1"/>
  <c r="AZ155" i="4"/>
  <c r="N154" i="4"/>
  <c r="W154" i="4" s="1"/>
  <c r="BE153" i="4"/>
  <c r="BB153" i="4"/>
  <c r="BC153" i="4" s="1"/>
  <c r="AZ153" i="4"/>
  <c r="BE152" i="4"/>
  <c r="BC152" i="4"/>
  <c r="BB152" i="4"/>
  <c r="AZ152" i="4"/>
  <c r="N152" i="4"/>
  <c r="BB151" i="4"/>
  <c r="BC151" i="4" s="1"/>
  <c r="AZ151" i="4"/>
  <c r="BE151" i="4" s="1"/>
  <c r="BB150" i="4"/>
  <c r="BC150" i="4" s="1"/>
  <c r="AZ150" i="4"/>
  <c r="BE150" i="4" s="1"/>
  <c r="N150" i="4"/>
  <c r="BB149" i="4"/>
  <c r="BC149" i="4" s="1"/>
  <c r="AZ149" i="4"/>
  <c r="BE149" i="4" s="1"/>
  <c r="BB148" i="4"/>
  <c r="BC148" i="4" s="1"/>
  <c r="BE148" i="4" s="1"/>
  <c r="AZ148" i="4"/>
  <c r="N148" i="4"/>
  <c r="BC147" i="4"/>
  <c r="BE147" i="4" s="1"/>
  <c r="BB147" i="4"/>
  <c r="AZ147" i="4"/>
  <c r="AD146" i="4"/>
  <c r="N146" i="4"/>
  <c r="BB145" i="4"/>
  <c r="AZ145" i="4"/>
  <c r="K142" i="4"/>
  <c r="K141" i="4"/>
  <c r="AX140" i="4"/>
  <c r="AY139" i="4"/>
  <c r="AX139" i="4"/>
  <c r="AX164" i="4" s="1"/>
  <c r="S139" i="4"/>
  <c r="R139" i="4"/>
  <c r="AY138" i="4"/>
  <c r="AY163" i="4" s="1"/>
  <c r="AX138" i="4"/>
  <c r="AW138" i="4"/>
  <c r="AV138" i="4"/>
  <c r="AV163" i="4" s="1"/>
  <c r="AU138" i="4"/>
  <c r="AT138" i="4"/>
  <c r="AS138" i="4"/>
  <c r="AS163" i="4" s="1"/>
  <c r="AR138" i="4"/>
  <c r="AQ138" i="4"/>
  <c r="S138" i="4"/>
  <c r="S140" i="4" s="1"/>
  <c r="R138" i="4"/>
  <c r="R140" i="4" s="1"/>
  <c r="K138" i="4"/>
  <c r="BE136" i="4"/>
  <c r="BA136" i="4"/>
  <c r="U135" i="4"/>
  <c r="P135" i="4"/>
  <c r="N135" i="4" s="1"/>
  <c r="AF134" i="4"/>
  <c r="AE134" i="4"/>
  <c r="U134" i="4"/>
  <c r="J134" i="4"/>
  <c r="U133" i="4"/>
  <c r="P133" i="4"/>
  <c r="N133" i="4"/>
  <c r="AG133" i="4" s="1"/>
  <c r="AG132" i="4"/>
  <c r="AF132" i="4"/>
  <c r="AE132" i="4"/>
  <c r="AD132" i="4"/>
  <c r="AC132" i="4"/>
  <c r="AB132" i="4"/>
  <c r="AA132" i="4"/>
  <c r="Z132" i="4"/>
  <c r="Y132" i="4"/>
  <c r="X132" i="4"/>
  <c r="W132" i="4"/>
  <c r="U132" i="4"/>
  <c r="BB131" i="4"/>
  <c r="AA131" i="4"/>
  <c r="P131" i="4"/>
  <c r="N131" i="4"/>
  <c r="BB130" i="4"/>
  <c r="BC130" i="4" s="1"/>
  <c r="AA130" i="4"/>
  <c r="Z130" i="4"/>
  <c r="Y130" i="4"/>
  <c r="X130" i="4"/>
  <c r="AZ130" i="4" s="1"/>
  <c r="W130" i="4"/>
  <c r="U130" i="4"/>
  <c r="U129" i="4"/>
  <c r="P129" i="4"/>
  <c r="N129" i="4"/>
  <c r="AM128" i="4"/>
  <c r="AL128" i="4"/>
  <c r="AK128" i="4"/>
  <c r="AJ128" i="4"/>
  <c r="AI128" i="4"/>
  <c r="AH128" i="4"/>
  <c r="AG128" i="4"/>
  <c r="AF128" i="4"/>
  <c r="AE128" i="4"/>
  <c r="AD128" i="4"/>
  <c r="AC128" i="4"/>
  <c r="AB128" i="4"/>
  <c r="AA128" i="4"/>
  <c r="Z128" i="4"/>
  <c r="Y128" i="4"/>
  <c r="U128" i="4"/>
  <c r="BB127" i="4"/>
  <c r="AB127" i="4"/>
  <c r="AA127" i="4"/>
  <c r="U127" i="4"/>
  <c r="P127" i="4"/>
  <c r="N127" i="4" s="1"/>
  <c r="BC126" i="4"/>
  <c r="BB126" i="4"/>
  <c r="BA126" i="4"/>
  <c r="AZ126" i="4"/>
  <c r="BE126" i="4" s="1"/>
  <c r="AB126" i="4"/>
  <c r="AA126" i="4"/>
  <c r="Z126" i="4"/>
  <c r="Y126" i="4"/>
  <c r="X126" i="4"/>
  <c r="U126" i="4"/>
  <c r="T125" i="4"/>
  <c r="N125" i="4"/>
  <c r="AG124" i="4"/>
  <c r="AF124" i="4"/>
  <c r="AF138" i="4" s="1"/>
  <c r="AE124" i="4"/>
  <c r="AD124" i="4"/>
  <c r="AC124" i="4"/>
  <c r="AB124" i="4"/>
  <c r="AA124" i="4"/>
  <c r="Z124" i="4"/>
  <c r="Y124" i="4"/>
  <c r="X124" i="4"/>
  <c r="X138" i="4" s="1"/>
  <c r="W124" i="4"/>
  <c r="V124" i="4"/>
  <c r="U124" i="4"/>
  <c r="T124" i="4"/>
  <c r="T123" i="4"/>
  <c r="P123" i="4"/>
  <c r="N123" i="4" s="1"/>
  <c r="BA122" i="4"/>
  <c r="AZ122" i="4"/>
  <c r="BE122" i="4" s="1"/>
  <c r="AE122" i="4"/>
  <c r="BB122" i="4" s="1"/>
  <c r="BC122" i="4" s="1"/>
  <c r="T122" i="4"/>
  <c r="U122" i="4" s="1"/>
  <c r="BB121" i="4"/>
  <c r="T121" i="4"/>
  <c r="P121" i="4"/>
  <c r="N121" i="4" s="1"/>
  <c r="BC120" i="4"/>
  <c r="BB120" i="4"/>
  <c r="AZ120" i="4"/>
  <c r="BE120" i="4" s="1"/>
  <c r="W120" i="4"/>
  <c r="W138" i="4" s="1"/>
  <c r="V120" i="4"/>
  <c r="U120" i="4"/>
  <c r="T120" i="4"/>
  <c r="AC119" i="4"/>
  <c r="AB119" i="4"/>
  <c r="AA119" i="4"/>
  <c r="T119" i="4"/>
  <c r="P119" i="4"/>
  <c r="N119" i="4"/>
  <c r="BC118" i="4"/>
  <c r="BE118" i="4" s="1"/>
  <c r="BB118" i="4"/>
  <c r="AZ118" i="4"/>
  <c r="BA118" i="4" s="1"/>
  <c r="T118" i="4"/>
  <c r="U118" i="4" s="1"/>
  <c r="BB117" i="4"/>
  <c r="V117" i="4"/>
  <c r="BC117" i="4" s="1"/>
  <c r="U117" i="4"/>
  <c r="T117" i="4"/>
  <c r="BB116" i="4"/>
  <c r="BC116" i="4" s="1"/>
  <c r="BE116" i="4" s="1"/>
  <c r="AZ116" i="4"/>
  <c r="T116" i="4"/>
  <c r="U116" i="4" s="1"/>
  <c r="AH115" i="4"/>
  <c r="Z115" i="4"/>
  <c r="Y115" i="4"/>
  <c r="X115" i="4"/>
  <c r="V115" i="4"/>
  <c r="T115" i="4"/>
  <c r="P115" i="4"/>
  <c r="N115" i="4" s="1"/>
  <c r="AI115" i="4" s="1"/>
  <c r="BC114" i="4"/>
  <c r="BB114" i="4"/>
  <c r="BA114" i="4"/>
  <c r="AZ114" i="4"/>
  <c r="BE114" i="4" s="1"/>
  <c r="T114" i="4"/>
  <c r="U114" i="4" s="1"/>
  <c r="AA113" i="4"/>
  <c r="Z113" i="4"/>
  <c r="Y113" i="4"/>
  <c r="X113" i="4"/>
  <c r="W113" i="4"/>
  <c r="T113" i="4"/>
  <c r="P113" i="4"/>
  <c r="N113" i="4"/>
  <c r="V113" i="4" s="1"/>
  <c r="BB112" i="4"/>
  <c r="BC112" i="4" s="1"/>
  <c r="AZ112" i="4"/>
  <c r="BE112" i="4" s="1"/>
  <c r="U112" i="4"/>
  <c r="T112" i="4"/>
  <c r="T111" i="4"/>
  <c r="P111" i="4"/>
  <c r="N111" i="4"/>
  <c r="BB110" i="4"/>
  <c r="BC110" i="4" s="1"/>
  <c r="BE110" i="4" s="1"/>
  <c r="AZ110" i="4"/>
  <c r="BA110" i="4" s="1"/>
  <c r="U110" i="4"/>
  <c r="T110" i="4"/>
  <c r="BB109" i="4"/>
  <c r="T109" i="4"/>
  <c r="P109" i="4"/>
  <c r="N109" i="4"/>
  <c r="BE108" i="4"/>
  <c r="BC108" i="4"/>
  <c r="BB108" i="4"/>
  <c r="AZ108" i="4"/>
  <c r="BA108" i="4" s="1"/>
  <c r="T108" i="4"/>
  <c r="U108" i="4" s="1"/>
  <c r="T107" i="4"/>
  <c r="P107" i="4"/>
  <c r="N107" i="4" s="1"/>
  <c r="BE106" i="4"/>
  <c r="BC106" i="4"/>
  <c r="BB106" i="4"/>
  <c r="V106" i="4"/>
  <c r="AZ106" i="4" s="1"/>
  <c r="BA106" i="4" s="1"/>
  <c r="U106" i="4"/>
  <c r="T106" i="4"/>
  <c r="BB105" i="4"/>
  <c r="Y105" i="4"/>
  <c r="T105" i="4"/>
  <c r="P105" i="4"/>
  <c r="N105" i="4" s="1"/>
  <c r="BC104" i="4"/>
  <c r="BB104" i="4"/>
  <c r="BA104" i="4"/>
  <c r="AZ104" i="4"/>
  <c r="BE104" i="4" s="1"/>
  <c r="T104" i="4"/>
  <c r="U104" i="4" s="1"/>
  <c r="BB103" i="4"/>
  <c r="X103" i="4"/>
  <c r="W103" i="4"/>
  <c r="V103" i="4"/>
  <c r="T103" i="4"/>
  <c r="P103" i="4"/>
  <c r="N103" i="4" s="1"/>
  <c r="Y103" i="4" s="1"/>
  <c r="BC102" i="4"/>
  <c r="BB102" i="4"/>
  <c r="AZ102" i="4"/>
  <c r="U102" i="4"/>
  <c r="T102" i="4"/>
  <c r="AA101" i="4"/>
  <c r="Z101" i="4"/>
  <c r="Y101" i="4"/>
  <c r="X101" i="4"/>
  <c r="W101" i="4"/>
  <c r="T101" i="4"/>
  <c r="P101" i="4"/>
  <c r="N101" i="4"/>
  <c r="V101" i="4" s="1"/>
  <c r="BB100" i="4"/>
  <c r="BC100" i="4" s="1"/>
  <c r="BA100" i="4"/>
  <c r="AZ100" i="4"/>
  <c r="T100" i="4"/>
  <c r="U100" i="4" s="1"/>
  <c r="AA99" i="4"/>
  <c r="Z99" i="4"/>
  <c r="Y99" i="4"/>
  <c r="X99" i="4"/>
  <c r="W99" i="4"/>
  <c r="T99" i="4"/>
  <c r="P99" i="4"/>
  <c r="N99" i="4"/>
  <c r="V99" i="4" s="1"/>
  <c r="BB98" i="4"/>
  <c r="BC98" i="4" s="1"/>
  <c r="AZ98" i="4"/>
  <c r="T98" i="4"/>
  <c r="U98" i="4" s="1"/>
  <c r="BB97" i="4"/>
  <c r="T97" i="4"/>
  <c r="P97" i="4"/>
  <c r="N97" i="4" s="1"/>
  <c r="V97" i="4" s="1"/>
  <c r="BC96" i="4"/>
  <c r="BE96" i="4" s="1"/>
  <c r="BB96" i="4"/>
  <c r="AZ96" i="4"/>
  <c r="BA96" i="4" s="1"/>
  <c r="T96" i="4"/>
  <c r="U96" i="4" s="1"/>
  <c r="BB95" i="4"/>
  <c r="AC95" i="4"/>
  <c r="T95" i="4"/>
  <c r="P95" i="4"/>
  <c r="N95" i="4"/>
  <c r="AB95" i="4" s="1"/>
  <c r="BE94" i="4"/>
  <c r="BC94" i="4"/>
  <c r="BB94" i="4"/>
  <c r="AZ94" i="4"/>
  <c r="BA94" i="4" s="1"/>
  <c r="T94" i="4"/>
  <c r="U94" i="4" s="1"/>
  <c r="T93" i="4"/>
  <c r="P93" i="4"/>
  <c r="N93" i="4" s="1"/>
  <c r="BE92" i="4"/>
  <c r="BC92" i="4"/>
  <c r="BB92" i="4"/>
  <c r="AZ92" i="4"/>
  <c r="BA92" i="4" s="1"/>
  <c r="T92" i="4"/>
  <c r="U92" i="4" s="1"/>
  <c r="AB91" i="4"/>
  <c r="Z91" i="4"/>
  <c r="Y91" i="4"/>
  <c r="T91" i="4"/>
  <c r="P91" i="4"/>
  <c r="N91" i="4" s="1"/>
  <c r="BC90" i="4"/>
  <c r="BB90" i="4"/>
  <c r="AZ90" i="4"/>
  <c r="BA90" i="4" s="1"/>
  <c r="T90" i="4"/>
  <c r="U90" i="4" s="1"/>
  <c r="BB89" i="4"/>
  <c r="X89" i="4"/>
  <c r="W89" i="4"/>
  <c r="V89" i="4"/>
  <c r="U89" i="4" s="1"/>
  <c r="T89" i="4"/>
  <c r="P89" i="4"/>
  <c r="N89" i="4"/>
  <c r="BB88" i="4"/>
  <c r="BC88" i="4" s="1"/>
  <c r="BE88" i="4" s="1"/>
  <c r="BA88" i="4"/>
  <c r="AZ88" i="4"/>
  <c r="U88" i="4"/>
  <c r="T88" i="4"/>
  <c r="T87" i="4"/>
  <c r="P87" i="4"/>
  <c r="N87" i="4"/>
  <c r="BE86" i="4"/>
  <c r="BC86" i="4"/>
  <c r="BB86" i="4"/>
  <c r="BA86" i="4"/>
  <c r="AZ86" i="4"/>
  <c r="U86" i="4"/>
  <c r="T86" i="4"/>
  <c r="AM85" i="4"/>
  <c r="AL85" i="4"/>
  <c r="AJ85" i="4"/>
  <c r="AC85" i="4"/>
  <c r="AA85" i="4"/>
  <c r="Z85" i="4"/>
  <c r="Y85" i="4"/>
  <c r="X85" i="4"/>
  <c r="T85" i="4"/>
  <c r="P85" i="4"/>
  <c r="N85" i="4"/>
  <c r="AE85" i="4" s="1"/>
  <c r="BB84" i="4"/>
  <c r="BC84" i="4" s="1"/>
  <c r="AZ84" i="4"/>
  <c r="T84" i="4"/>
  <c r="U84" i="4" s="1"/>
  <c r="AR83" i="4"/>
  <c r="AQ83" i="4"/>
  <c r="AP83" i="4"/>
  <c r="AN83" i="4"/>
  <c r="AD83" i="4"/>
  <c r="AA83" i="4"/>
  <c r="T83" i="4"/>
  <c r="P83" i="4"/>
  <c r="N83" i="4"/>
  <c r="AG83" i="4" s="1"/>
  <c r="BB82" i="4"/>
  <c r="BC82" i="4" s="1"/>
  <c r="BA82" i="4"/>
  <c r="AZ82" i="4"/>
  <c r="U82" i="4"/>
  <c r="T82" i="4"/>
  <c r="AJ81" i="4"/>
  <c r="AI81" i="4"/>
  <c r="AH81" i="4"/>
  <c r="AG81" i="4"/>
  <c r="Z81" i="4"/>
  <c r="X81" i="4"/>
  <c r="W81" i="4"/>
  <c r="V81" i="4"/>
  <c r="U81" i="4" s="1"/>
  <c r="T81" i="4"/>
  <c r="P81" i="4"/>
  <c r="N81" i="4" s="1"/>
  <c r="BC80" i="4"/>
  <c r="BB80" i="4"/>
  <c r="BA80" i="4"/>
  <c r="AZ80" i="4"/>
  <c r="BE80" i="4" s="1"/>
  <c r="U80" i="4"/>
  <c r="T80" i="4"/>
  <c r="AM79" i="4"/>
  <c r="AH79" i="4"/>
  <c r="T79" i="4"/>
  <c r="P79" i="4"/>
  <c r="N79" i="4"/>
  <c r="AQ79" i="4" s="1"/>
  <c r="BB78" i="4"/>
  <c r="BC78" i="4" s="1"/>
  <c r="BE78" i="4" s="1"/>
  <c r="AZ78" i="4"/>
  <c r="BA78" i="4" s="1"/>
  <c r="U78" i="4"/>
  <c r="T78" i="4"/>
  <c r="BB77" i="4"/>
  <c r="BA77" i="4"/>
  <c r="AZ77" i="4"/>
  <c r="V77" i="4"/>
  <c r="T77" i="4"/>
  <c r="P77" i="4"/>
  <c r="N77" i="4"/>
  <c r="BB76" i="4"/>
  <c r="BC76" i="4" s="1"/>
  <c r="AZ76" i="4"/>
  <c r="U76" i="4"/>
  <c r="T76" i="4"/>
  <c r="AI75" i="4"/>
  <c r="AG75" i="4"/>
  <c r="T75" i="4"/>
  <c r="P75" i="4"/>
  <c r="N75" i="4"/>
  <c r="AQ75" i="4" s="1"/>
  <c r="BC74" i="4"/>
  <c r="BB74" i="4"/>
  <c r="AZ74" i="4"/>
  <c r="BA74" i="4" s="1"/>
  <c r="T74" i="4"/>
  <c r="U74" i="4" s="1"/>
  <c r="T73" i="4"/>
  <c r="P73" i="4"/>
  <c r="N73" i="4"/>
  <c r="BC72" i="4"/>
  <c r="BB72" i="4"/>
  <c r="AZ72" i="4"/>
  <c r="BA72" i="4" s="1"/>
  <c r="T72" i="4"/>
  <c r="U72" i="4" s="1"/>
  <c r="AQ71" i="4"/>
  <c r="AN71" i="4"/>
  <c r="AM71" i="4"/>
  <c r="AL71" i="4"/>
  <c r="AJ71" i="4"/>
  <c r="AE71" i="4"/>
  <c r="AC71" i="4"/>
  <c r="AB71" i="4"/>
  <c r="AA71" i="4"/>
  <c r="T71" i="4"/>
  <c r="P71" i="4"/>
  <c r="N71" i="4" s="1"/>
  <c r="BC70" i="4"/>
  <c r="BE70" i="4" s="1"/>
  <c r="BB70" i="4"/>
  <c r="BA70" i="4"/>
  <c r="AZ70" i="4"/>
  <c r="U70" i="4"/>
  <c r="T70" i="4"/>
  <c r="BB69" i="4"/>
  <c r="W69" i="4"/>
  <c r="T69" i="4"/>
  <c r="P69" i="4"/>
  <c r="N69" i="4"/>
  <c r="V69" i="4" s="1"/>
  <c r="BB68" i="4"/>
  <c r="BC68" i="4" s="1"/>
  <c r="AZ68" i="4"/>
  <c r="U68" i="4"/>
  <c r="T68" i="4"/>
  <c r="BB67" i="4"/>
  <c r="T67" i="4"/>
  <c r="P67" i="4"/>
  <c r="N67" i="4" s="1"/>
  <c r="BB66" i="4"/>
  <c r="BC66" i="4" s="1"/>
  <c r="BE66" i="4" s="1"/>
  <c r="BA66" i="4"/>
  <c r="AZ66" i="4"/>
  <c r="U66" i="4"/>
  <c r="T66" i="4"/>
  <c r="AL65" i="4"/>
  <c r="AK65" i="4"/>
  <c r="AJ65" i="4"/>
  <c r="AI65" i="4"/>
  <c r="AG65" i="4"/>
  <c r="AB65" i="4"/>
  <c r="AA65" i="4"/>
  <c r="Z65" i="4"/>
  <c r="Y65" i="4"/>
  <c r="X65" i="4"/>
  <c r="W65" i="4"/>
  <c r="T65" i="4"/>
  <c r="P65" i="4"/>
  <c r="N65" i="4"/>
  <c r="AF65" i="4" s="1"/>
  <c r="BB64" i="4"/>
  <c r="BC64" i="4" s="1"/>
  <c r="BA64" i="4"/>
  <c r="AZ64" i="4"/>
  <c r="U64" i="4"/>
  <c r="T64" i="4"/>
  <c r="AU63" i="4"/>
  <c r="AS63" i="4"/>
  <c r="AR63" i="4"/>
  <c r="AD63" i="4"/>
  <c r="W63" i="4"/>
  <c r="V63" i="4"/>
  <c r="T63" i="4"/>
  <c r="P63" i="4"/>
  <c r="N63" i="4"/>
  <c r="AH63" i="4" s="1"/>
  <c r="BC62" i="4"/>
  <c r="BB62" i="4"/>
  <c r="AZ62" i="4"/>
  <c r="BA62" i="4" s="1"/>
  <c r="T62" i="4"/>
  <c r="U62" i="4" s="1"/>
  <c r="AF61" i="4"/>
  <c r="AC61" i="4"/>
  <c r="AA61" i="4"/>
  <c r="Z61" i="4"/>
  <c r="Y61" i="4"/>
  <c r="X61" i="4"/>
  <c r="W61" i="4"/>
  <c r="V61" i="4"/>
  <c r="U61" i="4" s="1"/>
  <c r="T61" i="4"/>
  <c r="P61" i="4"/>
  <c r="N61" i="4"/>
  <c r="AE61" i="4" s="1"/>
  <c r="BB60" i="4"/>
  <c r="BC60" i="4" s="1"/>
  <c r="AZ60" i="4"/>
  <c r="BE60" i="4" s="1"/>
  <c r="U60" i="4"/>
  <c r="T60" i="4"/>
  <c r="AP59" i="4"/>
  <c r="AA59" i="4"/>
  <c r="T59" i="4"/>
  <c r="P59" i="4"/>
  <c r="N59" i="4" s="1"/>
  <c r="BC58" i="4"/>
  <c r="BB58" i="4"/>
  <c r="AZ58" i="4"/>
  <c r="T58" i="4"/>
  <c r="U58" i="4" s="1"/>
  <c r="AD57" i="4"/>
  <c r="AC57" i="4"/>
  <c r="T57" i="4"/>
  <c r="P57" i="4"/>
  <c r="N57" i="4" s="1"/>
  <c r="BC56" i="4"/>
  <c r="BE56" i="4" s="1"/>
  <c r="BB56" i="4"/>
  <c r="AZ56" i="4"/>
  <c r="BA56" i="4" s="1"/>
  <c r="U56" i="4"/>
  <c r="T56" i="4"/>
  <c r="AD55" i="4"/>
  <c r="AC55" i="4"/>
  <c r="T55" i="4"/>
  <c r="P55" i="4"/>
  <c r="N55" i="4"/>
  <c r="AF55" i="4" s="1"/>
  <c r="BB54" i="4"/>
  <c r="BC54" i="4" s="1"/>
  <c r="BE54" i="4" s="1"/>
  <c r="BA54" i="4"/>
  <c r="AZ54" i="4"/>
  <c r="U54" i="4"/>
  <c r="T54" i="4"/>
  <c r="AT53" i="4"/>
  <c r="AF53" i="4"/>
  <c r="AD53" i="4"/>
  <c r="T53" i="4"/>
  <c r="P53" i="4"/>
  <c r="N53" i="4"/>
  <c r="BC52" i="4"/>
  <c r="BB52" i="4"/>
  <c r="AZ52" i="4"/>
  <c r="U52" i="4"/>
  <c r="T52" i="4"/>
  <c r="BB51" i="4"/>
  <c r="T51" i="4"/>
  <c r="P51" i="4"/>
  <c r="N51" i="4" s="1"/>
  <c r="BC50" i="4"/>
  <c r="BB50" i="4"/>
  <c r="AZ50" i="4"/>
  <c r="U50" i="4"/>
  <c r="T50" i="4"/>
  <c r="AD49" i="4"/>
  <c r="AB49" i="4"/>
  <c r="AA49" i="4"/>
  <c r="T49" i="4"/>
  <c r="P49" i="4"/>
  <c r="N49" i="4"/>
  <c r="AE49" i="4" s="1"/>
  <c r="BC48" i="4"/>
  <c r="BB48" i="4"/>
  <c r="BA48" i="4"/>
  <c r="AZ48" i="4"/>
  <c r="T48" i="4"/>
  <c r="U48" i="4" s="1"/>
  <c r="AH47" i="4"/>
  <c r="AG47" i="4"/>
  <c r="T47" i="4"/>
  <c r="P47" i="4"/>
  <c r="N47" i="4" s="1"/>
  <c r="BC46" i="4"/>
  <c r="BE46" i="4" s="1"/>
  <c r="BB46" i="4"/>
  <c r="AZ46" i="4"/>
  <c r="BA46" i="4" s="1"/>
  <c r="T46" i="4"/>
  <c r="U46" i="4" s="1"/>
  <c r="T45" i="4"/>
  <c r="P45" i="4"/>
  <c r="N45" i="4" s="1"/>
  <c r="BB44" i="4"/>
  <c r="BC44" i="4" s="1"/>
  <c r="AZ44" i="4"/>
  <c r="U44" i="4"/>
  <c r="T44" i="4"/>
  <c r="BB43" i="4"/>
  <c r="W43" i="4"/>
  <c r="T43" i="4"/>
  <c r="P43" i="4"/>
  <c r="N43" i="4" s="1"/>
  <c r="Z43" i="4" s="1"/>
  <c r="BB42" i="4"/>
  <c r="BC42" i="4" s="1"/>
  <c r="BA42" i="4"/>
  <c r="AZ42" i="4"/>
  <c r="BE42" i="4" s="1"/>
  <c r="T42" i="4"/>
  <c r="U42" i="4" s="1"/>
  <c r="T41" i="4"/>
  <c r="P41" i="4"/>
  <c r="N41" i="4" s="1"/>
  <c r="BC40" i="4"/>
  <c r="BE40" i="4" s="1"/>
  <c r="BB40" i="4"/>
  <c r="BA40" i="4"/>
  <c r="AZ40" i="4"/>
  <c r="T40" i="4"/>
  <c r="U40" i="4" s="1"/>
  <c r="T39" i="4"/>
  <c r="P39" i="4"/>
  <c r="N39" i="4" s="1"/>
  <c r="BC38" i="4"/>
  <c r="BB38" i="4"/>
  <c r="AZ38" i="4"/>
  <c r="BE38" i="4" s="1"/>
  <c r="U38" i="4"/>
  <c r="T38" i="4"/>
  <c r="AI37" i="4"/>
  <c r="T37" i="4"/>
  <c r="P37" i="4"/>
  <c r="N37" i="4"/>
  <c r="BB36" i="4"/>
  <c r="BC36" i="4" s="1"/>
  <c r="BE36" i="4" s="1"/>
  <c r="BA36" i="4"/>
  <c r="AZ36" i="4"/>
  <c r="U36" i="4"/>
  <c r="T36" i="4"/>
  <c r="AT35" i="4"/>
  <c r="T35" i="4"/>
  <c r="P35" i="4"/>
  <c r="N35" i="4" s="1"/>
  <c r="BC34" i="4"/>
  <c r="BE34" i="4" s="1"/>
  <c r="BB34" i="4"/>
  <c r="BA34" i="4"/>
  <c r="AZ34" i="4"/>
  <c r="T34" i="4"/>
  <c r="U34" i="4" s="1"/>
  <c r="AK33" i="4"/>
  <c r="Z33" i="4"/>
  <c r="X33" i="4"/>
  <c r="W33" i="4"/>
  <c r="T33" i="4"/>
  <c r="P33" i="4"/>
  <c r="N33" i="4" s="1"/>
  <c r="BB32" i="4"/>
  <c r="BC32" i="4" s="1"/>
  <c r="BE32" i="4" s="1"/>
  <c r="BA32" i="4"/>
  <c r="AZ32" i="4"/>
  <c r="T32" i="4"/>
  <c r="U32" i="4" s="1"/>
  <c r="BB31" i="4"/>
  <c r="T31" i="4"/>
  <c r="P31" i="4"/>
  <c r="N31" i="4" s="1"/>
  <c r="BB30" i="4"/>
  <c r="BC30" i="4" s="1"/>
  <c r="BA30" i="4"/>
  <c r="AZ30" i="4"/>
  <c r="T30" i="4"/>
  <c r="U30" i="4" s="1"/>
  <c r="T29" i="4"/>
  <c r="P29" i="4"/>
  <c r="N29" i="4" s="1"/>
  <c r="BB28" i="4"/>
  <c r="BC28" i="4" s="1"/>
  <c r="AZ28" i="4"/>
  <c r="U28" i="4"/>
  <c r="T28" i="4"/>
  <c r="AC27" i="4"/>
  <c r="AB27" i="4"/>
  <c r="AA27" i="4"/>
  <c r="Z27" i="4"/>
  <c r="Y27" i="4"/>
  <c r="X27" i="4"/>
  <c r="W27" i="4"/>
  <c r="V27" i="4"/>
  <c r="T27" i="4"/>
  <c r="P27" i="4"/>
  <c r="N27" i="4"/>
  <c r="AE27" i="4" s="1"/>
  <c r="BB26" i="4"/>
  <c r="BC26" i="4" s="1"/>
  <c r="BE26" i="4" s="1"/>
  <c r="BA26" i="4"/>
  <c r="AZ26" i="4"/>
  <c r="T26" i="4"/>
  <c r="U26" i="4" s="1"/>
  <c r="BB25" i="4"/>
  <c r="W25" i="4"/>
  <c r="T25" i="4"/>
  <c r="P25" i="4"/>
  <c r="N25" i="4" s="1"/>
  <c r="V25" i="4" s="1"/>
  <c r="BC24" i="4"/>
  <c r="BE24" i="4" s="1"/>
  <c r="BB24" i="4"/>
  <c r="BA24" i="4"/>
  <c r="AZ24" i="4"/>
  <c r="T24" i="4"/>
  <c r="U24" i="4" s="1"/>
  <c r="AI23" i="4"/>
  <c r="AD23" i="4"/>
  <c r="T23" i="4"/>
  <c r="P23" i="4"/>
  <c r="N23" i="4"/>
  <c r="BC22" i="4"/>
  <c r="BB22" i="4"/>
  <c r="BA22" i="4"/>
  <c r="AZ22" i="4"/>
  <c r="T22" i="4"/>
  <c r="U22" i="4" s="1"/>
  <c r="AI21" i="4"/>
  <c r="AH21" i="4"/>
  <c r="AD21" i="4"/>
  <c r="Y21" i="4"/>
  <c r="W21" i="4"/>
  <c r="V21" i="4"/>
  <c r="T21" i="4"/>
  <c r="P21" i="4"/>
  <c r="N21" i="4"/>
  <c r="BC20" i="4"/>
  <c r="BB20" i="4"/>
  <c r="AZ20" i="4"/>
  <c r="T20" i="4"/>
  <c r="U20" i="4" s="1"/>
  <c r="AP19" i="4"/>
  <c r="AM19" i="4"/>
  <c r="AI19" i="4"/>
  <c r="AD19" i="4"/>
  <c r="AA19" i="4"/>
  <c r="W19" i="4"/>
  <c r="T19" i="4"/>
  <c r="P19" i="4"/>
  <c r="N19" i="4"/>
  <c r="AN19" i="4" s="1"/>
  <c r="BB18" i="4"/>
  <c r="BC18" i="4" s="1"/>
  <c r="BA18" i="4"/>
  <c r="AZ18" i="4"/>
  <c r="T18" i="4"/>
  <c r="U18" i="4" s="1"/>
  <c r="AB17" i="4"/>
  <c r="X17" i="4"/>
  <c r="T17" i="4"/>
  <c r="P17" i="4"/>
  <c r="N17" i="4" s="1"/>
  <c r="BC16" i="4"/>
  <c r="BE16" i="4" s="1"/>
  <c r="BB16" i="4"/>
  <c r="AZ16" i="4"/>
  <c r="BA16" i="4" s="1"/>
  <c r="U16" i="4"/>
  <c r="T16" i="4"/>
  <c r="AC15" i="4"/>
  <c r="Y15" i="4"/>
  <c r="T15" i="4"/>
  <c r="P15" i="4"/>
  <c r="N15" i="4"/>
  <c r="BC14" i="4"/>
  <c r="BB14" i="4"/>
  <c r="AZ14" i="4"/>
  <c r="BA14" i="4" s="1"/>
  <c r="T14" i="4"/>
  <c r="U14" i="4" s="1"/>
  <c r="BB13" i="4"/>
  <c r="BC13" i="4" s="1"/>
  <c r="AZ13" i="4"/>
  <c r="U13" i="4"/>
  <c r="T13" i="4"/>
  <c r="P13" i="4"/>
  <c r="N13" i="4"/>
  <c r="BB12" i="4"/>
  <c r="BC12" i="4" s="1"/>
  <c r="BE12" i="4" s="1"/>
  <c r="AZ12" i="4"/>
  <c r="BA12" i="4" s="1"/>
  <c r="U12" i="4"/>
  <c r="T12" i="4"/>
  <c r="BC11" i="4"/>
  <c r="BB11" i="4"/>
  <c r="V11" i="4"/>
  <c r="T11" i="4"/>
  <c r="P11" i="4"/>
  <c r="N11" i="4"/>
  <c r="BB10" i="4"/>
  <c r="BC10" i="4" s="1"/>
  <c r="BE10" i="4" s="1"/>
  <c r="BA10" i="4"/>
  <c r="AZ10" i="4"/>
  <c r="T10" i="4"/>
  <c r="U10" i="4" s="1"/>
  <c r="AD9" i="4"/>
  <c r="AA9" i="4"/>
  <c r="W9" i="4"/>
  <c r="T9" i="4"/>
  <c r="P9" i="4"/>
  <c r="N9" i="4"/>
  <c r="BB8" i="4"/>
  <c r="BC8" i="4" s="1"/>
  <c r="BA8" i="4"/>
  <c r="AZ8" i="4"/>
  <c r="T8" i="4"/>
  <c r="U8" i="4" s="1"/>
  <c r="AB7" i="4"/>
  <c r="W7" i="4"/>
  <c r="T7" i="4"/>
  <c r="P7" i="4"/>
  <c r="N7" i="4" s="1"/>
  <c r="BC6" i="4"/>
  <c r="BE6" i="4" s="1"/>
  <c r="BB6" i="4"/>
  <c r="BA6" i="4"/>
  <c r="AZ6" i="4"/>
  <c r="T6" i="4"/>
  <c r="G299" i="3"/>
  <c r="F299" i="3"/>
  <c r="I299" i="3" s="1"/>
  <c r="P297" i="3"/>
  <c r="O297" i="3"/>
  <c r="M297" i="3"/>
  <c r="J297" i="3"/>
  <c r="G297" i="3"/>
  <c r="P296" i="3"/>
  <c r="O296" i="3"/>
  <c r="M296" i="3"/>
  <c r="J296" i="3"/>
  <c r="G296" i="3"/>
  <c r="M295" i="3"/>
  <c r="L295" i="3"/>
  <c r="J295" i="3"/>
  <c r="I295" i="3"/>
  <c r="F295" i="3"/>
  <c r="G295" i="3" s="1"/>
  <c r="F294" i="3"/>
  <c r="F293" i="3"/>
  <c r="I293" i="3" s="1"/>
  <c r="G291" i="3"/>
  <c r="F291" i="3"/>
  <c r="I291" i="3" s="1"/>
  <c r="F290" i="3"/>
  <c r="I290" i="3" s="1"/>
  <c r="J289" i="3"/>
  <c r="F289" i="3"/>
  <c r="I289" i="3" s="1"/>
  <c r="L289" i="3" s="1"/>
  <c r="F288" i="3"/>
  <c r="I288" i="3" s="1"/>
  <c r="F287" i="3"/>
  <c r="I287" i="3" s="1"/>
  <c r="J286" i="3"/>
  <c r="F286" i="3"/>
  <c r="I286" i="3" s="1"/>
  <c r="L286" i="3" s="1"/>
  <c r="F285" i="3"/>
  <c r="F284" i="3"/>
  <c r="I284" i="3" s="1"/>
  <c r="F282" i="3"/>
  <c r="F281" i="3"/>
  <c r="I281" i="3" s="1"/>
  <c r="L279" i="3"/>
  <c r="O279" i="3" s="1"/>
  <c r="P279" i="3" s="1"/>
  <c r="I279" i="3"/>
  <c r="J279" i="3" s="1"/>
  <c r="G279" i="3"/>
  <c r="J278" i="3"/>
  <c r="I278" i="3"/>
  <c r="L278" i="3" s="1"/>
  <c r="M278" i="3" s="1"/>
  <c r="F278" i="3"/>
  <c r="G278" i="3" s="1"/>
  <c r="L277" i="3"/>
  <c r="J277" i="3"/>
  <c r="I277" i="3"/>
  <c r="I276" i="3" s="1"/>
  <c r="F277" i="3"/>
  <c r="G277" i="3" s="1"/>
  <c r="F276" i="3"/>
  <c r="G276" i="3" s="1"/>
  <c r="J275" i="3"/>
  <c r="I275" i="3"/>
  <c r="L275" i="3" s="1"/>
  <c r="M275" i="3" s="1"/>
  <c r="F275" i="3"/>
  <c r="G275" i="3" s="1"/>
  <c r="I274" i="3"/>
  <c r="L274" i="3" s="1"/>
  <c r="G274" i="3"/>
  <c r="I273" i="3"/>
  <c r="L273" i="3" s="1"/>
  <c r="F273" i="3"/>
  <c r="G273" i="3" s="1"/>
  <c r="O272" i="3"/>
  <c r="P272" i="3" s="1"/>
  <c r="I272" i="3"/>
  <c r="L272" i="3" s="1"/>
  <c r="M272" i="3" s="1"/>
  <c r="G272" i="3"/>
  <c r="F272" i="3"/>
  <c r="J271" i="3"/>
  <c r="I271" i="3"/>
  <c r="L271" i="3" s="1"/>
  <c r="G271" i="3"/>
  <c r="F271" i="3"/>
  <c r="I270" i="3"/>
  <c r="L270" i="3" s="1"/>
  <c r="F270" i="3"/>
  <c r="G270" i="3" s="1"/>
  <c r="P269" i="3"/>
  <c r="O269" i="3"/>
  <c r="I269" i="3"/>
  <c r="L269" i="3" s="1"/>
  <c r="M269" i="3" s="1"/>
  <c r="G269" i="3"/>
  <c r="F269" i="3"/>
  <c r="J268" i="3"/>
  <c r="I268" i="3"/>
  <c r="L268" i="3" s="1"/>
  <c r="G268" i="3"/>
  <c r="M267" i="3"/>
  <c r="L267" i="3"/>
  <c r="O267" i="3" s="1"/>
  <c r="P267" i="3" s="1"/>
  <c r="I267" i="3"/>
  <c r="J267" i="3" s="1"/>
  <c r="G267" i="3"/>
  <c r="F267" i="3"/>
  <c r="G266" i="3"/>
  <c r="F266" i="3"/>
  <c r="I266" i="3" s="1"/>
  <c r="J266" i="3" s="1"/>
  <c r="G265" i="3"/>
  <c r="F265" i="3"/>
  <c r="F263" i="3" s="1"/>
  <c r="M264" i="3"/>
  <c r="L264" i="3"/>
  <c r="O264" i="3" s="1"/>
  <c r="P264" i="3" s="1"/>
  <c r="I264" i="3"/>
  <c r="G264" i="3"/>
  <c r="F264" i="3"/>
  <c r="H262" i="3"/>
  <c r="I261" i="3"/>
  <c r="L261" i="3" s="1"/>
  <c r="F261" i="3"/>
  <c r="G261" i="3" s="1"/>
  <c r="O260" i="3"/>
  <c r="P260" i="3" s="1"/>
  <c r="M260" i="3"/>
  <c r="I260" i="3"/>
  <c r="L260" i="3" s="1"/>
  <c r="G260" i="3"/>
  <c r="F260" i="3"/>
  <c r="I259" i="3"/>
  <c r="L259" i="3" s="1"/>
  <c r="G259" i="3"/>
  <c r="F259" i="3"/>
  <c r="I258" i="3"/>
  <c r="L258" i="3" s="1"/>
  <c r="F258" i="3"/>
  <c r="G258" i="3" s="1"/>
  <c r="O257" i="3"/>
  <c r="P257" i="3" s="1"/>
  <c r="M257" i="3"/>
  <c r="I257" i="3"/>
  <c r="L257" i="3" s="1"/>
  <c r="G257" i="3"/>
  <c r="F257" i="3"/>
  <c r="I256" i="3"/>
  <c r="L256" i="3" s="1"/>
  <c r="G256" i="3"/>
  <c r="F256" i="3"/>
  <c r="I255" i="3"/>
  <c r="L255" i="3" s="1"/>
  <c r="F255" i="3"/>
  <c r="G255" i="3" s="1"/>
  <c r="O254" i="3"/>
  <c r="P254" i="3" s="1"/>
  <c r="M254" i="3"/>
  <c r="I254" i="3"/>
  <c r="L254" i="3" s="1"/>
  <c r="G254" i="3"/>
  <c r="F253" i="3"/>
  <c r="G252" i="3"/>
  <c r="F252" i="3"/>
  <c r="I252" i="3" s="1"/>
  <c r="G249" i="3"/>
  <c r="F249" i="3"/>
  <c r="I249" i="3" s="1"/>
  <c r="M248" i="3"/>
  <c r="L248" i="3"/>
  <c r="O248" i="3" s="1"/>
  <c r="P248" i="3" s="1"/>
  <c r="G248" i="3"/>
  <c r="F248" i="3"/>
  <c r="I248" i="3" s="1"/>
  <c r="J248" i="3" s="1"/>
  <c r="F247" i="3"/>
  <c r="O245" i="3"/>
  <c r="P245" i="3" s="1"/>
  <c r="L245" i="3"/>
  <c r="M245" i="3" s="1"/>
  <c r="G245" i="3"/>
  <c r="F245" i="3"/>
  <c r="I245" i="3" s="1"/>
  <c r="J245" i="3" s="1"/>
  <c r="I244" i="3"/>
  <c r="F244" i="3"/>
  <c r="F242" i="3" s="1"/>
  <c r="G242" i="3" s="1"/>
  <c r="F243" i="3"/>
  <c r="I243" i="3" s="1"/>
  <c r="I241" i="3"/>
  <c r="F241" i="3"/>
  <c r="G241" i="3" s="1"/>
  <c r="F240" i="3"/>
  <c r="I240" i="3" s="1"/>
  <c r="M239" i="3"/>
  <c r="L239" i="3"/>
  <c r="G239" i="3"/>
  <c r="F239" i="3"/>
  <c r="I239" i="3" s="1"/>
  <c r="J239" i="3" s="1"/>
  <c r="F238" i="3"/>
  <c r="G238" i="3" s="1"/>
  <c r="M237" i="3"/>
  <c r="L237" i="3"/>
  <c r="O237" i="3" s="1"/>
  <c r="P237" i="3" s="1"/>
  <c r="I237" i="3"/>
  <c r="J237" i="3" s="1"/>
  <c r="G237" i="3"/>
  <c r="L236" i="3"/>
  <c r="F236" i="3"/>
  <c r="I236" i="3" s="1"/>
  <c r="J236" i="3" s="1"/>
  <c r="G235" i="3"/>
  <c r="F235" i="3"/>
  <c r="L233" i="3"/>
  <c r="O233" i="3" s="1"/>
  <c r="P233" i="3" s="1"/>
  <c r="J233" i="3"/>
  <c r="I233" i="3"/>
  <c r="G233" i="3"/>
  <c r="F232" i="3"/>
  <c r="P231" i="3"/>
  <c r="O231" i="3"/>
  <c r="J231" i="3"/>
  <c r="I231" i="3"/>
  <c r="L231" i="3" s="1"/>
  <c r="M231" i="3" s="1"/>
  <c r="F231" i="3"/>
  <c r="G231" i="3" s="1"/>
  <c r="F229" i="3"/>
  <c r="J227" i="3"/>
  <c r="I227" i="3"/>
  <c r="L227" i="3" s="1"/>
  <c r="F227" i="3"/>
  <c r="G227" i="3" s="1"/>
  <c r="F226" i="3"/>
  <c r="F224" i="3"/>
  <c r="I224" i="3" s="1"/>
  <c r="L223" i="3"/>
  <c r="I223" i="3"/>
  <c r="J223" i="3" s="1"/>
  <c r="F223" i="3"/>
  <c r="G223" i="3" s="1"/>
  <c r="F222" i="3"/>
  <c r="F221" i="3"/>
  <c r="I221" i="3" s="1"/>
  <c r="I220" i="3"/>
  <c r="L220" i="3" s="1"/>
  <c r="F220" i="3"/>
  <c r="G220" i="3" s="1"/>
  <c r="P219" i="3"/>
  <c r="O219" i="3"/>
  <c r="I218" i="3"/>
  <c r="F218" i="3"/>
  <c r="F217" i="3" s="1"/>
  <c r="L216" i="3"/>
  <c r="M216" i="3" s="1"/>
  <c r="I216" i="3"/>
  <c r="J216" i="3" s="1"/>
  <c r="G216" i="3"/>
  <c r="F216" i="3"/>
  <c r="I215" i="3"/>
  <c r="G215" i="3"/>
  <c r="F215" i="3"/>
  <c r="F214" i="3" s="1"/>
  <c r="G214" i="3" s="1"/>
  <c r="O213" i="3"/>
  <c r="P213" i="3" s="1"/>
  <c r="L213" i="3"/>
  <c r="M213" i="3" s="1"/>
  <c r="I213" i="3"/>
  <c r="J213" i="3" s="1"/>
  <c r="G213" i="3"/>
  <c r="F213" i="3"/>
  <c r="O212" i="3"/>
  <c r="P212" i="3" s="1"/>
  <c r="I211" i="3"/>
  <c r="F211" i="3"/>
  <c r="G211" i="3" s="1"/>
  <c r="F210" i="3"/>
  <c r="F209" i="3"/>
  <c r="I209" i="3" s="1"/>
  <c r="L208" i="3"/>
  <c r="I208" i="3"/>
  <c r="F208" i="3"/>
  <c r="G208" i="3" s="1"/>
  <c r="K207" i="3"/>
  <c r="F207" i="3"/>
  <c r="F206" i="3" s="1"/>
  <c r="K206" i="3"/>
  <c r="H206" i="3"/>
  <c r="H298" i="3" s="1"/>
  <c r="M205" i="3"/>
  <c r="I205" i="3"/>
  <c r="L205" i="3" s="1"/>
  <c r="O205" i="3" s="1"/>
  <c r="P205" i="3" s="1"/>
  <c r="G205" i="3"/>
  <c r="F205" i="3"/>
  <c r="I204" i="3"/>
  <c r="G204" i="3"/>
  <c r="F204" i="3"/>
  <c r="J203" i="3"/>
  <c r="I203" i="3"/>
  <c r="L203" i="3" s="1"/>
  <c r="G203" i="3"/>
  <c r="M202" i="3"/>
  <c r="L202" i="3"/>
  <c r="L201" i="3" s="1"/>
  <c r="M201" i="3" s="1"/>
  <c r="I202" i="3"/>
  <c r="J202" i="3" s="1"/>
  <c r="G202" i="3"/>
  <c r="F202" i="3"/>
  <c r="I201" i="3"/>
  <c r="G201" i="3"/>
  <c r="F201" i="3"/>
  <c r="I200" i="3"/>
  <c r="L200" i="3" s="1"/>
  <c r="G200" i="3"/>
  <c r="F200" i="3"/>
  <c r="M199" i="3"/>
  <c r="L199" i="3"/>
  <c r="O199" i="3" s="1"/>
  <c r="P199" i="3" s="1"/>
  <c r="I199" i="3"/>
  <c r="J199" i="3" s="1"/>
  <c r="G199" i="3"/>
  <c r="F199" i="3"/>
  <c r="G198" i="3"/>
  <c r="F198" i="3"/>
  <c r="I198" i="3" s="1"/>
  <c r="I197" i="3"/>
  <c r="L197" i="3" s="1"/>
  <c r="G197" i="3"/>
  <c r="F197" i="3"/>
  <c r="M196" i="3"/>
  <c r="L196" i="3"/>
  <c r="O196" i="3" s="1"/>
  <c r="P196" i="3" s="1"/>
  <c r="I196" i="3"/>
  <c r="J196" i="3" s="1"/>
  <c r="G196" i="3"/>
  <c r="F196" i="3"/>
  <c r="F195" i="3"/>
  <c r="I195" i="3" s="1"/>
  <c r="I194" i="3"/>
  <c r="L194" i="3" s="1"/>
  <c r="G194" i="3"/>
  <c r="F194" i="3"/>
  <c r="M193" i="3"/>
  <c r="L193" i="3"/>
  <c r="I193" i="3"/>
  <c r="J193" i="3" s="1"/>
  <c r="G193" i="3"/>
  <c r="F193" i="3"/>
  <c r="H192" i="3"/>
  <c r="O190" i="3"/>
  <c r="P190" i="3" s="1"/>
  <c r="I190" i="3"/>
  <c r="L190" i="3" s="1"/>
  <c r="M190" i="3" s="1"/>
  <c r="G190" i="3"/>
  <c r="F190" i="3"/>
  <c r="J189" i="3"/>
  <c r="I189" i="3"/>
  <c r="L189" i="3" s="1"/>
  <c r="G189" i="3"/>
  <c r="F189" i="3"/>
  <c r="F188" i="3"/>
  <c r="I188" i="3" s="1"/>
  <c r="P187" i="3"/>
  <c r="O187" i="3"/>
  <c r="M187" i="3"/>
  <c r="I187" i="3"/>
  <c r="L187" i="3" s="1"/>
  <c r="G187" i="3"/>
  <c r="F187" i="3"/>
  <c r="I186" i="3"/>
  <c r="G186" i="3"/>
  <c r="F186" i="3"/>
  <c r="F185" i="3"/>
  <c r="I185" i="3" s="1"/>
  <c r="O184" i="3"/>
  <c r="P184" i="3" s="1"/>
  <c r="I184" i="3"/>
  <c r="L184" i="3" s="1"/>
  <c r="M184" i="3" s="1"/>
  <c r="G184" i="3"/>
  <c r="F184" i="3"/>
  <c r="L183" i="3"/>
  <c r="O183" i="3" s="1"/>
  <c r="P183" i="3" s="1"/>
  <c r="J183" i="3"/>
  <c r="F182" i="3"/>
  <c r="I182" i="3" s="1"/>
  <c r="J181" i="3"/>
  <c r="I181" i="3"/>
  <c r="L181" i="3" s="1"/>
  <c r="F181" i="3"/>
  <c r="G181" i="3" s="1"/>
  <c r="F180" i="3"/>
  <c r="F177" i="3" s="1"/>
  <c r="G177" i="3" s="1"/>
  <c r="F179" i="3"/>
  <c r="I179" i="3" s="1"/>
  <c r="L178" i="3"/>
  <c r="J178" i="3"/>
  <c r="I178" i="3"/>
  <c r="F178" i="3"/>
  <c r="G178" i="3" s="1"/>
  <c r="F176" i="3"/>
  <c r="I176" i="3" s="1"/>
  <c r="L175" i="3"/>
  <c r="I175" i="3"/>
  <c r="J175" i="3" s="1"/>
  <c r="F175" i="3"/>
  <c r="G175" i="3" s="1"/>
  <c r="F174" i="3"/>
  <c r="F173" i="3"/>
  <c r="I173" i="3" s="1"/>
  <c r="L173" i="3" s="1"/>
  <c r="M173" i="3" s="1"/>
  <c r="P171" i="3"/>
  <c r="O171" i="3"/>
  <c r="M171" i="3"/>
  <c r="J171" i="3"/>
  <c r="F171" i="3"/>
  <c r="G171" i="3" s="1"/>
  <c r="O170" i="3"/>
  <c r="P170" i="3" s="1"/>
  <c r="M170" i="3"/>
  <c r="F170" i="3"/>
  <c r="P169" i="3"/>
  <c r="O169" i="3"/>
  <c r="M169" i="3"/>
  <c r="J169" i="3"/>
  <c r="F169" i="3"/>
  <c r="G169" i="3" s="1"/>
  <c r="O168" i="3"/>
  <c r="P168" i="3" s="1"/>
  <c r="L168" i="3"/>
  <c r="M168" i="3" s="1"/>
  <c r="I168" i="3"/>
  <c r="J168" i="3" s="1"/>
  <c r="G168" i="3"/>
  <c r="F168" i="3"/>
  <c r="O167" i="3"/>
  <c r="P167" i="3" s="1"/>
  <c r="L167" i="3"/>
  <c r="M167" i="3" s="1"/>
  <c r="I167" i="3"/>
  <c r="J167" i="3" s="1"/>
  <c r="G167" i="3"/>
  <c r="F167" i="3"/>
  <c r="F166" i="3"/>
  <c r="I165" i="3"/>
  <c r="G165" i="3"/>
  <c r="F165" i="3"/>
  <c r="G164" i="3"/>
  <c r="F164" i="3"/>
  <c r="I164" i="3" s="1"/>
  <c r="F163" i="3"/>
  <c r="F162" i="3"/>
  <c r="F161" i="3"/>
  <c r="I161" i="3" s="1"/>
  <c r="J161" i="3" s="1"/>
  <c r="I160" i="3"/>
  <c r="J160" i="3" s="1"/>
  <c r="F160" i="3"/>
  <c r="G160" i="3" s="1"/>
  <c r="I159" i="3"/>
  <c r="G159" i="3"/>
  <c r="F159" i="3"/>
  <c r="I158" i="3"/>
  <c r="J158" i="3" s="1"/>
  <c r="F158" i="3"/>
  <c r="G158" i="3" s="1"/>
  <c r="F157" i="3"/>
  <c r="L156" i="3"/>
  <c r="I156" i="3"/>
  <c r="J156" i="3" s="1"/>
  <c r="F156" i="3"/>
  <c r="G156" i="3" s="1"/>
  <c r="J155" i="3"/>
  <c r="I155" i="3"/>
  <c r="G155" i="3"/>
  <c r="F155" i="3"/>
  <c r="F153" i="3"/>
  <c r="I153" i="3" s="1"/>
  <c r="L153" i="3" s="1"/>
  <c r="O153" i="3" s="1"/>
  <c r="P153" i="3" s="1"/>
  <c r="F152" i="3"/>
  <c r="I151" i="3"/>
  <c r="G151" i="3"/>
  <c r="F151" i="3"/>
  <c r="F149" i="3"/>
  <c r="L147" i="3"/>
  <c r="I147" i="3"/>
  <c r="J147" i="3" s="1"/>
  <c r="G147" i="3"/>
  <c r="F147" i="3"/>
  <c r="F146" i="3"/>
  <c r="I145" i="3"/>
  <c r="G145" i="3"/>
  <c r="F145" i="3"/>
  <c r="I142" i="3"/>
  <c r="G142" i="3"/>
  <c r="F142" i="3"/>
  <c r="J141" i="3"/>
  <c r="I141" i="3"/>
  <c r="L141" i="3" s="1"/>
  <c r="G141" i="3"/>
  <c r="F141" i="3"/>
  <c r="F140" i="3"/>
  <c r="I139" i="3"/>
  <c r="G139" i="3"/>
  <c r="F139" i="3"/>
  <c r="I138" i="3"/>
  <c r="L138" i="3" s="1"/>
  <c r="G138" i="3"/>
  <c r="F138" i="3"/>
  <c r="F137" i="3"/>
  <c r="I136" i="3"/>
  <c r="G136" i="3"/>
  <c r="F136" i="3"/>
  <c r="L135" i="3"/>
  <c r="I135" i="3"/>
  <c r="J135" i="3" s="1"/>
  <c r="G135" i="3"/>
  <c r="F135" i="3"/>
  <c r="F134" i="3"/>
  <c r="I133" i="3"/>
  <c r="G133" i="3"/>
  <c r="F133" i="3"/>
  <c r="L132" i="3"/>
  <c r="I132" i="3"/>
  <c r="J132" i="3" s="1"/>
  <c r="G132" i="3"/>
  <c r="F132" i="3"/>
  <c r="F131" i="3"/>
  <c r="F123" i="3"/>
  <c r="P122" i="3"/>
  <c r="O122" i="3"/>
  <c r="F122" i="3"/>
  <c r="F121" i="3"/>
  <c r="I121" i="3" s="1"/>
  <c r="L120" i="3"/>
  <c r="G120" i="3"/>
  <c r="F120" i="3"/>
  <c r="I120" i="3" s="1"/>
  <c r="J120" i="3" s="1"/>
  <c r="F119" i="3"/>
  <c r="G118" i="3"/>
  <c r="F118" i="3"/>
  <c r="I118" i="3" s="1"/>
  <c r="G117" i="3"/>
  <c r="F117" i="3"/>
  <c r="I117" i="3" s="1"/>
  <c r="L117" i="3" s="1"/>
  <c r="F116" i="3"/>
  <c r="I115" i="3"/>
  <c r="G115" i="3"/>
  <c r="F115" i="3"/>
  <c r="G114" i="3"/>
  <c r="F114" i="3"/>
  <c r="I114" i="3" s="1"/>
  <c r="L114" i="3" s="1"/>
  <c r="F113" i="3"/>
  <c r="I112" i="3"/>
  <c r="F112" i="3"/>
  <c r="F110" i="3"/>
  <c r="I109" i="3"/>
  <c r="F109" i="3"/>
  <c r="I106" i="3"/>
  <c r="F106" i="3"/>
  <c r="G106" i="3" s="1"/>
  <c r="J105" i="3"/>
  <c r="G105" i="3"/>
  <c r="F105" i="3"/>
  <c r="I105" i="3" s="1"/>
  <c r="L105" i="3" s="1"/>
  <c r="F104" i="3"/>
  <c r="G103" i="3"/>
  <c r="F103" i="3"/>
  <c r="F101" i="3"/>
  <c r="G100" i="3"/>
  <c r="F100" i="3"/>
  <c r="I100" i="3" s="1"/>
  <c r="G99" i="3"/>
  <c r="F99" i="3"/>
  <c r="I99" i="3" s="1"/>
  <c r="F98" i="3"/>
  <c r="G98" i="3" s="1"/>
  <c r="F97" i="3"/>
  <c r="F95" i="3" s="1"/>
  <c r="G95" i="3" s="1"/>
  <c r="P96" i="3"/>
  <c r="M96" i="3"/>
  <c r="J96" i="3"/>
  <c r="G96" i="3"/>
  <c r="G94" i="3"/>
  <c r="F94" i="3"/>
  <c r="I94" i="3" s="1"/>
  <c r="L94" i="3" s="1"/>
  <c r="F93" i="3"/>
  <c r="F92" i="3" s="1"/>
  <c r="F90" i="3"/>
  <c r="I89" i="3"/>
  <c r="F89" i="3"/>
  <c r="F87" i="3"/>
  <c r="I86" i="3"/>
  <c r="F86" i="3"/>
  <c r="G86" i="3" s="1"/>
  <c r="J85" i="3"/>
  <c r="G85" i="3"/>
  <c r="F85" i="3"/>
  <c r="I85" i="3" s="1"/>
  <c r="L85" i="3" s="1"/>
  <c r="F84" i="3"/>
  <c r="G83" i="3"/>
  <c r="F83" i="3"/>
  <c r="I83" i="3" s="1"/>
  <c r="G82" i="3"/>
  <c r="F82" i="3"/>
  <c r="I82" i="3" s="1"/>
  <c r="L82" i="3" s="1"/>
  <c r="F81" i="3"/>
  <c r="F80" i="3"/>
  <c r="I80" i="3" s="1"/>
  <c r="L79" i="3"/>
  <c r="J79" i="3"/>
  <c r="G79" i="3"/>
  <c r="F79" i="3"/>
  <c r="I79" i="3" s="1"/>
  <c r="F78" i="3"/>
  <c r="G77" i="3"/>
  <c r="F77" i="3"/>
  <c r="I77" i="3" s="1"/>
  <c r="J76" i="3"/>
  <c r="G76" i="3"/>
  <c r="F76" i="3"/>
  <c r="I76" i="3" s="1"/>
  <c r="L76" i="3" s="1"/>
  <c r="F75" i="3"/>
  <c r="I74" i="3"/>
  <c r="F74" i="3"/>
  <c r="G74" i="3" s="1"/>
  <c r="L73" i="3"/>
  <c r="G73" i="3"/>
  <c r="F73" i="3"/>
  <c r="I73" i="3" s="1"/>
  <c r="J73" i="3" s="1"/>
  <c r="F72" i="3"/>
  <c r="F71" i="3"/>
  <c r="I71" i="3" s="1"/>
  <c r="G70" i="3"/>
  <c r="F70" i="3"/>
  <c r="I70" i="3" s="1"/>
  <c r="L70" i="3" s="1"/>
  <c r="F69" i="3"/>
  <c r="I69" i="3" s="1"/>
  <c r="J69" i="3" s="1"/>
  <c r="I68" i="3"/>
  <c r="F68" i="3"/>
  <c r="G68" i="3" s="1"/>
  <c r="L67" i="3"/>
  <c r="O67" i="3" s="1"/>
  <c r="P67" i="3" s="1"/>
  <c r="J67" i="3"/>
  <c r="G67" i="3"/>
  <c r="F67" i="3"/>
  <c r="I67" i="3" s="1"/>
  <c r="F66" i="3"/>
  <c r="G66" i="3" s="1"/>
  <c r="G65" i="3"/>
  <c r="F65" i="3"/>
  <c r="I65" i="3" s="1"/>
  <c r="G64" i="3"/>
  <c r="F64" i="3"/>
  <c r="I64" i="3" s="1"/>
  <c r="L64" i="3" s="1"/>
  <c r="F63" i="3"/>
  <c r="I63" i="3" s="1"/>
  <c r="J63" i="3" s="1"/>
  <c r="G62" i="3"/>
  <c r="F62" i="3"/>
  <c r="I62" i="3" s="1"/>
  <c r="M61" i="3"/>
  <c r="L61" i="3"/>
  <c r="O61" i="3" s="1"/>
  <c r="P61" i="3" s="1"/>
  <c r="J61" i="3"/>
  <c r="G61" i="3"/>
  <c r="F61" i="3"/>
  <c r="I61" i="3" s="1"/>
  <c r="L60" i="3"/>
  <c r="O60" i="3" s="1"/>
  <c r="P60" i="3" s="1"/>
  <c r="G60" i="3"/>
  <c r="F60" i="3"/>
  <c r="I60" i="3" s="1"/>
  <c r="J60" i="3" s="1"/>
  <c r="P59" i="3"/>
  <c r="M59" i="3"/>
  <c r="J59" i="3"/>
  <c r="G59" i="3"/>
  <c r="F58" i="3"/>
  <c r="I58" i="3" s="1"/>
  <c r="J58" i="3" s="1"/>
  <c r="F57" i="3"/>
  <c r="I57" i="3" s="1"/>
  <c r="J56" i="3"/>
  <c r="F56" i="3"/>
  <c r="I56" i="3" s="1"/>
  <c r="L56" i="3" s="1"/>
  <c r="G55" i="3"/>
  <c r="F55" i="3"/>
  <c r="I55" i="3" s="1"/>
  <c r="J55" i="3" s="1"/>
  <c r="F54" i="3"/>
  <c r="I54" i="3" s="1"/>
  <c r="F53" i="3"/>
  <c r="I53" i="3" s="1"/>
  <c r="L53" i="3" s="1"/>
  <c r="F52" i="3"/>
  <c r="I52" i="3" s="1"/>
  <c r="L52" i="3" s="1"/>
  <c r="I51" i="3"/>
  <c r="I50" i="3" s="1"/>
  <c r="F51" i="3"/>
  <c r="F50" i="3" s="1"/>
  <c r="M49" i="3"/>
  <c r="L49" i="3"/>
  <c r="P49" i="3" s="1"/>
  <c r="J49" i="3"/>
  <c r="G49" i="3"/>
  <c r="L48" i="3"/>
  <c r="O48" i="3" s="1"/>
  <c r="J48" i="3"/>
  <c r="I48" i="3"/>
  <c r="G48" i="3"/>
  <c r="J47" i="3"/>
  <c r="I47" i="3"/>
  <c r="F47" i="3"/>
  <c r="G47" i="3" s="1"/>
  <c r="I46" i="3"/>
  <c r="L46" i="3" s="1"/>
  <c r="F46" i="3"/>
  <c r="G46" i="3" s="1"/>
  <c r="J45" i="3"/>
  <c r="I45" i="3"/>
  <c r="L45" i="3" s="1"/>
  <c r="F45" i="3"/>
  <c r="G45" i="3" s="1"/>
  <c r="F44" i="3"/>
  <c r="I44" i="3" s="1"/>
  <c r="F41" i="3"/>
  <c r="I41" i="3" s="1"/>
  <c r="I40" i="3"/>
  <c r="L40" i="3" s="1"/>
  <c r="F40" i="3"/>
  <c r="G40" i="3" s="1"/>
  <c r="J39" i="3"/>
  <c r="I39" i="3"/>
  <c r="L39" i="3" s="1"/>
  <c r="F39" i="3"/>
  <c r="G39" i="3" s="1"/>
  <c r="F38" i="3"/>
  <c r="I38" i="3" s="1"/>
  <c r="J36" i="3"/>
  <c r="I36" i="3"/>
  <c r="L36" i="3" s="1"/>
  <c r="F36" i="3"/>
  <c r="G36" i="3" s="1"/>
  <c r="F35" i="3"/>
  <c r="I35" i="3" s="1"/>
  <c r="J33" i="3"/>
  <c r="I33" i="3"/>
  <c r="L33" i="3" s="1"/>
  <c r="F33" i="3"/>
  <c r="G33" i="3" s="1"/>
  <c r="F32" i="3"/>
  <c r="I32" i="3" s="1"/>
  <c r="I31" i="3"/>
  <c r="L31" i="3" s="1"/>
  <c r="F31" i="3"/>
  <c r="G31" i="3" s="1"/>
  <c r="I30" i="3"/>
  <c r="L30" i="3" s="1"/>
  <c r="F30" i="3"/>
  <c r="G30" i="3" s="1"/>
  <c r="F29" i="3"/>
  <c r="I29" i="3" s="1"/>
  <c r="I28" i="3"/>
  <c r="F28" i="3"/>
  <c r="F27" i="3" s="1"/>
  <c r="G27" i="3" s="1"/>
  <c r="F26" i="3"/>
  <c r="I26" i="3" s="1"/>
  <c r="I25" i="3"/>
  <c r="L25" i="3" s="1"/>
  <c r="F25" i="3"/>
  <c r="G25" i="3" s="1"/>
  <c r="L24" i="3"/>
  <c r="O24" i="3" s="1"/>
  <c r="I24" i="3"/>
  <c r="F24" i="3"/>
  <c r="G24" i="3" s="1"/>
  <c r="F23" i="3"/>
  <c r="G23" i="3" s="1"/>
  <c r="L21" i="3"/>
  <c r="O21" i="3" s="1"/>
  <c r="P21" i="3" s="1"/>
  <c r="I21" i="3"/>
  <c r="J21" i="3" s="1"/>
  <c r="F21" i="3"/>
  <c r="G21" i="3" s="1"/>
  <c r="F20" i="3"/>
  <c r="I20" i="3" s="1"/>
  <c r="L18" i="3"/>
  <c r="O18" i="3" s="1"/>
  <c r="P18" i="3" s="1"/>
  <c r="I18" i="3"/>
  <c r="J18" i="3" s="1"/>
  <c r="F18" i="3"/>
  <c r="G18" i="3" s="1"/>
  <c r="F17" i="3"/>
  <c r="I17" i="3" s="1"/>
  <c r="L15" i="3"/>
  <c r="O15" i="3" s="1"/>
  <c r="P15" i="3" s="1"/>
  <c r="I15" i="3"/>
  <c r="J15" i="3" s="1"/>
  <c r="F15" i="3"/>
  <c r="G15" i="3" s="1"/>
  <c r="F14" i="3"/>
  <c r="I14" i="3" s="1"/>
  <c r="L12" i="3"/>
  <c r="O12" i="3" s="1"/>
  <c r="P12" i="3" s="1"/>
  <c r="I12" i="3"/>
  <c r="J12" i="3" s="1"/>
  <c r="F12" i="3"/>
  <c r="G12" i="3" s="1"/>
  <c r="F11" i="3"/>
  <c r="I11" i="3" s="1"/>
  <c r="F8" i="3"/>
  <c r="I8" i="3" s="1"/>
  <c r="AG45" i="4" l="1"/>
  <c r="X45" i="4"/>
  <c r="AJ45" i="4"/>
  <c r="W45" i="4"/>
  <c r="AI45" i="4"/>
  <c r="V45" i="4"/>
  <c r="AH45" i="4"/>
  <c r="AF45" i="4"/>
  <c r="AE45" i="4"/>
  <c r="AD45" i="4"/>
  <c r="AB45" i="4"/>
  <c r="AC45" i="4"/>
  <c r="AA45" i="4"/>
  <c r="BE8" i="4"/>
  <c r="BE18" i="4"/>
  <c r="U21" i="4"/>
  <c r="Z23" i="4"/>
  <c r="Y23" i="4"/>
  <c r="X23" i="4"/>
  <c r="AJ23" i="4"/>
  <c r="AH23" i="4"/>
  <c r="V23" i="4"/>
  <c r="AG23" i="4"/>
  <c r="AF23" i="4"/>
  <c r="AE23" i="4"/>
  <c r="AC23" i="4"/>
  <c r="AJ59" i="4"/>
  <c r="X59" i="4"/>
  <c r="AS59" i="4"/>
  <c r="AG59" i="4"/>
  <c r="AL59" i="4"/>
  <c r="Z59" i="4"/>
  <c r="AO59" i="4"/>
  <c r="Y59" i="4"/>
  <c r="AN59" i="4"/>
  <c r="W59" i="4"/>
  <c r="AM59" i="4"/>
  <c r="V59" i="4"/>
  <c r="AK59" i="4"/>
  <c r="AI59" i="4"/>
  <c r="AH59" i="4"/>
  <c r="AF59" i="4"/>
  <c r="AD59" i="4"/>
  <c r="AE59" i="4"/>
  <c r="AT59" i="4"/>
  <c r="AR59" i="4"/>
  <c r="AC59" i="4"/>
  <c r="AQ59" i="4"/>
  <c r="AB59" i="4"/>
  <c r="Y45" i="4"/>
  <c r="BC25" i="4"/>
  <c r="AZ25" i="4"/>
  <c r="BE48" i="4"/>
  <c r="U63" i="4"/>
  <c r="T139" i="4"/>
  <c r="T164" i="4" s="1"/>
  <c r="AB15" i="4"/>
  <c r="AA15" i="4"/>
  <c r="Z15" i="4"/>
  <c r="X15" i="4"/>
  <c r="W15" i="4"/>
  <c r="V15" i="4"/>
  <c r="AL19" i="4"/>
  <c r="Z19" i="4"/>
  <c r="AK19" i="4"/>
  <c r="Y19" i="4"/>
  <c r="X19" i="4"/>
  <c r="AJ19" i="4"/>
  <c r="AT19" i="4"/>
  <c r="AH19" i="4"/>
  <c r="V19" i="4"/>
  <c r="AS19" i="4"/>
  <c r="AG19" i="4"/>
  <c r="AR19" i="4"/>
  <c r="AF19" i="4"/>
  <c r="AQ19" i="4"/>
  <c r="AQ139" i="4" s="1"/>
  <c r="AQ164" i="4" s="1"/>
  <c r="AE19" i="4"/>
  <c r="AO19" i="4"/>
  <c r="AC19" i="4"/>
  <c r="BB19" i="4" s="1"/>
  <c r="AA23" i="4"/>
  <c r="BE28" i="4"/>
  <c r="BA28" i="4"/>
  <c r="AR33" i="4"/>
  <c r="AF33" i="4"/>
  <c r="AI33" i="4"/>
  <c r="V33" i="4"/>
  <c r="AH33" i="4"/>
  <c r="AT33" i="4"/>
  <c r="AG33" i="4"/>
  <c r="AS33" i="4"/>
  <c r="AE33" i="4"/>
  <c r="AQ33" i="4"/>
  <c r="AD33" i="4"/>
  <c r="AP33" i="4"/>
  <c r="AC33" i="4"/>
  <c r="AO33" i="4"/>
  <c r="AB33" i="4"/>
  <c r="AM33" i="4"/>
  <c r="AN33" i="4"/>
  <c r="AA33" i="4"/>
  <c r="AL33" i="4"/>
  <c r="Y33" i="4"/>
  <c r="AO53" i="4"/>
  <c r="AC53" i="4"/>
  <c r="AQ53" i="4"/>
  <c r="AE53" i="4"/>
  <c r="AR53" i="4"/>
  <c r="AB53" i="4"/>
  <c r="AP53" i="4"/>
  <c r="AA53" i="4"/>
  <c r="AN53" i="4"/>
  <c r="Z53" i="4"/>
  <c r="AM53" i="4"/>
  <c r="Y53" i="4"/>
  <c r="AL53" i="4"/>
  <c r="X53" i="4"/>
  <c r="AK53" i="4"/>
  <c r="W53" i="4"/>
  <c r="AJ53" i="4"/>
  <c r="V53" i="4"/>
  <c r="AH53" i="4"/>
  <c r="AI53" i="4"/>
  <c r="AU53" i="4"/>
  <c r="AG53" i="4"/>
  <c r="AF57" i="4"/>
  <c r="AH57" i="4"/>
  <c r="V57" i="4"/>
  <c r="AB57" i="4"/>
  <c r="AA57" i="4"/>
  <c r="Z57" i="4"/>
  <c r="Y57" i="4"/>
  <c r="X57" i="4"/>
  <c r="AK57" i="4"/>
  <c r="W57" i="4"/>
  <c r="AJ57" i="4"/>
  <c r="AI57" i="4"/>
  <c r="AG57" i="4"/>
  <c r="AE57" i="4"/>
  <c r="BB57" i="4" s="1"/>
  <c r="BC69" i="4"/>
  <c r="AZ69" i="4"/>
  <c r="U69" i="4"/>
  <c r="Z45" i="4"/>
  <c r="N138" i="4"/>
  <c r="AE7" i="4"/>
  <c r="AD7" i="4"/>
  <c r="AC7" i="4"/>
  <c r="AA7" i="4"/>
  <c r="Z7" i="4"/>
  <c r="Y7" i="4"/>
  <c r="X7" i="4"/>
  <c r="AH7" i="4"/>
  <c r="V7" i="4"/>
  <c r="BE14" i="4"/>
  <c r="W23" i="4"/>
  <c r="BA38" i="4"/>
  <c r="BE50" i="4"/>
  <c r="BA50" i="4"/>
  <c r="Z9" i="4"/>
  <c r="Y9" i="4"/>
  <c r="X9" i="4"/>
  <c r="V9" i="4"/>
  <c r="AC9" i="4"/>
  <c r="BB9" i="4" s="1"/>
  <c r="AA17" i="4"/>
  <c r="Z17" i="4"/>
  <c r="Y17" i="4"/>
  <c r="W17" i="4"/>
  <c r="V17" i="4"/>
  <c r="AD17" i="4"/>
  <c r="AB23" i="4"/>
  <c r="U25" i="4"/>
  <c r="U27" i="4"/>
  <c r="AZ27" i="4"/>
  <c r="AE41" i="4"/>
  <c r="AD41" i="4"/>
  <c r="AC41" i="4"/>
  <c r="BB41" i="4" s="1"/>
  <c r="AB41" i="4"/>
  <c r="AA41" i="4"/>
  <c r="Z41" i="4"/>
  <c r="Y41" i="4"/>
  <c r="W41" i="4"/>
  <c r="X41" i="4"/>
  <c r="V41" i="4"/>
  <c r="BE20" i="4"/>
  <c r="BA20" i="4"/>
  <c r="AJ29" i="4"/>
  <c r="X29" i="4"/>
  <c r="W29" i="4"/>
  <c r="AI29" i="4"/>
  <c r="V29" i="4"/>
  <c r="AH29" i="4"/>
  <c r="AG29" i="4"/>
  <c r="AF29" i="4"/>
  <c r="AE29" i="4"/>
  <c r="AD29" i="4"/>
  <c r="AC29" i="4"/>
  <c r="AA29" i="4"/>
  <c r="Z31" i="4"/>
  <c r="Y31" i="4"/>
  <c r="X31" i="4"/>
  <c r="V31" i="4"/>
  <c r="AM35" i="4"/>
  <c r="AA35" i="4"/>
  <c r="AS35" i="4"/>
  <c r="AF35" i="4"/>
  <c r="AR35" i="4"/>
  <c r="AE35" i="4"/>
  <c r="AQ35" i="4"/>
  <c r="AD35" i="4"/>
  <c r="AP35" i="4"/>
  <c r="AC35" i="4"/>
  <c r="AO35" i="4"/>
  <c r="AB35" i="4"/>
  <c r="AN35" i="4"/>
  <c r="Z35" i="4"/>
  <c r="AL35" i="4"/>
  <c r="Y35" i="4"/>
  <c r="W35" i="4"/>
  <c r="AK35" i="4"/>
  <c r="X35" i="4"/>
  <c r="AJ35" i="4"/>
  <c r="AI35" i="4"/>
  <c r="V35" i="4"/>
  <c r="AH37" i="4"/>
  <c r="V37" i="4"/>
  <c r="AD37" i="4"/>
  <c r="AC37" i="4"/>
  <c r="AB37" i="4"/>
  <c r="AA37" i="4"/>
  <c r="Z37" i="4"/>
  <c r="Y37" i="4"/>
  <c r="X37" i="4"/>
  <c r="AJ37" i="4"/>
  <c r="W37" i="4"/>
  <c r="AG37" i="4"/>
  <c r="AA39" i="4"/>
  <c r="X39" i="4"/>
  <c r="AJ39" i="4"/>
  <c r="W39" i="4"/>
  <c r="AI39" i="4"/>
  <c r="V39" i="4"/>
  <c r="AH39" i="4"/>
  <c r="AG39" i="4"/>
  <c r="AF39" i="4"/>
  <c r="AE39" i="4"/>
  <c r="AC39" i="4"/>
  <c r="AD39" i="4"/>
  <c r="AB39" i="4"/>
  <c r="AA51" i="4"/>
  <c r="W51" i="4"/>
  <c r="V51" i="4"/>
  <c r="Z51" i="4"/>
  <c r="AA107" i="4"/>
  <c r="Z107" i="4"/>
  <c r="Y107" i="4"/>
  <c r="X107" i="4"/>
  <c r="W107" i="4"/>
  <c r="V107" i="4"/>
  <c r="AD107" i="4"/>
  <c r="AC107" i="4"/>
  <c r="BB107" i="4" s="1"/>
  <c r="AB107" i="4"/>
  <c r="AE123" i="4"/>
  <c r="AD123" i="4"/>
  <c r="AC123" i="4"/>
  <c r="AB123" i="4"/>
  <c r="AA123" i="4"/>
  <c r="Z123" i="4"/>
  <c r="Y123" i="4"/>
  <c r="X123" i="4"/>
  <c r="W123" i="4"/>
  <c r="V123" i="4"/>
  <c r="AF7" i="4"/>
  <c r="AZ11" i="4"/>
  <c r="U11" i="4"/>
  <c r="BE22" i="4"/>
  <c r="Y29" i="4"/>
  <c r="Y39" i="4"/>
  <c r="X51" i="4"/>
  <c r="BE76" i="4"/>
  <c r="BA76" i="4"/>
  <c r="AG7" i="4"/>
  <c r="AB9" i="4"/>
  <c r="BE13" i="4"/>
  <c r="BA13" i="4"/>
  <c r="AD15" i="4"/>
  <c r="BB15" i="4" s="1"/>
  <c r="AC17" i="4"/>
  <c r="BB17" i="4" s="1"/>
  <c r="AB19" i="4"/>
  <c r="AG21" i="4"/>
  <c r="AF21" i="4"/>
  <c r="AE21" i="4"/>
  <c r="AC21" i="4"/>
  <c r="BB21" i="4" s="1"/>
  <c r="AB21" i="4"/>
  <c r="AA21" i="4"/>
  <c r="Z21" i="4"/>
  <c r="AJ21" i="4"/>
  <c r="X21" i="4"/>
  <c r="AZ21" i="4" s="1"/>
  <c r="Z29" i="4"/>
  <c r="W31" i="4"/>
  <c r="AJ33" i="4"/>
  <c r="AG35" i="4"/>
  <c r="AE37" i="4"/>
  <c r="Z39" i="4"/>
  <c r="BE44" i="4"/>
  <c r="BA44" i="4"/>
  <c r="Z47" i="4"/>
  <c r="AF47" i="4"/>
  <c r="AE47" i="4"/>
  <c r="AD47" i="4"/>
  <c r="AC47" i="4"/>
  <c r="BB47" i="4" s="1"/>
  <c r="AB47" i="4"/>
  <c r="AA47" i="4"/>
  <c r="Y47" i="4"/>
  <c r="W47" i="4"/>
  <c r="X47" i="4"/>
  <c r="AJ47" i="4"/>
  <c r="AI47" i="4"/>
  <c r="V47" i="4"/>
  <c r="Y51" i="4"/>
  <c r="AS53" i="4"/>
  <c r="BA58" i="4"/>
  <c r="BE58" i="4"/>
  <c r="W67" i="4"/>
  <c r="V67" i="4"/>
  <c r="T138" i="4"/>
  <c r="U6" i="4"/>
  <c r="U138" i="4" s="1"/>
  <c r="AB29" i="4"/>
  <c r="AH35" i="4"/>
  <c r="AF37" i="4"/>
  <c r="AA73" i="4"/>
  <c r="Z73" i="4"/>
  <c r="Y73" i="4"/>
  <c r="X73" i="4"/>
  <c r="V73" i="4"/>
  <c r="AC73" i="4"/>
  <c r="BB73" i="4" s="1"/>
  <c r="AJ87" i="4"/>
  <c r="X87" i="4"/>
  <c r="AI87" i="4"/>
  <c r="W87" i="4"/>
  <c r="AA87" i="4"/>
  <c r="Z87" i="4"/>
  <c r="AM87" i="4"/>
  <c r="Y87" i="4"/>
  <c r="AL87" i="4"/>
  <c r="V87" i="4"/>
  <c r="AH87" i="4"/>
  <c r="AC87" i="4"/>
  <c r="AB87" i="4"/>
  <c r="AA93" i="4"/>
  <c r="Z93" i="4"/>
  <c r="Y93" i="4"/>
  <c r="X93" i="4"/>
  <c r="V93" i="4"/>
  <c r="W93" i="4"/>
  <c r="AC93" i="4"/>
  <c r="BB93" i="4" s="1"/>
  <c r="AB93" i="4"/>
  <c r="Z109" i="4"/>
  <c r="Y109" i="4"/>
  <c r="X109" i="4"/>
  <c r="W109" i="4"/>
  <c r="V109" i="4"/>
  <c r="AA109" i="4"/>
  <c r="AM129" i="4"/>
  <c r="AA129" i="4"/>
  <c r="AL129" i="4"/>
  <c r="Z129" i="4"/>
  <c r="AK129" i="4"/>
  <c r="Y129" i="4"/>
  <c r="AJ129" i="4"/>
  <c r="X129" i="4"/>
  <c r="AI129" i="4"/>
  <c r="W129" i="4"/>
  <c r="AH129" i="4"/>
  <c r="AG129" i="4"/>
  <c r="AD129" i="4"/>
  <c r="AF129" i="4"/>
  <c r="AE129" i="4"/>
  <c r="AC129" i="4"/>
  <c r="AB129" i="4"/>
  <c r="V43" i="4"/>
  <c r="AC49" i="4"/>
  <c r="BB49" i="4" s="1"/>
  <c r="AE55" i="4"/>
  <c r="BB55" i="4" s="1"/>
  <c r="AB63" i="4"/>
  <c r="AT63" i="4"/>
  <c r="AU71" i="4"/>
  <c r="AI71" i="4"/>
  <c r="W71" i="4"/>
  <c r="AT71" i="4"/>
  <c r="AH71" i="4"/>
  <c r="V71" i="4"/>
  <c r="AS71" i="4"/>
  <c r="AG71" i="4"/>
  <c r="AR71" i="4"/>
  <c r="AF71" i="4"/>
  <c r="AP71" i="4"/>
  <c r="AD71" i="4"/>
  <c r="BB71" i="4" s="1"/>
  <c r="AW71" i="4"/>
  <c r="AK71" i="4"/>
  <c r="Y71" i="4"/>
  <c r="AO71" i="4"/>
  <c r="AN75" i="4"/>
  <c r="AO79" i="4"/>
  <c r="AB83" i="4"/>
  <c r="BE84" i="4"/>
  <c r="BA84" i="4"/>
  <c r="BE98" i="4"/>
  <c r="BA98" i="4"/>
  <c r="AF163" i="4"/>
  <c r="BB128" i="4"/>
  <c r="BC128" i="4" s="1"/>
  <c r="AG125" i="4"/>
  <c r="AD27" i="4"/>
  <c r="BB27" i="4" s="1"/>
  <c r="BC27" i="4" s="1"/>
  <c r="X43" i="4"/>
  <c r="AF49" i="4"/>
  <c r="AE63" i="4"/>
  <c r="X71" i="4"/>
  <c r="AV71" i="4"/>
  <c r="AD81" i="4"/>
  <c r="AC81" i="4"/>
  <c r="BB81" i="4" s="1"/>
  <c r="AB81" i="4"/>
  <c r="AA81" i="4"/>
  <c r="Y81" i="4"/>
  <c r="BC81" i="4" s="1"/>
  <c r="AF81" i="4"/>
  <c r="AE81" i="4"/>
  <c r="AE83" i="4"/>
  <c r="BA112" i="4"/>
  <c r="AZ124" i="4"/>
  <c r="AF125" i="4"/>
  <c r="W55" i="4"/>
  <c r="Y55" i="4"/>
  <c r="AM75" i="4"/>
  <c r="AA75" i="4"/>
  <c r="AL75" i="4"/>
  <c r="Z75" i="4"/>
  <c r="AW75" i="4"/>
  <c r="AK75" i="4"/>
  <c r="Y75" i="4"/>
  <c r="AV75" i="4"/>
  <c r="AJ75" i="4"/>
  <c r="X75" i="4"/>
  <c r="AT75" i="4"/>
  <c r="AH75" i="4"/>
  <c r="V75" i="4"/>
  <c r="AO75" i="4"/>
  <c r="AC75" i="4"/>
  <c r="AP75" i="4"/>
  <c r="AL79" i="4"/>
  <c r="Z79" i="4"/>
  <c r="AW79" i="4"/>
  <c r="AK79" i="4"/>
  <c r="Y79" i="4"/>
  <c r="AV79" i="4"/>
  <c r="AJ79" i="4"/>
  <c r="X79" i="4"/>
  <c r="AU79" i="4"/>
  <c r="AI79" i="4"/>
  <c r="W79" i="4"/>
  <c r="AS79" i="4"/>
  <c r="AG79" i="4"/>
  <c r="AN79" i="4"/>
  <c r="AB79" i="4"/>
  <c r="AP79" i="4"/>
  <c r="AQ154" i="4"/>
  <c r="AQ159" i="4" s="1"/>
  <c r="AQ165" i="4" s="1"/>
  <c r="AE154" i="4"/>
  <c r="AE159" i="4" s="1"/>
  <c r="AE165" i="4" s="1"/>
  <c r="AP154" i="4"/>
  <c r="AP159" i="4" s="1"/>
  <c r="AP165" i="4" s="1"/>
  <c r="AD154" i="4"/>
  <c r="AO154" i="4"/>
  <c r="AO159" i="4" s="1"/>
  <c r="AO165" i="4" s="1"/>
  <c r="AC154" i="4"/>
  <c r="AN154" i="4"/>
  <c r="AN159" i="4" s="1"/>
  <c r="AN165" i="4" s="1"/>
  <c r="AB154" i="4"/>
  <c r="AY154" i="4"/>
  <c r="AM154" i="4"/>
  <c r="AM159" i="4" s="1"/>
  <c r="AM165" i="4" s="1"/>
  <c r="AA154" i="4"/>
  <c r="AX154" i="4"/>
  <c r="AX159" i="4" s="1"/>
  <c r="AX165" i="4" s="1"/>
  <c r="AX166" i="4" s="1"/>
  <c r="AX168" i="4" s="1"/>
  <c r="AL154" i="4"/>
  <c r="AL159" i="4" s="1"/>
  <c r="AL165" i="4" s="1"/>
  <c r="Z154" i="4"/>
  <c r="AW154" i="4"/>
  <c r="AW159" i="4" s="1"/>
  <c r="AW165" i="4" s="1"/>
  <c r="AK154" i="4"/>
  <c r="AK159" i="4" s="1"/>
  <c r="AK165" i="4" s="1"/>
  <c r="Y154" i="4"/>
  <c r="AT154" i="4"/>
  <c r="AT159" i="4" s="1"/>
  <c r="AT165" i="4" s="1"/>
  <c r="AH154" i="4"/>
  <c r="AH159" i="4" s="1"/>
  <c r="AH165" i="4" s="1"/>
  <c r="V154" i="4"/>
  <c r="AR154" i="4"/>
  <c r="AJ154" i="4"/>
  <c r="AJ159" i="4" s="1"/>
  <c r="AJ165" i="4" s="1"/>
  <c r="AI154" i="4"/>
  <c r="AI159" i="4" s="1"/>
  <c r="AI165" i="4" s="1"/>
  <c r="AG154" i="4"/>
  <c r="AG159" i="4" s="1"/>
  <c r="AG165" i="4" s="1"/>
  <c r="AF154" i="4"/>
  <c r="X154" i="4"/>
  <c r="AV154" i="4"/>
  <c r="AU154" i="4"/>
  <c r="AU159" i="4" s="1"/>
  <c r="AU165" i="4" s="1"/>
  <c r="AS154" i="4"/>
  <c r="AS159" i="4" s="1"/>
  <c r="AS165" i="4" s="1"/>
  <c r="Y43" i="4"/>
  <c r="AG49" i="4"/>
  <c r="AF63" i="4"/>
  <c r="Z71" i="4"/>
  <c r="W73" i="4"/>
  <c r="AR75" i="4"/>
  <c r="BC77" i="4"/>
  <c r="BE77" i="4" s="1"/>
  <c r="U77" i="4"/>
  <c r="AR79" i="4"/>
  <c r="AD87" i="4"/>
  <c r="X121" i="4"/>
  <c r="W121" i="4"/>
  <c r="V121" i="4"/>
  <c r="BB157" i="4"/>
  <c r="AC158" i="4"/>
  <c r="W158" i="4"/>
  <c r="V158" i="4"/>
  <c r="Z158" i="4"/>
  <c r="Y158" i="4"/>
  <c r="BE30" i="4"/>
  <c r="AG63" i="4"/>
  <c r="AB73" i="4"/>
  <c r="AS75" i="4"/>
  <c r="V79" i="4"/>
  <c r="AT79" i="4"/>
  <c r="AE87" i="4"/>
  <c r="BE130" i="4"/>
  <c r="BA130" i="4"/>
  <c r="V49" i="4"/>
  <c r="V55" i="4"/>
  <c r="BE64" i="4"/>
  <c r="W75" i="4"/>
  <c r="AU75" i="4"/>
  <c r="AA79" i="4"/>
  <c r="AZ81" i="4"/>
  <c r="AF87" i="4"/>
  <c r="AE158" i="4"/>
  <c r="AD158" i="4"/>
  <c r="W49" i="4"/>
  <c r="X55" i="4"/>
  <c r="AM63" i="4"/>
  <c r="AA63" i="4"/>
  <c r="AL63" i="4"/>
  <c r="Z63" i="4"/>
  <c r="AK63" i="4"/>
  <c r="Y63" i="4"/>
  <c r="AV63" i="4"/>
  <c r="AJ63" i="4"/>
  <c r="X63" i="4"/>
  <c r="AZ63" i="4" s="1"/>
  <c r="AO63" i="4"/>
  <c r="AC63" i="4"/>
  <c r="AI63" i="4"/>
  <c r="BE68" i="4"/>
  <c r="BA68" i="4"/>
  <c r="AB75" i="4"/>
  <c r="AC79" i="4"/>
  <c r="AG87" i="4"/>
  <c r="X49" i="4"/>
  <c r="BE52" i="4"/>
  <c r="Z55" i="4"/>
  <c r="BA60" i="4"/>
  <c r="AN63" i="4"/>
  <c r="AD75" i="4"/>
  <c r="AD79" i="4"/>
  <c r="AK87" i="4"/>
  <c r="BC97" i="4"/>
  <c r="AZ97" i="4"/>
  <c r="U97" i="4"/>
  <c r="BC103" i="4"/>
  <c r="AZ103" i="4"/>
  <c r="U103" i="4"/>
  <c r="Y49" i="4"/>
  <c r="BA52" i="4"/>
  <c r="AA55" i="4"/>
  <c r="AP63" i="4"/>
  <c r="AP139" i="4" s="1"/>
  <c r="AP164" i="4" s="1"/>
  <c r="AE75" i="4"/>
  <c r="AE79" i="4"/>
  <c r="AO83" i="4"/>
  <c r="AC83" i="4"/>
  <c r="AK83" i="4"/>
  <c r="X83" i="4"/>
  <c r="AW83" i="4"/>
  <c r="AJ83" i="4"/>
  <c r="W83" i="4"/>
  <c r="AV83" i="4"/>
  <c r="AI83" i="4"/>
  <c r="V83" i="4"/>
  <c r="AU83" i="4"/>
  <c r="AH83" i="4"/>
  <c r="AS83" i="4"/>
  <c r="AF83" i="4"/>
  <c r="AM83" i="4"/>
  <c r="Z83" i="4"/>
  <c r="AL83" i="4"/>
  <c r="Y83" i="4"/>
  <c r="AT83" i="4"/>
  <c r="AB111" i="4"/>
  <c r="AA111" i="4"/>
  <c r="Z111" i="4"/>
  <c r="Y111" i="4"/>
  <c r="X111" i="4"/>
  <c r="AI111" i="4"/>
  <c r="W111" i="4"/>
  <c r="AH111" i="4"/>
  <c r="V111" i="4"/>
  <c r="AE111" i="4"/>
  <c r="AD111" i="4"/>
  <c r="AC111" i="4"/>
  <c r="AG111" i="4"/>
  <c r="AF111" i="4"/>
  <c r="AZ117" i="4"/>
  <c r="BE117" i="4" s="1"/>
  <c r="Z49" i="4"/>
  <c r="AB55" i="4"/>
  <c r="AQ63" i="4"/>
  <c r="AF75" i="4"/>
  <c r="AF79" i="4"/>
  <c r="U115" i="4"/>
  <c r="Z119" i="4"/>
  <c r="Y119" i="4"/>
  <c r="AJ119" i="4"/>
  <c r="X119" i="4"/>
  <c r="AI119" i="4"/>
  <c r="W119" i="4"/>
  <c r="AH119" i="4"/>
  <c r="V119" i="4"/>
  <c r="AG119" i="4"/>
  <c r="AF119" i="4"/>
  <c r="AB125" i="4"/>
  <c r="BB124" i="4"/>
  <c r="W125" i="4"/>
  <c r="BB132" i="4"/>
  <c r="AR163" i="4"/>
  <c r="AB146" i="4"/>
  <c r="AA146" i="4"/>
  <c r="Z146" i="4"/>
  <c r="Y146" i="4"/>
  <c r="X146" i="4"/>
  <c r="X159" i="4" s="1"/>
  <c r="X165" i="4" s="1"/>
  <c r="W146" i="4"/>
  <c r="V146" i="4"/>
  <c r="AG61" i="4"/>
  <c r="BE62" i="4"/>
  <c r="V65" i="4"/>
  <c r="AH65" i="4"/>
  <c r="BE72" i="4"/>
  <c r="BE74" i="4"/>
  <c r="BE82" i="4"/>
  <c r="W85" i="4"/>
  <c r="AK85" i="4"/>
  <c r="BB85" i="4" s="1"/>
  <c r="BE90" i="4"/>
  <c r="W115" i="4"/>
  <c r="AD138" i="4"/>
  <c r="AC146" i="4"/>
  <c r="BC89" i="4"/>
  <c r="AZ89" i="4"/>
  <c r="AJ91" i="4"/>
  <c r="X91" i="4"/>
  <c r="AI91" i="4"/>
  <c r="W91" i="4"/>
  <c r="AH91" i="4"/>
  <c r="V91" i="4"/>
  <c r="AG91" i="4"/>
  <c r="AE91" i="4"/>
  <c r="AD91" i="4"/>
  <c r="X105" i="4"/>
  <c r="W105" i="4"/>
  <c r="V105" i="4"/>
  <c r="Z127" i="4"/>
  <c r="Y127" i="4"/>
  <c r="X127" i="4"/>
  <c r="W127" i="4"/>
  <c r="J137" i="4"/>
  <c r="AP134" i="4"/>
  <c r="AP138" i="4" s="1"/>
  <c r="AD134" i="4"/>
  <c r="AO134" i="4"/>
  <c r="AO138" i="4" s="1"/>
  <c r="AC134" i="4"/>
  <c r="W135" i="4" s="1"/>
  <c r="AN134" i="4"/>
  <c r="AN138" i="4" s="1"/>
  <c r="AB134" i="4"/>
  <c r="AM134" i="4"/>
  <c r="AA134" i="4"/>
  <c r="AA138" i="4" s="1"/>
  <c r="AL134" i="4"/>
  <c r="Z134" i="4"/>
  <c r="Y135" i="4" s="1"/>
  <c r="AK134" i="4"/>
  <c r="AK135" i="4" s="1"/>
  <c r="Y134" i="4"/>
  <c r="AJ134" i="4"/>
  <c r="AG134" i="4"/>
  <c r="AD159" i="4"/>
  <c r="AD165" i="4" s="1"/>
  <c r="AB158" i="4"/>
  <c r="AB85" i="4"/>
  <c r="AA91" i="4"/>
  <c r="BE100" i="4"/>
  <c r="AD119" i="4"/>
  <c r="BB119" i="4" s="1"/>
  <c r="AH138" i="4"/>
  <c r="BC132" i="4"/>
  <c r="AH134" i="4"/>
  <c r="AH135" i="4" s="1"/>
  <c r="AC138" i="4"/>
  <c r="U113" i="4"/>
  <c r="AE119" i="4"/>
  <c r="X163" i="4"/>
  <c r="AI134" i="4"/>
  <c r="AI135" i="4" s="1"/>
  <c r="AE138" i="4"/>
  <c r="AB61" i="4"/>
  <c r="BC61" i="4" s="1"/>
  <c r="AC65" i="4"/>
  <c r="AD85" i="4"/>
  <c r="AC91" i="4"/>
  <c r="U99" i="4"/>
  <c r="Y138" i="4"/>
  <c r="V125" i="4"/>
  <c r="AJ138" i="4"/>
  <c r="W133" i="4"/>
  <c r="AP135" i="4"/>
  <c r="AD65" i="4"/>
  <c r="AF91" i="4"/>
  <c r="U101" i="4"/>
  <c r="BE102" i="4"/>
  <c r="BA102" i="4"/>
  <c r="X125" i="4"/>
  <c r="AZ128" i="4"/>
  <c r="Y133" i="4"/>
  <c r="AD61" i="4"/>
  <c r="BB61" i="4" s="1"/>
  <c r="AE65" i="4"/>
  <c r="AH85" i="4"/>
  <c r="V85" i="4"/>
  <c r="AG85" i="4"/>
  <c r="AF85" i="4"/>
  <c r="AK91" i="4"/>
  <c r="AA95" i="4"/>
  <c r="Z95" i="4"/>
  <c r="Y95" i="4"/>
  <c r="X95" i="4"/>
  <c r="W95" i="4"/>
  <c r="V95" i="4"/>
  <c r="AG115" i="4"/>
  <c r="AF115" i="4"/>
  <c r="AE115" i="4"/>
  <c r="AD115" i="4"/>
  <c r="AC115" i="4"/>
  <c r="AB115" i="4"/>
  <c r="AZ115" i="4" s="1"/>
  <c r="AA115" i="4"/>
  <c r="Y125" i="4"/>
  <c r="AL138" i="4"/>
  <c r="Z133" i="4"/>
  <c r="BC145" i="4"/>
  <c r="BE145" i="4" s="1"/>
  <c r="AI85" i="4"/>
  <c r="AL91" i="4"/>
  <c r="AM138" i="4"/>
  <c r="Z131" i="4"/>
  <c r="Y131" i="4"/>
  <c r="X131" i="4"/>
  <c r="W131" i="4"/>
  <c r="V131" i="4"/>
  <c r="X133" i="4"/>
  <c r="AQ163" i="4"/>
  <c r="AQ140" i="4"/>
  <c r="BC157" i="4"/>
  <c r="X158" i="4"/>
  <c r="AJ158" i="4"/>
  <c r="AV158" i="4"/>
  <c r="AB99" i="4"/>
  <c r="AZ99" i="4" s="1"/>
  <c r="AB101" i="4"/>
  <c r="AB113" i="4"/>
  <c r="AZ113" i="4" s="1"/>
  <c r="Z125" i="4"/>
  <c r="AA133" i="4"/>
  <c r="AY140" i="4"/>
  <c r="AA158" i="4"/>
  <c r="AM158" i="4"/>
  <c r="AY158" i="4"/>
  <c r="AC99" i="4"/>
  <c r="BB99" i="4" s="1"/>
  <c r="BC99" i="4" s="1"/>
  <c r="AC101" i="4"/>
  <c r="AC113" i="4"/>
  <c r="AA125" i="4"/>
  <c r="AZ132" i="4"/>
  <c r="BE132" i="4" s="1"/>
  <c r="AB133" i="4"/>
  <c r="V138" i="4"/>
  <c r="AD101" i="4"/>
  <c r="AZ101" i="4" s="1"/>
  <c r="AD113" i="4"/>
  <c r="AC133" i="4"/>
  <c r="AZ157" i="4"/>
  <c r="AE101" i="4"/>
  <c r="BA120" i="4"/>
  <c r="BC124" i="4"/>
  <c r="AC125" i="4"/>
  <c r="AD133" i="4"/>
  <c r="AD125" i="4"/>
  <c r="AE133" i="4"/>
  <c r="AE125" i="4"/>
  <c r="AF133" i="4"/>
  <c r="AF158" i="4"/>
  <c r="AR158" i="4"/>
  <c r="AG158" i="4"/>
  <c r="O39" i="3"/>
  <c r="P39" i="3" s="1"/>
  <c r="M39" i="3"/>
  <c r="G92" i="3"/>
  <c r="O31" i="3"/>
  <c r="P31" i="3" s="1"/>
  <c r="M31" i="3"/>
  <c r="O53" i="3"/>
  <c r="P53" i="3" s="1"/>
  <c r="M53" i="3"/>
  <c r="L77" i="3"/>
  <c r="J77" i="3"/>
  <c r="O94" i="3"/>
  <c r="P94" i="3" s="1"/>
  <c r="M94" i="3"/>
  <c r="O141" i="3"/>
  <c r="P141" i="3" s="1"/>
  <c r="M141" i="3"/>
  <c r="O30" i="3"/>
  <c r="P30" i="3" s="1"/>
  <c r="M30" i="3"/>
  <c r="J50" i="3"/>
  <c r="I43" i="3"/>
  <c r="L100" i="3"/>
  <c r="J100" i="3"/>
  <c r="I13" i="3"/>
  <c r="J13" i="3" s="1"/>
  <c r="L14" i="3"/>
  <c r="J14" i="3"/>
  <c r="M52" i="3"/>
  <c r="O52" i="3"/>
  <c r="P52" i="3" s="1"/>
  <c r="O64" i="3"/>
  <c r="P64" i="3" s="1"/>
  <c r="M64" i="3"/>
  <c r="O70" i="3"/>
  <c r="P70" i="3" s="1"/>
  <c r="M70" i="3"/>
  <c r="L83" i="3"/>
  <c r="J83" i="3"/>
  <c r="L118" i="3"/>
  <c r="J118" i="3"/>
  <c r="I23" i="3"/>
  <c r="J32" i="3"/>
  <c r="L32" i="3"/>
  <c r="J54" i="3"/>
  <c r="L54" i="3"/>
  <c r="L65" i="3"/>
  <c r="J65" i="3"/>
  <c r="L71" i="3"/>
  <c r="J71" i="3"/>
  <c r="P24" i="3"/>
  <c r="O40" i="3"/>
  <c r="P40" i="3" s="1"/>
  <c r="M40" i="3"/>
  <c r="O85" i="3"/>
  <c r="P85" i="3" s="1"/>
  <c r="M85" i="3"/>
  <c r="I16" i="3"/>
  <c r="J17" i="3"/>
  <c r="L17" i="3"/>
  <c r="O33" i="3"/>
  <c r="P33" i="3" s="1"/>
  <c r="M33" i="3"/>
  <c r="J41" i="3"/>
  <c r="L41" i="3"/>
  <c r="O114" i="3"/>
  <c r="P114" i="3" s="1"/>
  <c r="M114" i="3"/>
  <c r="O25" i="3"/>
  <c r="P25" i="3" s="1"/>
  <c r="M25" i="3"/>
  <c r="J44" i="3"/>
  <c r="L44" i="3"/>
  <c r="P48" i="3"/>
  <c r="O47" i="3"/>
  <c r="O56" i="3"/>
  <c r="P56" i="3" s="1"/>
  <c r="M56" i="3"/>
  <c r="O105" i="3"/>
  <c r="P105" i="3" s="1"/>
  <c r="M105" i="3"/>
  <c r="J26" i="3"/>
  <c r="L26" i="3"/>
  <c r="O45" i="3"/>
  <c r="P45" i="3" s="1"/>
  <c r="M45" i="3"/>
  <c r="J57" i="3"/>
  <c r="L57" i="3"/>
  <c r="I10" i="3"/>
  <c r="J11" i="3"/>
  <c r="L11" i="3"/>
  <c r="J20" i="3"/>
  <c r="I19" i="3"/>
  <c r="J19" i="3" s="1"/>
  <c r="L20" i="3"/>
  <c r="I27" i="3"/>
  <c r="J27" i="3" s="1"/>
  <c r="O36" i="3"/>
  <c r="P36" i="3" s="1"/>
  <c r="M36" i="3"/>
  <c r="L80" i="3"/>
  <c r="J80" i="3"/>
  <c r="J35" i="3"/>
  <c r="I34" i="3"/>
  <c r="L35" i="3"/>
  <c r="L121" i="3"/>
  <c r="J121" i="3"/>
  <c r="O138" i="3"/>
  <c r="P138" i="3" s="1"/>
  <c r="M138" i="3"/>
  <c r="J8" i="3"/>
  <c r="I7" i="3"/>
  <c r="L8" i="3"/>
  <c r="J29" i="3"/>
  <c r="L29" i="3"/>
  <c r="L62" i="3"/>
  <c r="J62" i="3"/>
  <c r="I37" i="3"/>
  <c r="L38" i="3"/>
  <c r="J38" i="3"/>
  <c r="O46" i="3"/>
  <c r="P46" i="3" s="1"/>
  <c r="M46" i="3"/>
  <c r="G50" i="3"/>
  <c r="F43" i="3"/>
  <c r="O76" i="3"/>
  <c r="P76" i="3" s="1"/>
  <c r="M76" i="3"/>
  <c r="O82" i="3"/>
  <c r="P82" i="3" s="1"/>
  <c r="M82" i="3"/>
  <c r="O117" i="3"/>
  <c r="P117" i="3" s="1"/>
  <c r="M117" i="3"/>
  <c r="O132" i="3"/>
  <c r="P132" i="3" s="1"/>
  <c r="M132" i="3"/>
  <c r="L224" i="3"/>
  <c r="J224" i="3"/>
  <c r="I263" i="3"/>
  <c r="F7" i="3"/>
  <c r="F10" i="3"/>
  <c r="F13" i="3"/>
  <c r="G13" i="3" s="1"/>
  <c r="F16" i="3"/>
  <c r="G16" i="3" s="1"/>
  <c r="F19" i="3"/>
  <c r="G19" i="3" s="1"/>
  <c r="F22" i="3"/>
  <c r="G22" i="3" s="1"/>
  <c r="F34" i="3"/>
  <c r="G34" i="3" s="1"/>
  <c r="F37" i="3"/>
  <c r="G37" i="3" s="1"/>
  <c r="L47" i="3"/>
  <c r="M47" i="3" s="1"/>
  <c r="G71" i="3"/>
  <c r="I122" i="3"/>
  <c r="J122" i="3" s="1"/>
  <c r="G122" i="3"/>
  <c r="L158" i="3"/>
  <c r="L179" i="3"/>
  <c r="J179" i="3"/>
  <c r="L188" i="3"/>
  <c r="J188" i="3"/>
  <c r="O73" i="3"/>
  <c r="P73" i="3" s="1"/>
  <c r="M73" i="3"/>
  <c r="I119" i="3"/>
  <c r="G119" i="3"/>
  <c r="I162" i="3"/>
  <c r="G162" i="3"/>
  <c r="G154" i="3" s="1"/>
  <c r="G28" i="3"/>
  <c r="G51" i="3"/>
  <c r="O79" i="3"/>
  <c r="P79" i="3" s="1"/>
  <c r="M79" i="3"/>
  <c r="J82" i="3"/>
  <c r="J99" i="3"/>
  <c r="G163" i="3"/>
  <c r="I163" i="3"/>
  <c r="G170" i="3"/>
  <c r="J170" i="3"/>
  <c r="L244" i="3"/>
  <c r="J244" i="3"/>
  <c r="O227" i="3"/>
  <c r="P227" i="3" s="1"/>
  <c r="M227" i="3"/>
  <c r="J25" i="3"/>
  <c r="J28" i="3"/>
  <c r="J31" i="3"/>
  <c r="J40" i="3"/>
  <c r="J46" i="3"/>
  <c r="J51" i="3"/>
  <c r="G53" i="3"/>
  <c r="G57" i="3"/>
  <c r="J64" i="3"/>
  <c r="G69" i="3"/>
  <c r="G80" i="3"/>
  <c r="J94" i="3"/>
  <c r="G97" i="3"/>
  <c r="F102" i="3"/>
  <c r="G102" i="3" s="1"/>
  <c r="J114" i="3"/>
  <c r="I123" i="3"/>
  <c r="G123" i="3"/>
  <c r="F130" i="3"/>
  <c r="I131" i="3"/>
  <c r="G131" i="3"/>
  <c r="L133" i="3"/>
  <c r="J133" i="3"/>
  <c r="J138" i="3"/>
  <c r="L151" i="3"/>
  <c r="J151" i="3"/>
  <c r="J159" i="3"/>
  <c r="L159" i="3"/>
  <c r="J164" i="3"/>
  <c r="L164" i="3"/>
  <c r="O181" i="3"/>
  <c r="P181" i="3" s="1"/>
  <c r="M181" i="3"/>
  <c r="J208" i="3"/>
  <c r="L284" i="3"/>
  <c r="J284" i="3"/>
  <c r="L74" i="3"/>
  <c r="J74" i="3"/>
  <c r="O135" i="3"/>
  <c r="P135" i="3" s="1"/>
  <c r="M135" i="3"/>
  <c r="O256" i="3"/>
  <c r="P256" i="3" s="1"/>
  <c r="M256" i="3"/>
  <c r="L28" i="3"/>
  <c r="L51" i="3"/>
  <c r="J53" i="3"/>
  <c r="I66" i="3"/>
  <c r="J66" i="3" s="1"/>
  <c r="L69" i="3"/>
  <c r="I72" i="3"/>
  <c r="G72" i="3"/>
  <c r="F88" i="3"/>
  <c r="G88" i="3" s="1"/>
  <c r="I97" i="3"/>
  <c r="F108" i="3"/>
  <c r="G108" i="3" s="1"/>
  <c r="F111" i="3"/>
  <c r="G111" i="3" s="1"/>
  <c r="J117" i="3"/>
  <c r="O147" i="3"/>
  <c r="P147" i="3" s="1"/>
  <c r="M147" i="3"/>
  <c r="O208" i="3"/>
  <c r="M208" i="3"/>
  <c r="O220" i="3"/>
  <c r="P220" i="3" s="1"/>
  <c r="M220" i="3"/>
  <c r="L99" i="3"/>
  <c r="L55" i="3"/>
  <c r="I75" i="3"/>
  <c r="G75" i="3"/>
  <c r="G89" i="3"/>
  <c r="I103" i="3"/>
  <c r="G109" i="3"/>
  <c r="G112" i="3"/>
  <c r="I152" i="3"/>
  <c r="G152" i="3"/>
  <c r="L186" i="3"/>
  <c r="J186" i="3"/>
  <c r="L198" i="3"/>
  <c r="J198" i="3"/>
  <c r="I214" i="3"/>
  <c r="J214" i="3" s="1"/>
  <c r="L215" i="3"/>
  <c r="J215" i="3"/>
  <c r="L221" i="3"/>
  <c r="J221" i="3"/>
  <c r="M233" i="3"/>
  <c r="F251" i="3"/>
  <c r="I253" i="3"/>
  <c r="G253" i="3"/>
  <c r="F292" i="3"/>
  <c r="G292" i="3" s="1"/>
  <c r="I294" i="3"/>
  <c r="I292" i="3" s="1"/>
  <c r="J292" i="3" s="1"/>
  <c r="G294" i="3"/>
  <c r="L68" i="3"/>
  <c r="J68" i="3"/>
  <c r="I78" i="3"/>
  <c r="G78" i="3"/>
  <c r="L86" i="3"/>
  <c r="J86" i="3"/>
  <c r="L89" i="3"/>
  <c r="J89" i="3"/>
  <c r="L106" i="3"/>
  <c r="J106" i="3"/>
  <c r="L109" i="3"/>
  <c r="J109" i="3"/>
  <c r="L112" i="3"/>
  <c r="J112" i="3"/>
  <c r="O120" i="3"/>
  <c r="P120" i="3" s="1"/>
  <c r="M120" i="3"/>
  <c r="I134" i="3"/>
  <c r="G134" i="3"/>
  <c r="L136" i="3"/>
  <c r="J136" i="3"/>
  <c r="F246" i="3"/>
  <c r="G246" i="3" s="1"/>
  <c r="I247" i="3"/>
  <c r="G247" i="3"/>
  <c r="O286" i="3"/>
  <c r="P286" i="3" s="1"/>
  <c r="M286" i="3"/>
  <c r="J24" i="3"/>
  <c r="J30" i="3"/>
  <c r="I81" i="3"/>
  <c r="G81" i="3"/>
  <c r="L115" i="3"/>
  <c r="J115" i="3"/>
  <c r="L139" i="3"/>
  <c r="J139" i="3"/>
  <c r="L145" i="3"/>
  <c r="J145" i="3"/>
  <c r="O156" i="3"/>
  <c r="P156" i="3" s="1"/>
  <c r="M156" i="3"/>
  <c r="J165" i="3"/>
  <c r="L165" i="3"/>
  <c r="L195" i="3"/>
  <c r="J195" i="3"/>
  <c r="I192" i="3"/>
  <c r="M48" i="3"/>
  <c r="G52" i="3"/>
  <c r="M60" i="3"/>
  <c r="M67" i="3"/>
  <c r="I84" i="3"/>
  <c r="G84" i="3"/>
  <c r="I101" i="3"/>
  <c r="G101" i="3"/>
  <c r="I104" i="3"/>
  <c r="G104" i="3"/>
  <c r="G121" i="3"/>
  <c r="L142" i="3"/>
  <c r="J142" i="3"/>
  <c r="F148" i="3"/>
  <c r="G148" i="3" s="1"/>
  <c r="I149" i="3"/>
  <c r="G149" i="3"/>
  <c r="G157" i="3"/>
  <c r="F154" i="3"/>
  <c r="F150" i="3" s="1"/>
  <c r="I157" i="3"/>
  <c r="G166" i="3"/>
  <c r="I166" i="3"/>
  <c r="G195" i="3"/>
  <c r="G192" i="3" s="1"/>
  <c r="G191" i="3" s="1"/>
  <c r="L211" i="3"/>
  <c r="J211" i="3"/>
  <c r="G8" i="3"/>
  <c r="G11" i="3"/>
  <c r="M12" i="3"/>
  <c r="G14" i="3"/>
  <c r="M15" i="3"/>
  <c r="G17" i="3"/>
  <c r="M18" i="3"/>
  <c r="G20" i="3"/>
  <c r="M21" i="3"/>
  <c r="M24" i="3"/>
  <c r="G26" i="3"/>
  <c r="G29" i="3"/>
  <c r="G32" i="3"/>
  <c r="G38" i="3"/>
  <c r="G41" i="3"/>
  <c r="G44" i="3"/>
  <c r="J52" i="3"/>
  <c r="G54" i="3"/>
  <c r="G58" i="3"/>
  <c r="G63" i="3"/>
  <c r="J70" i="3"/>
  <c r="I87" i="3"/>
  <c r="G87" i="3"/>
  <c r="I90" i="3"/>
  <c r="I88" i="3" s="1"/>
  <c r="J88" i="3" s="1"/>
  <c r="G90" i="3"/>
  <c r="I93" i="3"/>
  <c r="G93" i="3"/>
  <c r="I110" i="3"/>
  <c r="G110" i="3"/>
  <c r="I113" i="3"/>
  <c r="G113" i="3"/>
  <c r="I137" i="3"/>
  <c r="G137" i="3"/>
  <c r="J153" i="3"/>
  <c r="O236" i="3"/>
  <c r="P236" i="3" s="1"/>
  <c r="M236" i="3"/>
  <c r="L241" i="3"/>
  <c r="L238" i="3" s="1"/>
  <c r="M238" i="3" s="1"/>
  <c r="J241" i="3"/>
  <c r="O274" i="3"/>
  <c r="P274" i="3" s="1"/>
  <c r="M274" i="3"/>
  <c r="L299" i="3"/>
  <c r="J299" i="3"/>
  <c r="G35" i="3"/>
  <c r="G56" i="3"/>
  <c r="L58" i="3"/>
  <c r="L63" i="3"/>
  <c r="I116" i="3"/>
  <c r="I111" i="3" s="1"/>
  <c r="J111" i="3" s="1"/>
  <c r="G116" i="3"/>
  <c r="I140" i="3"/>
  <c r="G140" i="3"/>
  <c r="I146" i="3"/>
  <c r="G146" i="3"/>
  <c r="G144" i="3" s="1"/>
  <c r="F144" i="3"/>
  <c r="F143" i="3" s="1"/>
  <c r="G143" i="3" s="1"/>
  <c r="M153" i="3"/>
  <c r="L161" i="3"/>
  <c r="O216" i="3"/>
  <c r="P216" i="3" s="1"/>
  <c r="O223" i="3"/>
  <c r="P223" i="3" s="1"/>
  <c r="M223" i="3"/>
  <c r="O289" i="3"/>
  <c r="P289" i="3" s="1"/>
  <c r="M289" i="3"/>
  <c r="L185" i="3"/>
  <c r="J185" i="3"/>
  <c r="J201" i="3"/>
  <c r="I191" i="3"/>
  <c r="J191" i="3" s="1"/>
  <c r="L204" i="3"/>
  <c r="F283" i="3"/>
  <c r="G283" i="3" s="1"/>
  <c r="I285" i="3"/>
  <c r="I283" i="3" s="1"/>
  <c r="J283" i="3" s="1"/>
  <c r="G153" i="3"/>
  <c r="G161" i="3"/>
  <c r="J173" i="3"/>
  <c r="L182" i="3"/>
  <c r="J182" i="3"/>
  <c r="F192" i="3"/>
  <c r="F191" i="3" s="1"/>
  <c r="J204" i="3"/>
  <c r="J220" i="3"/>
  <c r="F234" i="3"/>
  <c r="G234" i="3" s="1"/>
  <c r="I235" i="3"/>
  <c r="I238" i="3"/>
  <c r="J238" i="3" s="1"/>
  <c r="O270" i="3"/>
  <c r="P270" i="3" s="1"/>
  <c r="M270" i="3"/>
  <c r="O273" i="3"/>
  <c r="P273" i="3" s="1"/>
  <c r="M273" i="3"/>
  <c r="J276" i="3"/>
  <c r="G285" i="3"/>
  <c r="O173" i="3"/>
  <c r="O189" i="3"/>
  <c r="P189" i="3" s="1"/>
  <c r="M189" i="3"/>
  <c r="I226" i="3"/>
  <c r="G226" i="3"/>
  <c r="I242" i="3"/>
  <c r="J242" i="3" s="1"/>
  <c r="L243" i="3"/>
  <c r="J243" i="3"/>
  <c r="O255" i="3"/>
  <c r="P255" i="3" s="1"/>
  <c r="M255" i="3"/>
  <c r="O258" i="3"/>
  <c r="P258" i="3" s="1"/>
  <c r="M258" i="3"/>
  <c r="O261" i="3"/>
  <c r="P261" i="3" s="1"/>
  <c r="M261" i="3"/>
  <c r="F262" i="3"/>
  <c r="G263" i="3"/>
  <c r="G262" i="3" s="1"/>
  <c r="L290" i="3"/>
  <c r="J290" i="3"/>
  <c r="I251" i="3"/>
  <c r="L252" i="3"/>
  <c r="J252" i="3"/>
  <c r="L276" i="3"/>
  <c r="M276" i="3" s="1"/>
  <c r="O277" i="3"/>
  <c r="M277" i="3"/>
  <c r="L281" i="3"/>
  <c r="J281" i="3"/>
  <c r="I174" i="3"/>
  <c r="G174" i="3"/>
  <c r="O178" i="3"/>
  <c r="M178" i="3"/>
  <c r="L192" i="3"/>
  <c r="G244" i="3"/>
  <c r="I265" i="3"/>
  <c r="O268" i="3"/>
  <c r="P268" i="3" s="1"/>
  <c r="M268" i="3"/>
  <c r="O271" i="3"/>
  <c r="P271" i="3" s="1"/>
  <c r="M271" i="3"/>
  <c r="J274" i="3"/>
  <c r="L291" i="3"/>
  <c r="J291" i="3"/>
  <c r="O259" i="3"/>
  <c r="P259" i="3" s="1"/>
  <c r="M259" i="3"/>
  <c r="F280" i="3"/>
  <c r="G280" i="3" s="1"/>
  <c r="I282" i="3"/>
  <c r="I280" i="3" s="1"/>
  <c r="J280" i="3" s="1"/>
  <c r="L155" i="3"/>
  <c r="O193" i="3"/>
  <c r="O202" i="3"/>
  <c r="L209" i="3"/>
  <c r="J209" i="3"/>
  <c r="I222" i="3"/>
  <c r="G222" i="3"/>
  <c r="F230" i="3"/>
  <c r="G230" i="3" s="1"/>
  <c r="I232" i="3"/>
  <c r="G232" i="3"/>
  <c r="O239" i="3"/>
  <c r="J256" i="3"/>
  <c r="J259" i="3"/>
  <c r="G282" i="3"/>
  <c r="L287" i="3"/>
  <c r="J287" i="3"/>
  <c r="G218" i="3"/>
  <c r="G217" i="3" s="1"/>
  <c r="L240" i="3"/>
  <c r="J240" i="3"/>
  <c r="L249" i="3"/>
  <c r="J249" i="3"/>
  <c r="L266" i="3"/>
  <c r="O278" i="3"/>
  <c r="P278" i="3" s="1"/>
  <c r="F172" i="3"/>
  <c r="G172" i="3" s="1"/>
  <c r="O175" i="3"/>
  <c r="P175" i="3" s="1"/>
  <c r="M175" i="3"/>
  <c r="I180" i="3"/>
  <c r="I177" i="3" s="1"/>
  <c r="J177" i="3" s="1"/>
  <c r="G180" i="3"/>
  <c r="O203" i="3"/>
  <c r="P203" i="3" s="1"/>
  <c r="M203" i="3"/>
  <c r="I217" i="3"/>
  <c r="J217" i="3" s="1"/>
  <c r="L218" i="3"/>
  <c r="J218" i="3"/>
  <c r="L288" i="3"/>
  <c r="J288" i="3"/>
  <c r="L160" i="3"/>
  <c r="L176" i="3"/>
  <c r="J176" i="3"/>
  <c r="O194" i="3"/>
  <c r="P194" i="3" s="1"/>
  <c r="M194" i="3"/>
  <c r="O197" i="3"/>
  <c r="P197" i="3" s="1"/>
  <c r="M197" i="3"/>
  <c r="O200" i="3"/>
  <c r="P200" i="3" s="1"/>
  <c r="M200" i="3"/>
  <c r="I210" i="3"/>
  <c r="I207" i="3" s="1"/>
  <c r="I206" i="3" s="1"/>
  <c r="G210" i="3"/>
  <c r="I229" i="3"/>
  <c r="G229" i="3"/>
  <c r="O275" i="3"/>
  <c r="P275" i="3" s="1"/>
  <c r="G288" i="3"/>
  <c r="L293" i="3"/>
  <c r="J293" i="3"/>
  <c r="O295" i="3"/>
  <c r="P295" i="3" s="1"/>
  <c r="M183" i="3"/>
  <c r="G185" i="3"/>
  <c r="G188" i="3"/>
  <c r="G240" i="3"/>
  <c r="G243" i="3"/>
  <c r="J255" i="3"/>
  <c r="J258" i="3"/>
  <c r="J261" i="3"/>
  <c r="J270" i="3"/>
  <c r="J273" i="3"/>
  <c r="M279" i="3"/>
  <c r="G281" i="3"/>
  <c r="G284" i="3"/>
  <c r="G287" i="3"/>
  <c r="G290" i="3"/>
  <c r="G293" i="3"/>
  <c r="G173" i="3"/>
  <c r="G176" i="3"/>
  <c r="G179" i="3"/>
  <c r="G182" i="3"/>
  <c r="J194" i="3"/>
  <c r="J197" i="3"/>
  <c r="J200" i="3"/>
  <c r="G209" i="3"/>
  <c r="G221" i="3"/>
  <c r="G224" i="3"/>
  <c r="J264" i="3"/>
  <c r="J184" i="3"/>
  <c r="J187" i="3"/>
  <c r="J190" i="3"/>
  <c r="J205" i="3"/>
  <c r="G236" i="3"/>
  <c r="J254" i="3"/>
  <c r="J257" i="3"/>
  <c r="J260" i="3"/>
  <c r="J269" i="3"/>
  <c r="J272" i="3"/>
  <c r="G286" i="3"/>
  <c r="G289" i="3"/>
  <c r="BA63" i="4" l="1"/>
  <c r="BA101" i="4"/>
  <c r="AA163" i="4"/>
  <c r="AI139" i="4"/>
  <c r="AI164" i="4" s="1"/>
  <c r="BA115" i="4"/>
  <c r="BA113" i="4"/>
  <c r="BE113" i="4"/>
  <c r="AB139" i="4"/>
  <c r="AB164" i="4" s="1"/>
  <c r="BE99" i="4"/>
  <c r="BA99" i="4"/>
  <c r="W139" i="4"/>
  <c r="BC115" i="4"/>
  <c r="BE115" i="4" s="1"/>
  <c r="AC163" i="4"/>
  <c r="BB138" i="4"/>
  <c r="AL135" i="4"/>
  <c r="AL139" i="4" s="1"/>
  <c r="BC49" i="4"/>
  <c r="AZ49" i="4"/>
  <c r="U49" i="4"/>
  <c r="AZ87" i="4"/>
  <c r="U87" i="4"/>
  <c r="V163" i="4"/>
  <c r="AL163" i="4"/>
  <c r="AK138" i="4"/>
  <c r="AJ163" i="4"/>
  <c r="AN135" i="4"/>
  <c r="AN139" i="4" s="1"/>
  <c r="AM135" i="4"/>
  <c r="AM139" i="4" s="1"/>
  <c r="AA135" i="4"/>
  <c r="AA139" i="4" s="1"/>
  <c r="AO163" i="4"/>
  <c r="AO135" i="4"/>
  <c r="BB63" i="4"/>
  <c r="BC63" i="4" s="1"/>
  <c r="BE63" i="4" s="1"/>
  <c r="AZ158" i="4"/>
  <c r="BC43" i="4"/>
  <c r="AZ43" i="4"/>
  <c r="U43" i="4"/>
  <c r="BA11" i="4"/>
  <c r="BE11" i="4"/>
  <c r="AZ39" i="4"/>
  <c r="U39" i="4"/>
  <c r="AK139" i="4"/>
  <c r="AK164" i="4" s="1"/>
  <c r="AZ65" i="4"/>
  <c r="U65" i="4"/>
  <c r="Z135" i="4"/>
  <c r="BC133" i="4"/>
  <c r="AZ133" i="4"/>
  <c r="BE133" i="4" s="1"/>
  <c r="AC159" i="4"/>
  <c r="AC165" i="4" s="1"/>
  <c r="BB146" i="4"/>
  <c r="BC146" i="4" s="1"/>
  <c r="BE124" i="4"/>
  <c r="BA124" i="4"/>
  <c r="BE21" i="4"/>
  <c r="BA21" i="4"/>
  <c r="U131" i="4"/>
  <c r="AZ131" i="4"/>
  <c r="BC141" i="4"/>
  <c r="BC131" i="4"/>
  <c r="BE128" i="4"/>
  <c r="BA128" i="4"/>
  <c r="U125" i="4"/>
  <c r="AZ125" i="4"/>
  <c r="AE135" i="4"/>
  <c r="AD135" i="4"/>
  <c r="AD139" i="4" s="1"/>
  <c r="Y163" i="4"/>
  <c r="AP163" i="4"/>
  <c r="AP166" i="4" s="1"/>
  <c r="AP168" i="4" s="1"/>
  <c r="AP140" i="4"/>
  <c r="U91" i="4"/>
  <c r="BC91" i="4"/>
  <c r="AZ91" i="4"/>
  <c r="V159" i="4"/>
  <c r="BG159" i="4"/>
  <c r="AZ146" i="4"/>
  <c r="AG135" i="4"/>
  <c r="BB111" i="4"/>
  <c r="BB158" i="4"/>
  <c r="BC158" i="4" s="1"/>
  <c r="AR159" i="4"/>
  <c r="AR165" i="4" s="1"/>
  <c r="AY159" i="4"/>
  <c r="AY165" i="4" s="1"/>
  <c r="AY166" i="4" s="1"/>
  <c r="AY168" i="4" s="1"/>
  <c r="BB129" i="4"/>
  <c r="BC47" i="4"/>
  <c r="AZ47" i="4"/>
  <c r="U47" i="4"/>
  <c r="AG139" i="4"/>
  <c r="AG164" i="4" s="1"/>
  <c r="U123" i="4"/>
  <c r="AZ123" i="4"/>
  <c r="BC123" i="4"/>
  <c r="U51" i="4"/>
  <c r="BC51" i="4"/>
  <c r="AZ51" i="4"/>
  <c r="BB37" i="4"/>
  <c r="AU139" i="4"/>
  <c r="BA25" i="4"/>
  <c r="BE25" i="4"/>
  <c r="BC21" i="4"/>
  <c r="U45" i="4"/>
  <c r="AZ45" i="4"/>
  <c r="Y139" i="4"/>
  <c r="Y164" i="4" s="1"/>
  <c r="BC57" i="4"/>
  <c r="AZ57" i="4"/>
  <c r="U57" i="4"/>
  <c r="Z139" i="4"/>
  <c r="Z164" i="4" s="1"/>
  <c r="AD163" i="4"/>
  <c r="AF135" i="4"/>
  <c r="AF139" i="4" s="1"/>
  <c r="U71" i="4"/>
  <c r="BC71" i="4"/>
  <c r="AZ71" i="4"/>
  <c r="BB7" i="4"/>
  <c r="BC7" i="4" s="1"/>
  <c r="AC139" i="4"/>
  <c r="AC140" i="4" s="1"/>
  <c r="Z138" i="4"/>
  <c r="BC138" i="4" s="1"/>
  <c r="AI138" i="4"/>
  <c r="AZ134" i="4"/>
  <c r="W159" i="4"/>
  <c r="W165" i="4" s="1"/>
  <c r="AZ154" i="4"/>
  <c r="BC93" i="4"/>
  <c r="U93" i="4"/>
  <c r="AZ93" i="4"/>
  <c r="AZ29" i="4"/>
  <c r="U29" i="4"/>
  <c r="BC29" i="4"/>
  <c r="BC17" i="4"/>
  <c r="U17" i="4"/>
  <c r="AZ17" i="4"/>
  <c r="AE139" i="4"/>
  <c r="AE164" i="4" s="1"/>
  <c r="AZ33" i="4"/>
  <c r="U33" i="4"/>
  <c r="AR139" i="4"/>
  <c r="BC15" i="4"/>
  <c r="U15" i="4"/>
  <c r="AZ15" i="4"/>
  <c r="AH163" i="4"/>
  <c r="AV139" i="4"/>
  <c r="BE81" i="4"/>
  <c r="BA81" i="4"/>
  <c r="AZ79" i="4"/>
  <c r="U79" i="4"/>
  <c r="BB75" i="4"/>
  <c r="AG138" i="4"/>
  <c r="BC37" i="4"/>
  <c r="AZ37" i="4"/>
  <c r="U37" i="4"/>
  <c r="BC31" i="4"/>
  <c r="AZ31" i="4"/>
  <c r="U31" i="4"/>
  <c r="AZ59" i="4"/>
  <c r="BC59" i="4"/>
  <c r="U59" i="4"/>
  <c r="BB23" i="4"/>
  <c r="BC73" i="4"/>
  <c r="AZ73" i="4"/>
  <c r="U73" i="4"/>
  <c r="BC83" i="4"/>
  <c r="AZ83" i="4"/>
  <c r="U83" i="4"/>
  <c r="BB125" i="4"/>
  <c r="BC125" i="4" s="1"/>
  <c r="BC127" i="4"/>
  <c r="AZ127" i="4"/>
  <c r="BB101" i="4"/>
  <c r="BC101" i="4" s="1"/>
  <c r="BE101" i="4" s="1"/>
  <c r="BB115" i="4"/>
  <c r="Y159" i="4"/>
  <c r="Y165" i="4" s="1"/>
  <c r="BC111" i="4"/>
  <c r="AZ111" i="4"/>
  <c r="U111" i="4"/>
  <c r="BE103" i="4"/>
  <c r="BA103" i="4"/>
  <c r="BC121" i="4"/>
  <c r="AZ121" i="4"/>
  <c r="U121" i="4"/>
  <c r="BB154" i="4"/>
  <c r="BC154" i="4" s="1"/>
  <c r="U53" i="4"/>
  <c r="AZ53" i="4"/>
  <c r="AS139" i="4"/>
  <c r="AN163" i="4"/>
  <c r="AF159" i="4"/>
  <c r="AF165" i="4" s="1"/>
  <c r="BB113" i="4"/>
  <c r="BC113" i="4" s="1"/>
  <c r="AW139" i="4"/>
  <c r="BC107" i="4"/>
  <c r="U107" i="4"/>
  <c r="AZ107" i="4"/>
  <c r="U35" i="4"/>
  <c r="AZ35" i="4"/>
  <c r="BB35" i="4"/>
  <c r="BC35" i="4" s="1"/>
  <c r="BB33" i="4"/>
  <c r="BC33" i="4" s="1"/>
  <c r="BC19" i="4"/>
  <c r="U19" i="4"/>
  <c r="AZ19" i="4"/>
  <c r="AQ166" i="4"/>
  <c r="AQ168" i="4" s="1"/>
  <c r="BB134" i="4"/>
  <c r="BC134" i="4" s="1"/>
  <c r="Z159" i="4"/>
  <c r="Z165" i="4" s="1"/>
  <c r="AZ75" i="4"/>
  <c r="BC75" i="4"/>
  <c r="U75" i="4"/>
  <c r="AA159" i="4"/>
  <c r="AA165" i="4" s="1"/>
  <c r="AJ135" i="4"/>
  <c r="BB79" i="4"/>
  <c r="BC79" i="4" s="1"/>
  <c r="U109" i="4"/>
  <c r="BC109" i="4"/>
  <c r="AZ109" i="4"/>
  <c r="BB39" i="4"/>
  <c r="BC39" i="4" s="1"/>
  <c r="BB59" i="4"/>
  <c r="BC95" i="4"/>
  <c r="U95" i="4"/>
  <c r="AZ95" i="4"/>
  <c r="AO139" i="4"/>
  <c r="AO164" i="4" s="1"/>
  <c r="AM163" i="4"/>
  <c r="BB91" i="4"/>
  <c r="AZ119" i="4"/>
  <c r="U119" i="4"/>
  <c r="BC119" i="4"/>
  <c r="U85" i="4"/>
  <c r="BC85" i="4"/>
  <c r="AZ85" i="4"/>
  <c r="BB83" i="4"/>
  <c r="T163" i="4"/>
  <c r="T166" i="4" s="1"/>
  <c r="T168" i="4" s="1"/>
  <c r="T140" i="4"/>
  <c r="T142" i="4" s="1"/>
  <c r="BG140" i="4"/>
  <c r="V139" i="4"/>
  <c r="V140" i="4" s="1"/>
  <c r="AZ7" i="4"/>
  <c r="U7" i="4"/>
  <c r="BE157" i="4"/>
  <c r="BB65" i="4"/>
  <c r="BC65" i="4" s="1"/>
  <c r="U105" i="4"/>
  <c r="BC105" i="4"/>
  <c r="AZ105" i="4"/>
  <c r="BA89" i="4"/>
  <c r="BE89" i="4"/>
  <c r="AB159" i="4"/>
  <c r="AB165" i="4" s="1"/>
  <c r="AZ61" i="4"/>
  <c r="BE97" i="4"/>
  <c r="BA97" i="4"/>
  <c r="AV159" i="4"/>
  <c r="AV165" i="4" s="1"/>
  <c r="AZ129" i="4"/>
  <c r="BC129" i="4"/>
  <c r="U67" i="4"/>
  <c r="BC67" i="4"/>
  <c r="AZ67" i="4"/>
  <c r="AH139" i="4"/>
  <c r="AH164" i="4" s="1"/>
  <c r="AT139" i="4"/>
  <c r="AZ23" i="4"/>
  <c r="U23" i="4"/>
  <c r="BC23" i="4"/>
  <c r="BB45" i="4"/>
  <c r="BC45" i="4" s="1"/>
  <c r="BC55" i="4"/>
  <c r="U55" i="4"/>
  <c r="AZ55" i="4"/>
  <c r="AE163" i="4"/>
  <c r="AC135" i="4"/>
  <c r="AZ41" i="4"/>
  <c r="BC41" i="4"/>
  <c r="U41" i="4"/>
  <c r="X135" i="4"/>
  <c r="X139" i="4" s="1"/>
  <c r="BB133" i="4"/>
  <c r="AB138" i="4"/>
  <c r="AB135" i="4"/>
  <c r="BB87" i="4"/>
  <c r="BC87" i="4" s="1"/>
  <c r="BB123" i="4"/>
  <c r="BB29" i="4"/>
  <c r="BE27" i="4"/>
  <c r="BA27" i="4"/>
  <c r="BC9" i="4"/>
  <c r="U9" i="4"/>
  <c r="AZ9" i="4"/>
  <c r="BE69" i="4"/>
  <c r="BA69" i="4"/>
  <c r="BB53" i="4"/>
  <c r="BC53" i="4" s="1"/>
  <c r="AJ139" i="4"/>
  <c r="AJ164" i="4" s="1"/>
  <c r="O287" i="3"/>
  <c r="P287" i="3" s="1"/>
  <c r="M287" i="3"/>
  <c r="O293" i="3"/>
  <c r="M293" i="3"/>
  <c r="O240" i="3"/>
  <c r="P240" i="3" s="1"/>
  <c r="M240" i="3"/>
  <c r="M161" i="3"/>
  <c r="O161" i="3"/>
  <c r="P161" i="3" s="1"/>
  <c r="J157" i="3"/>
  <c r="L157" i="3"/>
  <c r="J101" i="3"/>
  <c r="L101" i="3"/>
  <c r="L98" i="3" s="1"/>
  <c r="M98" i="3" s="1"/>
  <c r="O86" i="3"/>
  <c r="P86" i="3" s="1"/>
  <c r="M86" i="3"/>
  <c r="P208" i="3"/>
  <c r="M179" i="3"/>
  <c r="O179" i="3"/>
  <c r="P179" i="3" s="1"/>
  <c r="O29" i="3"/>
  <c r="P29" i="3" s="1"/>
  <c r="M29" i="3"/>
  <c r="O32" i="3"/>
  <c r="P32" i="3" s="1"/>
  <c r="M32" i="3"/>
  <c r="O290" i="3"/>
  <c r="P290" i="3" s="1"/>
  <c r="M290" i="3"/>
  <c r="J113" i="3"/>
  <c r="L113" i="3"/>
  <c r="O112" i="3"/>
  <c r="M112" i="3"/>
  <c r="M221" i="3"/>
  <c r="O221" i="3"/>
  <c r="P221" i="3" s="1"/>
  <c r="J207" i="3"/>
  <c r="M158" i="3"/>
  <c r="O158" i="3"/>
  <c r="P158" i="3" s="1"/>
  <c r="F9" i="3"/>
  <c r="G9" i="3" s="1"/>
  <c r="G10" i="3"/>
  <c r="O80" i="3"/>
  <c r="P80" i="3" s="1"/>
  <c r="M80" i="3"/>
  <c r="L222" i="3"/>
  <c r="J222" i="3"/>
  <c r="L285" i="3"/>
  <c r="J285" i="3"/>
  <c r="M209" i="3"/>
  <c r="O209" i="3"/>
  <c r="P209" i="3" s="1"/>
  <c r="L174" i="3"/>
  <c r="J174" i="3"/>
  <c r="L226" i="3"/>
  <c r="J226" i="3"/>
  <c r="I234" i="3"/>
  <c r="J234" i="3" s="1"/>
  <c r="L235" i="3"/>
  <c r="J235" i="3"/>
  <c r="L191" i="3"/>
  <c r="M191" i="3" s="1"/>
  <c r="O204" i="3"/>
  <c r="M204" i="3"/>
  <c r="O299" i="3"/>
  <c r="P299" i="3" s="1"/>
  <c r="M299" i="3"/>
  <c r="J84" i="3"/>
  <c r="L84" i="3"/>
  <c r="J78" i="3"/>
  <c r="L78" i="3"/>
  <c r="I102" i="3"/>
  <c r="J102" i="3" s="1"/>
  <c r="L103" i="3"/>
  <c r="J103" i="3"/>
  <c r="O51" i="3"/>
  <c r="L50" i="3"/>
  <c r="M51" i="3"/>
  <c r="M133" i="3"/>
  <c r="O133" i="3"/>
  <c r="P133" i="3" s="1"/>
  <c r="F107" i="3"/>
  <c r="F6" i="3"/>
  <c r="G6" i="3" s="1"/>
  <c r="G7" i="3"/>
  <c r="L7" i="3"/>
  <c r="O8" i="3"/>
  <c r="M8" i="3"/>
  <c r="I22" i="3"/>
  <c r="J22" i="3" s="1"/>
  <c r="J23" i="3"/>
  <c r="L13" i="3"/>
  <c r="M13" i="3" s="1"/>
  <c r="O14" i="3"/>
  <c r="M14" i="3"/>
  <c r="J110" i="3"/>
  <c r="L110" i="3"/>
  <c r="M145" i="3"/>
  <c r="O145" i="3"/>
  <c r="I246" i="3"/>
  <c r="J246" i="3" s="1"/>
  <c r="L247" i="3"/>
  <c r="J247" i="3"/>
  <c r="L214" i="3"/>
  <c r="M214" i="3" s="1"/>
  <c r="O215" i="3"/>
  <c r="M215" i="3"/>
  <c r="L27" i="3"/>
  <c r="M27" i="3" s="1"/>
  <c r="O28" i="3"/>
  <c r="M28" i="3"/>
  <c r="O244" i="3"/>
  <c r="P244" i="3" s="1"/>
  <c r="M244" i="3"/>
  <c r="J263" i="3"/>
  <c r="I262" i="3"/>
  <c r="J262" i="3" s="1"/>
  <c r="F42" i="3"/>
  <c r="G42" i="3" s="1"/>
  <c r="G43" i="3"/>
  <c r="I6" i="3"/>
  <c r="J6" i="3" s="1"/>
  <c r="J7" i="3"/>
  <c r="O26" i="3"/>
  <c r="P26" i="3" s="1"/>
  <c r="M26" i="3"/>
  <c r="O77" i="3"/>
  <c r="P77" i="3" s="1"/>
  <c r="M77" i="3"/>
  <c r="M176" i="3"/>
  <c r="O176" i="3"/>
  <c r="P176" i="3" s="1"/>
  <c r="P193" i="3"/>
  <c r="O281" i="3"/>
  <c r="M281" i="3"/>
  <c r="L280" i="3"/>
  <c r="M280" i="3" s="1"/>
  <c r="L146" i="3"/>
  <c r="J146" i="3"/>
  <c r="I144" i="3"/>
  <c r="L149" i="3"/>
  <c r="J149" i="3"/>
  <c r="I148" i="3"/>
  <c r="J148" i="3" s="1"/>
  <c r="O109" i="3"/>
  <c r="M109" i="3"/>
  <c r="O68" i="3"/>
  <c r="M68" i="3"/>
  <c r="L131" i="3"/>
  <c r="J131" i="3"/>
  <c r="I130" i="3"/>
  <c r="J162" i="3"/>
  <c r="L162" i="3"/>
  <c r="O118" i="3"/>
  <c r="P118" i="3" s="1"/>
  <c r="M118" i="3"/>
  <c r="L229" i="3"/>
  <c r="J229" i="3"/>
  <c r="I172" i="3"/>
  <c r="J172" i="3" s="1"/>
  <c r="M155" i="3"/>
  <c r="O155" i="3"/>
  <c r="L265" i="3"/>
  <c r="J265" i="3"/>
  <c r="J93" i="3"/>
  <c r="L93" i="3"/>
  <c r="I92" i="3"/>
  <c r="M139" i="3"/>
  <c r="O139" i="3"/>
  <c r="P139" i="3" s="1"/>
  <c r="I108" i="3"/>
  <c r="J108" i="3" s="1"/>
  <c r="J75" i="3"/>
  <c r="L75" i="3"/>
  <c r="M164" i="3"/>
  <c r="O164" i="3"/>
  <c r="P164" i="3" s="1"/>
  <c r="G130" i="3"/>
  <c r="M224" i="3"/>
  <c r="O224" i="3"/>
  <c r="P224" i="3" s="1"/>
  <c r="O20" i="3"/>
  <c r="L19" i="3"/>
  <c r="M19" i="3" s="1"/>
  <c r="M20" i="3"/>
  <c r="O41" i="3"/>
  <c r="P41" i="3" s="1"/>
  <c r="M41" i="3"/>
  <c r="O23" i="3"/>
  <c r="O100" i="3"/>
  <c r="P100" i="3" s="1"/>
  <c r="M100" i="3"/>
  <c r="O160" i="3"/>
  <c r="P160" i="3" s="1"/>
  <c r="M160" i="3"/>
  <c r="P173" i="3"/>
  <c r="O185" i="3"/>
  <c r="P185" i="3" s="1"/>
  <c r="M185" i="3"/>
  <c r="L140" i="3"/>
  <c r="J140" i="3"/>
  <c r="O241" i="3"/>
  <c r="P241" i="3" s="1"/>
  <c r="M241" i="3"/>
  <c r="L294" i="3"/>
  <c r="L292" i="3" s="1"/>
  <c r="M292" i="3" s="1"/>
  <c r="J294" i="3"/>
  <c r="O198" i="3"/>
  <c r="P198" i="3" s="1"/>
  <c r="M198" i="3"/>
  <c r="O55" i="3"/>
  <c r="P55" i="3" s="1"/>
  <c r="M55" i="3"/>
  <c r="J163" i="3"/>
  <c r="L163" i="3"/>
  <c r="J119" i="3"/>
  <c r="L119" i="3"/>
  <c r="O83" i="3"/>
  <c r="P83" i="3" s="1"/>
  <c r="M83" i="3"/>
  <c r="I42" i="3"/>
  <c r="J42" i="3" s="1"/>
  <c r="J43" i="3"/>
  <c r="P239" i="3"/>
  <c r="O115" i="3"/>
  <c r="P115" i="3" s="1"/>
  <c r="M115" i="3"/>
  <c r="O201" i="3"/>
  <c r="P201" i="3" s="1"/>
  <c r="P202" i="3"/>
  <c r="J192" i="3"/>
  <c r="O106" i="3"/>
  <c r="P106" i="3" s="1"/>
  <c r="M106" i="3"/>
  <c r="L123" i="3"/>
  <c r="J123" i="3"/>
  <c r="O71" i="3"/>
  <c r="P71" i="3" s="1"/>
  <c r="M71" i="3"/>
  <c r="O266" i="3"/>
  <c r="P266" i="3" s="1"/>
  <c r="M266" i="3"/>
  <c r="O186" i="3"/>
  <c r="P186" i="3" s="1"/>
  <c r="M186" i="3"/>
  <c r="L23" i="3"/>
  <c r="O121" i="3"/>
  <c r="P121" i="3" s="1"/>
  <c r="M121" i="3"/>
  <c r="L232" i="3"/>
  <c r="J232" i="3"/>
  <c r="I230" i="3"/>
  <c r="J230" i="3" s="1"/>
  <c r="M192" i="3"/>
  <c r="M63" i="3"/>
  <c r="O63" i="3"/>
  <c r="P63" i="3" s="1"/>
  <c r="J87" i="3"/>
  <c r="L87" i="3"/>
  <c r="O195" i="3"/>
  <c r="P195" i="3" s="1"/>
  <c r="M195" i="3"/>
  <c r="J81" i="3"/>
  <c r="L81" i="3"/>
  <c r="L134" i="3"/>
  <c r="J134" i="3"/>
  <c r="O89" i="3"/>
  <c r="M89" i="3"/>
  <c r="L253" i="3"/>
  <c r="J253" i="3"/>
  <c r="O74" i="3"/>
  <c r="P74" i="3" s="1"/>
  <c r="M74" i="3"/>
  <c r="I154" i="3"/>
  <c r="J154" i="3" s="1"/>
  <c r="J37" i="3"/>
  <c r="L34" i="3"/>
  <c r="M34" i="3" s="1"/>
  <c r="O35" i="3"/>
  <c r="M35" i="3"/>
  <c r="P47" i="3"/>
  <c r="L16" i="3"/>
  <c r="M16" i="3" s="1"/>
  <c r="O17" i="3"/>
  <c r="M17" i="3"/>
  <c r="O65" i="3"/>
  <c r="P65" i="3" s="1"/>
  <c r="M65" i="3"/>
  <c r="F91" i="3"/>
  <c r="G91" i="3" s="1"/>
  <c r="L180" i="3"/>
  <c r="J180" i="3"/>
  <c r="L282" i="3"/>
  <c r="J282" i="3"/>
  <c r="M142" i="3"/>
  <c r="O142" i="3"/>
  <c r="P142" i="3" s="1"/>
  <c r="O159" i="3"/>
  <c r="P159" i="3" s="1"/>
  <c r="M159" i="3"/>
  <c r="O288" i="3"/>
  <c r="P288" i="3" s="1"/>
  <c r="M288" i="3"/>
  <c r="O211" i="3"/>
  <c r="P211" i="3" s="1"/>
  <c r="M211" i="3"/>
  <c r="O99" i="3"/>
  <c r="M99" i="3"/>
  <c r="O38" i="3"/>
  <c r="L37" i="3"/>
  <c r="M37" i="3" s="1"/>
  <c r="M38" i="3"/>
  <c r="L10" i="3"/>
  <c r="O11" i="3"/>
  <c r="M11" i="3"/>
  <c r="G207" i="3"/>
  <c r="G206" i="3" s="1"/>
  <c r="L217" i="3"/>
  <c r="M217" i="3" s="1"/>
  <c r="O218" i="3"/>
  <c r="M218" i="3"/>
  <c r="O249" i="3"/>
  <c r="P249" i="3" s="1"/>
  <c r="M249" i="3"/>
  <c r="O252" i="3"/>
  <c r="M252" i="3"/>
  <c r="O58" i="3"/>
  <c r="P58" i="3" s="1"/>
  <c r="M58" i="3"/>
  <c r="L166" i="3"/>
  <c r="J166" i="3"/>
  <c r="J104" i="3"/>
  <c r="L104" i="3"/>
  <c r="O165" i="3"/>
  <c r="P165" i="3" s="1"/>
  <c r="M165" i="3"/>
  <c r="G251" i="3"/>
  <c r="F250" i="3"/>
  <c r="G250" i="3" s="1"/>
  <c r="G150" i="3"/>
  <c r="J72" i="3"/>
  <c r="L72" i="3"/>
  <c r="O188" i="3"/>
  <c r="P188" i="3" s="1"/>
  <c r="M188" i="3"/>
  <c r="J34" i="3"/>
  <c r="I9" i="3"/>
  <c r="J9" i="3" s="1"/>
  <c r="J10" i="3"/>
  <c r="O54" i="3"/>
  <c r="P54" i="3" s="1"/>
  <c r="M54" i="3"/>
  <c r="O276" i="3"/>
  <c r="P276" i="3" s="1"/>
  <c r="P277" i="3"/>
  <c r="J90" i="3"/>
  <c r="L90" i="3"/>
  <c r="L88" i="3" s="1"/>
  <c r="M88" i="3" s="1"/>
  <c r="M136" i="3"/>
  <c r="O136" i="3"/>
  <c r="P136" i="3" s="1"/>
  <c r="L97" i="3"/>
  <c r="J97" i="3"/>
  <c r="I95" i="3"/>
  <c r="J95" i="3" s="1"/>
  <c r="L210" i="3"/>
  <c r="J210" i="3"/>
  <c r="M182" i="3"/>
  <c r="O182" i="3"/>
  <c r="P182" i="3" s="1"/>
  <c r="J116" i="3"/>
  <c r="L116" i="3"/>
  <c r="I98" i="3"/>
  <c r="J98" i="3" s="1"/>
  <c r="O291" i="3"/>
  <c r="P291" i="3" s="1"/>
  <c r="M291" i="3"/>
  <c r="P178" i="3"/>
  <c r="J251" i="3"/>
  <c r="I250" i="3"/>
  <c r="J250" i="3" s="1"/>
  <c r="O243" i="3"/>
  <c r="M243" i="3"/>
  <c r="L242" i="3"/>
  <c r="M242" i="3" s="1"/>
  <c r="L137" i="3"/>
  <c r="J137" i="3"/>
  <c r="L152" i="3"/>
  <c r="J152" i="3"/>
  <c r="I150" i="3"/>
  <c r="J150" i="3" s="1"/>
  <c r="O69" i="3"/>
  <c r="P69" i="3" s="1"/>
  <c r="M69" i="3"/>
  <c r="O284" i="3"/>
  <c r="M284" i="3"/>
  <c r="M151" i="3"/>
  <c r="O151" i="3"/>
  <c r="O62" i="3"/>
  <c r="P62" i="3" s="1"/>
  <c r="M62" i="3"/>
  <c r="O57" i="3"/>
  <c r="P57" i="3" s="1"/>
  <c r="M57" i="3"/>
  <c r="O44" i="3"/>
  <c r="P44" i="3" s="1"/>
  <c r="M44" i="3"/>
  <c r="J16" i="3"/>
  <c r="AA164" i="4" l="1"/>
  <c r="AA166" i="4" s="1"/>
  <c r="AA168" i="4" s="1"/>
  <c r="AA140" i="4"/>
  <c r="BC159" i="4"/>
  <c r="X164" i="4"/>
  <c r="X166" i="4" s="1"/>
  <c r="X168" i="4" s="1"/>
  <c r="X140" i="4"/>
  <c r="BC140" i="4" s="1"/>
  <c r="BG141" i="4" s="1"/>
  <c r="AD164" i="4"/>
  <c r="AD140" i="4"/>
  <c r="BB140" i="4" s="1"/>
  <c r="AN164" i="4"/>
  <c r="AN140" i="4"/>
  <c r="AF164" i="4"/>
  <c r="AF166" i="4" s="1"/>
  <c r="AF168" i="4" s="1"/>
  <c r="AF140" i="4"/>
  <c r="AL164" i="4"/>
  <c r="AL140" i="4"/>
  <c r="AM164" i="4"/>
  <c r="AM166" i="4" s="1"/>
  <c r="AM168" i="4" s="1"/>
  <c r="AM140" i="4"/>
  <c r="BE37" i="4"/>
  <c r="BA37" i="4"/>
  <c r="BE15" i="4"/>
  <c r="BA15" i="4"/>
  <c r="AT164" i="4"/>
  <c r="AT166" i="4" s="1"/>
  <c r="AT168" i="4" s="1"/>
  <c r="AT140" i="4"/>
  <c r="BE95" i="4"/>
  <c r="BA95" i="4"/>
  <c r="AG163" i="4"/>
  <c r="AG166" i="4" s="1"/>
  <c r="AG168" i="4" s="1"/>
  <c r="AG140" i="4"/>
  <c r="BE93" i="4"/>
  <c r="BA93" i="4"/>
  <c r="Y166" i="4"/>
  <c r="Y168" i="4" s="1"/>
  <c r="Y140" i="4"/>
  <c r="AL166" i="4"/>
  <c r="AL168" i="4" s="1"/>
  <c r="BE41" i="4"/>
  <c r="BA41" i="4"/>
  <c r="BE35" i="4"/>
  <c r="BA35" i="4"/>
  <c r="BE73" i="4"/>
  <c r="BA73" i="4"/>
  <c r="BB135" i="4"/>
  <c r="BC135" i="4" s="1"/>
  <c r="BA67" i="4"/>
  <c r="BE67" i="4"/>
  <c r="BE105" i="4"/>
  <c r="BA105" i="4"/>
  <c r="BE53" i="4"/>
  <c r="BA53" i="4"/>
  <c r="BC163" i="4"/>
  <c r="BB163" i="4"/>
  <c r="AC166" i="4"/>
  <c r="AC168" i="4" s="1"/>
  <c r="AE140" i="4"/>
  <c r="BE85" i="4"/>
  <c r="BA85" i="4"/>
  <c r="BA75" i="4"/>
  <c r="BE75" i="4"/>
  <c r="BA123" i="4"/>
  <c r="BE123" i="4"/>
  <c r="AO140" i="4"/>
  <c r="AZ138" i="4"/>
  <c r="AC164" i="4"/>
  <c r="BB139" i="4"/>
  <c r="BC139" i="4" s="1"/>
  <c r="BA51" i="4"/>
  <c r="BE51" i="4"/>
  <c r="BE131" i="4"/>
  <c r="BA131" i="4"/>
  <c r="BE65" i="4"/>
  <c r="BA65" i="4"/>
  <c r="BE158" i="4"/>
  <c r="AN166" i="4"/>
  <c r="AN168" i="4" s="1"/>
  <c r="BE111" i="4"/>
  <c r="BA111" i="4"/>
  <c r="BE29" i="4"/>
  <c r="BA29" i="4"/>
  <c r="AS164" i="4"/>
  <c r="AS166" i="4" s="1"/>
  <c r="AS168" i="4" s="1"/>
  <c r="AS140" i="4"/>
  <c r="AR164" i="4"/>
  <c r="AR166" i="4" s="1"/>
  <c r="AR168" i="4" s="1"/>
  <c r="AR140" i="4"/>
  <c r="BE71" i="4"/>
  <c r="BA71" i="4"/>
  <c r="BE45" i="4"/>
  <c r="BA45" i="4"/>
  <c r="AE166" i="4"/>
  <c r="AE168" i="4" s="1"/>
  <c r="BE107" i="4"/>
  <c r="BA107" i="4"/>
  <c r="BE154" i="4"/>
  <c r="BE146" i="4"/>
  <c r="BE125" i="4"/>
  <c r="BA125" i="4"/>
  <c r="AO166" i="4"/>
  <c r="AO168" i="4" s="1"/>
  <c r="BE55" i="4"/>
  <c r="BA55" i="4"/>
  <c r="BE79" i="4"/>
  <c r="BA79" i="4"/>
  <c r="BA33" i="4"/>
  <c r="BE33" i="4"/>
  <c r="BG160" i="4"/>
  <c r="BB159" i="4"/>
  <c r="BE39" i="4"/>
  <c r="BA39" i="4"/>
  <c r="BE109" i="4"/>
  <c r="BA109" i="4"/>
  <c r="BE127" i="4"/>
  <c r="BA127" i="4"/>
  <c r="V165" i="4"/>
  <c r="AZ159" i="4"/>
  <c r="BE159" i="4" s="1"/>
  <c r="BB165" i="4"/>
  <c r="W164" i="4"/>
  <c r="W166" i="4" s="1"/>
  <c r="W168" i="4" s="1"/>
  <c r="W140" i="4"/>
  <c r="BA23" i="4"/>
  <c r="BE23" i="4"/>
  <c r="BA129" i="4"/>
  <c r="BE129" i="4"/>
  <c r="U139" i="4"/>
  <c r="U140" i="4" s="1"/>
  <c r="BE121" i="4"/>
  <c r="BA121" i="4"/>
  <c r="BE17" i="4"/>
  <c r="BA17" i="4"/>
  <c r="BE134" i="4"/>
  <c r="BA134" i="4"/>
  <c r="AD166" i="4"/>
  <c r="AD168" i="4" s="1"/>
  <c r="BA47" i="4"/>
  <c r="BE47" i="4"/>
  <c r="BE91" i="4"/>
  <c r="BA91" i="4"/>
  <c r="BA87" i="4"/>
  <c r="BE87" i="4"/>
  <c r="AZ135" i="4"/>
  <c r="BE7" i="4"/>
  <c r="BA7" i="4"/>
  <c r="AW140" i="4"/>
  <c r="AW164" i="4"/>
  <c r="AW166" i="4" s="1"/>
  <c r="AW168" i="4" s="1"/>
  <c r="BE31" i="4"/>
  <c r="BA31" i="4"/>
  <c r="AU164" i="4"/>
  <c r="AU166" i="4" s="1"/>
  <c r="AU168" i="4" s="1"/>
  <c r="AU140" i="4"/>
  <c r="AJ140" i="4"/>
  <c r="AB163" i="4"/>
  <c r="AB166" i="4" s="1"/>
  <c r="AB168" i="4" s="1"/>
  <c r="AB140" i="4"/>
  <c r="BA119" i="4"/>
  <c r="BE119" i="4"/>
  <c r="BA19" i="4"/>
  <c r="BE19" i="4"/>
  <c r="AV164" i="4"/>
  <c r="AV166" i="4" s="1"/>
  <c r="AV168" i="4" s="1"/>
  <c r="AV140" i="4"/>
  <c r="AH140" i="4"/>
  <c r="AI163" i="4"/>
  <c r="AI166" i="4" s="1"/>
  <c r="AI168" i="4" s="1"/>
  <c r="AI140" i="4"/>
  <c r="BE43" i="4"/>
  <c r="BA43" i="4"/>
  <c r="AJ166" i="4"/>
  <c r="AJ168" i="4" s="1"/>
  <c r="BE49" i="4"/>
  <c r="BA49" i="4"/>
  <c r="BA59" i="4"/>
  <c r="BE59" i="4"/>
  <c r="BA9" i="4"/>
  <c r="BE9" i="4"/>
  <c r="BE61" i="4"/>
  <c r="BA61" i="4"/>
  <c r="V164" i="4"/>
  <c r="AZ139" i="4"/>
  <c r="BA83" i="4"/>
  <c r="BE83" i="4"/>
  <c r="AH166" i="4"/>
  <c r="AH168" i="4" s="1"/>
  <c r="Z163" i="4"/>
  <c r="Z166" i="4" s="1"/>
  <c r="Z168" i="4" s="1"/>
  <c r="Z140" i="4"/>
  <c r="BE57" i="4"/>
  <c r="BA57" i="4"/>
  <c r="AK163" i="4"/>
  <c r="AK166" i="4" s="1"/>
  <c r="AK168" i="4" s="1"/>
  <c r="AK140" i="4"/>
  <c r="O97" i="3"/>
  <c r="L95" i="3"/>
  <c r="M95" i="3" s="1"/>
  <c r="M97" i="3"/>
  <c r="O253" i="3"/>
  <c r="P253" i="3" s="1"/>
  <c r="M253" i="3"/>
  <c r="M162" i="3"/>
  <c r="O162" i="3"/>
  <c r="P162" i="3" s="1"/>
  <c r="L148" i="3"/>
  <c r="M148" i="3" s="1"/>
  <c r="O149" i="3"/>
  <c r="M149" i="3"/>
  <c r="O110" i="3"/>
  <c r="P110" i="3" s="1"/>
  <c r="M110" i="3"/>
  <c r="F124" i="3"/>
  <c r="G107" i="3"/>
  <c r="O174" i="3"/>
  <c r="M174" i="3"/>
  <c r="O166" i="3"/>
  <c r="P166" i="3" s="1"/>
  <c r="M166" i="3"/>
  <c r="O10" i="3"/>
  <c r="P11" i="3"/>
  <c r="O16" i="3"/>
  <c r="P16" i="3" s="1"/>
  <c r="P17" i="3"/>
  <c r="O238" i="3"/>
  <c r="P238" i="3" s="1"/>
  <c r="I143" i="3"/>
  <c r="J143" i="3" s="1"/>
  <c r="J144" i="3"/>
  <c r="O27" i="3"/>
  <c r="P27" i="3" s="1"/>
  <c r="P28" i="3"/>
  <c r="J206" i="3"/>
  <c r="O72" i="3"/>
  <c r="P72" i="3" s="1"/>
  <c r="M72" i="3"/>
  <c r="L9" i="3"/>
  <c r="M9" i="3" s="1"/>
  <c r="M10" i="3"/>
  <c r="F228" i="3"/>
  <c r="O265" i="3"/>
  <c r="M265" i="3"/>
  <c r="L263" i="3"/>
  <c r="J130" i="3"/>
  <c r="O285" i="3"/>
  <c r="P285" i="3" s="1"/>
  <c r="M285" i="3"/>
  <c r="O37" i="3"/>
  <c r="P37" i="3" s="1"/>
  <c r="P38" i="3"/>
  <c r="O134" i="3"/>
  <c r="P134" i="3" s="1"/>
  <c r="M134" i="3"/>
  <c r="O75" i="3"/>
  <c r="P75" i="3" s="1"/>
  <c r="M75" i="3"/>
  <c r="P281" i="3"/>
  <c r="O222" i="3"/>
  <c r="P222" i="3" s="1"/>
  <c r="M222" i="3"/>
  <c r="P112" i="3"/>
  <c r="O140" i="3"/>
  <c r="P140" i="3" s="1"/>
  <c r="M140" i="3"/>
  <c r="L108" i="3"/>
  <c r="M108" i="3" s="1"/>
  <c r="L246" i="3"/>
  <c r="M246" i="3" s="1"/>
  <c r="O247" i="3"/>
  <c r="M247" i="3"/>
  <c r="O103" i="3"/>
  <c r="M103" i="3"/>
  <c r="L102" i="3"/>
  <c r="M102" i="3" s="1"/>
  <c r="L234" i="3"/>
  <c r="M234" i="3" s="1"/>
  <c r="O235" i="3"/>
  <c r="M235" i="3"/>
  <c r="M113" i="3"/>
  <c r="O113" i="3"/>
  <c r="P113" i="3" s="1"/>
  <c r="P293" i="3"/>
  <c r="L154" i="3"/>
  <c r="M154" i="3" s="1"/>
  <c r="O116" i="3"/>
  <c r="P116" i="3" s="1"/>
  <c r="M116" i="3"/>
  <c r="O123" i="3"/>
  <c r="P123" i="3" s="1"/>
  <c r="M123" i="3"/>
  <c r="P155" i="3"/>
  <c r="L130" i="3"/>
  <c r="O131" i="3"/>
  <c r="M131" i="3"/>
  <c r="O214" i="3"/>
  <c r="P214" i="3" s="1"/>
  <c r="P215" i="3"/>
  <c r="M50" i="3"/>
  <c r="L43" i="3"/>
  <c r="P204" i="3"/>
  <c r="L111" i="3"/>
  <c r="M111" i="3" s="1"/>
  <c r="M137" i="3"/>
  <c r="O137" i="3"/>
  <c r="P137" i="3" s="1"/>
  <c r="P252" i="3"/>
  <c r="O251" i="3"/>
  <c r="O34" i="3"/>
  <c r="P34" i="3" s="1"/>
  <c r="P35" i="3"/>
  <c r="O232" i="3"/>
  <c r="M232" i="3"/>
  <c r="L230" i="3"/>
  <c r="M230" i="3" s="1"/>
  <c r="O22" i="3"/>
  <c r="P22" i="3" s="1"/>
  <c r="P23" i="3"/>
  <c r="O50" i="3"/>
  <c r="P51" i="3"/>
  <c r="P151" i="3"/>
  <c r="O282" i="3"/>
  <c r="P282" i="3" s="1"/>
  <c r="M282" i="3"/>
  <c r="O81" i="3"/>
  <c r="P81" i="3" s="1"/>
  <c r="M81" i="3"/>
  <c r="O119" i="3"/>
  <c r="P119" i="3" s="1"/>
  <c r="M119" i="3"/>
  <c r="P68" i="3"/>
  <c r="O207" i="3"/>
  <c r="L283" i="3"/>
  <c r="M283" i="3" s="1"/>
  <c r="P243" i="3"/>
  <c r="O242" i="3"/>
  <c r="P242" i="3" s="1"/>
  <c r="P99" i="3"/>
  <c r="O98" i="3"/>
  <c r="P98" i="3" s="1"/>
  <c r="O180" i="3"/>
  <c r="M180" i="3"/>
  <c r="L177" i="3"/>
  <c r="M177" i="3" s="1"/>
  <c r="L22" i="3"/>
  <c r="M22" i="3" s="1"/>
  <c r="M23" i="3"/>
  <c r="M163" i="3"/>
  <c r="O163" i="3"/>
  <c r="P163" i="3" s="1"/>
  <c r="O229" i="3"/>
  <c r="M229" i="3"/>
  <c r="O192" i="3"/>
  <c r="P192" i="3" s="1"/>
  <c r="O7" i="3"/>
  <c r="P8" i="3"/>
  <c r="L251" i="3"/>
  <c r="O146" i="3"/>
  <c r="P146" i="3" s="1"/>
  <c r="M146" i="3"/>
  <c r="O217" i="3"/>
  <c r="P217" i="3" s="1"/>
  <c r="P218" i="3"/>
  <c r="P89" i="3"/>
  <c r="M152" i="3"/>
  <c r="O152" i="3"/>
  <c r="P152" i="3" s="1"/>
  <c r="M90" i="3"/>
  <c r="O90" i="3"/>
  <c r="P90" i="3" s="1"/>
  <c r="O294" i="3"/>
  <c r="P294" i="3" s="1"/>
  <c r="M294" i="3"/>
  <c r="O13" i="3"/>
  <c r="P13" i="3" s="1"/>
  <c r="P14" i="3"/>
  <c r="O210" i="3"/>
  <c r="P210" i="3" s="1"/>
  <c r="M210" i="3"/>
  <c r="M104" i="3"/>
  <c r="O104" i="3"/>
  <c r="P104" i="3" s="1"/>
  <c r="I228" i="3"/>
  <c r="I298" i="3" s="1"/>
  <c r="P109" i="3"/>
  <c r="L144" i="3"/>
  <c r="L6" i="3"/>
  <c r="M6" i="3" s="1"/>
  <c r="M7" i="3"/>
  <c r="O78" i="3"/>
  <c r="P78" i="3" s="1"/>
  <c r="M78" i="3"/>
  <c r="M101" i="3"/>
  <c r="O101" i="3"/>
  <c r="P101" i="3" s="1"/>
  <c r="O283" i="3"/>
  <c r="P283" i="3" s="1"/>
  <c r="P284" i="3"/>
  <c r="M87" i="3"/>
  <c r="O87" i="3"/>
  <c r="P87" i="3" s="1"/>
  <c r="O19" i="3"/>
  <c r="P19" i="3" s="1"/>
  <c r="P20" i="3"/>
  <c r="I91" i="3"/>
  <c r="J91" i="3" s="1"/>
  <c r="J92" i="3"/>
  <c r="P145" i="3"/>
  <c r="O226" i="3"/>
  <c r="P226" i="3" s="1"/>
  <c r="M226" i="3"/>
  <c r="L207" i="3"/>
  <c r="L92" i="3"/>
  <c r="M93" i="3"/>
  <c r="O93" i="3"/>
  <c r="M84" i="3"/>
  <c r="O84" i="3"/>
  <c r="P84" i="3" s="1"/>
  <c r="O157" i="3"/>
  <c r="P157" i="3" s="1"/>
  <c r="M157" i="3"/>
  <c r="L66" i="3"/>
  <c r="M66" i="3" s="1"/>
  <c r="AZ165" i="4" l="1"/>
  <c r="BC165" i="4"/>
  <c r="BE139" i="4"/>
  <c r="BA139" i="4"/>
  <c r="BE135" i="4"/>
  <c r="BA135" i="4"/>
  <c r="AZ164" i="4"/>
  <c r="AZ140" i="4"/>
  <c r="BB164" i="4"/>
  <c r="BC164" i="4" s="1"/>
  <c r="BC166" i="4" s="1"/>
  <c r="AZ163" i="4"/>
  <c r="BE138" i="4"/>
  <c r="BA138" i="4"/>
  <c r="V166" i="4"/>
  <c r="I300" i="3"/>
  <c r="L250" i="3"/>
  <c r="M250" i="3" s="1"/>
  <c r="M251" i="3"/>
  <c r="P180" i="3"/>
  <c r="O177" i="3"/>
  <c r="P177" i="3" s="1"/>
  <c r="O292" i="3"/>
  <c r="P292" i="3" s="1"/>
  <c r="P232" i="3"/>
  <c r="O230" i="3"/>
  <c r="P230" i="3" s="1"/>
  <c r="G228" i="3"/>
  <c r="G298" i="3" s="1"/>
  <c r="F298" i="3"/>
  <c r="F300" i="3" s="1"/>
  <c r="G300" i="3" s="1"/>
  <c r="L143" i="3"/>
  <c r="M143" i="3" s="1"/>
  <c r="M144" i="3"/>
  <c r="O6" i="3"/>
  <c r="P6" i="3" s="1"/>
  <c r="P7" i="3"/>
  <c r="P149" i="3"/>
  <c r="O148" i="3"/>
  <c r="P148" i="3" s="1"/>
  <c r="P131" i="3"/>
  <c r="O130" i="3"/>
  <c r="O9" i="3"/>
  <c r="P9" i="3" s="1"/>
  <c r="P10" i="3"/>
  <c r="O234" i="3"/>
  <c r="P234" i="3" s="1"/>
  <c r="P235" i="3"/>
  <c r="L228" i="3"/>
  <c r="M228" i="3" s="1"/>
  <c r="L172" i="3"/>
  <c r="M172" i="3" s="1"/>
  <c r="P265" i="3"/>
  <c r="O263" i="3"/>
  <c r="O92" i="3"/>
  <c r="P93" i="3"/>
  <c r="O250" i="3"/>
  <c r="P250" i="3" s="1"/>
  <c r="P251" i="3"/>
  <c r="M92" i="3"/>
  <c r="L91" i="3"/>
  <c r="M91" i="3" s="1"/>
  <c r="O154" i="3"/>
  <c r="P154" i="3" s="1"/>
  <c r="O43" i="3"/>
  <c r="P50" i="3"/>
  <c r="P229" i="3"/>
  <c r="O111" i="3"/>
  <c r="P111" i="3" s="1"/>
  <c r="O66" i="3"/>
  <c r="P66" i="3" s="1"/>
  <c r="P174" i="3"/>
  <c r="O172" i="3"/>
  <c r="P172" i="3" s="1"/>
  <c r="L150" i="3"/>
  <c r="M150" i="3" s="1"/>
  <c r="J228" i="3"/>
  <c r="O191" i="3"/>
  <c r="P191" i="3" s="1"/>
  <c r="O102" i="3"/>
  <c r="P102" i="3" s="1"/>
  <c r="P103" i="3"/>
  <c r="O280" i="3"/>
  <c r="P280" i="3" s="1"/>
  <c r="L262" i="3"/>
  <c r="M262" i="3" s="1"/>
  <c r="M263" i="3"/>
  <c r="O246" i="3"/>
  <c r="P246" i="3" s="1"/>
  <c r="P247" i="3"/>
  <c r="O108" i="3"/>
  <c r="P108" i="3" s="1"/>
  <c r="M130" i="3"/>
  <c r="L206" i="3"/>
  <c r="M206" i="3" s="1"/>
  <c r="M207" i="3"/>
  <c r="O88" i="3"/>
  <c r="P88" i="3" s="1"/>
  <c r="O206" i="3"/>
  <c r="P207" i="3"/>
  <c r="O144" i="3"/>
  <c r="L42" i="3"/>
  <c r="M43" i="3"/>
  <c r="I107" i="3"/>
  <c r="G124" i="3"/>
  <c r="O95" i="3"/>
  <c r="P95" i="3" s="1"/>
  <c r="P97" i="3"/>
  <c r="BE140" i="4" l="1"/>
  <c r="BA140" i="4"/>
  <c r="BB166" i="4"/>
  <c r="AZ166" i="4"/>
  <c r="V168" i="4"/>
  <c r="L298" i="3"/>
  <c r="J107" i="3"/>
  <c r="I124" i="3"/>
  <c r="O91" i="3"/>
  <c r="P91" i="3" s="1"/>
  <c r="P92" i="3"/>
  <c r="O42" i="3"/>
  <c r="P43" i="3"/>
  <c r="P130" i="3"/>
  <c r="F301" i="3"/>
  <c r="G301" i="3" s="1"/>
  <c r="M42" i="3"/>
  <c r="L107" i="3"/>
  <c r="O150" i="3"/>
  <c r="P150" i="3" s="1"/>
  <c r="O262" i="3"/>
  <c r="P262" i="3" s="1"/>
  <c r="P263" i="3"/>
  <c r="P144" i="3"/>
  <c r="O143" i="3"/>
  <c r="P143" i="3" s="1"/>
  <c r="O228" i="3"/>
  <c r="P228" i="3" s="1"/>
  <c r="J298" i="3"/>
  <c r="P206" i="3"/>
  <c r="J300" i="3"/>
  <c r="O298" i="3" l="1"/>
  <c r="P42" i="3"/>
  <c r="O107" i="3"/>
  <c r="L124" i="3"/>
  <c r="M107" i="3"/>
  <c r="I301" i="3"/>
  <c r="J301" i="3" s="1"/>
  <c r="J124" i="3"/>
  <c r="M298" i="3"/>
  <c r="L300" i="3"/>
  <c r="M300" i="3" s="1"/>
  <c r="L301" i="3" l="1"/>
  <c r="M301" i="3" s="1"/>
  <c r="M124" i="3"/>
  <c r="O124" i="3"/>
  <c r="P107" i="3"/>
  <c r="P298" i="3"/>
  <c r="O300" i="3"/>
  <c r="P300" i="3" s="1"/>
  <c r="O301" i="3" l="1"/>
  <c r="P301" i="3" s="1"/>
  <c r="P1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O41" authorId="0" shapeId="0" xr:uid="{4EBA9484-1DB2-47BD-A5A0-33BC53333744}">
      <text>
        <r>
          <rPr>
            <b/>
            <sz val="9"/>
            <color indexed="81"/>
            <rFont val="Tahoma"/>
            <family val="2"/>
            <charset val="186"/>
          </rPr>
          <t>Sarmīte Mūze:</t>
        </r>
        <r>
          <rPr>
            <sz val="9"/>
            <color indexed="81"/>
            <rFont val="Tahoma"/>
            <family val="2"/>
            <charset val="186"/>
          </rPr>
          <t xml:space="preserve">
76'000 mežaudze vai koki; 46'000+73'000 Kadaga.</t>
        </r>
      </text>
    </comment>
    <comment ref="E290" authorId="0" shapeId="0" xr:uid="{19C8B973-1DCE-4220-9542-9FE410EB465F}">
      <text>
        <r>
          <rPr>
            <b/>
            <sz val="9"/>
            <color indexed="81"/>
            <rFont val="Tahoma"/>
            <family val="2"/>
            <charset val="186"/>
          </rPr>
          <t>Sarmīte Mūze:</t>
        </r>
        <r>
          <rPr>
            <sz val="9"/>
            <color indexed="81"/>
            <rFont val="Tahoma"/>
            <family val="2"/>
            <charset val="186"/>
          </rPr>
          <t xml:space="preserve">
Šis ir jāizņem no 0930 un jāliek 0982 algā.
</t>
        </r>
      </text>
    </comment>
    <comment ref="F290" authorId="0" shapeId="0" xr:uid="{6D1F41CF-C466-426A-AEA5-FC83C3956413}">
      <text>
        <r>
          <rPr>
            <b/>
            <sz val="9"/>
            <color indexed="81"/>
            <rFont val="Tahoma"/>
            <family val="2"/>
            <charset val="186"/>
          </rPr>
          <t>Sarmīte Mūze:</t>
        </r>
        <r>
          <rPr>
            <sz val="9"/>
            <color indexed="81"/>
            <rFont val="Tahoma"/>
            <family val="2"/>
            <charset val="186"/>
          </rPr>
          <t xml:space="preserve">
Šis ir jāizņem no 0930 un jāliek 0982 algā.
</t>
        </r>
      </text>
    </comment>
    <comment ref="I290" authorId="0" shapeId="0" xr:uid="{0C2538C3-88A3-4970-8C14-0D5D2E429CEA}">
      <text>
        <r>
          <rPr>
            <b/>
            <sz val="9"/>
            <color indexed="81"/>
            <rFont val="Tahoma"/>
            <family val="2"/>
            <charset val="186"/>
          </rPr>
          <t>Sarmīte Mūze:</t>
        </r>
        <r>
          <rPr>
            <sz val="9"/>
            <color indexed="81"/>
            <rFont val="Tahoma"/>
            <family val="2"/>
            <charset val="186"/>
          </rPr>
          <t xml:space="preserve">
Šis ir jāizņem no 0930 un jāliek 0982 algā.
</t>
        </r>
      </text>
    </comment>
    <comment ref="L290" authorId="0" shapeId="0" xr:uid="{3703CEAA-5F2F-43A0-9F56-B158879D25D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0" authorId="0" shapeId="0" xr:uid="{5DABF7F1-5645-4AAF-86BB-6A47FA5F2BA3}">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FE293504-E84D-4423-AE5B-580E828C311B}">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3DA13F7E-B003-4DF5-912C-060BB7FA7A61}">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<sst xmlns="http://schemas.openxmlformats.org/spreadsheetml/2006/main" count="1791" uniqueCount="1161">
  <si>
    <t>Ādažu pašvaldības apvienotais budžets</t>
  </si>
  <si>
    <t>KA</t>
  </si>
  <si>
    <t>2024. gads</t>
  </si>
  <si>
    <t xml:space="preserve">Ieņēmumu daļa </t>
  </si>
  <si>
    <t xml:space="preserve">N.p.k. </t>
  </si>
  <si>
    <t>Sadaļa</t>
  </si>
  <si>
    <t>CKS</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</si>
  <si>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</si>
  <si>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</si>
  <si>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</si>
  <si>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</si>
  <si>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</si>
  <si>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</si>
  <si>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</si>
  <si>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</si>
  <si>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</si>
  <si>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</si>
  <si>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</si>
  <si>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</si>
  <si>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</si>
  <si>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</si>
  <si>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</si>
  <si>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</si>
  <si>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</si>
  <si>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</si>
  <si>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</si>
  <si>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</si>
  <si>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</si>
  <si>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</si>
  <si>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</si>
  <si>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</si>
  <si>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</si>
  <si>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</si>
  <si>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</si>
  <si>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</si>
  <si>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</si>
  <si>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</si>
  <si>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</si>
  <si>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</si>
  <si>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</si>
  <si>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</si>
  <si>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</si>
  <si>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</si>
  <si>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</si>
  <si>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</si>
  <si>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</si>
  <si>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</si>
  <si>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</si>
  <si>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</si>
  <si>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</si>
  <si>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</si>
  <si>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</si>
  <si>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</si>
  <si>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</si>
  <si>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</si>
  <si>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</si>
  <si>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</si>
  <si>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</si>
  <si>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</si>
  <si>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</si>
  <si>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</si>
  <si>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</si>
  <si>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</si>
  <si>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</si>
  <si>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</si>
  <si>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</si>
  <si>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</si>
  <si>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</si>
  <si>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</si>
  <si>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</si>
  <si>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</si>
  <si>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</si>
  <si>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</si>
  <si>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</si>
  <si>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</si>
  <si>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</si>
  <si>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</si>
  <si>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</si>
  <si>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</si>
  <si>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</si>
  <si>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</si>
  <si>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</si>
  <si>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</si>
  <si>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</si>
  <si>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</si>
  <si>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</si>
  <si>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</si>
  <si>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</si>
  <si>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</si>
  <si>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</si>
  <si>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</si>
  <si>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</si>
  <si>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</si>
  <si>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</si>
  <si>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</si>
  <si>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</si>
  <si>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</si>
  <si>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</si>
  <si>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</si>
  <si>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</si>
  <si>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</si>
  <si>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</si>
  <si>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</si>
  <si>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</si>
  <si>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</si>
  <si>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</si>
  <si>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</si>
  <si>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</si>
  <si>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</si>
  <si>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</si>
  <si>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</si>
  <si>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</si>
  <si>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</si>
  <si>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</si>
  <si>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</si>
  <si>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</si>
  <si>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</si>
  <si>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</si>
  <si>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</si>
  <si>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</si>
  <si>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</si>
  <si>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</si>
  <si>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</si>
  <si>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</si>
  <si>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</si>
  <si>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</si>
  <si>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</si>
  <si>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</si>
  <si>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</si>
  <si>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</si>
  <si>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</si>
  <si>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</si>
  <si>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</si>
  <si>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</si>
  <si>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</si>
  <si>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</si>
  <si>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</si>
  <si>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</si>
  <si>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</si>
  <si>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</si>
  <si>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</si>
  <si>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</si>
  <si>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</si>
  <si>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</si>
  <si>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</si>
  <si>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</si>
  <si>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</si>
  <si>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</si>
  <si>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</si>
  <si>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</si>
  <si>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</si>
  <si>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</si>
  <si>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</si>
  <si>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</si>
  <si>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</si>
  <si>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</si>
  <si>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</si>
  <si>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</si>
  <si>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</si>
  <si>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</si>
  <si>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</si>
  <si>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</si>
  <si>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</si>
  <si>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</si>
  <si>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</si>
  <si>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</si>
  <si>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</si>
  <si>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</si>
  <si>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</si>
  <si>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</si>
  <si>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</si>
  <si>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</si>
  <si>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</si>
  <si>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</si>
  <si>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</si>
  <si>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</si>
  <si>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</si>
  <si>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</si>
  <si>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</si>
  <si>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</si>
  <si>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</si>
  <si>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</si>
  <si>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</si>
  <si>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</si>
  <si>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</si>
  <si>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</si>
  <si>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</si>
  <si>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</si>
  <si>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</si>
  <si>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CVK finansējums Eiropas parlamenta vēlēšanu nodrošināšanai</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</si>
  <si>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</si>
  <si>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</si>
  <si>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</si>
  <si>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</si>
  <si>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</si>
  <si>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</si>
  <si>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</si>
  <si>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</si>
  <si>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</si>
  <si>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</si>
  <si>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</si>
  <si>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</si>
  <si>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</si>
  <si>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</si>
  <si>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</si>
  <si>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</si>
  <si>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</si>
  <si>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</si>
  <si>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</si>
  <si>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</si>
  <si>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</si>
  <si>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</si>
  <si>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</si>
  <si>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</si>
  <si>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</si>
  <si>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</si>
  <si>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</si>
  <si>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</si>
  <si>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</si>
  <si>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</si>
  <si>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</si>
  <si>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</si>
  <si>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</si>
  <si>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</si>
  <si>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</si>
  <si>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</si>
  <si>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</si>
  <si>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</si>
  <si>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</si>
  <si>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</si>
  <si>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</si>
  <si>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</si>
  <si>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</si>
  <si>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</si>
  <si>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</si>
  <si>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</si>
  <si>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</si>
  <si>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</si>
  <si>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</si>
  <si>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</si>
  <si>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</si>
  <si>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</si>
  <si>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Pēc lēmuma precizēta naudas plūsma.</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</si>
  <si>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</si>
  <si>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</si>
  <si>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</si>
  <si>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</si>
  <si>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</si>
  <si>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</si>
  <si>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</si>
  <si>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</si>
  <si>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</si>
  <si>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</si>
  <si>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</si>
  <si>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</si>
  <si>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</si>
  <si>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</si>
  <si>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</si>
  <si>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</si>
  <si>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</si>
  <si>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</si>
  <si>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</si>
  <si>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</si>
  <si>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</si>
  <si>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</si>
  <si>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</si>
  <si>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</si>
  <si>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</si>
  <si>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</si>
  <si>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</si>
  <si>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</si>
  <si>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</si>
  <si>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</si>
  <si>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</si>
  <si>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</si>
  <si>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</si>
  <si>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</si>
  <si>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</si>
  <si>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</si>
  <si>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</si>
  <si>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</si>
  <si>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</si>
  <si>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</si>
  <si>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</si>
  <si>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</si>
  <si>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</si>
  <si>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</si>
  <si>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</si>
  <si>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</si>
  <si>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</si>
  <si>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</si>
  <si>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</si>
  <si>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</si>
  <si>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</si>
  <si>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</si>
  <si>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</si>
  <si>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</si>
  <si>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</si>
  <si>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</si>
  <si>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</si>
  <si>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</si>
  <si>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</si>
  <si>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</si>
  <si>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</si>
  <si>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</si>
  <si>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</si>
  <si>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</si>
  <si>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</si>
  <si>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</si>
  <si>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</si>
  <si>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</si>
  <si>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</si>
  <si>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</si>
  <si>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</si>
  <si>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</si>
  <si>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</si>
  <si>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</si>
  <si>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</si>
  <si>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</si>
  <si>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</si>
  <si>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</si>
  <si>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</si>
  <si>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</si>
  <si>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</si>
  <si>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</si>
  <si>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</si>
  <si>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</si>
  <si>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</si>
  <si>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</si>
  <si>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</si>
  <si>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</si>
  <si>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</si>
  <si>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</si>
  <si>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</si>
  <si>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</si>
  <si>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</si>
  <si>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</si>
  <si>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</si>
  <si>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</si>
  <si>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</si>
  <si>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</si>
  <si>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</si>
  <si>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</si>
  <si>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</si>
  <si>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</si>
  <si>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</si>
  <si>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</si>
  <si>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</si>
  <si>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</si>
  <si>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</si>
  <si>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</si>
  <si>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</si>
  <si>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</si>
  <si>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</si>
  <si>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</si>
  <si>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</si>
  <si>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</si>
  <si>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</si>
  <si>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</si>
  <si>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</si>
  <si>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</si>
  <si>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</si>
  <si>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</si>
  <si>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</si>
  <si>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</si>
  <si>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</si>
  <si>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</si>
  <si>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</si>
  <si>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</si>
  <si>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</si>
  <si>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</si>
  <si>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</si>
  <si>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</si>
  <si>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</si>
  <si>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</si>
  <si>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</si>
  <si>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</si>
  <si>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</si>
  <si>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</si>
  <si>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</si>
  <si>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</si>
  <si>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</si>
  <si>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</si>
  <si>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</si>
  <si>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</si>
  <si>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</si>
  <si>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</si>
  <si>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</si>
  <si>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</si>
  <si>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</si>
  <si>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</si>
  <si>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</si>
  <si>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</si>
  <si>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</si>
  <si>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</si>
  <si>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</si>
  <si>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</si>
  <si>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</si>
  <si>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</si>
  <si>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</si>
  <si>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</si>
  <si>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</si>
  <si>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</si>
  <si>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</si>
  <si>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</si>
  <si>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</si>
  <si>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</si>
  <si>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</si>
  <si>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</si>
  <si>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</si>
  <si>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</si>
  <si>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</si>
  <si>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</si>
  <si>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0633.2</t>
  </si>
  <si>
    <t>6.4.6.</t>
  </si>
  <si>
    <t>0631.1</t>
  </si>
  <si>
    <t>6.4.7.</t>
  </si>
  <si>
    <t>0632.7</t>
  </si>
  <si>
    <t>6.4.8.</t>
  </si>
  <si>
    <t>6.4.9.</t>
  </si>
  <si>
    <t>6.4.10.</t>
  </si>
  <si>
    <t>6.4.11.</t>
  </si>
  <si>
    <t>6.4.12.</t>
  </si>
  <si>
    <t>6.4.13.</t>
  </si>
  <si>
    <t>6.4.14.</t>
  </si>
  <si>
    <t>ANM pasākuma "Atbalsta pasākumi cilvēkiem ar invaliditāti mājokļu vides pieejamības nodrošināšanai" projekts</t>
  </si>
  <si>
    <t>Pārrobežu EST-LAT projekts "Militārais mantojums ©</t>
  </si>
  <si>
    <t>0633.5</t>
  </si>
  <si>
    <t>6.5.</t>
  </si>
  <si>
    <t>Objektu un teritorijas apsaimniekošana un uzturēšana</t>
  </si>
  <si>
    <t>0670</t>
  </si>
  <si>
    <t>6.5.1.</t>
  </si>
  <si>
    <t xml:space="preserve">Nekustamā īpašumas nodaļa </t>
  </si>
  <si>
    <t>0648</t>
  </si>
  <si>
    <t>6.5.2.</t>
  </si>
  <si>
    <t>Vecštāles ceļa rekonstrukcija</t>
  </si>
  <si>
    <t>6.5.3.</t>
  </si>
  <si>
    <t>precizēts KA, VK aizņēmuma summa un atlikušais ienākošais ERAF finansējums</t>
  </si>
  <si>
    <t>CKS_apsaimniek</t>
  </si>
  <si>
    <t>6.5.4.</t>
  </si>
  <si>
    <t>Pašvaldības aģentūra "Carnikavas Komunālserviss"</t>
  </si>
  <si>
    <t>KA nepalielina izdevumus, bet samazina plānotos ieņēmumsu</t>
  </si>
  <si>
    <t>6.5.5.</t>
  </si>
  <si>
    <t>P/A "Carnikavas komunālserviss" teritorijas un īpašumu apsaimniekošana</t>
  </si>
  <si>
    <t>6.5.5.1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</si>
  <si>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</si>
  <si>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</si>
  <si>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</si>
  <si>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</si>
  <si>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</si>
  <si>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6.5.5.2.</t>
  </si>
  <si>
    <t>Dotācija CKS ceļu uzturēšanai</t>
  </si>
  <si>
    <t>6.5.5.3.</t>
  </si>
  <si>
    <t>Teritorijas uzturēšana (Dome)</t>
  </si>
  <si>
    <t>6.5.6.</t>
  </si>
  <si>
    <t>Tirgus laukuma lietus kanalizācijas izbūve Ādažos</t>
  </si>
  <si>
    <t>6.5.7.</t>
  </si>
  <si>
    <t>Viršu ielas/atzars uz Sproģu ielu asfaltbetona seguma atjaunošana posmā no Dzērveņu ielas līdz Serģu iela (980 m)</t>
  </si>
  <si>
    <t>Viršu ielas prognozētās palielinātās izmaksas</t>
  </si>
  <si>
    <t>6.5.8.</t>
  </si>
  <si>
    <t>Liepu alejas rekonstrukcija</t>
  </si>
  <si>
    <t>6.5.9.</t>
  </si>
  <si>
    <t>Dzirnupes ielas tilta projekts, Carnikava</t>
  </si>
  <si>
    <t>6.5.10.</t>
  </si>
  <si>
    <t>6.5.11.</t>
  </si>
  <si>
    <t>Attekas ielas turpinājums 0,5 km - projektēšana</t>
  </si>
  <si>
    <t>6.5.12.</t>
  </si>
  <si>
    <t xml:space="preserve">Apgaismes stabi Attekas ielas savienojumā no Ķiršu līdz Draudzības ielai. </t>
  </si>
  <si>
    <t>6.5.13.</t>
  </si>
  <si>
    <t>Kļavu ielā divkārtas virsmas apstrāde 0.35km</t>
  </si>
  <si>
    <t>Atbalstīts zemsvītras projekts</t>
  </si>
  <si>
    <t>0633.4</t>
  </si>
  <si>
    <t>6.5.14.</t>
  </si>
  <si>
    <t>Mežmalas ielas seguma vienkāršotā atjaunošana, 0.22km, Alderi</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</si>
  <si>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</si>
  <si>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</si>
  <si>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</si>
  <si>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</si>
  <si>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</si>
  <si>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</si>
  <si>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</si>
  <si>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</si>
  <si>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</si>
  <si>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</si>
  <si>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</si>
  <si>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</si>
  <si>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</si>
  <si>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</si>
  <si>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</si>
  <si>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</si>
  <si>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</si>
  <si>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</si>
  <si>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</si>
  <si>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</si>
  <si>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</si>
  <si>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</si>
  <si>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</si>
  <si>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</si>
  <si>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</si>
  <si>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</si>
  <si>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</si>
  <si>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</si>
  <si>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</si>
  <si>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</si>
  <si>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</si>
  <si>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</si>
  <si>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</si>
  <si>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</si>
  <si>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</si>
  <si>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</si>
  <si>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</si>
  <si>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</si>
  <si>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</si>
  <si>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</si>
  <si>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</si>
  <si>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</si>
  <si>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</si>
  <si>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</si>
  <si>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</si>
  <si>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</si>
  <si>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</si>
  <si>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</si>
  <si>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</si>
  <si>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</si>
  <si>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</si>
  <si>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</si>
  <si>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</si>
  <si>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</si>
  <si>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</si>
  <si>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</si>
  <si>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</si>
  <si>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</si>
  <si>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</si>
  <si>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</si>
  <si>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</si>
  <si>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</si>
  <si>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</si>
  <si>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</si>
  <si>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</si>
  <si>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</si>
  <si>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</si>
  <si>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</si>
  <si>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</si>
  <si>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</si>
  <si>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</si>
  <si>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</si>
  <si>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</si>
  <si>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</si>
  <si>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</si>
  <si>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</si>
  <si>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</si>
  <si>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</si>
  <si>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</si>
  <si>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</si>
  <si>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</si>
  <si>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</si>
  <si>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</si>
  <si>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</si>
  <si>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</si>
  <si>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</si>
  <si>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</si>
  <si>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</si>
  <si>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</si>
  <si>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</si>
  <si>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</si>
  <si>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</si>
  <si>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</si>
  <si>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</si>
  <si>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</si>
  <si>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</si>
  <si>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</si>
  <si>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</si>
  <si>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</si>
  <si>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</si>
  <si>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</si>
  <si>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</si>
  <si>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</si>
  <si>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</si>
  <si>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</si>
  <si>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</si>
  <si>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</si>
  <si>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</si>
  <si>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</si>
  <si>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</si>
  <si>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</si>
  <si>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t>9.2.3.</t>
  </si>
  <si>
    <t>uzturēšanas izmaksas (CKS)</t>
  </si>
  <si>
    <t>9.3.</t>
  </si>
  <si>
    <t>Kadagas PII</t>
  </si>
  <si>
    <t>0921</t>
  </si>
  <si>
    <t>9.3.1.</t>
  </si>
  <si>
    <t>0920</t>
  </si>
  <si>
    <t>9.3.2.</t>
  </si>
  <si>
    <t>EUR 64'977 KPII uzturēšana, ko veic CKS</t>
  </si>
  <si>
    <t>9.3.3.</t>
  </si>
  <si>
    <t>9.4.</t>
  </si>
  <si>
    <t>Pirmsskolas izglītības iestāde "Riekstiņš"</t>
  </si>
  <si>
    <t>09011</t>
  </si>
  <si>
    <t>9.4.1.</t>
  </si>
  <si>
    <t>MD mācību līdzekļiem 2024.gadam</t>
  </si>
  <si>
    <t>0901; 650_0901</t>
  </si>
  <si>
    <t>9.4.2.</t>
  </si>
  <si>
    <t>Grīdas kopšanas ierīces iegādi un Nosūces uzstādīšanu realizēs CKS</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</si>
  <si>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</si>
  <si>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</si>
  <si>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</si>
  <si>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</si>
  <si>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</si>
  <si>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</si>
  <si>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</si>
  <si>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</si>
  <si>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</si>
  <si>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</si>
  <si>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</si>
  <si>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</si>
  <si>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</si>
  <si>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</si>
  <si>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</si>
  <si>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t>
  </si>
  <si>
    <t>9.6.2.</t>
  </si>
  <si>
    <t xml:space="preserve">Pārējās privātās PII </t>
  </si>
  <si>
    <t>9.6.3.</t>
  </si>
  <si>
    <t>Pārējās privātās vidējās izglītības iestādes</t>
  </si>
  <si>
    <t>9.7.</t>
  </si>
  <si>
    <t>Carnikavas pamatskola</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</si>
  <si>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</si>
  <si>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</si>
  <si>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</si>
  <si>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</si>
  <si>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</si>
  <si>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</si>
  <si>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</si>
  <si>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</si>
  <si>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</si>
  <si>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</si>
  <si>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</si>
  <si>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</si>
  <si>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</si>
  <si>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</si>
  <si>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</si>
  <si>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</si>
  <si>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</si>
  <si>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</si>
  <si>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</si>
  <si>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</si>
  <si>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</si>
  <si>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</si>
  <si>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</si>
  <si>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</si>
  <si>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</si>
  <si>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</si>
  <si>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</si>
  <si>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</si>
  <si>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</si>
  <si>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</si>
  <si>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</si>
  <si>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</si>
  <si>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</si>
  <si>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</si>
  <si>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</si>
  <si>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</si>
  <si>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</si>
  <si>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</si>
  <si>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</si>
  <si>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</si>
  <si>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</si>
  <si>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</si>
  <si>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</si>
  <si>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</si>
  <si>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</si>
  <si>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</si>
  <si>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</si>
  <si>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</si>
  <si>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</si>
  <si>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</si>
  <si>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</si>
  <si>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</si>
  <si>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</si>
  <si>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</si>
  <si>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</si>
  <si>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</si>
  <si>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</si>
  <si>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</si>
  <si>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</si>
  <si>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</si>
  <si>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</si>
  <si>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</si>
  <si>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</si>
  <si>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</si>
  <si>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</si>
  <si>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</si>
  <si>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</si>
  <si>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</si>
  <si>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</si>
  <si>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</si>
  <si>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</si>
  <si>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</si>
  <si>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</si>
  <si>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</si>
  <si>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</si>
  <si>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</si>
  <si>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</si>
  <si>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</si>
  <si>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</si>
  <si>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</si>
  <si>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</si>
  <si>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</si>
  <si>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</si>
  <si>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</si>
  <si>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</si>
  <si>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</si>
  <si>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</si>
  <si>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</si>
  <si>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</si>
  <si>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</si>
  <si>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</si>
  <si>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</si>
  <si>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</si>
  <si>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</si>
  <si>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</si>
  <si>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</si>
  <si>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</si>
  <si>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</si>
  <si>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</si>
  <si>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</si>
  <si>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</si>
  <si>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</si>
  <si>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</si>
  <si>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</si>
  <si>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</si>
  <si>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</si>
  <si>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</si>
  <si>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</si>
  <si>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</si>
  <si>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</si>
  <si>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</si>
  <si>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</si>
  <si>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</si>
  <si>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</si>
  <si>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</si>
  <si>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</si>
  <si>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</si>
  <si>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</si>
  <si>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</si>
  <si>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</si>
  <si>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</si>
  <si>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</si>
  <si>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</si>
  <si>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</si>
  <si>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</si>
  <si>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</si>
  <si>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</si>
  <si>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</si>
  <si>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</si>
  <si>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</si>
  <si>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</si>
  <si>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</si>
  <si>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</si>
  <si>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</si>
  <si>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</si>
  <si>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</si>
  <si>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</si>
  <si>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</si>
  <si>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</si>
  <si>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</si>
  <si>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</si>
  <si>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</si>
  <si>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</si>
  <si>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</si>
  <si>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</si>
  <si>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</si>
  <si>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</si>
  <si>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</si>
  <si>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</si>
  <si>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</si>
  <si>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</si>
  <si>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</si>
  <si>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</si>
  <si>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</si>
  <si>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</si>
  <si>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</si>
  <si>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</si>
  <si>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</si>
  <si>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</si>
  <si>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</si>
  <si>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</si>
  <si>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</si>
  <si>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</si>
  <si>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</si>
  <si>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</si>
  <si>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</si>
  <si>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</si>
  <si>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</si>
  <si>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</si>
  <si>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</si>
  <si>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</si>
  <si>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</si>
  <si>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</si>
  <si>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</si>
  <si>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</si>
  <si>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</si>
  <si>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</si>
  <si>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</si>
  <si>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</si>
  <si>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</si>
  <si>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</si>
  <si>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</si>
  <si>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</si>
  <si>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</si>
  <si>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</si>
  <si>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</si>
  <si>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</si>
  <si>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</si>
  <si>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</si>
  <si>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</si>
  <si>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</si>
  <si>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</si>
  <si>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</si>
  <si>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</si>
  <si>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</si>
  <si>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</si>
  <si>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</si>
  <si>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</si>
  <si>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</si>
  <si>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</si>
  <si>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</si>
  <si>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</si>
  <si>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</si>
  <si>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</si>
  <si>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</si>
  <si>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</si>
  <si>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</si>
  <si>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</si>
  <si>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</si>
  <si>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</si>
  <si>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</si>
  <si>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</si>
  <si>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</si>
  <si>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</si>
  <si>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</si>
  <si>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</si>
  <si>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</si>
  <si>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</si>
  <si>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</si>
  <si>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</si>
  <si>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</si>
  <si>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</si>
  <si>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</si>
  <si>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</si>
  <si>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</si>
  <si>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</si>
  <si>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</si>
  <si>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</si>
  <si>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</si>
  <si>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</si>
  <si>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</si>
  <si>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</si>
  <si>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</si>
  <si>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</si>
  <si>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</si>
  <si>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</si>
  <si>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</si>
  <si>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</si>
  <si>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</si>
  <si>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</si>
  <si>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</si>
  <si>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</si>
  <si>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</si>
  <si>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</si>
  <si>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</si>
  <si>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</si>
  <si>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</si>
  <si>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</si>
  <si>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</si>
  <si>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</si>
  <si>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</si>
  <si>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</si>
  <si>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</si>
  <si>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</si>
  <si>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</si>
  <si>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</si>
  <si>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</si>
  <si>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</si>
  <si>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</si>
  <si>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</si>
  <si>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</si>
  <si>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</si>
  <si>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</si>
  <si>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</si>
  <si>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</si>
  <si>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</si>
  <si>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</si>
  <si>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</si>
  <si>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</si>
  <si>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</si>
  <si>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</si>
  <si>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</si>
  <si>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</si>
  <si>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</si>
  <si>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</si>
  <si>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</si>
  <si>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</si>
  <si>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</si>
  <si>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</si>
  <si>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</si>
  <si>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</si>
  <si>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</si>
  <si>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</si>
  <si>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</si>
  <si>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</si>
  <si>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</si>
  <si>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</si>
  <si>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</si>
  <si>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</si>
  <si>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</si>
  <si>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</si>
  <si>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</si>
  <si>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</si>
  <si>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</si>
  <si>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</si>
  <si>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</si>
  <si>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</si>
  <si>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</si>
  <si>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</si>
  <si>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</si>
  <si>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</si>
  <si>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</si>
  <si>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</si>
  <si>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</si>
  <si>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</si>
  <si>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</si>
  <si>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</si>
  <si>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</si>
  <si>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</si>
  <si>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</si>
  <si>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</si>
  <si>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</si>
  <si>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</si>
  <si>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</si>
  <si>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</si>
  <si>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</si>
  <si>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</si>
  <si>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</si>
  <si>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</si>
  <si>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</si>
  <si>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</si>
  <si>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</si>
  <si>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</si>
  <si>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</si>
  <si>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</si>
  <si>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</si>
  <si>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</si>
  <si>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</si>
  <si>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</si>
  <si>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</si>
  <si>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</si>
  <si>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</si>
  <si>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</si>
  <si>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</si>
  <si>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</si>
  <si>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</si>
  <si>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</si>
  <si>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</si>
  <si>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</si>
  <si>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</si>
  <si>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</si>
  <si>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</si>
  <si>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</si>
  <si>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</si>
  <si>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</si>
  <si>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</si>
  <si>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</si>
  <si>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</si>
  <si>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</si>
  <si>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</si>
  <si>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</si>
  <si>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</si>
  <si>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</si>
  <si>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</si>
  <si>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</si>
  <si>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</si>
  <si>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</si>
  <si>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</si>
  <si>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</si>
  <si>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</si>
  <si>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</si>
  <si>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</si>
  <si>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</si>
  <si>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</si>
  <si>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</si>
  <si>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</si>
  <si>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</si>
  <si>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</si>
  <si>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</si>
  <si>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</si>
  <si>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</si>
  <si>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</si>
  <si>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</si>
  <si>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</si>
  <si>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</si>
  <si>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</si>
  <si>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</si>
  <si>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</si>
  <si>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</si>
  <si>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</si>
  <si>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</si>
  <si>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</si>
  <si>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</si>
  <si>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</si>
  <si>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</si>
  <si>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</si>
  <si>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</si>
  <si>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</si>
  <si>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</si>
  <si>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</si>
  <si>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</si>
  <si>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</si>
  <si>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</si>
  <si>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</si>
  <si>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</si>
  <si>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</si>
  <si>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</si>
  <si>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</si>
  <si>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</si>
  <si>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</si>
  <si>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</si>
  <si>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</si>
  <si>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</si>
  <si>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</si>
  <si>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</si>
  <si>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</si>
  <si>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</si>
  <si>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</si>
  <si>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</si>
  <si>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</si>
  <si>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</si>
  <si>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</si>
  <si>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</si>
  <si>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</si>
  <si>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</si>
  <si>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</si>
  <si>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</si>
  <si>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</si>
  <si>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</si>
  <si>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</si>
  <si>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</si>
  <si>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</si>
  <si>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</si>
  <si>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</si>
  <si>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</si>
  <si>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</si>
  <si>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</si>
  <si>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</si>
  <si>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</si>
  <si>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</si>
  <si>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</si>
  <si>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</si>
  <si>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</si>
  <si>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</si>
  <si>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</si>
  <si>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</si>
  <si>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</si>
  <si>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</si>
  <si>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</si>
  <si>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</si>
  <si>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</si>
  <si>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</si>
  <si>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</si>
  <si>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</si>
  <si>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</si>
  <si>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</si>
  <si>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</si>
  <si>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</si>
  <si>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</si>
  <si>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</si>
  <si>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</si>
  <si>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</si>
  <si>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</si>
  <si>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</si>
  <si>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</si>
  <si>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</si>
  <si>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</si>
  <si>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</si>
  <si>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</si>
  <si>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</si>
  <si>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</si>
  <si>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</si>
  <si>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</si>
  <si>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</si>
  <si>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</si>
  <si>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</si>
  <si>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</si>
  <si>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</si>
  <si>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</si>
  <si>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</si>
  <si>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</si>
  <si>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</si>
  <si>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</si>
  <si>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</si>
  <si>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</si>
  <si>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</si>
  <si>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</si>
  <si>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</si>
  <si>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</si>
  <si>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</si>
  <si>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</si>
  <si>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</si>
  <si>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</si>
  <si>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</si>
  <si>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</si>
  <si>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</si>
  <si>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</si>
  <si>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</si>
  <si>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</si>
  <si>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</si>
  <si>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</si>
  <si>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</si>
  <si>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</si>
  <si>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</si>
  <si>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</si>
  <si>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</si>
  <si>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</si>
  <si>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</si>
  <si>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</si>
  <si>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</si>
  <si>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</si>
  <si>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 ”Mobilitātes punkta infrastruktūras izveidošana </t>
  </si>
  <si>
    <t>Plānots</t>
  </si>
  <si>
    <t>Rīgas metropoles areālā – “Carnikava””</t>
  </si>
  <si>
    <t xml:space="preserve">Ādažu vidusskolas ēkas A korpusa </t>
  </si>
  <si>
    <t>un centrālās daļas fasādes atjaunošana.</t>
  </si>
  <si>
    <t>PII Podnieki UN Krastupes iela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</si>
  <si>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</si>
  <si>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</si>
  <si>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</si>
  <si>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</si>
  <si>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</si>
  <si>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</si>
  <si>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</si>
  <si>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</si>
  <si>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</si>
  <si>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</si>
  <si>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</si>
  <si>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</si>
  <si>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</si>
  <si>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</si>
  <si>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</si>
  <si>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</si>
  <si>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</si>
  <si>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</si>
  <si>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</si>
  <si>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</si>
  <si>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Noslēdzies iepirkums uzņēmējdarbības konkursa tehniskā projekta izstrādāšanai par summu EUR 23'293 (aprīļa grozījumos šim mērķim tika pārcelti EUR 26'640 no mobilitātes punkta projekta). Starpība EUR 3'347 atgriezts mobilitātes projektam.</t>
  </si>
  <si>
    <t>Procentu ieņēmumi no nakts depozīta. (Saskaņā ar 30.05.2024. lēmumu Nr. 185 novirzīts projektam pastaigu celiņa izbūve gar Gaujas-Baltezera kanālu)</t>
  </si>
  <si>
    <t>EUR 50'687 aizņēmumu % maksājumu plānotās kopsummas samazinājums uz projekta Pastaigu taka gar Baltezera kanālu budžetu (30.05.2024. ĀND lēmums # 185)</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</si>
  <si>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</si>
  <si>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22'000 no ieņēmumu palielinājuma (KA % ieņēmumu palielinājums). (30.05.2024. ĀND lēmums # 185)
EUR 50'687 no aizņēmumu % maksājumu plānotās kopsummas.</t>
  </si>
  <si>
    <t>EUR 5'801 no Attīstības nodaļas (ekonomija uz vakancēm) uz projektu Mākslu skolas ārtelpas labiekārtošana (30.05.2024. ĀND lēmums # 223)</t>
  </si>
  <si>
    <t>EUR 3'150 no Ādažu vidusskolas PII uz PII Riekstiņš izglītojamo skaita palielinājumam. Saskaņā ar 30.05.2024. lēmumu Nr. 216 "Par izglītojamo skaita palielināšanu PII "Riekstiņš"</t>
  </si>
  <si>
    <t>2024 faktiski samaksāts</t>
  </si>
  <si>
    <t>2024 atlikušais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</si>
</sst>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0.0%"/>
    <numFmt numFmtId="167" formatCode="#,##0_ ;[Red]\-#,##0\ "/>
  </numFmts>
  <fonts count="39"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b/>
      <sz val="20"/>
      <color rgb="FFFF0000"/>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rgb="FFFF0000"/>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sz val="11"/>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sz val="10"/>
      <name val="Calibri"/>
      <family val="2"/>
      <charset val="186"/>
      <scheme val="minor"/>
    </font>
    <font>
      <sz val="9"/>
      <name val="Calibri"/>
      <family val="2"/>
      <charset val="186"/>
      <scheme val="minor"/>
    </font>
    <font>
      <i/>
      <sz val="11"/>
      <name val="Calibri"/>
      <family val="2"/>
      <charset val="186"/>
      <scheme val="minor"/>
    </font>
    <font>
      <b/>
      <sz val="14"/>
      <name val="Calibri"/>
      <family val="2"/>
      <charset val="186"/>
      <scheme val="minor"/>
    </font>
    <font>
      <b/>
      <i/>
      <sz val="10"/>
      <name val="Calibri"/>
      <family val="2"/>
      <charset val="186"/>
      <scheme val="minor"/>
    </font>
  </fonts>
  <fills count="2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16">
    <xf numFmtId="0" fontId="0" fillId="0" borderId="0"/>
    <xf numFmtId="43" fontId="9" fillId="0" borderId="0" applyFont="0" applyFill="0" applyBorder="0" applyAlignment="0" applyProtection="0"/>
    <xf numFmtId="0" fontId="4" fillId="0" borderId="0"/>
    <xf numFmtId="0" fontId="4" fillId="0" borderId="0"/>
    <xf numFmtId="9" fontId="10" fillId="0" borderId="0" applyFont="0" applyFill="0" applyBorder="0" applyAlignment="0" applyProtection="0"/>
    <xf numFmtId="43" fontId="10" fillId="0" borderId="0" applyFont="0" applyFill="0" applyBorder="0" applyAlignment="0" applyProtection="0"/>
    <xf numFmtId="0" fontId="14" fillId="0" borderId="0" applyNumberFormat="0" applyFill="0" applyBorder="0" applyAlignment="0" applyProtection="0"/>
    <xf numFmtId="0" fontId="15" fillId="0" borderId="0"/>
    <xf numFmtId="9" fontId="10" fillId="0" borderId="0" applyFont="0" applyFill="0" applyBorder="0" applyAlignment="0" applyProtection="0"/>
    <xf numFmtId="0" fontId="10" fillId="0" borderId="0"/>
    <xf numFmtId="0" fontId="3" fillId="0" borderId="0"/>
    <xf numFmtId="0" fontId="15" fillId="0" borderId="0"/>
    <xf numFmtId="43" fontId="15" fillId="0" borderId="0" applyFill="0" applyBorder="0" applyAlignment="0" applyProtection="0"/>
    <xf numFmtId="0" fontId="2" fillId="0" borderId="0"/>
    <xf numFmtId="0" fontId="2" fillId="0" borderId="0"/>
    <xf numFmtId="0" fontId="1" fillId="0" borderId="0"/>
  </cellStyleXfs>
  <cellXfs count="377">
    <xf numFmtId="0" fontId="0" fillId="0" borderId="0" xfId="0"/>
    <xf numFmtId="164" fontId="8" fillId="0" borderId="0" xfId="1" applyNumberFormat="1" applyFont="1" applyAlignment="1">
      <alignment wrapText="1"/>
    </xf>
    <xf numFmtId="164" fontId="5" fillId="0" borderId="0" xfId="1" applyNumberFormat="1" applyFont="1" applyAlignment="1">
      <alignment wrapText="1"/>
    </xf>
    <xf numFmtId="9" fontId="8" fillId="0" borderId="0" xfId="4" applyFont="1" applyAlignment="1">
      <alignment wrapText="1"/>
    </xf>
    <xf numFmtId="9" fontId="5" fillId="0" borderId="0" xfId="4" applyFont="1" applyAlignment="1">
      <alignment wrapText="1"/>
    </xf>
    <xf numFmtId="164" fontId="8" fillId="0" borderId="0" xfId="1" applyNumberFormat="1" applyFont="1"/>
    <xf numFmtId="164" fontId="5" fillId="0" borderId="0" xfId="1" applyNumberFormat="1" applyFont="1"/>
    <xf numFmtId="1" fontId="8" fillId="0" borderId="0" xfId="4" applyNumberFormat="1" applyFont="1" applyFill="1"/>
    <xf numFmtId="1" fontId="5" fillId="0" borderId="0" xfId="4" applyNumberFormat="1" applyFont="1" applyFill="1"/>
    <xf numFmtId="164" fontId="12" fillId="0" borderId="0" xfId="5" applyNumberFormat="1" applyFont="1"/>
    <xf numFmtId="164" fontId="13" fillId="0" borderId="0" xfId="1" applyNumberFormat="1" applyFont="1"/>
    <xf numFmtId="164" fontId="12" fillId="0" borderId="0" xfId="1" applyNumberFormat="1" applyFont="1"/>
    <xf numFmtId="9" fontId="8" fillId="0" borderId="0" xfId="4" applyFont="1"/>
    <xf numFmtId="9" fontId="5" fillId="0" borderId="0" xfId="4" applyFont="1"/>
    <xf numFmtId="0" fontId="14" fillId="0" borderId="0" xfId="6"/>
    <xf numFmtId="0" fontId="12" fillId="0" borderId="3" xfId="7" applyFont="1" applyBorder="1" applyAlignment="1">
      <alignment horizontal="center" vertical="center" wrapText="1"/>
    </xf>
    <xf numFmtId="164" fontId="12" fillId="0" borderId="3" xfId="1" applyNumberFormat="1" applyFont="1" applyBorder="1" applyAlignment="1">
      <alignment horizontal="center" vertical="center" wrapText="1"/>
    </xf>
    <xf numFmtId="9" fontId="13" fillId="0" borderId="3" xfId="4" applyFont="1" applyBorder="1" applyAlignment="1">
      <alignment horizontal="center" vertical="center" wrapText="1"/>
    </xf>
    <xf numFmtId="9" fontId="12" fillId="0" borderId="3" xfId="4" applyFont="1" applyBorder="1" applyAlignment="1">
      <alignment horizontal="center" vertical="center" wrapText="1"/>
    </xf>
    <xf numFmtId="164" fontId="12" fillId="2" borderId="6" xfId="1" applyNumberFormat="1" applyFont="1" applyFill="1" applyBorder="1"/>
    <xf numFmtId="9" fontId="8" fillId="2" borderId="6" xfId="4" applyFont="1" applyFill="1" applyBorder="1" applyAlignment="1">
      <alignment wrapText="1"/>
    </xf>
    <xf numFmtId="9" fontId="5" fillId="2" borderId="6" xfId="4" applyFont="1" applyFill="1" applyBorder="1" applyAlignment="1">
      <alignment wrapText="1"/>
    </xf>
    <xf numFmtId="164" fontId="12" fillId="3" borderId="6" xfId="1" applyNumberFormat="1" applyFont="1" applyFill="1" applyBorder="1"/>
    <xf numFmtId="9" fontId="13" fillId="3" borderId="6" xfId="4" applyFont="1" applyFill="1" applyBorder="1"/>
    <xf numFmtId="9" fontId="12" fillId="3" borderId="6" xfId="4" applyFont="1" applyFill="1" applyBorder="1"/>
    <xf numFmtId="164" fontId="5" fillId="0" borderId="9" xfId="1" applyNumberFormat="1" applyFont="1" applyBorder="1"/>
    <xf numFmtId="9" fontId="8" fillId="0" borderId="9" xfId="4" applyFont="1" applyFill="1" applyBorder="1"/>
    <xf numFmtId="9" fontId="5" fillId="0" borderId="9" xfId="4" applyFont="1" applyFill="1" applyBorder="1"/>
    <xf numFmtId="164" fontId="12" fillId="3" borderId="9" xfId="1" applyNumberFormat="1" applyFont="1" applyFill="1" applyBorder="1"/>
    <xf numFmtId="9" fontId="13" fillId="3" borderId="9" xfId="4" applyFont="1" applyFill="1" applyBorder="1"/>
    <xf numFmtId="9" fontId="12" fillId="3" borderId="9" xfId="4" applyFont="1" applyFill="1" applyBorder="1"/>
    <xf numFmtId="9" fontId="8" fillId="0" borderId="9" xfId="4" applyFont="1" applyBorder="1"/>
    <xf numFmtId="9" fontId="5" fillId="0" borderId="9" xfId="4" applyFont="1" applyBorder="1"/>
    <xf numFmtId="9" fontId="8" fillId="0" borderId="10" xfId="4" applyFont="1" applyFill="1" applyBorder="1"/>
    <xf numFmtId="9" fontId="5" fillId="0" borderId="10" xfId="4" applyFont="1" applyFill="1" applyBorder="1"/>
    <xf numFmtId="9" fontId="8" fillId="0" borderId="10" xfId="4" applyFont="1" applyFill="1" applyBorder="1" applyAlignment="1">
      <alignment wrapText="1"/>
    </xf>
    <xf numFmtId="9" fontId="5" fillId="0" borderId="10" xfId="4" applyFont="1" applyFill="1" applyBorder="1" applyAlignment="1">
      <alignment wrapText="1"/>
    </xf>
    <xf numFmtId="9" fontId="5" fillId="0" borderId="9" xfId="4" applyFont="1" applyBorder="1" applyAlignment="1">
      <alignment wrapText="1"/>
    </xf>
    <xf numFmtId="9" fontId="8" fillId="3" borderId="9" xfId="4" applyFont="1" applyFill="1" applyBorder="1" applyAlignment="1">
      <alignment wrapText="1"/>
    </xf>
    <xf numFmtId="9" fontId="5" fillId="3" borderId="9" xfId="4" applyFont="1" applyFill="1" applyBorder="1" applyAlignment="1">
      <alignment wrapText="1"/>
    </xf>
    <xf numFmtId="9" fontId="8" fillId="0" borderId="9" xfId="4" applyFont="1" applyFill="1" applyBorder="1" applyAlignment="1">
      <alignment wrapText="1"/>
    </xf>
    <xf numFmtId="9" fontId="5" fillId="0" borderId="9" xfId="4" applyFont="1" applyFill="1" applyBorder="1" applyAlignment="1">
      <alignment wrapText="1"/>
    </xf>
    <xf numFmtId="164" fontId="5" fillId="5" borderId="9" xfId="1" applyNumberFormat="1" applyFont="1" applyFill="1" applyBorder="1"/>
    <xf numFmtId="164" fontId="8" fillId="0" borderId="9" xfId="1" applyNumberFormat="1" applyFont="1" applyBorder="1"/>
    <xf numFmtId="164" fontId="5" fillId="6" borderId="9" xfId="1" applyNumberFormat="1" applyFont="1" applyFill="1" applyBorder="1"/>
    <xf numFmtId="164" fontId="17" fillId="7" borderId="9" xfId="1" applyNumberFormat="1" applyFont="1" applyFill="1" applyBorder="1"/>
    <xf numFmtId="9" fontId="18" fillId="7" borderId="9" xfId="4" applyFont="1" applyFill="1" applyBorder="1" applyAlignment="1">
      <alignment wrapText="1"/>
    </xf>
    <xf numFmtId="9" fontId="17" fillId="7" borderId="9" xfId="4" applyFont="1" applyFill="1" applyBorder="1" applyAlignment="1">
      <alignment wrapText="1"/>
    </xf>
    <xf numFmtId="9" fontId="17" fillId="8" borderId="9" xfId="4" applyFont="1" applyFill="1" applyBorder="1"/>
    <xf numFmtId="9" fontId="17" fillId="9" borderId="9" xfId="4" applyFont="1" applyFill="1" applyBorder="1"/>
    <xf numFmtId="164" fontId="5" fillId="0" borderId="9" xfId="1" applyNumberFormat="1" applyFont="1" applyFill="1" applyBorder="1"/>
    <xf numFmtId="9" fontId="8" fillId="12" borderId="9" xfId="4" applyFont="1" applyFill="1" applyBorder="1" applyAlignment="1">
      <alignment wrapText="1"/>
    </xf>
    <xf numFmtId="9" fontId="5" fillId="12" borderId="9" xfId="4" applyFont="1" applyFill="1" applyBorder="1" applyAlignment="1">
      <alignment wrapText="1"/>
    </xf>
    <xf numFmtId="9" fontId="5" fillId="8" borderId="9" xfId="4" applyFont="1" applyFill="1" applyBorder="1" applyAlignment="1">
      <alignment wrapText="1"/>
    </xf>
    <xf numFmtId="164" fontId="5" fillId="2" borderId="9" xfId="1" applyNumberFormat="1" applyFont="1" applyFill="1" applyBorder="1"/>
    <xf numFmtId="9" fontId="8" fillId="2" borderId="9" xfId="4" applyFont="1" applyFill="1" applyBorder="1" applyAlignment="1">
      <alignment wrapText="1"/>
    </xf>
    <xf numFmtId="9" fontId="5" fillId="2" borderId="9" xfId="4" applyFont="1" applyFill="1" applyBorder="1" applyAlignment="1">
      <alignment wrapText="1"/>
    </xf>
    <xf numFmtId="9" fontId="5" fillId="8" borderId="10" xfId="4" applyFont="1" applyFill="1" applyBorder="1" applyAlignment="1">
      <alignment wrapText="1"/>
    </xf>
    <xf numFmtId="9" fontId="8" fillId="0" borderId="13" xfId="4" applyFont="1" applyFill="1" applyBorder="1"/>
    <xf numFmtId="9" fontId="5" fillId="0" borderId="13" xfId="4" applyFont="1" applyFill="1" applyBorder="1"/>
    <xf numFmtId="1" fontId="8" fillId="0" borderId="9" xfId="4" applyNumberFormat="1" applyFont="1" applyFill="1" applyBorder="1"/>
    <xf numFmtId="1" fontId="5" fillId="0" borderId="9" xfId="4" applyNumberFormat="1" applyFont="1" applyFill="1" applyBorder="1"/>
    <xf numFmtId="164" fontId="12" fillId="0" borderId="3" xfId="1" applyNumberFormat="1" applyFont="1" applyBorder="1"/>
    <xf numFmtId="9" fontId="13" fillId="0" borderId="3" xfId="4" applyFont="1" applyBorder="1"/>
    <xf numFmtId="9" fontId="12" fillId="0" borderId="3" xfId="4" applyFont="1" applyBorder="1"/>
    <xf numFmtId="164" fontId="12" fillId="0" borderId="18" xfId="1" applyNumberFormat="1" applyFont="1" applyBorder="1"/>
    <xf numFmtId="9" fontId="13" fillId="0" borderId="18" xfId="4" applyFont="1" applyFill="1" applyBorder="1"/>
    <xf numFmtId="9" fontId="12" fillId="0" borderId="18" xfId="4" applyFont="1" applyFill="1" applyBorder="1"/>
    <xf numFmtId="164" fontId="12" fillId="3" borderId="13" xfId="1" applyNumberFormat="1" applyFont="1" applyFill="1" applyBorder="1"/>
    <xf numFmtId="164" fontId="5" fillId="0" borderId="13" xfId="1" applyNumberFormat="1" applyFont="1" applyBorder="1"/>
    <xf numFmtId="9" fontId="8" fillId="0" borderId="21" xfId="4" applyFont="1" applyFill="1" applyBorder="1"/>
    <xf numFmtId="164" fontId="5" fillId="0" borderId="23" xfId="1" applyNumberFormat="1" applyFont="1" applyBorder="1"/>
    <xf numFmtId="9" fontId="8" fillId="0" borderId="12" xfId="4" applyFont="1" applyFill="1" applyBorder="1" applyAlignment="1">
      <alignment wrapText="1"/>
    </xf>
    <xf numFmtId="164" fontId="5" fillId="0" borderId="8" xfId="1" applyNumberFormat="1" applyFont="1" applyBorder="1"/>
    <xf numFmtId="164" fontId="5" fillId="0" borderId="19" xfId="1" applyNumberFormat="1" applyFont="1" applyBorder="1"/>
    <xf numFmtId="164" fontId="5" fillId="0" borderId="10" xfId="1" applyNumberFormat="1" applyFont="1" applyBorder="1"/>
    <xf numFmtId="9" fontId="8" fillId="0" borderId="6" xfId="4" applyFont="1" applyFill="1" applyBorder="1"/>
    <xf numFmtId="164" fontId="5" fillId="0" borderId="25" xfId="1" applyNumberFormat="1" applyFont="1" applyBorder="1"/>
    <xf numFmtId="9" fontId="5" fillId="0" borderId="8" xfId="4" applyFont="1" applyFill="1" applyBorder="1"/>
    <xf numFmtId="9" fontId="5" fillId="0" borderId="8" xfId="4" applyFont="1" applyFill="1" applyBorder="1" applyAlignment="1">
      <alignment wrapText="1"/>
    </xf>
    <xf numFmtId="9" fontId="13" fillId="0" borderId="18" xfId="4" applyFont="1" applyBorder="1"/>
    <xf numFmtId="9" fontId="12" fillId="0" borderId="18" xfId="4" applyFont="1" applyBorder="1"/>
    <xf numFmtId="10" fontId="5" fillId="0" borderId="0" xfId="8" applyNumberFormat="1" applyFont="1"/>
    <xf numFmtId="164" fontId="12" fillId="3" borderId="31" xfId="1" applyNumberFormat="1" applyFont="1" applyFill="1" applyBorder="1"/>
    <xf numFmtId="9" fontId="13" fillId="3" borderId="31" xfId="4" applyFont="1" applyFill="1" applyBorder="1"/>
    <xf numFmtId="9" fontId="12" fillId="3" borderId="31" xfId="4" applyFont="1" applyFill="1" applyBorder="1"/>
    <xf numFmtId="9" fontId="8" fillId="2" borderId="9" xfId="4" applyFont="1" applyFill="1" applyBorder="1"/>
    <xf numFmtId="9" fontId="5" fillId="2" borderId="9" xfId="4" applyFont="1" applyFill="1" applyBorder="1"/>
    <xf numFmtId="164" fontId="12" fillId="2" borderId="9" xfId="1" applyNumberFormat="1" applyFont="1" applyFill="1" applyBorder="1"/>
    <xf numFmtId="9" fontId="5" fillId="2" borderId="9" xfId="4" quotePrefix="1" applyFont="1" applyFill="1" applyBorder="1" applyAlignment="1">
      <alignment wrapText="1"/>
    </xf>
    <xf numFmtId="9" fontId="8" fillId="0" borderId="9" xfId="4" applyFont="1" applyBorder="1" applyAlignment="1">
      <alignment wrapText="1"/>
    </xf>
    <xf numFmtId="9" fontId="5" fillId="0" borderId="10" xfId="4" applyFont="1" applyBorder="1" applyAlignment="1">
      <alignment wrapText="1"/>
    </xf>
    <xf numFmtId="9" fontId="5" fillId="0" borderId="12" xfId="4" applyFont="1" applyBorder="1" applyAlignment="1">
      <alignment wrapText="1"/>
    </xf>
    <xf numFmtId="9" fontId="13" fillId="2" borderId="9" xfId="4" applyFont="1" applyFill="1" applyBorder="1"/>
    <xf numFmtId="9" fontId="12" fillId="2" borderId="9" xfId="4" applyFont="1" applyFill="1" applyBorder="1"/>
    <xf numFmtId="9" fontId="8" fillId="0" borderId="12" xfId="4" applyFont="1" applyBorder="1" applyAlignment="1">
      <alignment wrapText="1"/>
    </xf>
    <xf numFmtId="164" fontId="5" fillId="13" borderId="9" xfId="1" applyNumberFormat="1" applyFont="1" applyFill="1" applyBorder="1"/>
    <xf numFmtId="164" fontId="22" fillId="13" borderId="9" xfId="1" applyNumberFormat="1" applyFont="1" applyFill="1" applyBorder="1"/>
    <xf numFmtId="9" fontId="23" fillId="0" borderId="9" xfId="4" applyFont="1" applyBorder="1" applyAlignment="1">
      <alignment wrapText="1"/>
    </xf>
    <xf numFmtId="9" fontId="22" fillId="0" borderId="9" xfId="4" applyFont="1" applyBorder="1" applyAlignment="1">
      <alignment wrapText="1"/>
    </xf>
    <xf numFmtId="9" fontId="5" fillId="0" borderId="9" xfId="4" quotePrefix="1" applyFont="1" applyBorder="1" applyAlignment="1">
      <alignment wrapText="1"/>
    </xf>
    <xf numFmtId="9" fontId="23" fillId="0" borderId="9" xfId="4" applyFont="1" applyFill="1" applyBorder="1" applyAlignment="1">
      <alignment wrapText="1"/>
    </xf>
    <xf numFmtId="9" fontId="22" fillId="0" borderId="9" xfId="4" applyFont="1" applyFill="1" applyBorder="1" applyAlignment="1">
      <alignment wrapText="1"/>
    </xf>
    <xf numFmtId="9" fontId="23" fillId="11" borderId="9" xfId="4" applyFont="1" applyFill="1" applyBorder="1" applyAlignment="1">
      <alignment wrapText="1"/>
    </xf>
    <xf numFmtId="9" fontId="22" fillId="2" borderId="9" xfId="4" applyFont="1" applyFill="1" applyBorder="1" applyAlignment="1">
      <alignment wrapText="1"/>
    </xf>
    <xf numFmtId="9" fontId="23" fillId="2" borderId="9" xfId="4" applyFont="1" applyFill="1" applyBorder="1" applyAlignment="1">
      <alignment wrapText="1"/>
    </xf>
    <xf numFmtId="164" fontId="5" fillId="12" borderId="9" xfId="1" applyNumberFormat="1" applyFont="1" applyFill="1" applyBorder="1"/>
    <xf numFmtId="9" fontId="8" fillId="12" borderId="9" xfId="4" applyFont="1" applyFill="1" applyBorder="1"/>
    <xf numFmtId="9" fontId="5" fillId="12" borderId="9" xfId="4" applyFont="1" applyFill="1" applyBorder="1"/>
    <xf numFmtId="164" fontId="5" fillId="4" borderId="9" xfId="1" applyNumberFormat="1" applyFont="1" applyFill="1" applyBorder="1"/>
    <xf numFmtId="9" fontId="8" fillId="4" borderId="9" xfId="4" applyFont="1" applyFill="1" applyBorder="1" applyAlignment="1">
      <alignment wrapText="1"/>
    </xf>
    <xf numFmtId="164" fontId="22" fillId="0" borderId="9" xfId="1" applyNumberFormat="1" applyFont="1" applyBorder="1"/>
    <xf numFmtId="9" fontId="22" fillId="8" borderId="9" xfId="4" applyFont="1" applyFill="1" applyBorder="1" applyAlignment="1">
      <alignment wrapText="1"/>
    </xf>
    <xf numFmtId="9" fontId="5" fillId="11" borderId="9" xfId="4" applyFont="1" applyFill="1" applyBorder="1" applyAlignment="1">
      <alignment wrapText="1"/>
    </xf>
    <xf numFmtId="9" fontId="5" fillId="0" borderId="9" xfId="4" quotePrefix="1" applyFont="1" applyFill="1" applyBorder="1" applyAlignment="1">
      <alignment wrapText="1"/>
    </xf>
    <xf numFmtId="164" fontId="12" fillId="0" borderId="9" xfId="1" applyNumberFormat="1" applyFont="1" applyBorder="1"/>
    <xf numFmtId="9" fontId="17" fillId="0" borderId="9" xfId="4" applyFont="1" applyFill="1" applyBorder="1" applyAlignment="1">
      <alignment wrapText="1"/>
    </xf>
    <xf numFmtId="164" fontId="12" fillId="0" borderId="33" xfId="1" applyNumberFormat="1" applyFont="1" applyBorder="1"/>
    <xf numFmtId="9" fontId="12" fillId="0" borderId="33" xfId="4" applyFont="1" applyBorder="1"/>
    <xf numFmtId="9" fontId="8" fillId="14" borderId="9" xfId="4" applyFont="1" applyFill="1" applyBorder="1" applyAlignment="1">
      <alignment wrapText="1"/>
    </xf>
    <xf numFmtId="164" fontId="12" fillId="0" borderId="34" xfId="1" applyNumberFormat="1" applyFont="1" applyBorder="1"/>
    <xf numFmtId="9" fontId="5" fillId="0" borderId="34" xfId="4" applyFont="1" applyBorder="1"/>
    <xf numFmtId="164" fontId="12" fillId="3" borderId="37" xfId="1" applyNumberFormat="1" applyFont="1" applyFill="1" applyBorder="1"/>
    <xf numFmtId="9" fontId="12" fillId="3" borderId="37" xfId="4" applyFont="1" applyFill="1" applyBorder="1"/>
    <xf numFmtId="0" fontId="30" fillId="0" borderId="0" xfId="9" applyFont="1"/>
    <xf numFmtId="0" fontId="31" fillId="0" borderId="0" xfId="11" applyFont="1"/>
    <xf numFmtId="0" fontId="32" fillId="0" borderId="0" xfId="11" applyFont="1"/>
    <xf numFmtId="0" fontId="33" fillId="6" borderId="0" xfId="9" applyFont="1" applyFill="1"/>
    <xf numFmtId="0" fontId="33" fillId="16" borderId="8" xfId="9" applyFont="1" applyFill="1" applyBorder="1" applyAlignment="1">
      <alignment horizontal="center" vertical="center" wrapText="1"/>
    </xf>
    <xf numFmtId="0" fontId="33" fillId="16" borderId="19" xfId="9" applyFont="1" applyFill="1" applyBorder="1" applyAlignment="1">
      <alignment horizontal="center" vertical="center" wrapText="1"/>
    </xf>
    <xf numFmtId="0" fontId="34" fillId="0" borderId="38" xfId="9" applyFont="1" applyBorder="1"/>
    <xf numFmtId="164" fontId="34" fillId="0" borderId="38" xfId="12" applyNumberFormat="1" applyFont="1" applyBorder="1"/>
    <xf numFmtId="164" fontId="32" fillId="0" borderId="38" xfId="12" applyNumberFormat="1" applyFont="1" applyBorder="1"/>
    <xf numFmtId="165" fontId="32" fillId="0" borderId="38" xfId="12" applyNumberFormat="1" applyFont="1" applyBorder="1"/>
    <xf numFmtId="164" fontId="32" fillId="0" borderId="39" xfId="12" applyNumberFormat="1" applyFont="1" applyBorder="1"/>
    <xf numFmtId="164" fontId="32" fillId="0" borderId="22" xfId="12" applyNumberFormat="1" applyFont="1" applyBorder="1"/>
    <xf numFmtId="164" fontId="32" fillId="17" borderId="39" xfId="12" applyNumberFormat="1" applyFont="1" applyFill="1" applyBorder="1"/>
    <xf numFmtId="0" fontId="34" fillId="0" borderId="40" xfId="9" applyFont="1" applyBorder="1"/>
    <xf numFmtId="164" fontId="34" fillId="0" borderId="40" xfId="12" applyNumberFormat="1" applyFont="1" applyBorder="1"/>
    <xf numFmtId="165" fontId="34" fillId="0" borderId="40" xfId="12" applyNumberFormat="1" applyFont="1" applyBorder="1"/>
    <xf numFmtId="164" fontId="34" fillId="0" borderId="5" xfId="12" applyNumberFormat="1" applyFont="1" applyBorder="1"/>
    <xf numFmtId="164" fontId="34" fillId="0" borderId="41" xfId="12" applyNumberFormat="1" applyFont="1" applyBorder="1"/>
    <xf numFmtId="164" fontId="34" fillId="17" borderId="5" xfId="12" applyNumberFormat="1" applyFont="1" applyFill="1" applyBorder="1"/>
    <xf numFmtId="164" fontId="34" fillId="0" borderId="40" xfId="12" applyNumberFormat="1" applyFont="1" applyFill="1" applyBorder="1"/>
    <xf numFmtId="165" fontId="34" fillId="10" borderId="40" xfId="12" applyNumberFormat="1" applyFont="1" applyFill="1" applyBorder="1"/>
    <xf numFmtId="164" fontId="34" fillId="12" borderId="5" xfId="12" applyNumberFormat="1" applyFont="1" applyFill="1" applyBorder="1"/>
    <xf numFmtId="164" fontId="32" fillId="12" borderId="39" xfId="12" applyNumberFormat="1" applyFont="1" applyFill="1" applyBorder="1"/>
    <xf numFmtId="0" fontId="34" fillId="0" borderId="0" xfId="9" applyFont="1"/>
    <xf numFmtId="164" fontId="34" fillId="0" borderId="0" xfId="12" applyNumberFormat="1" applyFont="1" applyBorder="1"/>
    <xf numFmtId="165" fontId="34" fillId="0" borderId="0" xfId="12" applyNumberFormat="1" applyFont="1" applyBorder="1"/>
    <xf numFmtId="164" fontId="32" fillId="12" borderId="43" xfId="12" applyNumberFormat="1" applyFont="1" applyFill="1" applyBorder="1"/>
    <xf numFmtId="164" fontId="34" fillId="0" borderId="43" xfId="12" applyNumberFormat="1" applyFont="1" applyBorder="1"/>
    <xf numFmtId="164" fontId="34" fillId="12" borderId="43" xfId="12" applyNumberFormat="1" applyFont="1" applyFill="1" applyBorder="1"/>
    <xf numFmtId="164" fontId="32" fillId="0" borderId="38" xfId="12" applyNumberFormat="1" applyFont="1" applyFill="1" applyBorder="1"/>
    <xf numFmtId="0" fontId="33" fillId="0" borderId="38" xfId="9" applyFont="1" applyBorder="1"/>
    <xf numFmtId="0" fontId="32" fillId="0" borderId="22" xfId="9" applyFont="1" applyBorder="1"/>
    <xf numFmtId="0" fontId="32" fillId="0" borderId="38" xfId="9" applyFont="1" applyBorder="1"/>
    <xf numFmtId="14" fontId="34" fillId="0" borderId="38" xfId="9" applyNumberFormat="1" applyFont="1" applyBorder="1"/>
    <xf numFmtId="165" fontId="32" fillId="0" borderId="39" xfId="12" applyNumberFormat="1" applyFont="1" applyBorder="1"/>
    <xf numFmtId="0" fontId="33" fillId="0" borderId="0" xfId="9" applyFont="1"/>
    <xf numFmtId="164" fontId="33" fillId="0" borderId="0" xfId="9" applyNumberFormat="1" applyFont="1"/>
    <xf numFmtId="0" fontId="30" fillId="0" borderId="40" xfId="9" applyFont="1" applyBorder="1"/>
    <xf numFmtId="0" fontId="34" fillId="0" borderId="41" xfId="9" applyFont="1" applyBorder="1"/>
    <xf numFmtId="0" fontId="32" fillId="0" borderId="40" xfId="9" applyFont="1" applyBorder="1"/>
    <xf numFmtId="165" fontId="34" fillId="0" borderId="5" xfId="12" applyNumberFormat="1" applyFont="1" applyBorder="1"/>
    <xf numFmtId="164" fontId="34" fillId="0" borderId="0" xfId="12" applyNumberFormat="1" applyFont="1" applyFill="1" applyBorder="1"/>
    <xf numFmtId="165" fontId="34" fillId="0" borderId="0" xfId="12" applyNumberFormat="1" applyFont="1" applyFill="1" applyBorder="1"/>
    <xf numFmtId="165" fontId="35" fillId="0" borderId="0" xfId="12" applyNumberFormat="1" applyFont="1" applyFill="1" applyBorder="1"/>
    <xf numFmtId="164" fontId="33" fillId="16" borderId="0" xfId="9" applyNumberFormat="1" applyFont="1" applyFill="1"/>
    <xf numFmtId="165" fontId="32" fillId="0" borderId="0" xfId="12" applyNumberFormat="1" applyFont="1" applyFill="1" applyBorder="1" applyAlignment="1">
      <alignment horizontal="right"/>
    </xf>
    <xf numFmtId="164" fontId="32" fillId="18" borderId="39" xfId="12" applyNumberFormat="1" applyFont="1" applyFill="1" applyBorder="1"/>
    <xf numFmtId="165" fontId="34" fillId="0" borderId="0" xfId="12" applyNumberFormat="1" applyFont="1" applyFill="1" applyBorder="1" applyAlignment="1">
      <alignment horizontal="right"/>
    </xf>
    <xf numFmtId="164" fontId="34" fillId="18" borderId="5" xfId="12" applyNumberFormat="1" applyFont="1" applyFill="1" applyBorder="1"/>
    <xf numFmtId="164" fontId="33" fillId="18" borderId="5" xfId="9" applyNumberFormat="1" applyFont="1" applyFill="1" applyBorder="1"/>
    <xf numFmtId="0" fontId="33" fillId="0" borderId="0" xfId="9" applyFont="1" applyAlignment="1">
      <alignment wrapText="1"/>
    </xf>
    <xf numFmtId="164" fontId="30" fillId="0" borderId="0" xfId="9" applyNumberFormat="1" applyFont="1"/>
    <xf numFmtId="0" fontId="32" fillId="0" borderId="0" xfId="9" applyFont="1"/>
    <xf numFmtId="0" fontId="32" fillId="0" borderId="0" xfId="9" applyFont="1" applyAlignment="1">
      <alignment horizontal="right"/>
    </xf>
    <xf numFmtId="164" fontId="32" fillId="18" borderId="5" xfId="9" applyNumberFormat="1" applyFont="1" applyFill="1" applyBorder="1"/>
    <xf numFmtId="164" fontId="32" fillId="18" borderId="8" xfId="12" applyNumberFormat="1" applyFont="1" applyFill="1" applyBorder="1"/>
    <xf numFmtId="164" fontId="32" fillId="18" borderId="8" xfId="9" applyNumberFormat="1" applyFont="1" applyFill="1" applyBorder="1"/>
    <xf numFmtId="0" fontId="30" fillId="0" borderId="0" xfId="11" applyFont="1" applyAlignment="1">
      <alignment horizontal="right"/>
    </xf>
    <xf numFmtId="164" fontId="30" fillId="0" borderId="43" xfId="9" applyNumberFormat="1" applyFont="1" applyBorder="1"/>
    <xf numFmtId="164" fontId="32" fillId="17" borderId="43" xfId="12" applyNumberFormat="1" applyFont="1" applyFill="1" applyBorder="1"/>
    <xf numFmtId="0" fontId="33" fillId="0" borderId="0" xfId="9" applyFont="1" applyAlignment="1">
      <alignment horizontal="right"/>
    </xf>
    <xf numFmtId="164" fontId="33" fillId="18" borderId="8" xfId="9" applyNumberFormat="1" applyFont="1" applyFill="1" applyBorder="1"/>
    <xf numFmtId="166" fontId="33" fillId="19" borderId="8" xfId="8" applyNumberFormat="1" applyFont="1" applyFill="1" applyBorder="1"/>
    <xf numFmtId="166" fontId="33" fillId="0" borderId="0" xfId="8" applyNumberFormat="1" applyFont="1" applyFill="1"/>
    <xf numFmtId="0" fontId="36" fillId="0" borderId="0" xfId="11" applyFont="1" applyAlignment="1">
      <alignment horizontal="right"/>
    </xf>
    <xf numFmtId="164" fontId="32" fillId="19" borderId="0" xfId="12" applyNumberFormat="1" applyFont="1" applyFill="1"/>
    <xf numFmtId="164" fontId="34" fillId="0" borderId="0" xfId="12" applyNumberFormat="1" applyFont="1" applyAlignment="1">
      <alignment horizontal="right"/>
    </xf>
    <xf numFmtId="0" fontId="5" fillId="0" borderId="0" xfId="13" applyFont="1"/>
    <xf numFmtId="0" fontId="6" fillId="0" borderId="0" xfId="14" applyFont="1"/>
    <xf numFmtId="0" fontId="7" fillId="0" borderId="0" xfId="14" applyFont="1"/>
    <xf numFmtId="0" fontId="5" fillId="0" borderId="0" xfId="13" applyFont="1" applyAlignment="1">
      <alignment wrapText="1"/>
    </xf>
    <xf numFmtId="3" fontId="5" fillId="0" borderId="0" xfId="13" applyNumberFormat="1" applyFont="1" applyAlignment="1">
      <alignment wrapText="1"/>
    </xf>
    <xf numFmtId="3" fontId="5" fillId="0" borderId="0" xfId="13" applyNumberFormat="1" applyFont="1"/>
    <xf numFmtId="0" fontId="8" fillId="0" borderId="0" xfId="13" applyFont="1" applyAlignment="1">
      <alignment wrapText="1"/>
    </xf>
    <xf numFmtId="0" fontId="12" fillId="0" borderId="1" xfId="13" applyFont="1" applyBorder="1" applyAlignment="1">
      <alignment horizontal="center" vertical="center"/>
    </xf>
    <xf numFmtId="0" fontId="12" fillId="0" borderId="2" xfId="13" applyFont="1" applyBorder="1" applyAlignment="1">
      <alignment horizontal="center" vertical="center" wrapText="1"/>
    </xf>
    <xf numFmtId="0" fontId="12" fillId="2" borderId="4" xfId="13" applyFont="1" applyFill="1" applyBorder="1"/>
    <xf numFmtId="0" fontId="12" fillId="2" borderId="5" xfId="13" applyFont="1" applyFill="1" applyBorder="1" applyAlignment="1">
      <alignment wrapText="1"/>
    </xf>
    <xf numFmtId="3" fontId="12" fillId="2" borderId="6" xfId="13" applyNumberFormat="1" applyFont="1" applyFill="1" applyBorder="1"/>
    <xf numFmtId="0" fontId="12" fillId="3" borderId="4" xfId="13" quotePrefix="1" applyFont="1" applyFill="1" applyBorder="1"/>
    <xf numFmtId="0" fontId="12" fillId="3" borderId="5" xfId="13" applyFont="1" applyFill="1" applyBorder="1" applyAlignment="1">
      <alignment wrapText="1"/>
    </xf>
    <xf numFmtId="3" fontId="12" fillId="3" borderId="6" xfId="13" applyNumberFormat="1" applyFont="1" applyFill="1" applyBorder="1"/>
    <xf numFmtId="0" fontId="16" fillId="0" borderId="0" xfId="13" applyFont="1"/>
    <xf numFmtId="0" fontId="5" fillId="0" borderId="7" xfId="13" applyFont="1" applyBorder="1" applyAlignment="1">
      <alignment horizontal="left" indent="1"/>
    </xf>
    <xf numFmtId="0" fontId="5" fillId="0" borderId="8" xfId="13" applyFont="1" applyBorder="1" applyAlignment="1">
      <alignment horizontal="left" wrapText="1" indent="2"/>
    </xf>
    <xf numFmtId="3" fontId="5" fillId="0" borderId="9" xfId="13" applyNumberFormat="1" applyFont="1" applyBorder="1"/>
    <xf numFmtId="0" fontId="12" fillId="3" borderId="7" xfId="13" applyFont="1" applyFill="1" applyBorder="1"/>
    <xf numFmtId="0" fontId="12" fillId="3" borderId="8" xfId="13" applyFont="1" applyFill="1" applyBorder="1" applyAlignment="1">
      <alignment wrapText="1"/>
    </xf>
    <xf numFmtId="3" fontId="12" fillId="3" borderId="9" xfId="13" applyNumberFormat="1" applyFont="1" applyFill="1" applyBorder="1"/>
    <xf numFmtId="0" fontId="2" fillId="0" borderId="0" xfId="13"/>
    <xf numFmtId="0" fontId="17" fillId="0" borderId="7" xfId="13" applyFont="1" applyBorder="1" applyAlignment="1">
      <alignment horizontal="left" indent="2"/>
    </xf>
    <xf numFmtId="0" fontId="17" fillId="0" borderId="8" xfId="13" applyFont="1" applyBorder="1" applyAlignment="1">
      <alignment horizontal="left" wrapText="1" indent="3"/>
    </xf>
    <xf numFmtId="0" fontId="16" fillId="0" borderId="0" xfId="13" quotePrefix="1" applyFont="1"/>
    <xf numFmtId="0" fontId="5" fillId="4" borderId="8" xfId="13" applyFont="1" applyFill="1" applyBorder="1" applyAlignment="1">
      <alignment horizontal="left" wrapText="1" indent="2"/>
    </xf>
    <xf numFmtId="0" fontId="12" fillId="3" borderId="7" xfId="13" quotePrefix="1" applyFont="1" applyFill="1" applyBorder="1"/>
    <xf numFmtId="3" fontId="13" fillId="3" borderId="9" xfId="13" applyNumberFormat="1" applyFont="1" applyFill="1" applyBorder="1"/>
    <xf numFmtId="0" fontId="5" fillId="2" borderId="7" xfId="13" applyFont="1" applyFill="1" applyBorder="1" applyAlignment="1">
      <alignment horizontal="left" indent="1"/>
    </xf>
    <xf numFmtId="0" fontId="5" fillId="2" borderId="8" xfId="13" applyFont="1" applyFill="1" applyBorder="1" applyAlignment="1">
      <alignment horizontal="left" wrapText="1" indent="2"/>
    </xf>
    <xf numFmtId="3" fontId="5" fillId="5" borderId="9" xfId="13" applyNumberFormat="1" applyFont="1" applyFill="1" applyBorder="1"/>
    <xf numFmtId="3" fontId="8" fillId="5" borderId="9" xfId="13" applyNumberFormat="1" applyFont="1" applyFill="1" applyBorder="1"/>
    <xf numFmtId="3" fontId="8" fillId="0" borderId="9" xfId="13" applyNumberFormat="1" applyFont="1" applyBorder="1"/>
    <xf numFmtId="3" fontId="5" fillId="6" borderId="9" xfId="13" applyNumberFormat="1" applyFont="1" applyFill="1" applyBorder="1"/>
    <xf numFmtId="3" fontId="8" fillId="6" borderId="9" xfId="13" applyNumberFormat="1" applyFont="1" applyFill="1" applyBorder="1" applyAlignment="1">
      <alignment wrapText="1"/>
    </xf>
    <xf numFmtId="3" fontId="5" fillId="6" borderId="9" xfId="13" applyNumberFormat="1" applyFont="1" applyFill="1" applyBorder="1" applyAlignment="1">
      <alignment wrapText="1"/>
    </xf>
    <xf numFmtId="3" fontId="17" fillId="7" borderId="9" xfId="13" applyNumberFormat="1" applyFont="1" applyFill="1" applyBorder="1"/>
    <xf numFmtId="0" fontId="17" fillId="0" borderId="0" xfId="13" applyFont="1"/>
    <xf numFmtId="3" fontId="17" fillId="9" borderId="9" xfId="13" applyNumberFormat="1" applyFont="1" applyFill="1" applyBorder="1"/>
    <xf numFmtId="0" fontId="5" fillId="0" borderId="0" xfId="13" quotePrefix="1" applyFont="1"/>
    <xf numFmtId="0" fontId="5" fillId="10" borderId="8" xfId="13" applyFont="1" applyFill="1" applyBorder="1" applyAlignment="1">
      <alignment horizontal="left" wrapText="1" indent="2"/>
    </xf>
    <xf numFmtId="0" fontId="5" fillId="0" borderId="8" xfId="13" applyFont="1" applyBorder="1" applyAlignment="1">
      <alignment horizontal="left" wrapText="1" indent="3"/>
    </xf>
    <xf numFmtId="3" fontId="5" fillId="2" borderId="9" xfId="13" applyNumberFormat="1" applyFont="1" applyFill="1" applyBorder="1"/>
    <xf numFmtId="0" fontId="8" fillId="0" borderId="0" xfId="13" applyFont="1"/>
    <xf numFmtId="0" fontId="2" fillId="11" borderId="0" xfId="13" applyFill="1"/>
    <xf numFmtId="0" fontId="5" fillId="10" borderId="8" xfId="13" applyFont="1" applyFill="1" applyBorder="1" applyAlignment="1">
      <alignment horizontal="left" wrapText="1" indent="3"/>
    </xf>
    <xf numFmtId="0" fontId="8" fillId="0" borderId="5" xfId="13" applyFont="1" applyBorder="1" applyAlignment="1">
      <alignment horizontal="left" wrapText="1" indent="2"/>
    </xf>
    <xf numFmtId="0" fontId="5" fillId="4" borderId="7" xfId="13" applyFont="1" applyFill="1" applyBorder="1" applyAlignment="1">
      <alignment horizontal="left" indent="2"/>
    </xf>
    <xf numFmtId="0" fontId="5" fillId="4" borderId="8" xfId="13" applyFont="1" applyFill="1" applyBorder="1" applyAlignment="1">
      <alignment horizontal="left" wrapText="1" indent="3"/>
    </xf>
    <xf numFmtId="0" fontId="12" fillId="0" borderId="14" xfId="13" applyFont="1" applyBorder="1"/>
    <xf numFmtId="0" fontId="12" fillId="0" borderId="15" xfId="13" applyFont="1" applyBorder="1" applyAlignment="1">
      <alignment horizontal="right" wrapText="1"/>
    </xf>
    <xf numFmtId="3" fontId="12" fillId="0" borderId="3" xfId="13" applyNumberFormat="1" applyFont="1" applyBorder="1"/>
    <xf numFmtId="0" fontId="12" fillId="0" borderId="16" xfId="13" quotePrefix="1" applyFont="1" applyBorder="1"/>
    <xf numFmtId="0" fontId="12" fillId="0" borderId="17" xfId="13" applyFont="1" applyBorder="1" applyAlignment="1">
      <alignment wrapText="1"/>
    </xf>
    <xf numFmtId="3" fontId="12" fillId="0" borderId="18" xfId="13" applyNumberFormat="1" applyFont="1" applyBorder="1"/>
    <xf numFmtId="0" fontId="12" fillId="3" borderId="19" xfId="13" applyFont="1" applyFill="1" applyBorder="1" applyAlignment="1">
      <alignment wrapText="1"/>
    </xf>
    <xf numFmtId="3" fontId="12" fillId="3" borderId="13" xfId="13" applyNumberFormat="1" applyFont="1" applyFill="1" applyBorder="1"/>
    <xf numFmtId="49" fontId="5" fillId="0" borderId="19" xfId="13" applyNumberFormat="1" applyFont="1" applyBorder="1" applyAlignment="1">
      <alignment horizontal="left" wrapText="1" indent="4"/>
    </xf>
    <xf numFmtId="3" fontId="5" fillId="0" borderId="19" xfId="13" applyNumberFormat="1" applyFont="1" applyBorder="1"/>
    <xf numFmtId="49" fontId="5" fillId="14" borderId="19" xfId="13" applyNumberFormat="1" applyFont="1" applyFill="1" applyBorder="1" applyAlignment="1">
      <alignment horizontal="left" wrapText="1" indent="4"/>
    </xf>
    <xf numFmtId="49" fontId="8" fillId="14" borderId="19" xfId="13" applyNumberFormat="1" applyFont="1" applyFill="1" applyBorder="1" applyAlignment="1">
      <alignment horizontal="left" wrapText="1" indent="4"/>
    </xf>
    <xf numFmtId="3" fontId="5" fillId="0" borderId="20" xfId="13" applyNumberFormat="1" applyFont="1" applyBorder="1"/>
    <xf numFmtId="3" fontId="5" fillId="0" borderId="13" xfId="13" applyNumberFormat="1" applyFont="1" applyBorder="1"/>
    <xf numFmtId="49" fontId="5" fillId="0" borderId="22" xfId="13" applyNumberFormat="1" applyFont="1" applyBorder="1" applyAlignment="1">
      <alignment horizontal="left" wrapText="1" indent="4"/>
    </xf>
    <xf numFmtId="49" fontId="5" fillId="0" borderId="8" xfId="13" applyNumberFormat="1" applyFont="1" applyBorder="1" applyAlignment="1">
      <alignment horizontal="left" wrapText="1" indent="4"/>
    </xf>
    <xf numFmtId="3" fontId="5" fillId="0" borderId="10" xfId="13" applyNumberFormat="1" applyFont="1" applyBorder="1"/>
    <xf numFmtId="3" fontId="5" fillId="0" borderId="24" xfId="13" applyNumberFormat="1" applyFont="1" applyBorder="1"/>
    <xf numFmtId="49" fontId="8" fillId="0" borderId="8" xfId="13" applyNumberFormat="1" applyFont="1" applyBorder="1" applyAlignment="1">
      <alignment horizontal="left" wrapText="1" indent="4"/>
    </xf>
    <xf numFmtId="3" fontId="5" fillId="0" borderId="21" xfId="13" applyNumberFormat="1" applyFont="1" applyBorder="1"/>
    <xf numFmtId="0" fontId="5" fillId="4" borderId="26" xfId="13" applyFont="1" applyFill="1" applyBorder="1" applyAlignment="1">
      <alignment horizontal="left" indent="2"/>
    </xf>
    <xf numFmtId="49" fontId="8" fillId="14" borderId="8" xfId="13" applyNumberFormat="1" applyFont="1" applyFill="1" applyBorder="1" applyAlignment="1">
      <alignment horizontal="left" wrapText="1" indent="4"/>
    </xf>
    <xf numFmtId="49" fontId="8" fillId="0" borderId="24" xfId="13" applyNumberFormat="1" applyFont="1" applyBorder="1" applyAlignment="1">
      <alignment horizontal="left" wrapText="1" indent="4"/>
    </xf>
    <xf numFmtId="0" fontId="12" fillId="0" borderId="27" xfId="13" applyFont="1" applyBorder="1"/>
    <xf numFmtId="0" fontId="12" fillId="0" borderId="28" xfId="13" applyFont="1" applyBorder="1" applyAlignment="1">
      <alignment horizontal="right" wrapText="1"/>
    </xf>
    <xf numFmtId="0" fontId="12" fillId="0" borderId="0" xfId="13" applyFont="1"/>
    <xf numFmtId="49" fontId="12" fillId="3" borderId="29" xfId="13" applyNumberFormat="1" applyFont="1" applyFill="1" applyBorder="1" applyAlignment="1">
      <alignment horizontal="left" indent="2"/>
    </xf>
    <xf numFmtId="49" fontId="12" fillId="3" borderId="30" xfId="13" applyNumberFormat="1" applyFont="1" applyFill="1" applyBorder="1" applyAlignment="1">
      <alignment wrapText="1"/>
    </xf>
    <xf numFmtId="3" fontId="12" fillId="3" borderId="31" xfId="13" applyNumberFormat="1" applyFont="1" applyFill="1" applyBorder="1"/>
    <xf numFmtId="49" fontId="5" fillId="2" borderId="7" xfId="13" applyNumberFormat="1" applyFont="1" applyFill="1" applyBorder="1" applyAlignment="1">
      <alignment horizontal="left" indent="1"/>
    </xf>
    <xf numFmtId="49" fontId="5" fillId="2" borderId="8" xfId="13" applyNumberFormat="1" applyFont="1" applyFill="1" applyBorder="1" applyAlignment="1">
      <alignment horizontal="left" wrapText="1" indent="2"/>
    </xf>
    <xf numFmtId="49" fontId="12" fillId="3" borderId="7" xfId="13" applyNumberFormat="1" applyFont="1" applyFill="1" applyBorder="1"/>
    <xf numFmtId="49" fontId="12" fillId="3" borderId="8" xfId="13" applyNumberFormat="1" applyFont="1" applyFill="1" applyBorder="1" applyAlignment="1">
      <alignment wrapText="1"/>
    </xf>
    <xf numFmtId="0" fontId="19" fillId="0" borderId="0" xfId="13" applyFont="1"/>
    <xf numFmtId="3" fontId="8" fillId="2" borderId="9" xfId="13" applyNumberFormat="1" applyFont="1" applyFill="1" applyBorder="1"/>
    <xf numFmtId="49" fontId="5" fillId="0" borderId="7" xfId="13" applyNumberFormat="1" applyFont="1" applyBorder="1" applyAlignment="1">
      <alignment horizontal="left" indent="2"/>
    </xf>
    <xf numFmtId="49" fontId="5" fillId="0" borderId="8" xfId="13" applyNumberFormat="1" applyFont="1" applyBorder="1" applyAlignment="1">
      <alignment horizontal="left" wrapText="1" indent="2"/>
    </xf>
    <xf numFmtId="49" fontId="12" fillId="2" borderId="8" xfId="13" applyNumberFormat="1" applyFont="1" applyFill="1" applyBorder="1" applyAlignment="1">
      <alignment horizontal="left" wrapText="1" indent="2"/>
    </xf>
    <xf numFmtId="3" fontId="12" fillId="2" borderId="9" xfId="13" applyNumberFormat="1" applyFont="1" applyFill="1" applyBorder="1"/>
    <xf numFmtId="3" fontId="13" fillId="2" borderId="9" xfId="13" applyNumberFormat="1" applyFont="1" applyFill="1" applyBorder="1"/>
    <xf numFmtId="49" fontId="5" fillId="15" borderId="7" xfId="13" applyNumberFormat="1" applyFont="1" applyFill="1" applyBorder="1" applyAlignment="1">
      <alignment horizontal="left" indent="2"/>
    </xf>
    <xf numFmtId="0" fontId="5" fillId="12" borderId="8" xfId="13" applyFont="1" applyFill="1" applyBorder="1" applyAlignment="1">
      <alignment horizontal="left" wrapText="1" indent="3"/>
    </xf>
    <xf numFmtId="0" fontId="8" fillId="0" borderId="0" xfId="13" quotePrefix="1" applyFont="1"/>
    <xf numFmtId="3" fontId="5" fillId="13" borderId="9" xfId="13" applyNumberFormat="1" applyFont="1" applyFill="1" applyBorder="1"/>
    <xf numFmtId="0" fontId="22" fillId="0" borderId="0" xfId="13" quotePrefix="1" applyFont="1"/>
    <xf numFmtId="49" fontId="22" fillId="0" borderId="7" xfId="13" applyNumberFormat="1" applyFont="1" applyBorder="1" applyAlignment="1">
      <alignment horizontal="left" indent="3"/>
    </xf>
    <xf numFmtId="0" fontId="22" fillId="12" borderId="8" xfId="13" applyFont="1" applyFill="1" applyBorder="1" applyAlignment="1">
      <alignment horizontal="left" wrapText="1" indent="6"/>
    </xf>
    <xf numFmtId="3" fontId="22" fillId="0" borderId="9" xfId="13" applyNumberFormat="1" applyFont="1" applyBorder="1"/>
    <xf numFmtId="3" fontId="22" fillId="13" borderId="9" xfId="13" applyNumberFormat="1" applyFont="1" applyFill="1" applyBorder="1"/>
    <xf numFmtId="0" fontId="22" fillId="0" borderId="0" xfId="13" applyFont="1"/>
    <xf numFmtId="49" fontId="5" fillId="15" borderId="7" xfId="13" applyNumberFormat="1" applyFont="1" applyFill="1" applyBorder="1" applyAlignment="1">
      <alignment horizontal="left" indent="1"/>
    </xf>
    <xf numFmtId="0" fontId="5" fillId="12" borderId="8" xfId="13" applyFont="1" applyFill="1" applyBorder="1" applyAlignment="1">
      <alignment horizontal="left" indent="2"/>
    </xf>
    <xf numFmtId="3" fontId="5" fillId="12" borderId="9" xfId="13" applyNumberFormat="1" applyFont="1" applyFill="1" applyBorder="1"/>
    <xf numFmtId="0" fontId="16" fillId="12" borderId="8" xfId="13" applyFont="1" applyFill="1" applyBorder="1" applyAlignment="1">
      <alignment horizontal="left" indent="2"/>
    </xf>
    <xf numFmtId="0" fontId="16" fillId="12" borderId="0" xfId="13" applyFont="1" applyFill="1"/>
    <xf numFmtId="0" fontId="5" fillId="12" borderId="32" xfId="13" applyFont="1" applyFill="1" applyBorder="1" applyAlignment="1">
      <alignment horizontal="left" indent="3"/>
    </xf>
    <xf numFmtId="0" fontId="16" fillId="0" borderId="8" xfId="13" applyFont="1" applyBorder="1" applyAlignment="1">
      <alignment horizontal="left" indent="2"/>
    </xf>
    <xf numFmtId="0" fontId="5" fillId="0" borderId="32" xfId="13" applyFont="1" applyBorder="1" applyAlignment="1">
      <alignment horizontal="left" indent="3"/>
    </xf>
    <xf numFmtId="0" fontId="16" fillId="15" borderId="8" xfId="13" applyFont="1" applyFill="1" applyBorder="1" applyAlignment="1">
      <alignment horizontal="left" indent="2"/>
    </xf>
    <xf numFmtId="0" fontId="5" fillId="0" borderId="0" xfId="13" applyFont="1" applyAlignment="1">
      <alignment horizontal="right"/>
    </xf>
    <xf numFmtId="3" fontId="5" fillId="4" borderId="9" xfId="13" applyNumberFormat="1" applyFont="1" applyFill="1" applyBorder="1"/>
    <xf numFmtId="49" fontId="12" fillId="2" borderId="7" xfId="13" applyNumberFormat="1" applyFont="1" applyFill="1" applyBorder="1" applyAlignment="1">
      <alignment horizontal="left" indent="1"/>
    </xf>
    <xf numFmtId="0" fontId="5" fillId="4" borderId="0" xfId="13" quotePrefix="1" applyFont="1" applyFill="1"/>
    <xf numFmtId="0" fontId="5" fillId="4" borderId="0" xfId="13" applyFont="1" applyFill="1"/>
    <xf numFmtId="49" fontId="5" fillId="4" borderId="7" xfId="13" applyNumberFormat="1" applyFont="1" applyFill="1" applyBorder="1" applyAlignment="1">
      <alignment horizontal="left" indent="2"/>
    </xf>
    <xf numFmtId="49" fontId="5" fillId="4" borderId="8" xfId="13" applyNumberFormat="1" applyFont="1" applyFill="1" applyBorder="1" applyAlignment="1">
      <alignment horizontal="left" wrapText="1" indent="4"/>
    </xf>
    <xf numFmtId="0" fontId="24" fillId="0" borderId="0" xfId="13" quotePrefix="1" applyFont="1"/>
    <xf numFmtId="0" fontId="24" fillId="0" borderId="0" xfId="13" applyFont="1"/>
    <xf numFmtId="0" fontId="25" fillId="0" borderId="0" xfId="13" applyFont="1"/>
    <xf numFmtId="0" fontId="25" fillId="0" borderId="0" xfId="13" quotePrefix="1" applyFont="1"/>
    <xf numFmtId="49" fontId="12" fillId="0" borderId="7" xfId="13" applyNumberFormat="1" applyFont="1" applyBorder="1" applyAlignment="1">
      <alignment horizontal="left" indent="2"/>
    </xf>
    <xf numFmtId="49" fontId="12" fillId="0" borderId="8" xfId="13" applyNumberFormat="1" applyFont="1" applyBorder="1" applyAlignment="1">
      <alignment horizontal="left" wrapText="1" indent="4"/>
    </xf>
    <xf numFmtId="3" fontId="12" fillId="0" borderId="9" xfId="13" applyNumberFormat="1" applyFont="1" applyBorder="1"/>
    <xf numFmtId="3" fontId="13" fillId="0" borderId="9" xfId="13" applyNumberFormat="1" applyFont="1" applyBorder="1"/>
    <xf numFmtId="0" fontId="26" fillId="0" borderId="0" xfId="13" applyFont="1"/>
    <xf numFmtId="49" fontId="5" fillId="0" borderId="7" xfId="13" applyNumberFormat="1" applyFont="1" applyBorder="1" applyAlignment="1">
      <alignment horizontal="left" indent="3"/>
    </xf>
    <xf numFmtId="49" fontId="27" fillId="2" borderId="7" xfId="13" applyNumberFormat="1" applyFont="1" applyFill="1" applyBorder="1" applyAlignment="1">
      <alignment horizontal="left" indent="1"/>
    </xf>
    <xf numFmtId="49" fontId="12" fillId="0" borderId="14" xfId="13" applyNumberFormat="1" applyFont="1" applyBorder="1"/>
    <xf numFmtId="49" fontId="12" fillId="0" borderId="15" xfId="13" applyNumberFormat="1" applyFont="1" applyBorder="1" applyAlignment="1">
      <alignment horizontal="right" wrapText="1"/>
    </xf>
    <xf numFmtId="3" fontId="12" fillId="0" borderId="33" xfId="13" applyNumberFormat="1" applyFont="1" applyBorder="1"/>
    <xf numFmtId="3" fontId="12" fillId="0" borderId="34" xfId="13" applyNumberFormat="1" applyFont="1" applyBorder="1"/>
    <xf numFmtId="49" fontId="12" fillId="3" borderId="35" xfId="13" applyNumberFormat="1" applyFont="1" applyFill="1" applyBorder="1" applyAlignment="1">
      <alignment horizontal="center"/>
    </xf>
    <xf numFmtId="49" fontId="12" fillId="3" borderId="36" xfId="13" applyNumberFormat="1" applyFont="1" applyFill="1" applyBorder="1" applyAlignment="1">
      <alignment wrapText="1"/>
    </xf>
    <xf numFmtId="3" fontId="12" fillId="3" borderId="37" xfId="13" applyNumberFormat="1" applyFont="1" applyFill="1" applyBorder="1"/>
    <xf numFmtId="0" fontId="37" fillId="0" borderId="0" xfId="15" applyFont="1"/>
    <xf numFmtId="0" fontId="33" fillId="0" borderId="0" xfId="9" applyFont="1" applyAlignment="1">
      <alignment horizontal="center"/>
    </xf>
    <xf numFmtId="164" fontId="33" fillId="0" borderId="0" xfId="9" applyNumberFormat="1" applyFont="1" applyAlignment="1">
      <alignment horizontal="center"/>
    </xf>
    <xf numFmtId="1" fontId="30" fillId="0" borderId="0" xfId="9" applyNumberFormat="1" applyFont="1"/>
    <xf numFmtId="0" fontId="30" fillId="0" borderId="0" xfId="9" applyFont="1" applyAlignment="1">
      <alignment horizontal="center" vertical="center"/>
    </xf>
    <xf numFmtId="0" fontId="33" fillId="16" borderId="19" xfId="9" applyFont="1" applyFill="1" applyBorder="1" applyAlignment="1">
      <alignment horizontal="center" vertical="center"/>
    </xf>
    <xf numFmtId="0" fontId="33" fillId="16" borderId="8" xfId="9" applyFont="1" applyFill="1" applyBorder="1" applyAlignment="1">
      <alignment horizontal="center" vertical="center"/>
    </xf>
    <xf numFmtId="0" fontId="30" fillId="0" borderId="38" xfId="9" applyFont="1" applyBorder="1" applyAlignment="1">
      <alignment horizontal="center" vertical="center"/>
    </xf>
    <xf numFmtId="167" fontId="32" fillId="0" borderId="39" xfId="12" applyNumberFormat="1" applyFont="1" applyBorder="1"/>
    <xf numFmtId="164" fontId="34" fillId="0" borderId="0" xfId="9" applyNumberFormat="1" applyFont="1"/>
    <xf numFmtId="167" fontId="34" fillId="0" borderId="5" xfId="12" applyNumberFormat="1" applyFont="1" applyBorder="1"/>
    <xf numFmtId="167" fontId="34" fillId="20" borderId="5" xfId="12" applyNumberFormat="1" applyFont="1" applyFill="1" applyBorder="1"/>
    <xf numFmtId="167" fontId="34" fillId="0" borderId="5" xfId="12" applyNumberFormat="1" applyFont="1" applyFill="1" applyBorder="1"/>
    <xf numFmtId="167" fontId="32" fillId="0" borderId="39" xfId="12" applyNumberFormat="1" applyFont="1" applyFill="1" applyBorder="1"/>
    <xf numFmtId="0" fontId="34" fillId="0" borderId="42" xfId="9" applyFont="1" applyBorder="1"/>
    <xf numFmtId="167" fontId="34" fillId="0" borderId="43" xfId="12" applyNumberFormat="1" applyFont="1" applyBorder="1"/>
    <xf numFmtId="165" fontId="34" fillId="0" borderId="38" xfId="12" applyNumberFormat="1" applyFont="1" applyBorder="1"/>
    <xf numFmtId="0" fontId="32" fillId="0" borderId="41" xfId="9" applyFont="1" applyBorder="1"/>
    <xf numFmtId="164" fontId="34" fillId="0" borderId="38" xfId="12" applyNumberFormat="1" applyFont="1" applyFill="1" applyBorder="1"/>
    <xf numFmtId="165" fontId="34" fillId="0" borderId="38" xfId="12" applyNumberFormat="1" applyFont="1" applyFill="1" applyBorder="1"/>
    <xf numFmtId="165" fontId="32" fillId="0" borderId="38" xfId="12" applyNumberFormat="1" applyFont="1" applyFill="1" applyBorder="1"/>
    <xf numFmtId="165" fontId="32" fillId="0" borderId="39" xfId="12" applyNumberFormat="1" applyFont="1" applyFill="1" applyBorder="1"/>
    <xf numFmtId="164" fontId="32" fillId="0" borderId="39" xfId="12" applyNumberFormat="1" applyFont="1" applyFill="1" applyBorder="1"/>
    <xf numFmtId="164" fontId="32" fillId="0" borderId="22" xfId="12" applyNumberFormat="1" applyFont="1" applyFill="1" applyBorder="1"/>
    <xf numFmtId="165" fontId="34" fillId="0" borderId="40" xfId="12" applyNumberFormat="1" applyFont="1" applyFill="1" applyBorder="1"/>
    <xf numFmtId="165" fontId="34" fillId="0" borderId="5" xfId="12" applyNumberFormat="1" applyFont="1" applyFill="1" applyBorder="1"/>
    <xf numFmtId="164" fontId="34" fillId="0" borderId="5" xfId="12" applyNumberFormat="1" applyFont="1" applyFill="1" applyBorder="1"/>
    <xf numFmtId="164" fontId="34" fillId="0" borderId="41" xfId="12" applyNumberFormat="1" applyFont="1" applyFill="1" applyBorder="1"/>
    <xf numFmtId="164" fontId="34" fillId="0" borderId="40" xfId="9" applyNumberFormat="1" applyFont="1" applyBorder="1"/>
    <xf numFmtId="167" fontId="34" fillId="0" borderId="0" xfId="12" applyNumberFormat="1" applyFont="1" applyFill="1" applyBorder="1"/>
    <xf numFmtId="164" fontId="15" fillId="0" borderId="0" xfId="12" applyNumberFormat="1"/>
    <xf numFmtId="165" fontId="33" fillId="16" borderId="0" xfId="9" applyNumberFormat="1" applyFont="1" applyFill="1"/>
    <xf numFmtId="165" fontId="33" fillId="0" borderId="0" xfId="9" applyNumberFormat="1" applyFont="1"/>
    <xf numFmtId="167" fontId="32" fillId="18" borderId="39" xfId="12" applyNumberFormat="1" applyFont="1" applyFill="1" applyBorder="1"/>
    <xf numFmtId="167" fontId="34" fillId="18" borderId="5" xfId="12" applyNumberFormat="1" applyFont="1" applyFill="1" applyBorder="1"/>
    <xf numFmtId="167" fontId="33" fillId="18" borderId="5" xfId="9" applyNumberFormat="1" applyFont="1" applyFill="1" applyBorder="1"/>
    <xf numFmtId="0" fontId="30" fillId="11" borderId="0" xfId="9" applyFont="1" applyFill="1"/>
    <xf numFmtId="164" fontId="30" fillId="11" borderId="0" xfId="9" applyNumberFormat="1" applyFont="1" applyFill="1"/>
    <xf numFmtId="14" fontId="32" fillId="0" borderId="38" xfId="9" applyNumberFormat="1" applyFont="1" applyBorder="1"/>
    <xf numFmtId="164" fontId="38" fillId="0" borderId="0" xfId="12" applyNumberFormat="1" applyFont="1"/>
    <xf numFmtId="0" fontId="36" fillId="0" borderId="0" xfId="9" applyFont="1"/>
    <xf numFmtId="166" fontId="36" fillId="0" borderId="0" xfId="8" applyNumberFormat="1" applyFont="1"/>
    <xf numFmtId="166" fontId="30" fillId="0" borderId="0" xfId="8" applyNumberFormat="1" applyFont="1"/>
    <xf numFmtId="9" fontId="30" fillId="0" borderId="0" xfId="9" applyNumberFormat="1" applyFont="1"/>
    <xf numFmtId="164" fontId="34" fillId="0" borderId="0" xfId="12" applyNumberFormat="1" applyFont="1"/>
    <xf numFmtId="9" fontId="5" fillId="14" borderId="11" xfId="4" applyFont="1" applyFill="1" applyBorder="1" applyAlignment="1">
      <alignment horizontal="left" wrapText="1"/>
    </xf>
    <xf numFmtId="9" fontId="5" fillId="14" borderId="12" xfId="4" applyFont="1" applyFill="1" applyBorder="1" applyAlignment="1">
      <alignment horizontal="left" wrapText="1"/>
    </xf>
    <xf numFmtId="0" fontId="6" fillId="0" borderId="0" xfId="14" applyFont="1"/>
    <xf numFmtId="0" fontId="11" fillId="0" borderId="0" xfId="14" applyFont="1"/>
    <xf numFmtId="0" fontId="2" fillId="0" borderId="0" xfId="13"/>
    <xf numFmtId="9" fontId="5" fillId="0" borderId="11" xfId="4" applyFont="1" applyFill="1" applyBorder="1" applyAlignment="1">
      <alignment horizontal="left" wrapText="1"/>
    </xf>
    <xf numFmtId="9" fontId="5" fillId="0" borderId="12" xfId="4" applyFont="1" applyFill="1" applyBorder="1" applyAlignment="1">
      <alignment horizontal="left" wrapText="1"/>
    </xf>
  </cellXfs>
  <cellStyles count="16">
    <cellStyle name="Comma" xfId="1" builtinId="3"/>
    <cellStyle name="Comma 2" xfId="12" xr:uid="{D98C040D-EF9A-4560-93C3-6D41318DE3E4}"/>
    <cellStyle name="Hyperlink" xfId="6" builtinId="8"/>
    <cellStyle name="Komats 10" xfId="5" xr:uid="{A9CDF9F8-FD3B-49D5-9222-65482BCA9C58}"/>
    <cellStyle name="Normal" xfId="0" builtinId="0"/>
    <cellStyle name="Normal 2" xfId="9" xr:uid="{1E7BACDD-4A06-4F78-9D95-2E612094DC3D}"/>
    <cellStyle name="Normal 2 2" xfId="7" xr:uid="{F2D3361D-E357-406B-BA25-BD279C8BC9E0}"/>
    <cellStyle name="Normal 4" xfId="11" xr:uid="{4B62F47B-B2D1-4777-A50D-6625DB25CCE8}"/>
    <cellStyle name="Parasts 2 2 2 2" xfId="10" xr:uid="{D796BBC4-2527-4F16-821A-A4687C77318A}"/>
    <cellStyle name="Parasts 2 2 2 2 2" xfId="15" xr:uid="{00881BDE-C974-4E60-835B-B9888F7DD211}"/>
    <cellStyle name="Parasts 2 2 5" xfId="2" xr:uid="{7696C1B0-CCF0-4F99-8EAC-EB9CC01E75F3}"/>
    <cellStyle name="Parasts 2 2 5 2" xfId="3" xr:uid="{FF6D231F-C441-40EE-905E-00B51BC2AB1E}"/>
    <cellStyle name="Parasts 2 2 5 2 2" xfId="14" xr:uid="{F89A3419-E405-445F-90E9-FB99CF326B59}"/>
    <cellStyle name="Parasts 2 2 5 3" xfId="13" xr:uid="{23492822-9848-48AD-83E7-165B43418CBB}"/>
    <cellStyle name="Percent 4" xfId="8" xr:uid="{D71403B1-8654-4BFE-B01C-6E6673A65C05}"/>
    <cellStyle name="Procenti 2 3" xfId="4" xr:uid="{D295721D-D482-467A-80E1-31D46620901B}"/>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B777-E9A1-4DC5-8DBC-27D7A3E4501E}">
  <sheetPr>
    <tabColor rgb="FF92D050"/>
    <pageSetUpPr fitToPage="1"/>
  </sheetPr>
  <dimension ref="A1:Q301"/>
  <sheetViews>
    <sheetView tabSelected="1" zoomScaleNormal="100" zoomScaleSheetLayoutView="80" workbookViewId="0">
      <pane xSplit="4" ySplit="5" topLeftCell="E127" activePane="bottomRight" state="frozen"/>
      <selection activeCell="C1" sqref="C1"/>
      <selection pane="topRight" activeCell="E1" sqref="E1"/>
      <selection pane="bottomLeft" activeCell="C6" sqref="C6"/>
      <selection pane="bottomRight" activeCell="E2" sqref="E2"/>
    </sheetView>
  </sheetViews>
  <sheetFormatPr defaultRowHeight="15" outlineLevelRow="1" outlineLevelCol="2" x14ac:dyDescent="0.25"/>
  <cols>
    <col min="1" max="1" width="7.85546875" style="191" hidden="1" customWidth="1" outlineLevel="2"/>
    <col min="2" max="2" width="11.42578125" style="191" hidden="1" customWidth="1" outlineLevel="2"/>
    <col min="3" max="3" width="15" style="266" customWidth="1" collapsed="1"/>
    <col min="4" max="4" width="48.5703125" style="197" customWidth="1"/>
    <col min="5" max="5" width="14.85546875" style="5" customWidth="1"/>
    <col min="6" max="6" width="14.85546875" style="6" customWidth="1" collapsed="1"/>
    <col min="7" max="7" width="14.85546875" style="191" hidden="1" customWidth="1" outlineLevel="1"/>
    <col min="8" max="8" width="54" style="12" hidden="1" customWidth="1" outlineLevel="1" collapsed="1"/>
    <col min="9" max="9" width="14.85546875" style="191" customWidth="1" collapsed="1"/>
    <col min="10" max="10" width="14.85546875" style="191" hidden="1" customWidth="1" outlineLevel="1"/>
    <col min="11" max="11" width="56.42578125" style="13" hidden="1" customWidth="1" outlineLevel="1" collapsed="1"/>
    <col min="12" max="12" width="14.85546875" style="191" customWidth="1" collapsed="1"/>
    <col min="13" max="13" width="14.85546875" style="191" hidden="1" customWidth="1" outlineLevel="1"/>
    <col min="14" max="14" width="64.85546875" style="13" hidden="1" customWidth="1" outlineLevel="1" collapsed="1"/>
    <col min="15" max="15" width="14.85546875" style="191" customWidth="1" collapsed="1"/>
    <col min="16" max="16" width="14.85546875" style="191" customWidth="1"/>
    <col min="17" max="17" width="70.42578125" style="13" customWidth="1" collapsed="1"/>
    <col min="18" max="181" width="9" style="191"/>
    <col min="182" max="183" width="0" style="191" hidden="1" customWidth="1"/>
    <col min="184" max="184" width="13.7109375" style="191" customWidth="1"/>
    <col min="185" max="185" width="52.85546875" style="191" customWidth="1"/>
    <col min="186" max="225" width="0" style="191" hidden="1" customWidth="1"/>
    <col min="226" max="227" width="14.85546875" style="191" customWidth="1"/>
    <col min="228" max="229" width="0" style="191" hidden="1" customWidth="1"/>
    <col min="230" max="230" width="14.85546875" style="191" customWidth="1"/>
    <col min="231" max="232" width="0" style="191" hidden="1" customWidth="1"/>
    <col min="233" max="233" width="14.85546875" style="191" customWidth="1"/>
    <col min="234" max="235" width="0" style="191" hidden="1" customWidth="1"/>
    <col min="236" max="236" width="14.85546875" style="191" customWidth="1"/>
    <col min="237" max="238" width="0" style="191" hidden="1" customWidth="1"/>
    <col min="239" max="239" width="14.85546875" style="191" customWidth="1"/>
    <col min="240" max="241" width="0" style="191" hidden="1" customWidth="1"/>
    <col min="242" max="243" width="14.85546875" style="191" customWidth="1"/>
    <col min="244" max="244" width="44.42578125" style="191" customWidth="1"/>
    <col min="245" max="249" width="14.85546875" style="191" customWidth="1"/>
    <col min="250" max="250" width="63.85546875" style="191" customWidth="1"/>
    <col min="251" max="251" width="13.28515625" style="191" customWidth="1"/>
    <col min="252" max="437" width="9" style="191"/>
    <col min="438" max="439" width="0" style="191" hidden="1" customWidth="1"/>
    <col min="440" max="440" width="13.7109375" style="191" customWidth="1"/>
    <col min="441" max="441" width="52.85546875" style="191" customWidth="1"/>
    <col min="442" max="481" width="0" style="191" hidden="1" customWidth="1"/>
    <col min="482" max="483" width="14.85546875" style="191" customWidth="1"/>
    <col min="484" max="485" width="0" style="191" hidden="1" customWidth="1"/>
    <col min="486" max="486" width="14.85546875" style="191" customWidth="1"/>
    <col min="487" max="488" width="0" style="191" hidden="1" customWidth="1"/>
    <col min="489" max="489" width="14.85546875" style="191" customWidth="1"/>
    <col min="490" max="491" width="0" style="191" hidden="1" customWidth="1"/>
    <col min="492" max="492" width="14.85546875" style="191" customWidth="1"/>
    <col min="493" max="494" width="0" style="191" hidden="1" customWidth="1"/>
    <col min="495" max="495" width="14.85546875" style="191" customWidth="1"/>
    <col min="496" max="497" width="0" style="191" hidden="1" customWidth="1"/>
    <col min="498" max="499" width="14.85546875" style="191" customWidth="1"/>
    <col min="500" max="500" width="44.42578125" style="191" customWidth="1"/>
    <col min="501" max="505" width="14.85546875" style="191" customWidth="1"/>
    <col min="506" max="506" width="63.85546875" style="191" customWidth="1"/>
    <col min="507" max="507" width="13.28515625" style="191" customWidth="1"/>
    <col min="508" max="693" width="9" style="191"/>
    <col min="694" max="695" width="0" style="191" hidden="1" customWidth="1"/>
    <col min="696" max="696" width="13.7109375" style="191" customWidth="1"/>
    <col min="697" max="697" width="52.85546875" style="191" customWidth="1"/>
    <col min="698" max="737" width="0" style="191" hidden="1" customWidth="1"/>
    <col min="738" max="739" width="14.85546875" style="191" customWidth="1"/>
    <col min="740" max="741" width="0" style="191" hidden="1" customWidth="1"/>
    <col min="742" max="742" width="14.85546875" style="191" customWidth="1"/>
    <col min="743" max="744" width="0" style="191" hidden="1" customWidth="1"/>
    <col min="745" max="745" width="14.85546875" style="191" customWidth="1"/>
    <col min="746" max="747" width="0" style="191" hidden="1" customWidth="1"/>
    <col min="748" max="748" width="14.85546875" style="191" customWidth="1"/>
    <col min="749" max="750" width="0" style="191" hidden="1" customWidth="1"/>
    <col min="751" max="751" width="14.85546875" style="191" customWidth="1"/>
    <col min="752" max="753" width="0" style="191" hidden="1" customWidth="1"/>
    <col min="754" max="755" width="14.85546875" style="191" customWidth="1"/>
    <col min="756" max="756" width="44.42578125" style="191" customWidth="1"/>
    <col min="757" max="761" width="14.85546875" style="191" customWidth="1"/>
    <col min="762" max="762" width="63.85546875" style="191" customWidth="1"/>
    <col min="763" max="763" width="13.28515625" style="191" customWidth="1"/>
    <col min="764" max="949" width="9" style="191"/>
    <col min="950" max="951" width="0" style="191" hidden="1" customWidth="1"/>
    <col min="952" max="952" width="13.7109375" style="191" customWidth="1"/>
    <col min="953" max="953" width="52.85546875" style="191" customWidth="1"/>
    <col min="954" max="993" width="0" style="191" hidden="1" customWidth="1"/>
    <col min="994" max="995" width="14.85546875" style="191" customWidth="1"/>
    <col min="996" max="997" width="0" style="191" hidden="1" customWidth="1"/>
    <col min="998" max="998" width="14.85546875" style="191" customWidth="1"/>
    <col min="999" max="1000" width="0" style="191" hidden="1" customWidth="1"/>
    <col min="1001" max="1001" width="14.85546875" style="191" customWidth="1"/>
    <col min="1002" max="1003" width="0" style="191" hidden="1" customWidth="1"/>
    <col min="1004" max="1004" width="14.85546875" style="191" customWidth="1"/>
    <col min="1005" max="1006" width="0" style="191" hidden="1" customWidth="1"/>
    <col min="1007" max="1007" width="14.85546875" style="191" customWidth="1"/>
    <col min="1008" max="1009" width="0" style="191" hidden="1" customWidth="1"/>
    <col min="1010" max="1011" width="14.85546875" style="191" customWidth="1"/>
    <col min="1012" max="1012" width="44.42578125" style="191" customWidth="1"/>
    <col min="1013" max="1017" width="14.85546875" style="191" customWidth="1"/>
    <col min="1018" max="1018" width="63.85546875" style="191" customWidth="1"/>
    <col min="1019" max="1019" width="13.28515625" style="191" customWidth="1"/>
    <col min="1020" max="1205" width="9" style="191"/>
    <col min="1206" max="1207" width="0" style="191" hidden="1" customWidth="1"/>
    <col min="1208" max="1208" width="13.7109375" style="191" customWidth="1"/>
    <col min="1209" max="1209" width="52.85546875" style="191" customWidth="1"/>
    <col min="1210" max="1249" width="0" style="191" hidden="1" customWidth="1"/>
    <col min="1250" max="1251" width="14.85546875" style="191" customWidth="1"/>
    <col min="1252" max="1253" width="0" style="191" hidden="1" customWidth="1"/>
    <col min="1254" max="1254" width="14.85546875" style="191" customWidth="1"/>
    <col min="1255" max="1256" width="0" style="191" hidden="1" customWidth="1"/>
    <col min="1257" max="1257" width="14.85546875" style="191" customWidth="1"/>
    <col min="1258" max="1259" width="0" style="191" hidden="1" customWidth="1"/>
    <col min="1260" max="1260" width="14.85546875" style="191" customWidth="1"/>
    <col min="1261" max="1262" width="0" style="191" hidden="1" customWidth="1"/>
    <col min="1263" max="1263" width="14.85546875" style="191" customWidth="1"/>
    <col min="1264" max="1265" width="0" style="191" hidden="1" customWidth="1"/>
    <col min="1266" max="1267" width="14.85546875" style="191" customWidth="1"/>
    <col min="1268" max="1268" width="44.42578125" style="191" customWidth="1"/>
    <col min="1269" max="1273" width="14.85546875" style="191" customWidth="1"/>
    <col min="1274" max="1274" width="63.85546875" style="191" customWidth="1"/>
    <col min="1275" max="1275" width="13.28515625" style="191" customWidth="1"/>
    <col min="1276" max="1461" width="9" style="191"/>
    <col min="1462" max="1463" width="0" style="191" hidden="1" customWidth="1"/>
    <col min="1464" max="1464" width="13.7109375" style="191" customWidth="1"/>
    <col min="1465" max="1465" width="52.85546875" style="191" customWidth="1"/>
    <col min="1466" max="1505" width="0" style="191" hidden="1" customWidth="1"/>
    <col min="1506" max="1507" width="14.85546875" style="191" customWidth="1"/>
    <col min="1508" max="1509" width="0" style="191" hidden="1" customWidth="1"/>
    <col min="1510" max="1510" width="14.85546875" style="191" customWidth="1"/>
    <col min="1511" max="1512" width="0" style="191" hidden="1" customWidth="1"/>
    <col min="1513" max="1513" width="14.85546875" style="191" customWidth="1"/>
    <col min="1514" max="1515" width="0" style="191" hidden="1" customWidth="1"/>
    <col min="1516" max="1516" width="14.85546875" style="191" customWidth="1"/>
    <col min="1517" max="1518" width="0" style="191" hidden="1" customWidth="1"/>
    <col min="1519" max="1519" width="14.85546875" style="191" customWidth="1"/>
    <col min="1520" max="1521" width="0" style="191" hidden="1" customWidth="1"/>
    <col min="1522" max="1523" width="14.85546875" style="191" customWidth="1"/>
    <col min="1524" max="1524" width="44.42578125" style="191" customWidth="1"/>
    <col min="1525" max="1529" width="14.85546875" style="191" customWidth="1"/>
    <col min="1530" max="1530" width="63.85546875" style="191" customWidth="1"/>
    <col min="1531" max="1531" width="13.28515625" style="191" customWidth="1"/>
    <col min="1532" max="1717" width="9" style="191"/>
    <col min="1718" max="1719" width="0" style="191" hidden="1" customWidth="1"/>
    <col min="1720" max="1720" width="13.7109375" style="191" customWidth="1"/>
    <col min="1721" max="1721" width="52.85546875" style="191" customWidth="1"/>
    <col min="1722" max="1761" width="0" style="191" hidden="1" customWidth="1"/>
    <col min="1762" max="1763" width="14.85546875" style="191" customWidth="1"/>
    <col min="1764" max="1765" width="0" style="191" hidden="1" customWidth="1"/>
    <col min="1766" max="1766" width="14.85546875" style="191" customWidth="1"/>
    <col min="1767" max="1768" width="0" style="191" hidden="1" customWidth="1"/>
    <col min="1769" max="1769" width="14.85546875" style="191" customWidth="1"/>
    <col min="1770" max="1771" width="0" style="191" hidden="1" customWidth="1"/>
    <col min="1772" max="1772" width="14.85546875" style="191" customWidth="1"/>
    <col min="1773" max="1774" width="0" style="191" hidden="1" customWidth="1"/>
    <col min="1775" max="1775" width="14.85546875" style="191" customWidth="1"/>
    <col min="1776" max="1777" width="0" style="191" hidden="1" customWidth="1"/>
    <col min="1778" max="1779" width="14.85546875" style="191" customWidth="1"/>
    <col min="1780" max="1780" width="44.42578125" style="191" customWidth="1"/>
    <col min="1781" max="1785" width="14.85546875" style="191" customWidth="1"/>
    <col min="1786" max="1786" width="63.85546875" style="191" customWidth="1"/>
    <col min="1787" max="1787" width="13.28515625" style="191" customWidth="1"/>
    <col min="1788" max="1973" width="9" style="191"/>
    <col min="1974" max="1975" width="0" style="191" hidden="1" customWidth="1"/>
    <col min="1976" max="1976" width="13.7109375" style="191" customWidth="1"/>
    <col min="1977" max="1977" width="52.85546875" style="191" customWidth="1"/>
    <col min="1978" max="2017" width="0" style="191" hidden="1" customWidth="1"/>
    <col min="2018" max="2019" width="14.85546875" style="191" customWidth="1"/>
    <col min="2020" max="2021" width="0" style="191" hidden="1" customWidth="1"/>
    <col min="2022" max="2022" width="14.85546875" style="191" customWidth="1"/>
    <col min="2023" max="2024" width="0" style="191" hidden="1" customWidth="1"/>
    <col min="2025" max="2025" width="14.85546875" style="191" customWidth="1"/>
    <col min="2026" max="2027" width="0" style="191" hidden="1" customWidth="1"/>
    <col min="2028" max="2028" width="14.85546875" style="191" customWidth="1"/>
    <col min="2029" max="2030" width="0" style="191" hidden="1" customWidth="1"/>
    <col min="2031" max="2031" width="14.85546875" style="191" customWidth="1"/>
    <col min="2032" max="2033" width="0" style="191" hidden="1" customWidth="1"/>
    <col min="2034" max="2035" width="14.85546875" style="191" customWidth="1"/>
    <col min="2036" max="2036" width="44.42578125" style="191" customWidth="1"/>
    <col min="2037" max="2041" width="14.85546875" style="191" customWidth="1"/>
    <col min="2042" max="2042" width="63.85546875" style="191" customWidth="1"/>
    <col min="2043" max="2043" width="13.28515625" style="191" customWidth="1"/>
    <col min="2044" max="2229" width="9" style="191"/>
    <col min="2230" max="2231" width="0" style="191" hidden="1" customWidth="1"/>
    <col min="2232" max="2232" width="13.7109375" style="191" customWidth="1"/>
    <col min="2233" max="2233" width="52.85546875" style="191" customWidth="1"/>
    <col min="2234" max="2273" width="0" style="191" hidden="1" customWidth="1"/>
    <col min="2274" max="2275" width="14.85546875" style="191" customWidth="1"/>
    <col min="2276" max="2277" width="0" style="191" hidden="1" customWidth="1"/>
    <col min="2278" max="2278" width="14.85546875" style="191" customWidth="1"/>
    <col min="2279" max="2280" width="0" style="191" hidden="1" customWidth="1"/>
    <col min="2281" max="2281" width="14.85546875" style="191" customWidth="1"/>
    <col min="2282" max="2283" width="0" style="191" hidden="1" customWidth="1"/>
    <col min="2284" max="2284" width="14.85546875" style="191" customWidth="1"/>
    <col min="2285" max="2286" width="0" style="191" hidden="1" customWidth="1"/>
    <col min="2287" max="2287" width="14.85546875" style="191" customWidth="1"/>
    <col min="2288" max="2289" width="0" style="191" hidden="1" customWidth="1"/>
    <col min="2290" max="2291" width="14.85546875" style="191" customWidth="1"/>
    <col min="2292" max="2292" width="44.42578125" style="191" customWidth="1"/>
    <col min="2293" max="2297" width="14.85546875" style="191" customWidth="1"/>
    <col min="2298" max="2298" width="63.85546875" style="191" customWidth="1"/>
    <col min="2299" max="2299" width="13.28515625" style="191" customWidth="1"/>
    <col min="2300" max="2485" width="9" style="191"/>
    <col min="2486" max="2487" width="0" style="191" hidden="1" customWidth="1"/>
    <col min="2488" max="2488" width="13.7109375" style="191" customWidth="1"/>
    <col min="2489" max="2489" width="52.85546875" style="191" customWidth="1"/>
    <col min="2490" max="2529" width="0" style="191" hidden="1" customWidth="1"/>
    <col min="2530" max="2531" width="14.85546875" style="191" customWidth="1"/>
    <col min="2532" max="2533" width="0" style="191" hidden="1" customWidth="1"/>
    <col min="2534" max="2534" width="14.85546875" style="191" customWidth="1"/>
    <col min="2535" max="2536" width="0" style="191" hidden="1" customWidth="1"/>
    <col min="2537" max="2537" width="14.85546875" style="191" customWidth="1"/>
    <col min="2538" max="2539" width="0" style="191" hidden="1" customWidth="1"/>
    <col min="2540" max="2540" width="14.85546875" style="191" customWidth="1"/>
    <col min="2541" max="2542" width="0" style="191" hidden="1" customWidth="1"/>
    <col min="2543" max="2543" width="14.85546875" style="191" customWidth="1"/>
    <col min="2544" max="2545" width="0" style="191" hidden="1" customWidth="1"/>
    <col min="2546" max="2547" width="14.85546875" style="191" customWidth="1"/>
    <col min="2548" max="2548" width="44.42578125" style="191" customWidth="1"/>
    <col min="2549" max="2553" width="14.85546875" style="191" customWidth="1"/>
    <col min="2554" max="2554" width="63.85546875" style="191" customWidth="1"/>
    <col min="2555" max="2555" width="13.28515625" style="191" customWidth="1"/>
    <col min="2556" max="2741" width="9" style="191"/>
    <col min="2742" max="2743" width="0" style="191" hidden="1" customWidth="1"/>
    <col min="2744" max="2744" width="13.7109375" style="191" customWidth="1"/>
    <col min="2745" max="2745" width="52.85546875" style="191" customWidth="1"/>
    <col min="2746" max="2785" width="0" style="191" hidden="1" customWidth="1"/>
    <col min="2786" max="2787" width="14.85546875" style="191" customWidth="1"/>
    <col min="2788" max="2789" width="0" style="191" hidden="1" customWidth="1"/>
    <col min="2790" max="2790" width="14.85546875" style="191" customWidth="1"/>
    <col min="2791" max="2792" width="0" style="191" hidden="1" customWidth="1"/>
    <col min="2793" max="2793" width="14.85546875" style="191" customWidth="1"/>
    <col min="2794" max="2795" width="0" style="191" hidden="1" customWidth="1"/>
    <col min="2796" max="2796" width="14.85546875" style="191" customWidth="1"/>
    <col min="2797" max="2798" width="0" style="191" hidden="1" customWidth="1"/>
    <col min="2799" max="2799" width="14.85546875" style="191" customWidth="1"/>
    <col min="2800" max="2801" width="0" style="191" hidden="1" customWidth="1"/>
    <col min="2802" max="2803" width="14.85546875" style="191" customWidth="1"/>
    <col min="2804" max="2804" width="44.42578125" style="191" customWidth="1"/>
    <col min="2805" max="2809" width="14.85546875" style="191" customWidth="1"/>
    <col min="2810" max="2810" width="63.85546875" style="191" customWidth="1"/>
    <col min="2811" max="2811" width="13.28515625" style="191" customWidth="1"/>
    <col min="2812" max="2997" width="9" style="191"/>
    <col min="2998" max="2999" width="0" style="191" hidden="1" customWidth="1"/>
    <col min="3000" max="3000" width="13.7109375" style="191" customWidth="1"/>
    <col min="3001" max="3001" width="52.85546875" style="191" customWidth="1"/>
    <col min="3002" max="3041" width="0" style="191" hidden="1" customWidth="1"/>
    <col min="3042" max="3043" width="14.85546875" style="191" customWidth="1"/>
    <col min="3044" max="3045" width="0" style="191" hidden="1" customWidth="1"/>
    <col min="3046" max="3046" width="14.85546875" style="191" customWidth="1"/>
    <col min="3047" max="3048" width="0" style="191" hidden="1" customWidth="1"/>
    <col min="3049" max="3049" width="14.85546875" style="191" customWidth="1"/>
    <col min="3050" max="3051" width="0" style="191" hidden="1" customWidth="1"/>
    <col min="3052" max="3052" width="14.85546875" style="191" customWidth="1"/>
    <col min="3053" max="3054" width="0" style="191" hidden="1" customWidth="1"/>
    <col min="3055" max="3055" width="14.85546875" style="191" customWidth="1"/>
    <col min="3056" max="3057" width="0" style="191" hidden="1" customWidth="1"/>
    <col min="3058" max="3059" width="14.85546875" style="191" customWidth="1"/>
    <col min="3060" max="3060" width="44.42578125" style="191" customWidth="1"/>
    <col min="3061" max="3065" width="14.85546875" style="191" customWidth="1"/>
    <col min="3066" max="3066" width="63.85546875" style="191" customWidth="1"/>
    <col min="3067" max="3067" width="13.28515625" style="191" customWidth="1"/>
    <col min="3068" max="3253" width="9" style="191"/>
    <col min="3254" max="3255" width="0" style="191" hidden="1" customWidth="1"/>
    <col min="3256" max="3256" width="13.7109375" style="191" customWidth="1"/>
    <col min="3257" max="3257" width="52.85546875" style="191" customWidth="1"/>
    <col min="3258" max="3297" width="0" style="191" hidden="1" customWidth="1"/>
    <col min="3298" max="3299" width="14.85546875" style="191" customWidth="1"/>
    <col min="3300" max="3301" width="0" style="191" hidden="1" customWidth="1"/>
    <col min="3302" max="3302" width="14.85546875" style="191" customWidth="1"/>
    <col min="3303" max="3304" width="0" style="191" hidden="1" customWidth="1"/>
    <col min="3305" max="3305" width="14.85546875" style="191" customWidth="1"/>
    <col min="3306" max="3307" width="0" style="191" hidden="1" customWidth="1"/>
    <col min="3308" max="3308" width="14.85546875" style="191" customWidth="1"/>
    <col min="3309" max="3310" width="0" style="191" hidden="1" customWidth="1"/>
    <col min="3311" max="3311" width="14.85546875" style="191" customWidth="1"/>
    <col min="3312" max="3313" width="0" style="191" hidden="1" customWidth="1"/>
    <col min="3314" max="3315" width="14.85546875" style="191" customWidth="1"/>
    <col min="3316" max="3316" width="44.42578125" style="191" customWidth="1"/>
    <col min="3317" max="3321" width="14.85546875" style="191" customWidth="1"/>
    <col min="3322" max="3322" width="63.85546875" style="191" customWidth="1"/>
    <col min="3323" max="3323" width="13.28515625" style="191" customWidth="1"/>
    <col min="3324" max="3509" width="9" style="191"/>
    <col min="3510" max="3511" width="0" style="191" hidden="1" customWidth="1"/>
    <col min="3512" max="3512" width="13.7109375" style="191" customWidth="1"/>
    <col min="3513" max="3513" width="52.85546875" style="191" customWidth="1"/>
    <col min="3514" max="3553" width="0" style="191" hidden="1" customWidth="1"/>
    <col min="3554" max="3555" width="14.85546875" style="191" customWidth="1"/>
    <col min="3556" max="3557" width="0" style="191" hidden="1" customWidth="1"/>
    <col min="3558" max="3558" width="14.85546875" style="191" customWidth="1"/>
    <col min="3559" max="3560" width="0" style="191" hidden="1" customWidth="1"/>
    <col min="3561" max="3561" width="14.85546875" style="191" customWidth="1"/>
    <col min="3562" max="3563" width="0" style="191" hidden="1" customWidth="1"/>
    <col min="3564" max="3564" width="14.85546875" style="191" customWidth="1"/>
    <col min="3565" max="3566" width="0" style="191" hidden="1" customWidth="1"/>
    <col min="3567" max="3567" width="14.85546875" style="191" customWidth="1"/>
    <col min="3568" max="3569" width="0" style="191" hidden="1" customWidth="1"/>
    <col min="3570" max="3571" width="14.85546875" style="191" customWidth="1"/>
    <col min="3572" max="3572" width="44.42578125" style="191" customWidth="1"/>
    <col min="3573" max="3577" width="14.85546875" style="191" customWidth="1"/>
    <col min="3578" max="3578" width="63.85546875" style="191" customWidth="1"/>
    <col min="3579" max="3579" width="13.28515625" style="191" customWidth="1"/>
    <col min="3580" max="3765" width="9" style="191"/>
    <col min="3766" max="3767" width="0" style="191" hidden="1" customWidth="1"/>
    <col min="3768" max="3768" width="13.7109375" style="191" customWidth="1"/>
    <col min="3769" max="3769" width="52.85546875" style="191" customWidth="1"/>
    <col min="3770" max="3809" width="0" style="191" hidden="1" customWidth="1"/>
    <col min="3810" max="3811" width="14.85546875" style="191" customWidth="1"/>
    <col min="3812" max="3813" width="0" style="191" hidden="1" customWidth="1"/>
    <col min="3814" max="3814" width="14.85546875" style="191" customWidth="1"/>
    <col min="3815" max="3816" width="0" style="191" hidden="1" customWidth="1"/>
    <col min="3817" max="3817" width="14.85546875" style="191" customWidth="1"/>
    <col min="3818" max="3819" width="0" style="191" hidden="1" customWidth="1"/>
    <col min="3820" max="3820" width="14.85546875" style="191" customWidth="1"/>
    <col min="3821" max="3822" width="0" style="191" hidden="1" customWidth="1"/>
    <col min="3823" max="3823" width="14.85546875" style="191" customWidth="1"/>
    <col min="3824" max="3825" width="0" style="191" hidden="1" customWidth="1"/>
    <col min="3826" max="3827" width="14.85546875" style="191" customWidth="1"/>
    <col min="3828" max="3828" width="44.42578125" style="191" customWidth="1"/>
    <col min="3829" max="3833" width="14.85546875" style="191" customWidth="1"/>
    <col min="3834" max="3834" width="63.85546875" style="191" customWidth="1"/>
    <col min="3835" max="3835" width="13.28515625" style="191" customWidth="1"/>
    <col min="3836" max="4021" width="9" style="191"/>
    <col min="4022" max="4023" width="0" style="191" hidden="1" customWidth="1"/>
    <col min="4024" max="4024" width="13.7109375" style="191" customWidth="1"/>
    <col min="4025" max="4025" width="52.85546875" style="191" customWidth="1"/>
    <col min="4026" max="4065" width="0" style="191" hidden="1" customWidth="1"/>
    <col min="4066" max="4067" width="14.85546875" style="191" customWidth="1"/>
    <col min="4068" max="4069" width="0" style="191" hidden="1" customWidth="1"/>
    <col min="4070" max="4070" width="14.85546875" style="191" customWidth="1"/>
    <col min="4071" max="4072" width="0" style="191" hidden="1" customWidth="1"/>
    <col min="4073" max="4073" width="14.85546875" style="191" customWidth="1"/>
    <col min="4074" max="4075" width="0" style="191" hidden="1" customWidth="1"/>
    <col min="4076" max="4076" width="14.85546875" style="191" customWidth="1"/>
    <col min="4077" max="4078" width="0" style="191" hidden="1" customWidth="1"/>
    <col min="4079" max="4079" width="14.85546875" style="191" customWidth="1"/>
    <col min="4080" max="4081" width="0" style="191" hidden="1" customWidth="1"/>
    <col min="4082" max="4083" width="14.85546875" style="191" customWidth="1"/>
    <col min="4084" max="4084" width="44.42578125" style="191" customWidth="1"/>
    <col min="4085" max="4089" width="14.85546875" style="191" customWidth="1"/>
    <col min="4090" max="4090" width="63.85546875" style="191" customWidth="1"/>
    <col min="4091" max="4091" width="13.28515625" style="191" customWidth="1"/>
    <col min="4092" max="4277" width="9" style="191"/>
    <col min="4278" max="4279" width="0" style="191" hidden="1" customWidth="1"/>
    <col min="4280" max="4280" width="13.7109375" style="191" customWidth="1"/>
    <col min="4281" max="4281" width="52.85546875" style="191" customWidth="1"/>
    <col min="4282" max="4321" width="0" style="191" hidden="1" customWidth="1"/>
    <col min="4322" max="4323" width="14.85546875" style="191" customWidth="1"/>
    <col min="4324" max="4325" width="0" style="191" hidden="1" customWidth="1"/>
    <col min="4326" max="4326" width="14.85546875" style="191" customWidth="1"/>
    <col min="4327" max="4328" width="0" style="191" hidden="1" customWidth="1"/>
    <col min="4329" max="4329" width="14.85546875" style="191" customWidth="1"/>
    <col min="4330" max="4331" width="0" style="191" hidden="1" customWidth="1"/>
    <col min="4332" max="4332" width="14.85546875" style="191" customWidth="1"/>
    <col min="4333" max="4334" width="0" style="191" hidden="1" customWidth="1"/>
    <col min="4335" max="4335" width="14.85546875" style="191" customWidth="1"/>
    <col min="4336" max="4337" width="0" style="191" hidden="1" customWidth="1"/>
    <col min="4338" max="4339" width="14.85546875" style="191" customWidth="1"/>
    <col min="4340" max="4340" width="44.42578125" style="191" customWidth="1"/>
    <col min="4341" max="4345" width="14.85546875" style="191" customWidth="1"/>
    <col min="4346" max="4346" width="63.85546875" style="191" customWidth="1"/>
    <col min="4347" max="4347" width="13.28515625" style="191" customWidth="1"/>
    <col min="4348" max="4533" width="9" style="191"/>
    <col min="4534" max="4535" width="0" style="191" hidden="1" customWidth="1"/>
    <col min="4536" max="4536" width="13.7109375" style="191" customWidth="1"/>
    <col min="4537" max="4537" width="52.85546875" style="191" customWidth="1"/>
    <col min="4538" max="4577" width="0" style="191" hidden="1" customWidth="1"/>
    <col min="4578" max="4579" width="14.85546875" style="191" customWidth="1"/>
    <col min="4580" max="4581" width="0" style="191" hidden="1" customWidth="1"/>
    <col min="4582" max="4582" width="14.85546875" style="191" customWidth="1"/>
    <col min="4583" max="4584" width="0" style="191" hidden="1" customWidth="1"/>
    <col min="4585" max="4585" width="14.85546875" style="191" customWidth="1"/>
    <col min="4586" max="4587" width="0" style="191" hidden="1" customWidth="1"/>
    <col min="4588" max="4588" width="14.85546875" style="191" customWidth="1"/>
    <col min="4589" max="4590" width="0" style="191" hidden="1" customWidth="1"/>
    <col min="4591" max="4591" width="14.85546875" style="191" customWidth="1"/>
    <col min="4592" max="4593" width="0" style="191" hidden="1" customWidth="1"/>
    <col min="4594" max="4595" width="14.85546875" style="191" customWidth="1"/>
    <col min="4596" max="4596" width="44.42578125" style="191" customWidth="1"/>
    <col min="4597" max="4601" width="14.85546875" style="191" customWidth="1"/>
    <col min="4602" max="4602" width="63.85546875" style="191" customWidth="1"/>
    <col min="4603" max="4603" width="13.28515625" style="191" customWidth="1"/>
    <col min="4604" max="4789" width="9" style="191"/>
    <col min="4790" max="4791" width="0" style="191" hidden="1" customWidth="1"/>
    <col min="4792" max="4792" width="13.7109375" style="191" customWidth="1"/>
    <col min="4793" max="4793" width="52.85546875" style="191" customWidth="1"/>
    <col min="4794" max="4833" width="0" style="191" hidden="1" customWidth="1"/>
    <col min="4834" max="4835" width="14.85546875" style="191" customWidth="1"/>
    <col min="4836" max="4837" width="0" style="191" hidden="1" customWidth="1"/>
    <col min="4838" max="4838" width="14.85546875" style="191" customWidth="1"/>
    <col min="4839" max="4840" width="0" style="191" hidden="1" customWidth="1"/>
    <col min="4841" max="4841" width="14.85546875" style="191" customWidth="1"/>
    <col min="4842" max="4843" width="0" style="191" hidden="1" customWidth="1"/>
    <col min="4844" max="4844" width="14.85546875" style="191" customWidth="1"/>
    <col min="4845" max="4846" width="0" style="191" hidden="1" customWidth="1"/>
    <col min="4847" max="4847" width="14.85546875" style="191" customWidth="1"/>
    <col min="4848" max="4849" width="0" style="191" hidden="1" customWidth="1"/>
    <col min="4850" max="4851" width="14.85546875" style="191" customWidth="1"/>
    <col min="4852" max="4852" width="44.42578125" style="191" customWidth="1"/>
    <col min="4853" max="4857" width="14.85546875" style="191" customWidth="1"/>
    <col min="4858" max="4858" width="63.85546875" style="191" customWidth="1"/>
    <col min="4859" max="4859" width="13.28515625" style="191" customWidth="1"/>
    <col min="4860" max="5045" width="9" style="191"/>
    <col min="5046" max="5047" width="0" style="191" hidden="1" customWidth="1"/>
    <col min="5048" max="5048" width="13.7109375" style="191" customWidth="1"/>
    <col min="5049" max="5049" width="52.85546875" style="191" customWidth="1"/>
    <col min="5050" max="5089" width="0" style="191" hidden="1" customWidth="1"/>
    <col min="5090" max="5091" width="14.85546875" style="191" customWidth="1"/>
    <col min="5092" max="5093" width="0" style="191" hidden="1" customWidth="1"/>
    <col min="5094" max="5094" width="14.85546875" style="191" customWidth="1"/>
    <col min="5095" max="5096" width="0" style="191" hidden="1" customWidth="1"/>
    <col min="5097" max="5097" width="14.85546875" style="191" customWidth="1"/>
    <col min="5098" max="5099" width="0" style="191" hidden="1" customWidth="1"/>
    <col min="5100" max="5100" width="14.85546875" style="191" customWidth="1"/>
    <col min="5101" max="5102" width="0" style="191" hidden="1" customWidth="1"/>
    <col min="5103" max="5103" width="14.85546875" style="191" customWidth="1"/>
    <col min="5104" max="5105" width="0" style="191" hidden="1" customWidth="1"/>
    <col min="5106" max="5107" width="14.85546875" style="191" customWidth="1"/>
    <col min="5108" max="5108" width="44.42578125" style="191" customWidth="1"/>
    <col min="5109" max="5113" width="14.85546875" style="191" customWidth="1"/>
    <col min="5114" max="5114" width="63.85546875" style="191" customWidth="1"/>
    <col min="5115" max="5115" width="13.28515625" style="191" customWidth="1"/>
    <col min="5116" max="5301" width="9" style="191"/>
    <col min="5302" max="5303" width="0" style="191" hidden="1" customWidth="1"/>
    <col min="5304" max="5304" width="13.7109375" style="191" customWidth="1"/>
    <col min="5305" max="5305" width="52.85546875" style="191" customWidth="1"/>
    <col min="5306" max="5345" width="0" style="191" hidden="1" customWidth="1"/>
    <col min="5346" max="5347" width="14.85546875" style="191" customWidth="1"/>
    <col min="5348" max="5349" width="0" style="191" hidden="1" customWidth="1"/>
    <col min="5350" max="5350" width="14.85546875" style="191" customWidth="1"/>
    <col min="5351" max="5352" width="0" style="191" hidden="1" customWidth="1"/>
    <col min="5353" max="5353" width="14.85546875" style="191" customWidth="1"/>
    <col min="5354" max="5355" width="0" style="191" hidden="1" customWidth="1"/>
    <col min="5356" max="5356" width="14.85546875" style="191" customWidth="1"/>
    <col min="5357" max="5358" width="0" style="191" hidden="1" customWidth="1"/>
    <col min="5359" max="5359" width="14.85546875" style="191" customWidth="1"/>
    <col min="5360" max="5361" width="0" style="191" hidden="1" customWidth="1"/>
    <col min="5362" max="5363" width="14.85546875" style="191" customWidth="1"/>
    <col min="5364" max="5364" width="44.42578125" style="191" customWidth="1"/>
    <col min="5365" max="5369" width="14.85546875" style="191" customWidth="1"/>
    <col min="5370" max="5370" width="63.85546875" style="191" customWidth="1"/>
    <col min="5371" max="5371" width="13.28515625" style="191" customWidth="1"/>
    <col min="5372" max="5557" width="9" style="191"/>
    <col min="5558" max="5559" width="0" style="191" hidden="1" customWidth="1"/>
    <col min="5560" max="5560" width="13.7109375" style="191" customWidth="1"/>
    <col min="5561" max="5561" width="52.85546875" style="191" customWidth="1"/>
    <col min="5562" max="5601" width="0" style="191" hidden="1" customWidth="1"/>
    <col min="5602" max="5603" width="14.85546875" style="191" customWidth="1"/>
    <col min="5604" max="5605" width="0" style="191" hidden="1" customWidth="1"/>
    <col min="5606" max="5606" width="14.85546875" style="191" customWidth="1"/>
    <col min="5607" max="5608" width="0" style="191" hidden="1" customWidth="1"/>
    <col min="5609" max="5609" width="14.85546875" style="191" customWidth="1"/>
    <col min="5610" max="5611" width="0" style="191" hidden="1" customWidth="1"/>
    <col min="5612" max="5612" width="14.85546875" style="191" customWidth="1"/>
    <col min="5613" max="5614" width="0" style="191" hidden="1" customWidth="1"/>
    <col min="5615" max="5615" width="14.85546875" style="191" customWidth="1"/>
    <col min="5616" max="5617" width="0" style="191" hidden="1" customWidth="1"/>
    <col min="5618" max="5619" width="14.85546875" style="191" customWidth="1"/>
    <col min="5620" max="5620" width="44.42578125" style="191" customWidth="1"/>
    <col min="5621" max="5625" width="14.85546875" style="191" customWidth="1"/>
    <col min="5626" max="5626" width="63.85546875" style="191" customWidth="1"/>
    <col min="5627" max="5627" width="13.28515625" style="191" customWidth="1"/>
    <col min="5628" max="5813" width="9" style="191"/>
    <col min="5814" max="5815" width="0" style="191" hidden="1" customWidth="1"/>
    <col min="5816" max="5816" width="13.7109375" style="191" customWidth="1"/>
    <col min="5817" max="5817" width="52.85546875" style="191" customWidth="1"/>
    <col min="5818" max="5857" width="0" style="191" hidden="1" customWidth="1"/>
    <col min="5858" max="5859" width="14.85546875" style="191" customWidth="1"/>
    <col min="5860" max="5861" width="0" style="191" hidden="1" customWidth="1"/>
    <col min="5862" max="5862" width="14.85546875" style="191" customWidth="1"/>
    <col min="5863" max="5864" width="0" style="191" hidden="1" customWidth="1"/>
    <col min="5865" max="5865" width="14.85546875" style="191" customWidth="1"/>
    <col min="5866" max="5867" width="0" style="191" hidden="1" customWidth="1"/>
    <col min="5868" max="5868" width="14.85546875" style="191" customWidth="1"/>
    <col min="5869" max="5870" width="0" style="191" hidden="1" customWidth="1"/>
    <col min="5871" max="5871" width="14.85546875" style="191" customWidth="1"/>
    <col min="5872" max="5873" width="0" style="191" hidden="1" customWidth="1"/>
    <col min="5874" max="5875" width="14.85546875" style="191" customWidth="1"/>
    <col min="5876" max="5876" width="44.42578125" style="191" customWidth="1"/>
    <col min="5877" max="5881" width="14.85546875" style="191" customWidth="1"/>
    <col min="5882" max="5882" width="63.85546875" style="191" customWidth="1"/>
    <col min="5883" max="5883" width="13.28515625" style="191" customWidth="1"/>
    <col min="5884" max="6069" width="9" style="191"/>
    <col min="6070" max="6071" width="0" style="191" hidden="1" customWidth="1"/>
    <col min="6072" max="6072" width="13.7109375" style="191" customWidth="1"/>
    <col min="6073" max="6073" width="52.85546875" style="191" customWidth="1"/>
    <col min="6074" max="6113" width="0" style="191" hidden="1" customWidth="1"/>
    <col min="6114" max="6115" width="14.85546875" style="191" customWidth="1"/>
    <col min="6116" max="6117" width="0" style="191" hidden="1" customWidth="1"/>
    <col min="6118" max="6118" width="14.85546875" style="191" customWidth="1"/>
    <col min="6119" max="6120" width="0" style="191" hidden="1" customWidth="1"/>
    <col min="6121" max="6121" width="14.85546875" style="191" customWidth="1"/>
    <col min="6122" max="6123" width="0" style="191" hidden="1" customWidth="1"/>
    <col min="6124" max="6124" width="14.85546875" style="191" customWidth="1"/>
    <col min="6125" max="6126" width="0" style="191" hidden="1" customWidth="1"/>
    <col min="6127" max="6127" width="14.85546875" style="191" customWidth="1"/>
    <col min="6128" max="6129" width="0" style="191" hidden="1" customWidth="1"/>
    <col min="6130" max="6131" width="14.85546875" style="191" customWidth="1"/>
    <col min="6132" max="6132" width="44.42578125" style="191" customWidth="1"/>
    <col min="6133" max="6137" width="14.85546875" style="191" customWidth="1"/>
    <col min="6138" max="6138" width="63.85546875" style="191" customWidth="1"/>
    <col min="6139" max="6139" width="13.28515625" style="191" customWidth="1"/>
    <col min="6140" max="6325" width="9" style="191"/>
    <col min="6326" max="6327" width="0" style="191" hidden="1" customWidth="1"/>
    <col min="6328" max="6328" width="13.7109375" style="191" customWidth="1"/>
    <col min="6329" max="6329" width="52.85546875" style="191" customWidth="1"/>
    <col min="6330" max="6369" width="0" style="191" hidden="1" customWidth="1"/>
    <col min="6370" max="6371" width="14.85546875" style="191" customWidth="1"/>
    <col min="6372" max="6373" width="0" style="191" hidden="1" customWidth="1"/>
    <col min="6374" max="6374" width="14.85546875" style="191" customWidth="1"/>
    <col min="6375" max="6376" width="0" style="191" hidden="1" customWidth="1"/>
    <col min="6377" max="6377" width="14.85546875" style="191" customWidth="1"/>
    <col min="6378" max="6379" width="0" style="191" hidden="1" customWidth="1"/>
    <col min="6380" max="6380" width="14.85546875" style="191" customWidth="1"/>
    <col min="6381" max="6382" width="0" style="191" hidden="1" customWidth="1"/>
    <col min="6383" max="6383" width="14.85546875" style="191" customWidth="1"/>
    <col min="6384" max="6385" width="0" style="191" hidden="1" customWidth="1"/>
    <col min="6386" max="6387" width="14.85546875" style="191" customWidth="1"/>
    <col min="6388" max="6388" width="44.42578125" style="191" customWidth="1"/>
    <col min="6389" max="6393" width="14.85546875" style="191" customWidth="1"/>
    <col min="6394" max="6394" width="63.85546875" style="191" customWidth="1"/>
    <col min="6395" max="6395" width="13.28515625" style="191" customWidth="1"/>
    <col min="6396" max="6581" width="9" style="191"/>
    <col min="6582" max="6583" width="0" style="191" hidden="1" customWidth="1"/>
    <col min="6584" max="6584" width="13.7109375" style="191" customWidth="1"/>
    <col min="6585" max="6585" width="52.85546875" style="191" customWidth="1"/>
    <col min="6586" max="6625" width="0" style="191" hidden="1" customWidth="1"/>
    <col min="6626" max="6627" width="14.85546875" style="191" customWidth="1"/>
    <col min="6628" max="6629" width="0" style="191" hidden="1" customWidth="1"/>
    <col min="6630" max="6630" width="14.85546875" style="191" customWidth="1"/>
    <col min="6631" max="6632" width="0" style="191" hidden="1" customWidth="1"/>
    <col min="6633" max="6633" width="14.85546875" style="191" customWidth="1"/>
    <col min="6634" max="6635" width="0" style="191" hidden="1" customWidth="1"/>
    <col min="6636" max="6636" width="14.85546875" style="191" customWidth="1"/>
    <col min="6637" max="6638" width="0" style="191" hidden="1" customWidth="1"/>
    <col min="6639" max="6639" width="14.85546875" style="191" customWidth="1"/>
    <col min="6640" max="6641" width="0" style="191" hidden="1" customWidth="1"/>
    <col min="6642" max="6643" width="14.85546875" style="191" customWidth="1"/>
    <col min="6644" max="6644" width="44.42578125" style="191" customWidth="1"/>
    <col min="6645" max="6649" width="14.85546875" style="191" customWidth="1"/>
    <col min="6650" max="6650" width="63.85546875" style="191" customWidth="1"/>
    <col min="6651" max="6651" width="13.28515625" style="191" customWidth="1"/>
    <col min="6652" max="6837" width="9" style="191"/>
    <col min="6838" max="6839" width="0" style="191" hidden="1" customWidth="1"/>
    <col min="6840" max="6840" width="13.7109375" style="191" customWidth="1"/>
    <col min="6841" max="6841" width="52.85546875" style="191" customWidth="1"/>
    <col min="6842" max="6881" width="0" style="191" hidden="1" customWidth="1"/>
    <col min="6882" max="6883" width="14.85546875" style="191" customWidth="1"/>
    <col min="6884" max="6885" width="0" style="191" hidden="1" customWidth="1"/>
    <col min="6886" max="6886" width="14.85546875" style="191" customWidth="1"/>
    <col min="6887" max="6888" width="0" style="191" hidden="1" customWidth="1"/>
    <col min="6889" max="6889" width="14.85546875" style="191" customWidth="1"/>
    <col min="6890" max="6891" width="0" style="191" hidden="1" customWidth="1"/>
    <col min="6892" max="6892" width="14.85546875" style="191" customWidth="1"/>
    <col min="6893" max="6894" width="0" style="191" hidden="1" customWidth="1"/>
    <col min="6895" max="6895" width="14.85546875" style="191" customWidth="1"/>
    <col min="6896" max="6897" width="0" style="191" hidden="1" customWidth="1"/>
    <col min="6898" max="6899" width="14.85546875" style="191" customWidth="1"/>
    <col min="6900" max="6900" width="44.42578125" style="191" customWidth="1"/>
    <col min="6901" max="6905" width="14.85546875" style="191" customWidth="1"/>
    <col min="6906" max="6906" width="63.85546875" style="191" customWidth="1"/>
    <col min="6907" max="6907" width="13.28515625" style="191" customWidth="1"/>
    <col min="6908" max="7093" width="9" style="191"/>
    <col min="7094" max="7095" width="0" style="191" hidden="1" customWidth="1"/>
    <col min="7096" max="7096" width="13.7109375" style="191" customWidth="1"/>
    <col min="7097" max="7097" width="52.85546875" style="191" customWidth="1"/>
    <col min="7098" max="7137" width="0" style="191" hidden="1" customWidth="1"/>
    <col min="7138" max="7139" width="14.85546875" style="191" customWidth="1"/>
    <col min="7140" max="7141" width="0" style="191" hidden="1" customWidth="1"/>
    <col min="7142" max="7142" width="14.85546875" style="191" customWidth="1"/>
    <col min="7143" max="7144" width="0" style="191" hidden="1" customWidth="1"/>
    <col min="7145" max="7145" width="14.85546875" style="191" customWidth="1"/>
    <col min="7146" max="7147" width="0" style="191" hidden="1" customWidth="1"/>
    <col min="7148" max="7148" width="14.85546875" style="191" customWidth="1"/>
    <col min="7149" max="7150" width="0" style="191" hidden="1" customWidth="1"/>
    <col min="7151" max="7151" width="14.85546875" style="191" customWidth="1"/>
    <col min="7152" max="7153" width="0" style="191" hidden="1" customWidth="1"/>
    <col min="7154" max="7155" width="14.85546875" style="191" customWidth="1"/>
    <col min="7156" max="7156" width="44.42578125" style="191" customWidth="1"/>
    <col min="7157" max="7161" width="14.85546875" style="191" customWidth="1"/>
    <col min="7162" max="7162" width="63.85546875" style="191" customWidth="1"/>
    <col min="7163" max="7163" width="13.28515625" style="191" customWidth="1"/>
    <col min="7164" max="7349" width="9" style="191"/>
    <col min="7350" max="7351" width="0" style="191" hidden="1" customWidth="1"/>
    <col min="7352" max="7352" width="13.7109375" style="191" customWidth="1"/>
    <col min="7353" max="7353" width="52.85546875" style="191" customWidth="1"/>
    <col min="7354" max="7393" width="0" style="191" hidden="1" customWidth="1"/>
    <col min="7394" max="7395" width="14.85546875" style="191" customWidth="1"/>
    <col min="7396" max="7397" width="0" style="191" hidden="1" customWidth="1"/>
    <col min="7398" max="7398" width="14.85546875" style="191" customWidth="1"/>
    <col min="7399" max="7400" width="0" style="191" hidden="1" customWidth="1"/>
    <col min="7401" max="7401" width="14.85546875" style="191" customWidth="1"/>
    <col min="7402" max="7403" width="0" style="191" hidden="1" customWidth="1"/>
    <col min="7404" max="7404" width="14.85546875" style="191" customWidth="1"/>
    <col min="7405" max="7406" width="0" style="191" hidden="1" customWidth="1"/>
    <col min="7407" max="7407" width="14.85546875" style="191" customWidth="1"/>
    <col min="7408" max="7409" width="0" style="191" hidden="1" customWidth="1"/>
    <col min="7410" max="7411" width="14.85546875" style="191" customWidth="1"/>
    <col min="7412" max="7412" width="44.42578125" style="191" customWidth="1"/>
    <col min="7413" max="7417" width="14.85546875" style="191" customWidth="1"/>
    <col min="7418" max="7418" width="63.85546875" style="191" customWidth="1"/>
    <col min="7419" max="7419" width="13.28515625" style="191" customWidth="1"/>
    <col min="7420" max="7605" width="9" style="191"/>
    <col min="7606" max="7607" width="0" style="191" hidden="1" customWidth="1"/>
    <col min="7608" max="7608" width="13.7109375" style="191" customWidth="1"/>
    <col min="7609" max="7609" width="52.85546875" style="191" customWidth="1"/>
    <col min="7610" max="7649" width="0" style="191" hidden="1" customWidth="1"/>
    <col min="7650" max="7651" width="14.85546875" style="191" customWidth="1"/>
    <col min="7652" max="7653" width="0" style="191" hidden="1" customWidth="1"/>
    <col min="7654" max="7654" width="14.85546875" style="191" customWidth="1"/>
    <col min="7655" max="7656" width="0" style="191" hidden="1" customWidth="1"/>
    <col min="7657" max="7657" width="14.85546875" style="191" customWidth="1"/>
    <col min="7658" max="7659" width="0" style="191" hidden="1" customWidth="1"/>
    <col min="7660" max="7660" width="14.85546875" style="191" customWidth="1"/>
    <col min="7661" max="7662" width="0" style="191" hidden="1" customWidth="1"/>
    <col min="7663" max="7663" width="14.85546875" style="191" customWidth="1"/>
    <col min="7664" max="7665" width="0" style="191" hidden="1" customWidth="1"/>
    <col min="7666" max="7667" width="14.85546875" style="191" customWidth="1"/>
    <col min="7668" max="7668" width="44.42578125" style="191" customWidth="1"/>
    <col min="7669" max="7673" width="14.85546875" style="191" customWidth="1"/>
    <col min="7674" max="7674" width="63.85546875" style="191" customWidth="1"/>
    <col min="7675" max="7675" width="13.28515625" style="191" customWidth="1"/>
    <col min="7676" max="7861" width="9" style="191"/>
    <col min="7862" max="7863" width="0" style="191" hidden="1" customWidth="1"/>
    <col min="7864" max="7864" width="13.7109375" style="191" customWidth="1"/>
    <col min="7865" max="7865" width="52.85546875" style="191" customWidth="1"/>
    <col min="7866" max="7905" width="0" style="191" hidden="1" customWidth="1"/>
    <col min="7906" max="7907" width="14.85546875" style="191" customWidth="1"/>
    <col min="7908" max="7909" width="0" style="191" hidden="1" customWidth="1"/>
    <col min="7910" max="7910" width="14.85546875" style="191" customWidth="1"/>
    <col min="7911" max="7912" width="0" style="191" hidden="1" customWidth="1"/>
    <col min="7913" max="7913" width="14.85546875" style="191" customWidth="1"/>
    <col min="7914" max="7915" width="0" style="191" hidden="1" customWidth="1"/>
    <col min="7916" max="7916" width="14.85546875" style="191" customWidth="1"/>
    <col min="7917" max="7918" width="0" style="191" hidden="1" customWidth="1"/>
    <col min="7919" max="7919" width="14.85546875" style="191" customWidth="1"/>
    <col min="7920" max="7921" width="0" style="191" hidden="1" customWidth="1"/>
    <col min="7922" max="7923" width="14.85546875" style="191" customWidth="1"/>
    <col min="7924" max="7924" width="44.42578125" style="191" customWidth="1"/>
    <col min="7925" max="7929" width="14.85546875" style="191" customWidth="1"/>
    <col min="7930" max="7930" width="63.85546875" style="191" customWidth="1"/>
    <col min="7931" max="7931" width="13.28515625" style="191" customWidth="1"/>
    <col min="7932" max="8117" width="9" style="191"/>
    <col min="8118" max="8119" width="0" style="191" hidden="1" customWidth="1"/>
    <col min="8120" max="8120" width="13.7109375" style="191" customWidth="1"/>
    <col min="8121" max="8121" width="52.85546875" style="191" customWidth="1"/>
    <col min="8122" max="8161" width="0" style="191" hidden="1" customWidth="1"/>
    <col min="8162" max="8163" width="14.85546875" style="191" customWidth="1"/>
    <col min="8164" max="8165" width="0" style="191" hidden="1" customWidth="1"/>
    <col min="8166" max="8166" width="14.85546875" style="191" customWidth="1"/>
    <col min="8167" max="8168" width="0" style="191" hidden="1" customWidth="1"/>
    <col min="8169" max="8169" width="14.85546875" style="191" customWidth="1"/>
    <col min="8170" max="8171" width="0" style="191" hidden="1" customWidth="1"/>
    <col min="8172" max="8172" width="14.85546875" style="191" customWidth="1"/>
    <col min="8173" max="8174" width="0" style="191" hidden="1" customWidth="1"/>
    <col min="8175" max="8175" width="14.85546875" style="191" customWidth="1"/>
    <col min="8176" max="8177" width="0" style="191" hidden="1" customWidth="1"/>
    <col min="8178" max="8179" width="14.85546875" style="191" customWidth="1"/>
    <col min="8180" max="8180" width="44.42578125" style="191" customWidth="1"/>
    <col min="8181" max="8185" width="14.85546875" style="191" customWidth="1"/>
    <col min="8186" max="8186" width="63.85546875" style="191" customWidth="1"/>
    <col min="8187" max="8187" width="13.28515625" style="191" customWidth="1"/>
    <col min="8188" max="8373" width="9" style="191"/>
    <col min="8374" max="8375" width="0" style="191" hidden="1" customWidth="1"/>
    <col min="8376" max="8376" width="13.7109375" style="191" customWidth="1"/>
    <col min="8377" max="8377" width="52.85546875" style="191" customWidth="1"/>
    <col min="8378" max="8417" width="0" style="191" hidden="1" customWidth="1"/>
    <col min="8418" max="8419" width="14.85546875" style="191" customWidth="1"/>
    <col min="8420" max="8421" width="0" style="191" hidden="1" customWidth="1"/>
    <col min="8422" max="8422" width="14.85546875" style="191" customWidth="1"/>
    <col min="8423" max="8424" width="0" style="191" hidden="1" customWidth="1"/>
    <col min="8425" max="8425" width="14.85546875" style="191" customWidth="1"/>
    <col min="8426" max="8427" width="0" style="191" hidden="1" customWidth="1"/>
    <col min="8428" max="8428" width="14.85546875" style="191" customWidth="1"/>
    <col min="8429" max="8430" width="0" style="191" hidden="1" customWidth="1"/>
    <col min="8431" max="8431" width="14.85546875" style="191" customWidth="1"/>
    <col min="8432" max="8433" width="0" style="191" hidden="1" customWidth="1"/>
    <col min="8434" max="8435" width="14.85546875" style="191" customWidth="1"/>
    <col min="8436" max="8436" width="44.42578125" style="191" customWidth="1"/>
    <col min="8437" max="8441" width="14.85546875" style="191" customWidth="1"/>
    <col min="8442" max="8442" width="63.85546875" style="191" customWidth="1"/>
    <col min="8443" max="8443" width="13.28515625" style="191" customWidth="1"/>
    <col min="8444" max="8629" width="9" style="191"/>
    <col min="8630" max="8631" width="0" style="191" hidden="1" customWidth="1"/>
    <col min="8632" max="8632" width="13.7109375" style="191" customWidth="1"/>
    <col min="8633" max="8633" width="52.85546875" style="191" customWidth="1"/>
    <col min="8634" max="8673" width="0" style="191" hidden="1" customWidth="1"/>
    <col min="8674" max="8675" width="14.85546875" style="191" customWidth="1"/>
    <col min="8676" max="8677" width="0" style="191" hidden="1" customWidth="1"/>
    <col min="8678" max="8678" width="14.85546875" style="191" customWidth="1"/>
    <col min="8679" max="8680" width="0" style="191" hidden="1" customWidth="1"/>
    <col min="8681" max="8681" width="14.85546875" style="191" customWidth="1"/>
    <col min="8682" max="8683" width="0" style="191" hidden="1" customWidth="1"/>
    <col min="8684" max="8684" width="14.85546875" style="191" customWidth="1"/>
    <col min="8685" max="8686" width="0" style="191" hidden="1" customWidth="1"/>
    <col min="8687" max="8687" width="14.85546875" style="191" customWidth="1"/>
    <col min="8688" max="8689" width="0" style="191" hidden="1" customWidth="1"/>
    <col min="8690" max="8691" width="14.85546875" style="191" customWidth="1"/>
    <col min="8692" max="8692" width="44.42578125" style="191" customWidth="1"/>
    <col min="8693" max="8697" width="14.85546875" style="191" customWidth="1"/>
    <col min="8698" max="8698" width="63.85546875" style="191" customWidth="1"/>
    <col min="8699" max="8699" width="13.28515625" style="191" customWidth="1"/>
    <col min="8700" max="8885" width="9" style="191"/>
    <col min="8886" max="8887" width="0" style="191" hidden="1" customWidth="1"/>
    <col min="8888" max="8888" width="13.7109375" style="191" customWidth="1"/>
    <col min="8889" max="8889" width="52.85546875" style="191" customWidth="1"/>
    <col min="8890" max="8929" width="0" style="191" hidden="1" customWidth="1"/>
    <col min="8930" max="8931" width="14.85546875" style="191" customWidth="1"/>
    <col min="8932" max="8933" width="0" style="191" hidden="1" customWidth="1"/>
    <col min="8934" max="8934" width="14.85546875" style="191" customWidth="1"/>
    <col min="8935" max="8936" width="0" style="191" hidden="1" customWidth="1"/>
    <col min="8937" max="8937" width="14.85546875" style="191" customWidth="1"/>
    <col min="8938" max="8939" width="0" style="191" hidden="1" customWidth="1"/>
    <col min="8940" max="8940" width="14.85546875" style="191" customWidth="1"/>
    <col min="8941" max="8942" width="0" style="191" hidden="1" customWidth="1"/>
    <col min="8943" max="8943" width="14.85546875" style="191" customWidth="1"/>
    <col min="8944" max="8945" width="0" style="191" hidden="1" customWidth="1"/>
    <col min="8946" max="8947" width="14.85546875" style="191" customWidth="1"/>
    <col min="8948" max="8948" width="44.42578125" style="191" customWidth="1"/>
    <col min="8949" max="8953" width="14.85546875" style="191" customWidth="1"/>
    <col min="8954" max="8954" width="63.85546875" style="191" customWidth="1"/>
    <col min="8955" max="8955" width="13.28515625" style="191" customWidth="1"/>
    <col min="8956" max="9141" width="9" style="191"/>
    <col min="9142" max="9143" width="0" style="191" hidden="1" customWidth="1"/>
    <col min="9144" max="9144" width="13.7109375" style="191" customWidth="1"/>
    <col min="9145" max="9145" width="52.85546875" style="191" customWidth="1"/>
    <col min="9146" max="9185" width="0" style="191" hidden="1" customWidth="1"/>
    <col min="9186" max="9187" width="14.85546875" style="191" customWidth="1"/>
    <col min="9188" max="9189" width="0" style="191" hidden="1" customWidth="1"/>
    <col min="9190" max="9190" width="14.85546875" style="191" customWidth="1"/>
    <col min="9191" max="9192" width="0" style="191" hidden="1" customWidth="1"/>
    <col min="9193" max="9193" width="14.85546875" style="191" customWidth="1"/>
    <col min="9194" max="9195" width="0" style="191" hidden="1" customWidth="1"/>
    <col min="9196" max="9196" width="14.85546875" style="191" customWidth="1"/>
    <col min="9197" max="9198" width="0" style="191" hidden="1" customWidth="1"/>
    <col min="9199" max="9199" width="14.85546875" style="191" customWidth="1"/>
    <col min="9200" max="9201" width="0" style="191" hidden="1" customWidth="1"/>
    <col min="9202" max="9203" width="14.85546875" style="191" customWidth="1"/>
    <col min="9204" max="9204" width="44.42578125" style="191" customWidth="1"/>
    <col min="9205" max="9209" width="14.85546875" style="191" customWidth="1"/>
    <col min="9210" max="9210" width="63.85546875" style="191" customWidth="1"/>
    <col min="9211" max="9211" width="13.28515625" style="191" customWidth="1"/>
    <col min="9212" max="9397" width="9" style="191"/>
    <col min="9398" max="9399" width="0" style="191" hidden="1" customWidth="1"/>
    <col min="9400" max="9400" width="13.7109375" style="191" customWidth="1"/>
    <col min="9401" max="9401" width="52.85546875" style="191" customWidth="1"/>
    <col min="9402" max="9441" width="0" style="191" hidden="1" customWidth="1"/>
    <col min="9442" max="9443" width="14.85546875" style="191" customWidth="1"/>
    <col min="9444" max="9445" width="0" style="191" hidden="1" customWidth="1"/>
    <col min="9446" max="9446" width="14.85546875" style="191" customWidth="1"/>
    <col min="9447" max="9448" width="0" style="191" hidden="1" customWidth="1"/>
    <col min="9449" max="9449" width="14.85546875" style="191" customWidth="1"/>
    <col min="9450" max="9451" width="0" style="191" hidden="1" customWidth="1"/>
    <col min="9452" max="9452" width="14.85546875" style="191" customWidth="1"/>
    <col min="9453" max="9454" width="0" style="191" hidden="1" customWidth="1"/>
    <col min="9455" max="9455" width="14.85546875" style="191" customWidth="1"/>
    <col min="9456" max="9457" width="0" style="191" hidden="1" customWidth="1"/>
    <col min="9458" max="9459" width="14.85546875" style="191" customWidth="1"/>
    <col min="9460" max="9460" width="44.42578125" style="191" customWidth="1"/>
    <col min="9461" max="9465" width="14.85546875" style="191" customWidth="1"/>
    <col min="9466" max="9466" width="63.85546875" style="191" customWidth="1"/>
    <col min="9467" max="9467" width="13.28515625" style="191" customWidth="1"/>
    <col min="9468" max="9653" width="9" style="191"/>
    <col min="9654" max="9655" width="0" style="191" hidden="1" customWidth="1"/>
    <col min="9656" max="9656" width="13.7109375" style="191" customWidth="1"/>
    <col min="9657" max="9657" width="52.85546875" style="191" customWidth="1"/>
    <col min="9658" max="9697" width="0" style="191" hidden="1" customWidth="1"/>
    <col min="9698" max="9699" width="14.85546875" style="191" customWidth="1"/>
    <col min="9700" max="9701" width="0" style="191" hidden="1" customWidth="1"/>
    <col min="9702" max="9702" width="14.85546875" style="191" customWidth="1"/>
    <col min="9703" max="9704" width="0" style="191" hidden="1" customWidth="1"/>
    <col min="9705" max="9705" width="14.85546875" style="191" customWidth="1"/>
    <col min="9706" max="9707" width="0" style="191" hidden="1" customWidth="1"/>
    <col min="9708" max="9708" width="14.85546875" style="191" customWidth="1"/>
    <col min="9709" max="9710" width="0" style="191" hidden="1" customWidth="1"/>
    <col min="9711" max="9711" width="14.85546875" style="191" customWidth="1"/>
    <col min="9712" max="9713" width="0" style="191" hidden="1" customWidth="1"/>
    <col min="9714" max="9715" width="14.85546875" style="191" customWidth="1"/>
    <col min="9716" max="9716" width="44.42578125" style="191" customWidth="1"/>
    <col min="9717" max="9721" width="14.85546875" style="191" customWidth="1"/>
    <col min="9722" max="9722" width="63.85546875" style="191" customWidth="1"/>
    <col min="9723" max="9723" width="13.28515625" style="191" customWidth="1"/>
    <col min="9724" max="9909" width="9" style="191"/>
    <col min="9910" max="9911" width="0" style="191" hidden="1" customWidth="1"/>
    <col min="9912" max="9912" width="13.7109375" style="191" customWidth="1"/>
    <col min="9913" max="9913" width="52.85546875" style="191" customWidth="1"/>
    <col min="9914" max="9953" width="0" style="191" hidden="1" customWidth="1"/>
    <col min="9954" max="9955" width="14.85546875" style="191" customWidth="1"/>
    <col min="9956" max="9957" width="0" style="191" hidden="1" customWidth="1"/>
    <col min="9958" max="9958" width="14.85546875" style="191" customWidth="1"/>
    <col min="9959" max="9960" width="0" style="191" hidden="1" customWidth="1"/>
    <col min="9961" max="9961" width="14.85546875" style="191" customWidth="1"/>
    <col min="9962" max="9963" width="0" style="191" hidden="1" customWidth="1"/>
    <col min="9964" max="9964" width="14.85546875" style="191" customWidth="1"/>
    <col min="9965" max="9966" width="0" style="191" hidden="1" customWidth="1"/>
    <col min="9967" max="9967" width="14.85546875" style="191" customWidth="1"/>
    <col min="9968" max="9969" width="0" style="191" hidden="1" customWidth="1"/>
    <col min="9970" max="9971" width="14.85546875" style="191" customWidth="1"/>
    <col min="9972" max="9972" width="44.42578125" style="191" customWidth="1"/>
    <col min="9973" max="9977" width="14.85546875" style="191" customWidth="1"/>
    <col min="9978" max="9978" width="63.85546875" style="191" customWidth="1"/>
    <col min="9979" max="9979" width="13.28515625" style="191" customWidth="1"/>
    <col min="9980" max="10165" width="9" style="191"/>
    <col min="10166" max="10167" width="0" style="191" hidden="1" customWidth="1"/>
    <col min="10168" max="10168" width="13.7109375" style="191" customWidth="1"/>
    <col min="10169" max="10169" width="52.85546875" style="191" customWidth="1"/>
    <col min="10170" max="10209" width="0" style="191" hidden="1" customWidth="1"/>
    <col min="10210" max="10211" width="14.85546875" style="191" customWidth="1"/>
    <col min="10212" max="10213" width="0" style="191" hidden="1" customWidth="1"/>
    <col min="10214" max="10214" width="14.85546875" style="191" customWidth="1"/>
    <col min="10215" max="10216" width="0" style="191" hidden="1" customWidth="1"/>
    <col min="10217" max="10217" width="14.85546875" style="191" customWidth="1"/>
    <col min="10218" max="10219" width="0" style="191" hidden="1" customWidth="1"/>
    <col min="10220" max="10220" width="14.85546875" style="191" customWidth="1"/>
    <col min="10221" max="10222" width="0" style="191" hidden="1" customWidth="1"/>
    <col min="10223" max="10223" width="14.85546875" style="191" customWidth="1"/>
    <col min="10224" max="10225" width="0" style="191" hidden="1" customWidth="1"/>
    <col min="10226" max="10227" width="14.85546875" style="191" customWidth="1"/>
    <col min="10228" max="10228" width="44.42578125" style="191" customWidth="1"/>
    <col min="10229" max="10233" width="14.85546875" style="191" customWidth="1"/>
    <col min="10234" max="10234" width="63.85546875" style="191" customWidth="1"/>
    <col min="10235" max="10235" width="13.28515625" style="191" customWidth="1"/>
    <col min="10236" max="10421" width="9" style="191"/>
    <col min="10422" max="10423" width="0" style="191" hidden="1" customWidth="1"/>
    <col min="10424" max="10424" width="13.7109375" style="191" customWidth="1"/>
    <col min="10425" max="10425" width="52.85546875" style="191" customWidth="1"/>
    <col min="10426" max="10465" width="0" style="191" hidden="1" customWidth="1"/>
    <col min="10466" max="10467" width="14.85546875" style="191" customWidth="1"/>
    <col min="10468" max="10469" width="0" style="191" hidden="1" customWidth="1"/>
    <col min="10470" max="10470" width="14.85546875" style="191" customWidth="1"/>
    <col min="10471" max="10472" width="0" style="191" hidden="1" customWidth="1"/>
    <col min="10473" max="10473" width="14.85546875" style="191" customWidth="1"/>
    <col min="10474" max="10475" width="0" style="191" hidden="1" customWidth="1"/>
    <col min="10476" max="10476" width="14.85546875" style="191" customWidth="1"/>
    <col min="10477" max="10478" width="0" style="191" hidden="1" customWidth="1"/>
    <col min="10479" max="10479" width="14.85546875" style="191" customWidth="1"/>
    <col min="10480" max="10481" width="0" style="191" hidden="1" customWidth="1"/>
    <col min="10482" max="10483" width="14.85546875" style="191" customWidth="1"/>
    <col min="10484" max="10484" width="44.42578125" style="191" customWidth="1"/>
    <col min="10485" max="10489" width="14.85546875" style="191" customWidth="1"/>
    <col min="10490" max="10490" width="63.85546875" style="191" customWidth="1"/>
    <col min="10491" max="10491" width="13.28515625" style="191" customWidth="1"/>
    <col min="10492" max="10677" width="9" style="191"/>
    <col min="10678" max="10679" width="0" style="191" hidden="1" customWidth="1"/>
    <col min="10680" max="10680" width="13.7109375" style="191" customWidth="1"/>
    <col min="10681" max="10681" width="52.85546875" style="191" customWidth="1"/>
    <col min="10682" max="10721" width="0" style="191" hidden="1" customWidth="1"/>
    <col min="10722" max="10723" width="14.85546875" style="191" customWidth="1"/>
    <col min="10724" max="10725" width="0" style="191" hidden="1" customWidth="1"/>
    <col min="10726" max="10726" width="14.85546875" style="191" customWidth="1"/>
    <col min="10727" max="10728" width="0" style="191" hidden="1" customWidth="1"/>
    <col min="10729" max="10729" width="14.85546875" style="191" customWidth="1"/>
    <col min="10730" max="10731" width="0" style="191" hidden="1" customWidth="1"/>
    <col min="10732" max="10732" width="14.85546875" style="191" customWidth="1"/>
    <col min="10733" max="10734" width="0" style="191" hidden="1" customWidth="1"/>
    <col min="10735" max="10735" width="14.85546875" style="191" customWidth="1"/>
    <col min="10736" max="10737" width="0" style="191" hidden="1" customWidth="1"/>
    <col min="10738" max="10739" width="14.85546875" style="191" customWidth="1"/>
    <col min="10740" max="10740" width="44.42578125" style="191" customWidth="1"/>
    <col min="10741" max="10745" width="14.85546875" style="191" customWidth="1"/>
    <col min="10746" max="10746" width="63.85546875" style="191" customWidth="1"/>
    <col min="10747" max="10747" width="13.28515625" style="191" customWidth="1"/>
    <col min="10748" max="10933" width="9" style="191"/>
    <col min="10934" max="10935" width="0" style="191" hidden="1" customWidth="1"/>
    <col min="10936" max="10936" width="13.7109375" style="191" customWidth="1"/>
    <col min="10937" max="10937" width="52.85546875" style="191" customWidth="1"/>
    <col min="10938" max="10977" width="0" style="191" hidden="1" customWidth="1"/>
    <col min="10978" max="10979" width="14.85546875" style="191" customWidth="1"/>
    <col min="10980" max="10981" width="0" style="191" hidden="1" customWidth="1"/>
    <col min="10982" max="10982" width="14.85546875" style="191" customWidth="1"/>
    <col min="10983" max="10984" width="0" style="191" hidden="1" customWidth="1"/>
    <col min="10985" max="10985" width="14.85546875" style="191" customWidth="1"/>
    <col min="10986" max="10987" width="0" style="191" hidden="1" customWidth="1"/>
    <col min="10988" max="10988" width="14.85546875" style="191" customWidth="1"/>
    <col min="10989" max="10990" width="0" style="191" hidden="1" customWidth="1"/>
    <col min="10991" max="10991" width="14.85546875" style="191" customWidth="1"/>
    <col min="10992" max="10993" width="0" style="191" hidden="1" customWidth="1"/>
    <col min="10994" max="10995" width="14.85546875" style="191" customWidth="1"/>
    <col min="10996" max="10996" width="44.42578125" style="191" customWidth="1"/>
    <col min="10997" max="11001" width="14.85546875" style="191" customWidth="1"/>
    <col min="11002" max="11002" width="63.85546875" style="191" customWidth="1"/>
    <col min="11003" max="11003" width="13.28515625" style="191" customWidth="1"/>
    <col min="11004" max="11189" width="9" style="191"/>
    <col min="11190" max="11191" width="0" style="191" hidden="1" customWidth="1"/>
    <col min="11192" max="11192" width="13.7109375" style="191" customWidth="1"/>
    <col min="11193" max="11193" width="52.85546875" style="191" customWidth="1"/>
    <col min="11194" max="11233" width="0" style="191" hidden="1" customWidth="1"/>
    <col min="11234" max="11235" width="14.85546875" style="191" customWidth="1"/>
    <col min="11236" max="11237" width="0" style="191" hidden="1" customWidth="1"/>
    <col min="11238" max="11238" width="14.85546875" style="191" customWidth="1"/>
    <col min="11239" max="11240" width="0" style="191" hidden="1" customWidth="1"/>
    <col min="11241" max="11241" width="14.85546875" style="191" customWidth="1"/>
    <col min="11242" max="11243" width="0" style="191" hidden="1" customWidth="1"/>
    <col min="11244" max="11244" width="14.85546875" style="191" customWidth="1"/>
    <col min="11245" max="11246" width="0" style="191" hidden="1" customWidth="1"/>
    <col min="11247" max="11247" width="14.85546875" style="191" customWidth="1"/>
    <col min="11248" max="11249" width="0" style="191" hidden="1" customWidth="1"/>
    <col min="11250" max="11251" width="14.85546875" style="191" customWidth="1"/>
    <col min="11252" max="11252" width="44.42578125" style="191" customWidth="1"/>
    <col min="11253" max="11257" width="14.85546875" style="191" customWidth="1"/>
    <col min="11258" max="11258" width="63.85546875" style="191" customWidth="1"/>
    <col min="11259" max="11259" width="13.28515625" style="191" customWidth="1"/>
    <col min="11260" max="11445" width="9" style="191"/>
    <col min="11446" max="11447" width="0" style="191" hidden="1" customWidth="1"/>
    <col min="11448" max="11448" width="13.7109375" style="191" customWidth="1"/>
    <col min="11449" max="11449" width="52.85546875" style="191" customWidth="1"/>
    <col min="11450" max="11489" width="0" style="191" hidden="1" customWidth="1"/>
    <col min="11490" max="11491" width="14.85546875" style="191" customWidth="1"/>
    <col min="11492" max="11493" width="0" style="191" hidden="1" customWidth="1"/>
    <col min="11494" max="11494" width="14.85546875" style="191" customWidth="1"/>
    <col min="11495" max="11496" width="0" style="191" hidden="1" customWidth="1"/>
    <col min="11497" max="11497" width="14.85546875" style="191" customWidth="1"/>
    <col min="11498" max="11499" width="0" style="191" hidden="1" customWidth="1"/>
    <col min="11500" max="11500" width="14.85546875" style="191" customWidth="1"/>
    <col min="11501" max="11502" width="0" style="191" hidden="1" customWidth="1"/>
    <col min="11503" max="11503" width="14.85546875" style="191" customWidth="1"/>
    <col min="11504" max="11505" width="0" style="191" hidden="1" customWidth="1"/>
    <col min="11506" max="11507" width="14.85546875" style="191" customWidth="1"/>
    <col min="11508" max="11508" width="44.42578125" style="191" customWidth="1"/>
    <col min="11509" max="11513" width="14.85546875" style="191" customWidth="1"/>
    <col min="11514" max="11514" width="63.85546875" style="191" customWidth="1"/>
    <col min="11515" max="11515" width="13.28515625" style="191" customWidth="1"/>
    <col min="11516" max="11701" width="9" style="191"/>
    <col min="11702" max="11703" width="0" style="191" hidden="1" customWidth="1"/>
    <col min="11704" max="11704" width="13.7109375" style="191" customWidth="1"/>
    <col min="11705" max="11705" width="52.85546875" style="191" customWidth="1"/>
    <col min="11706" max="11745" width="0" style="191" hidden="1" customWidth="1"/>
    <col min="11746" max="11747" width="14.85546875" style="191" customWidth="1"/>
    <col min="11748" max="11749" width="0" style="191" hidden="1" customWidth="1"/>
    <col min="11750" max="11750" width="14.85546875" style="191" customWidth="1"/>
    <col min="11751" max="11752" width="0" style="191" hidden="1" customWidth="1"/>
    <col min="11753" max="11753" width="14.85546875" style="191" customWidth="1"/>
    <col min="11754" max="11755" width="0" style="191" hidden="1" customWidth="1"/>
    <col min="11756" max="11756" width="14.85546875" style="191" customWidth="1"/>
    <col min="11757" max="11758" width="0" style="191" hidden="1" customWidth="1"/>
    <col min="11759" max="11759" width="14.85546875" style="191" customWidth="1"/>
    <col min="11760" max="11761" width="0" style="191" hidden="1" customWidth="1"/>
    <col min="11762" max="11763" width="14.85546875" style="191" customWidth="1"/>
    <col min="11764" max="11764" width="44.42578125" style="191" customWidth="1"/>
    <col min="11765" max="11769" width="14.85546875" style="191" customWidth="1"/>
    <col min="11770" max="11770" width="63.85546875" style="191" customWidth="1"/>
    <col min="11771" max="11771" width="13.28515625" style="191" customWidth="1"/>
    <col min="11772" max="11957" width="9" style="191"/>
    <col min="11958" max="11959" width="0" style="191" hidden="1" customWidth="1"/>
    <col min="11960" max="11960" width="13.7109375" style="191" customWidth="1"/>
    <col min="11961" max="11961" width="52.85546875" style="191" customWidth="1"/>
    <col min="11962" max="12001" width="0" style="191" hidden="1" customWidth="1"/>
    <col min="12002" max="12003" width="14.85546875" style="191" customWidth="1"/>
    <col min="12004" max="12005" width="0" style="191" hidden="1" customWidth="1"/>
    <col min="12006" max="12006" width="14.85546875" style="191" customWidth="1"/>
    <col min="12007" max="12008" width="0" style="191" hidden="1" customWidth="1"/>
    <col min="12009" max="12009" width="14.85546875" style="191" customWidth="1"/>
    <col min="12010" max="12011" width="0" style="191" hidden="1" customWidth="1"/>
    <col min="12012" max="12012" width="14.85546875" style="191" customWidth="1"/>
    <col min="12013" max="12014" width="0" style="191" hidden="1" customWidth="1"/>
    <col min="12015" max="12015" width="14.85546875" style="191" customWidth="1"/>
    <col min="12016" max="12017" width="0" style="191" hidden="1" customWidth="1"/>
    <col min="12018" max="12019" width="14.85546875" style="191" customWidth="1"/>
    <col min="12020" max="12020" width="44.42578125" style="191" customWidth="1"/>
    <col min="12021" max="12025" width="14.85546875" style="191" customWidth="1"/>
    <col min="12026" max="12026" width="63.85546875" style="191" customWidth="1"/>
    <col min="12027" max="12027" width="13.28515625" style="191" customWidth="1"/>
    <col min="12028" max="12213" width="9" style="191"/>
    <col min="12214" max="12215" width="0" style="191" hidden="1" customWidth="1"/>
    <col min="12216" max="12216" width="13.7109375" style="191" customWidth="1"/>
    <col min="12217" max="12217" width="52.85546875" style="191" customWidth="1"/>
    <col min="12218" max="12257" width="0" style="191" hidden="1" customWidth="1"/>
    <col min="12258" max="12259" width="14.85546875" style="191" customWidth="1"/>
    <col min="12260" max="12261" width="0" style="191" hidden="1" customWidth="1"/>
    <col min="12262" max="12262" width="14.85546875" style="191" customWidth="1"/>
    <col min="12263" max="12264" width="0" style="191" hidden="1" customWidth="1"/>
    <col min="12265" max="12265" width="14.85546875" style="191" customWidth="1"/>
    <col min="12266" max="12267" width="0" style="191" hidden="1" customWidth="1"/>
    <col min="12268" max="12268" width="14.85546875" style="191" customWidth="1"/>
    <col min="12269" max="12270" width="0" style="191" hidden="1" customWidth="1"/>
    <col min="12271" max="12271" width="14.85546875" style="191" customWidth="1"/>
    <col min="12272" max="12273" width="0" style="191" hidden="1" customWidth="1"/>
    <col min="12274" max="12275" width="14.85546875" style="191" customWidth="1"/>
    <col min="12276" max="12276" width="44.42578125" style="191" customWidth="1"/>
    <col min="12277" max="12281" width="14.85546875" style="191" customWidth="1"/>
    <col min="12282" max="12282" width="63.85546875" style="191" customWidth="1"/>
    <col min="12283" max="12283" width="13.28515625" style="191" customWidth="1"/>
    <col min="12284" max="12469" width="9" style="191"/>
    <col min="12470" max="12471" width="0" style="191" hidden="1" customWidth="1"/>
    <col min="12472" max="12472" width="13.7109375" style="191" customWidth="1"/>
    <col min="12473" max="12473" width="52.85546875" style="191" customWidth="1"/>
    <col min="12474" max="12513" width="0" style="191" hidden="1" customWidth="1"/>
    <col min="12514" max="12515" width="14.85546875" style="191" customWidth="1"/>
    <col min="12516" max="12517" width="0" style="191" hidden="1" customWidth="1"/>
    <col min="12518" max="12518" width="14.85546875" style="191" customWidth="1"/>
    <col min="12519" max="12520" width="0" style="191" hidden="1" customWidth="1"/>
    <col min="12521" max="12521" width="14.85546875" style="191" customWidth="1"/>
    <col min="12522" max="12523" width="0" style="191" hidden="1" customWidth="1"/>
    <col min="12524" max="12524" width="14.85546875" style="191" customWidth="1"/>
    <col min="12525" max="12526" width="0" style="191" hidden="1" customWidth="1"/>
    <col min="12527" max="12527" width="14.85546875" style="191" customWidth="1"/>
    <col min="12528" max="12529" width="0" style="191" hidden="1" customWidth="1"/>
    <col min="12530" max="12531" width="14.85546875" style="191" customWidth="1"/>
    <col min="12532" max="12532" width="44.42578125" style="191" customWidth="1"/>
    <col min="12533" max="12537" width="14.85546875" style="191" customWidth="1"/>
    <col min="12538" max="12538" width="63.85546875" style="191" customWidth="1"/>
    <col min="12539" max="12539" width="13.28515625" style="191" customWidth="1"/>
    <col min="12540" max="12725" width="9" style="191"/>
    <col min="12726" max="12727" width="0" style="191" hidden="1" customWidth="1"/>
    <col min="12728" max="12728" width="13.7109375" style="191" customWidth="1"/>
    <col min="12729" max="12729" width="52.85546875" style="191" customWidth="1"/>
    <col min="12730" max="12769" width="0" style="191" hidden="1" customWidth="1"/>
    <col min="12770" max="12771" width="14.85546875" style="191" customWidth="1"/>
    <col min="12772" max="12773" width="0" style="191" hidden="1" customWidth="1"/>
    <col min="12774" max="12774" width="14.85546875" style="191" customWidth="1"/>
    <col min="12775" max="12776" width="0" style="191" hidden="1" customWidth="1"/>
    <col min="12777" max="12777" width="14.85546875" style="191" customWidth="1"/>
    <col min="12778" max="12779" width="0" style="191" hidden="1" customWidth="1"/>
    <col min="12780" max="12780" width="14.85546875" style="191" customWidth="1"/>
    <col min="12781" max="12782" width="0" style="191" hidden="1" customWidth="1"/>
    <col min="12783" max="12783" width="14.85546875" style="191" customWidth="1"/>
    <col min="12784" max="12785" width="0" style="191" hidden="1" customWidth="1"/>
    <col min="12786" max="12787" width="14.85546875" style="191" customWidth="1"/>
    <col min="12788" max="12788" width="44.42578125" style="191" customWidth="1"/>
    <col min="12789" max="12793" width="14.85546875" style="191" customWidth="1"/>
    <col min="12794" max="12794" width="63.85546875" style="191" customWidth="1"/>
    <col min="12795" max="12795" width="13.28515625" style="191" customWidth="1"/>
    <col min="12796" max="12981" width="9" style="191"/>
    <col min="12982" max="12983" width="0" style="191" hidden="1" customWidth="1"/>
    <col min="12984" max="12984" width="13.7109375" style="191" customWidth="1"/>
    <col min="12985" max="12985" width="52.85546875" style="191" customWidth="1"/>
    <col min="12986" max="13025" width="0" style="191" hidden="1" customWidth="1"/>
    <col min="13026" max="13027" width="14.85546875" style="191" customWidth="1"/>
    <col min="13028" max="13029" width="0" style="191" hidden="1" customWidth="1"/>
    <col min="13030" max="13030" width="14.85546875" style="191" customWidth="1"/>
    <col min="13031" max="13032" width="0" style="191" hidden="1" customWidth="1"/>
    <col min="13033" max="13033" width="14.85546875" style="191" customWidth="1"/>
    <col min="13034" max="13035" width="0" style="191" hidden="1" customWidth="1"/>
    <col min="13036" max="13036" width="14.85546875" style="191" customWidth="1"/>
    <col min="13037" max="13038" width="0" style="191" hidden="1" customWidth="1"/>
    <col min="13039" max="13039" width="14.85546875" style="191" customWidth="1"/>
    <col min="13040" max="13041" width="0" style="191" hidden="1" customWidth="1"/>
    <col min="13042" max="13043" width="14.85546875" style="191" customWidth="1"/>
    <col min="13044" max="13044" width="44.42578125" style="191" customWidth="1"/>
    <col min="13045" max="13049" width="14.85546875" style="191" customWidth="1"/>
    <col min="13050" max="13050" width="63.85546875" style="191" customWidth="1"/>
    <col min="13051" max="13051" width="13.28515625" style="191" customWidth="1"/>
    <col min="13052" max="13237" width="9" style="191"/>
    <col min="13238" max="13239" width="0" style="191" hidden="1" customWidth="1"/>
    <col min="13240" max="13240" width="13.7109375" style="191" customWidth="1"/>
    <col min="13241" max="13241" width="52.85546875" style="191" customWidth="1"/>
    <col min="13242" max="13281" width="0" style="191" hidden="1" customWidth="1"/>
    <col min="13282" max="13283" width="14.85546875" style="191" customWidth="1"/>
    <col min="13284" max="13285" width="0" style="191" hidden="1" customWidth="1"/>
    <col min="13286" max="13286" width="14.85546875" style="191" customWidth="1"/>
    <col min="13287" max="13288" width="0" style="191" hidden="1" customWidth="1"/>
    <col min="13289" max="13289" width="14.85546875" style="191" customWidth="1"/>
    <col min="13290" max="13291" width="0" style="191" hidden="1" customWidth="1"/>
    <col min="13292" max="13292" width="14.85546875" style="191" customWidth="1"/>
    <col min="13293" max="13294" width="0" style="191" hidden="1" customWidth="1"/>
    <col min="13295" max="13295" width="14.85546875" style="191" customWidth="1"/>
    <col min="13296" max="13297" width="0" style="191" hidden="1" customWidth="1"/>
    <col min="13298" max="13299" width="14.85546875" style="191" customWidth="1"/>
    <col min="13300" max="13300" width="44.42578125" style="191" customWidth="1"/>
    <col min="13301" max="13305" width="14.85546875" style="191" customWidth="1"/>
    <col min="13306" max="13306" width="63.85546875" style="191" customWidth="1"/>
    <col min="13307" max="13307" width="13.28515625" style="191" customWidth="1"/>
    <col min="13308" max="13493" width="9" style="191"/>
    <col min="13494" max="13495" width="0" style="191" hidden="1" customWidth="1"/>
    <col min="13496" max="13496" width="13.7109375" style="191" customWidth="1"/>
    <col min="13497" max="13497" width="52.85546875" style="191" customWidth="1"/>
    <col min="13498" max="13537" width="0" style="191" hidden="1" customWidth="1"/>
    <col min="13538" max="13539" width="14.85546875" style="191" customWidth="1"/>
    <col min="13540" max="13541" width="0" style="191" hidden="1" customWidth="1"/>
    <col min="13542" max="13542" width="14.85546875" style="191" customWidth="1"/>
    <col min="13543" max="13544" width="0" style="191" hidden="1" customWidth="1"/>
    <col min="13545" max="13545" width="14.85546875" style="191" customWidth="1"/>
    <col min="13546" max="13547" width="0" style="191" hidden="1" customWidth="1"/>
    <col min="13548" max="13548" width="14.85546875" style="191" customWidth="1"/>
    <col min="13549" max="13550" width="0" style="191" hidden="1" customWidth="1"/>
    <col min="13551" max="13551" width="14.85546875" style="191" customWidth="1"/>
    <col min="13552" max="13553" width="0" style="191" hidden="1" customWidth="1"/>
    <col min="13554" max="13555" width="14.85546875" style="191" customWidth="1"/>
    <col min="13556" max="13556" width="44.42578125" style="191" customWidth="1"/>
    <col min="13557" max="13561" width="14.85546875" style="191" customWidth="1"/>
    <col min="13562" max="13562" width="63.85546875" style="191" customWidth="1"/>
    <col min="13563" max="13563" width="13.28515625" style="191" customWidth="1"/>
    <col min="13564" max="13749" width="9" style="191"/>
    <col min="13750" max="13751" width="0" style="191" hidden="1" customWidth="1"/>
    <col min="13752" max="13752" width="13.7109375" style="191" customWidth="1"/>
    <col min="13753" max="13753" width="52.85546875" style="191" customWidth="1"/>
    <col min="13754" max="13793" width="0" style="191" hidden="1" customWidth="1"/>
    <col min="13794" max="13795" width="14.85546875" style="191" customWidth="1"/>
    <col min="13796" max="13797" width="0" style="191" hidden="1" customWidth="1"/>
    <col min="13798" max="13798" width="14.85546875" style="191" customWidth="1"/>
    <col min="13799" max="13800" width="0" style="191" hidden="1" customWidth="1"/>
    <col min="13801" max="13801" width="14.85546875" style="191" customWidth="1"/>
    <col min="13802" max="13803" width="0" style="191" hidden="1" customWidth="1"/>
    <col min="13804" max="13804" width="14.85546875" style="191" customWidth="1"/>
    <col min="13805" max="13806" width="0" style="191" hidden="1" customWidth="1"/>
    <col min="13807" max="13807" width="14.85546875" style="191" customWidth="1"/>
    <col min="13808" max="13809" width="0" style="191" hidden="1" customWidth="1"/>
    <col min="13810" max="13811" width="14.85546875" style="191" customWidth="1"/>
    <col min="13812" max="13812" width="44.42578125" style="191" customWidth="1"/>
    <col min="13813" max="13817" width="14.85546875" style="191" customWidth="1"/>
    <col min="13818" max="13818" width="63.85546875" style="191" customWidth="1"/>
    <col min="13819" max="13819" width="13.28515625" style="191" customWidth="1"/>
    <col min="13820" max="14005" width="9" style="191"/>
    <col min="14006" max="14007" width="0" style="191" hidden="1" customWidth="1"/>
    <col min="14008" max="14008" width="13.7109375" style="191" customWidth="1"/>
    <col min="14009" max="14009" width="52.85546875" style="191" customWidth="1"/>
    <col min="14010" max="14049" width="0" style="191" hidden="1" customWidth="1"/>
    <col min="14050" max="14051" width="14.85546875" style="191" customWidth="1"/>
    <col min="14052" max="14053" width="0" style="191" hidden="1" customWidth="1"/>
    <col min="14054" max="14054" width="14.85546875" style="191" customWidth="1"/>
    <col min="14055" max="14056" width="0" style="191" hidden="1" customWidth="1"/>
    <col min="14057" max="14057" width="14.85546875" style="191" customWidth="1"/>
    <col min="14058" max="14059" width="0" style="191" hidden="1" customWidth="1"/>
    <col min="14060" max="14060" width="14.85546875" style="191" customWidth="1"/>
    <col min="14061" max="14062" width="0" style="191" hidden="1" customWidth="1"/>
    <col min="14063" max="14063" width="14.85546875" style="191" customWidth="1"/>
    <col min="14064" max="14065" width="0" style="191" hidden="1" customWidth="1"/>
    <col min="14066" max="14067" width="14.85546875" style="191" customWidth="1"/>
    <col min="14068" max="14068" width="44.42578125" style="191" customWidth="1"/>
    <col min="14069" max="14073" width="14.85546875" style="191" customWidth="1"/>
    <col min="14074" max="14074" width="63.85546875" style="191" customWidth="1"/>
    <col min="14075" max="14075" width="13.28515625" style="191" customWidth="1"/>
    <col min="14076" max="14261" width="9" style="191"/>
    <col min="14262" max="14263" width="0" style="191" hidden="1" customWidth="1"/>
    <col min="14264" max="14264" width="13.7109375" style="191" customWidth="1"/>
    <col min="14265" max="14265" width="52.85546875" style="191" customWidth="1"/>
    <col min="14266" max="14305" width="0" style="191" hidden="1" customWidth="1"/>
    <col min="14306" max="14307" width="14.85546875" style="191" customWidth="1"/>
    <col min="14308" max="14309" width="0" style="191" hidden="1" customWidth="1"/>
    <col min="14310" max="14310" width="14.85546875" style="191" customWidth="1"/>
    <col min="14311" max="14312" width="0" style="191" hidden="1" customWidth="1"/>
    <col min="14313" max="14313" width="14.85546875" style="191" customWidth="1"/>
    <col min="14314" max="14315" width="0" style="191" hidden="1" customWidth="1"/>
    <col min="14316" max="14316" width="14.85546875" style="191" customWidth="1"/>
    <col min="14317" max="14318" width="0" style="191" hidden="1" customWidth="1"/>
    <col min="14319" max="14319" width="14.85546875" style="191" customWidth="1"/>
    <col min="14320" max="14321" width="0" style="191" hidden="1" customWidth="1"/>
    <col min="14322" max="14323" width="14.85546875" style="191" customWidth="1"/>
    <col min="14324" max="14324" width="44.42578125" style="191" customWidth="1"/>
    <col min="14325" max="14329" width="14.85546875" style="191" customWidth="1"/>
    <col min="14330" max="14330" width="63.85546875" style="191" customWidth="1"/>
    <col min="14331" max="14331" width="13.28515625" style="191" customWidth="1"/>
    <col min="14332" max="14517" width="9" style="191"/>
    <col min="14518" max="14519" width="0" style="191" hidden="1" customWidth="1"/>
    <col min="14520" max="14520" width="13.7109375" style="191" customWidth="1"/>
    <col min="14521" max="14521" width="52.85546875" style="191" customWidth="1"/>
    <col min="14522" max="14561" width="0" style="191" hidden="1" customWidth="1"/>
    <col min="14562" max="14563" width="14.85546875" style="191" customWidth="1"/>
    <col min="14564" max="14565" width="0" style="191" hidden="1" customWidth="1"/>
    <col min="14566" max="14566" width="14.85546875" style="191" customWidth="1"/>
    <col min="14567" max="14568" width="0" style="191" hidden="1" customWidth="1"/>
    <col min="14569" max="14569" width="14.85546875" style="191" customWidth="1"/>
    <col min="14570" max="14571" width="0" style="191" hidden="1" customWidth="1"/>
    <col min="14572" max="14572" width="14.85546875" style="191" customWidth="1"/>
    <col min="14573" max="14574" width="0" style="191" hidden="1" customWidth="1"/>
    <col min="14575" max="14575" width="14.85546875" style="191" customWidth="1"/>
    <col min="14576" max="14577" width="0" style="191" hidden="1" customWidth="1"/>
    <col min="14578" max="14579" width="14.85546875" style="191" customWidth="1"/>
    <col min="14580" max="14580" width="44.42578125" style="191" customWidth="1"/>
    <col min="14581" max="14585" width="14.85546875" style="191" customWidth="1"/>
    <col min="14586" max="14586" width="63.85546875" style="191" customWidth="1"/>
    <col min="14587" max="14587" width="13.28515625" style="191" customWidth="1"/>
    <col min="14588" max="14773" width="9" style="191"/>
    <col min="14774" max="14775" width="0" style="191" hidden="1" customWidth="1"/>
    <col min="14776" max="14776" width="13.7109375" style="191" customWidth="1"/>
    <col min="14777" max="14777" width="52.85546875" style="191" customWidth="1"/>
    <col min="14778" max="14817" width="0" style="191" hidden="1" customWidth="1"/>
    <col min="14818" max="14819" width="14.85546875" style="191" customWidth="1"/>
    <col min="14820" max="14821" width="0" style="191" hidden="1" customWidth="1"/>
    <col min="14822" max="14822" width="14.85546875" style="191" customWidth="1"/>
    <col min="14823" max="14824" width="0" style="191" hidden="1" customWidth="1"/>
    <col min="14825" max="14825" width="14.85546875" style="191" customWidth="1"/>
    <col min="14826" max="14827" width="0" style="191" hidden="1" customWidth="1"/>
    <col min="14828" max="14828" width="14.85546875" style="191" customWidth="1"/>
    <col min="14829" max="14830" width="0" style="191" hidden="1" customWidth="1"/>
    <col min="14831" max="14831" width="14.85546875" style="191" customWidth="1"/>
    <col min="14832" max="14833" width="0" style="191" hidden="1" customWidth="1"/>
    <col min="14834" max="14835" width="14.85546875" style="191" customWidth="1"/>
    <col min="14836" max="14836" width="44.42578125" style="191" customWidth="1"/>
    <col min="14837" max="14841" width="14.85546875" style="191" customWidth="1"/>
    <col min="14842" max="14842" width="63.85546875" style="191" customWidth="1"/>
    <col min="14843" max="14843" width="13.28515625" style="191" customWidth="1"/>
    <col min="14844" max="15029" width="9" style="191"/>
    <col min="15030" max="15031" width="0" style="191" hidden="1" customWidth="1"/>
    <col min="15032" max="15032" width="13.7109375" style="191" customWidth="1"/>
    <col min="15033" max="15033" width="52.85546875" style="191" customWidth="1"/>
    <col min="15034" max="15073" width="0" style="191" hidden="1" customWidth="1"/>
    <col min="15074" max="15075" width="14.85546875" style="191" customWidth="1"/>
    <col min="15076" max="15077" width="0" style="191" hidden="1" customWidth="1"/>
    <col min="15078" max="15078" width="14.85546875" style="191" customWidth="1"/>
    <col min="15079" max="15080" width="0" style="191" hidden="1" customWidth="1"/>
    <col min="15081" max="15081" width="14.85546875" style="191" customWidth="1"/>
    <col min="15082" max="15083" width="0" style="191" hidden="1" customWidth="1"/>
    <col min="15084" max="15084" width="14.85546875" style="191" customWidth="1"/>
    <col min="15085" max="15086" width="0" style="191" hidden="1" customWidth="1"/>
    <col min="15087" max="15087" width="14.85546875" style="191" customWidth="1"/>
    <col min="15088" max="15089" width="0" style="191" hidden="1" customWidth="1"/>
    <col min="15090" max="15091" width="14.85546875" style="191" customWidth="1"/>
    <col min="15092" max="15092" width="44.42578125" style="191" customWidth="1"/>
    <col min="15093" max="15097" width="14.85546875" style="191" customWidth="1"/>
    <col min="15098" max="15098" width="63.85546875" style="191" customWidth="1"/>
    <col min="15099" max="15099" width="13.28515625" style="191" customWidth="1"/>
    <col min="15100" max="15285" width="9" style="191"/>
    <col min="15286" max="15287" width="0" style="191" hidden="1" customWidth="1"/>
    <col min="15288" max="15288" width="13.7109375" style="191" customWidth="1"/>
    <col min="15289" max="15289" width="52.85546875" style="191" customWidth="1"/>
    <col min="15290" max="15329" width="0" style="191" hidden="1" customWidth="1"/>
    <col min="15330" max="15331" width="14.85546875" style="191" customWidth="1"/>
    <col min="15332" max="15333" width="0" style="191" hidden="1" customWidth="1"/>
    <col min="15334" max="15334" width="14.85546875" style="191" customWidth="1"/>
    <col min="15335" max="15336" width="0" style="191" hidden="1" customWidth="1"/>
    <col min="15337" max="15337" width="14.85546875" style="191" customWidth="1"/>
    <col min="15338" max="15339" width="0" style="191" hidden="1" customWidth="1"/>
    <col min="15340" max="15340" width="14.85546875" style="191" customWidth="1"/>
    <col min="15341" max="15342" width="0" style="191" hidden="1" customWidth="1"/>
    <col min="15343" max="15343" width="14.85546875" style="191" customWidth="1"/>
    <col min="15344" max="15345" width="0" style="191" hidden="1" customWidth="1"/>
    <col min="15346" max="15347" width="14.85546875" style="191" customWidth="1"/>
    <col min="15348" max="15348" width="44.42578125" style="191" customWidth="1"/>
    <col min="15349" max="15353" width="14.85546875" style="191" customWidth="1"/>
    <col min="15354" max="15354" width="63.85546875" style="191" customWidth="1"/>
    <col min="15355" max="15355" width="13.28515625" style="191" customWidth="1"/>
    <col min="15356" max="15541" width="9" style="191"/>
    <col min="15542" max="15543" width="0" style="191" hidden="1" customWidth="1"/>
    <col min="15544" max="15544" width="13.7109375" style="191" customWidth="1"/>
    <col min="15545" max="15545" width="52.85546875" style="191" customWidth="1"/>
    <col min="15546" max="15585" width="0" style="191" hidden="1" customWidth="1"/>
    <col min="15586" max="15587" width="14.85546875" style="191" customWidth="1"/>
    <col min="15588" max="15589" width="0" style="191" hidden="1" customWidth="1"/>
    <col min="15590" max="15590" width="14.85546875" style="191" customWidth="1"/>
    <col min="15591" max="15592" width="0" style="191" hidden="1" customWidth="1"/>
    <col min="15593" max="15593" width="14.85546875" style="191" customWidth="1"/>
    <col min="15594" max="15595" width="0" style="191" hidden="1" customWidth="1"/>
    <col min="15596" max="15596" width="14.85546875" style="191" customWidth="1"/>
    <col min="15597" max="15598" width="0" style="191" hidden="1" customWidth="1"/>
    <col min="15599" max="15599" width="14.85546875" style="191" customWidth="1"/>
    <col min="15600" max="15601" width="0" style="191" hidden="1" customWidth="1"/>
    <col min="15602" max="15603" width="14.85546875" style="191" customWidth="1"/>
    <col min="15604" max="15604" width="44.42578125" style="191" customWidth="1"/>
    <col min="15605" max="15609" width="14.85546875" style="191" customWidth="1"/>
    <col min="15610" max="15610" width="63.85546875" style="191" customWidth="1"/>
    <col min="15611" max="15611" width="13.28515625" style="191" customWidth="1"/>
    <col min="15612" max="15797" width="9" style="191"/>
    <col min="15798" max="15799" width="0" style="191" hidden="1" customWidth="1"/>
    <col min="15800" max="15800" width="13.7109375" style="191" customWidth="1"/>
    <col min="15801" max="15801" width="52.85546875" style="191" customWidth="1"/>
    <col min="15802" max="15841" width="0" style="191" hidden="1" customWidth="1"/>
    <col min="15842" max="15843" width="14.85546875" style="191" customWidth="1"/>
    <col min="15844" max="15845" width="0" style="191" hidden="1" customWidth="1"/>
    <col min="15846" max="15846" width="14.85546875" style="191" customWidth="1"/>
    <col min="15847" max="15848" width="0" style="191" hidden="1" customWidth="1"/>
    <col min="15849" max="15849" width="14.85546875" style="191" customWidth="1"/>
    <col min="15850" max="15851" width="0" style="191" hidden="1" customWidth="1"/>
    <col min="15852" max="15852" width="14.85546875" style="191" customWidth="1"/>
    <col min="15853" max="15854" width="0" style="191" hidden="1" customWidth="1"/>
    <col min="15855" max="15855" width="14.85546875" style="191" customWidth="1"/>
    <col min="15856" max="15857" width="0" style="191" hidden="1" customWidth="1"/>
    <col min="15858" max="15859" width="14.85546875" style="191" customWidth="1"/>
    <col min="15860" max="15860" width="44.42578125" style="191" customWidth="1"/>
    <col min="15861" max="15865" width="14.85546875" style="191" customWidth="1"/>
    <col min="15866" max="15866" width="63.85546875" style="191" customWidth="1"/>
    <col min="15867" max="15867" width="13.28515625" style="191" customWidth="1"/>
    <col min="15868" max="16053" width="9" style="191"/>
    <col min="16054" max="16055" width="0" style="191" hidden="1" customWidth="1"/>
    <col min="16056" max="16056" width="13.7109375" style="191" customWidth="1"/>
    <col min="16057" max="16057" width="52.85546875" style="191" customWidth="1"/>
    <col min="16058" max="16097" width="0" style="191" hidden="1" customWidth="1"/>
    <col min="16098" max="16099" width="14.85546875" style="191" customWidth="1"/>
    <col min="16100" max="16101" width="0" style="191" hidden="1" customWidth="1"/>
    <col min="16102" max="16102" width="14.85546875" style="191" customWidth="1"/>
    <col min="16103" max="16104" width="0" style="191" hidden="1" customWidth="1"/>
    <col min="16105" max="16105" width="14.85546875" style="191" customWidth="1"/>
    <col min="16106" max="16107" width="0" style="191" hidden="1" customWidth="1"/>
    <col min="16108" max="16108" width="14.85546875" style="191" customWidth="1"/>
    <col min="16109" max="16110" width="0" style="191" hidden="1" customWidth="1"/>
    <col min="16111" max="16111" width="14.85546875" style="191" customWidth="1"/>
    <col min="16112" max="16113" width="0" style="191" hidden="1" customWidth="1"/>
    <col min="16114" max="16115" width="14.85546875" style="191" customWidth="1"/>
    <col min="16116" max="16116" width="44.42578125" style="191" customWidth="1"/>
    <col min="16117" max="16121" width="14.85546875" style="191" customWidth="1"/>
    <col min="16122" max="16122" width="63.85546875" style="191" customWidth="1"/>
    <col min="16123" max="16123" width="13.28515625" style="191" customWidth="1"/>
    <col min="16124" max="16322" width="9" style="191"/>
    <col min="16323" max="16355" width="9.140625" style="191" customWidth="1"/>
    <col min="16356" max="16363" width="9" style="191"/>
    <col min="16364" max="16384" width="9.140625" style="191" customWidth="1"/>
  </cols>
  <sheetData>
    <row r="1" spans="1:17" ht="25.5" outlineLevel="1" x14ac:dyDescent="0.35">
      <c r="C1" s="192" t="s">
        <v>0</v>
      </c>
      <c r="D1" s="193"/>
      <c r="E1" s="1"/>
      <c r="F1" s="2"/>
      <c r="G1" s="194"/>
      <c r="H1" s="3"/>
      <c r="I1" s="194"/>
      <c r="J1" s="194"/>
      <c r="K1" s="4"/>
      <c r="L1" s="194"/>
      <c r="M1" s="194"/>
      <c r="N1" s="4"/>
      <c r="O1" s="195"/>
      <c r="P1" s="194"/>
      <c r="Q1" s="4"/>
    </row>
    <row r="2" spans="1:17" ht="25.5" outlineLevel="1" x14ac:dyDescent="0.35">
      <c r="C2" s="372" t="s">
        <v>2</v>
      </c>
      <c r="D2" s="372"/>
      <c r="G2" s="196"/>
      <c r="H2" s="7"/>
      <c r="I2" s="196"/>
      <c r="J2" s="196"/>
      <c r="K2" s="8"/>
      <c r="L2" s="196"/>
      <c r="M2" s="196"/>
      <c r="N2" s="8"/>
      <c r="O2" s="196"/>
      <c r="P2" s="196"/>
      <c r="Q2" s="8"/>
    </row>
    <row r="3" spans="1:17" ht="20.25" outlineLevel="1" x14ac:dyDescent="0.3">
      <c r="C3" s="373" t="s">
        <v>3</v>
      </c>
      <c r="D3" s="373"/>
      <c r="E3" s="10"/>
      <c r="F3" s="11"/>
      <c r="G3" s="9"/>
      <c r="I3" s="9"/>
      <c r="J3" s="9"/>
      <c r="L3" s="11"/>
      <c r="M3" s="9"/>
      <c r="O3" s="9"/>
      <c r="P3" s="9"/>
    </row>
    <row r="4" spans="1:17" ht="15.75" outlineLevel="1" thickBot="1" x14ac:dyDescent="0.3">
      <c r="C4" s="14"/>
      <c r="E4" s="10"/>
      <c r="F4" s="11"/>
      <c r="G4" s="13"/>
      <c r="I4" s="11"/>
      <c r="J4" s="13"/>
      <c r="L4" s="11"/>
      <c r="M4" s="13"/>
      <c r="O4" s="11"/>
      <c r="P4" s="13"/>
    </row>
    <row r="5" spans="1:17" ht="55.15" customHeight="1" thickBot="1" x14ac:dyDescent="0.3">
      <c r="C5" s="198" t="s">
        <v>4</v>
      </c>
      <c r="D5" s="199" t="s">
        <v>5</v>
      </c>
      <c r="E5" s="16" t="s">
        <v>7</v>
      </c>
      <c r="F5" s="16" t="s">
        <v>8</v>
      </c>
      <c r="G5" s="15" t="s">
        <v>9</v>
      </c>
      <c r="H5" s="17" t="s">
        <v>10</v>
      </c>
      <c r="I5" s="15" t="s">
        <v>11</v>
      </c>
      <c r="J5" s="15" t="s">
        <v>12</v>
      </c>
      <c r="K5" s="18" t="s">
        <v>10</v>
      </c>
      <c r="L5" s="15" t="s">
        <v>13</v>
      </c>
      <c r="M5" s="15" t="s">
        <v>14</v>
      </c>
      <c r="N5" s="18" t="s">
        <v>10</v>
      </c>
      <c r="O5" s="15" t="s">
        <v>15</v>
      </c>
      <c r="P5" s="15" t="s">
        <v>16</v>
      </c>
      <c r="Q5" s="18" t="s">
        <v>10</v>
      </c>
    </row>
    <row r="6" spans="1:17" x14ac:dyDescent="0.25">
      <c r="C6" s="200" t="s">
        <v>17</v>
      </c>
      <c r="D6" s="201" t="s">
        <v>18</v>
      </c>
      <c r="E6" s="19">
        <v>38074624</v>
      </c>
      <c r="F6" s="19">
        <f t="shared" ref="F6" si="0">ROUND((F7+F10+F13+F16+F19),0)</f>
        <v>38074624</v>
      </c>
      <c r="G6" s="202">
        <f>F6-E6</f>
        <v>0</v>
      </c>
      <c r="H6" s="20"/>
      <c r="I6" s="19">
        <f>ROUND((I7+I10+I13+I16+I19),0)</f>
        <v>38519847</v>
      </c>
      <c r="J6" s="202">
        <f>I6-F6</f>
        <v>445223</v>
      </c>
      <c r="K6" s="21"/>
      <c r="L6" s="19">
        <f>ROUND((L7+L10+L13+L16+L19),0)</f>
        <v>38519847</v>
      </c>
      <c r="M6" s="202">
        <f>L6-I6</f>
        <v>0</v>
      </c>
      <c r="N6" s="21"/>
      <c r="O6" s="19">
        <f>ROUND((O7+O10+O13+O16+O19),0)</f>
        <v>38519847</v>
      </c>
      <c r="P6" s="202">
        <f>O6-L6</f>
        <v>0</v>
      </c>
      <c r="Q6" s="21"/>
    </row>
    <row r="7" spans="1:17" x14ac:dyDescent="0.25">
      <c r="B7" s="191" t="s">
        <v>19</v>
      </c>
      <c r="C7" s="203" t="s">
        <v>20</v>
      </c>
      <c r="D7" s="204" t="s">
        <v>21</v>
      </c>
      <c r="E7" s="22">
        <v>34831773</v>
      </c>
      <c r="F7" s="22">
        <f t="shared" ref="F7" si="1">SUM(F8:F8)</f>
        <v>34831773</v>
      </c>
      <c r="G7" s="205">
        <f t="shared" ref="G7:G71" si="2">F7-E7</f>
        <v>0</v>
      </c>
      <c r="H7" s="23"/>
      <c r="I7" s="205">
        <f>SUM(I8:I8)</f>
        <v>35276996</v>
      </c>
      <c r="J7" s="205">
        <f>I7-F7</f>
        <v>445223</v>
      </c>
      <c r="K7" s="24"/>
      <c r="L7" s="205">
        <f>SUM(L8:L8)</f>
        <v>35276996</v>
      </c>
      <c r="M7" s="205">
        <f>L7-I7</f>
        <v>0</v>
      </c>
      <c r="N7" s="24"/>
      <c r="O7" s="205">
        <f>SUM(O8:O8)</f>
        <v>35276996</v>
      </c>
      <c r="P7" s="205">
        <f>O7-L7</f>
        <v>0</v>
      </c>
      <c r="Q7" s="24"/>
    </row>
    <row r="8" spans="1:17" ht="18" customHeight="1" x14ac:dyDescent="0.25">
      <c r="A8" s="191" t="s">
        <v>22</v>
      </c>
      <c r="B8" s="206" t="s">
        <v>23</v>
      </c>
      <c r="C8" s="207" t="s">
        <v>24</v>
      </c>
      <c r="D8" s="208" t="s">
        <v>25</v>
      </c>
      <c r="E8" s="25">
        <v>34831773</v>
      </c>
      <c r="F8" s="25">
        <f>ROUND(E8,0)</f>
        <v>34831773</v>
      </c>
      <c r="G8" s="209">
        <f t="shared" si="2"/>
        <v>0</v>
      </c>
      <c r="H8" s="26"/>
      <c r="I8" s="209">
        <f>ROUND(F8,0)+331540+113683</f>
        <v>35276996</v>
      </c>
      <c r="J8" s="209">
        <f>I8-F8</f>
        <v>445223</v>
      </c>
      <c r="K8" s="27" t="s">
        <v>26</v>
      </c>
      <c r="L8" s="209">
        <f>ROUND(I8,0)</f>
        <v>35276996</v>
      </c>
      <c r="M8" s="209">
        <f>L8-I8</f>
        <v>0</v>
      </c>
      <c r="N8" s="27"/>
      <c r="O8" s="209">
        <f>ROUND(L8,0)</f>
        <v>35276996</v>
      </c>
      <c r="P8" s="209">
        <f>O8-L8</f>
        <v>0</v>
      </c>
      <c r="Q8" s="27"/>
    </row>
    <row r="9" spans="1:17" ht="32.450000000000003" customHeight="1" x14ac:dyDescent="0.25">
      <c r="C9" s="200" t="s">
        <v>27</v>
      </c>
      <c r="D9" s="201" t="s">
        <v>28</v>
      </c>
      <c r="E9" s="19">
        <v>3172850.61</v>
      </c>
      <c r="F9" s="19">
        <f>F10+F13+F16</f>
        <v>3172851</v>
      </c>
      <c r="G9" s="202">
        <f t="shared" si="2"/>
        <v>0.39000000013038516</v>
      </c>
      <c r="H9" s="20"/>
      <c r="I9" s="19">
        <f>I10+I13+I16</f>
        <v>3172851</v>
      </c>
      <c r="J9" s="202">
        <f t="shared" ref="J9:J76" si="3">I9-F9</f>
        <v>0</v>
      </c>
      <c r="K9" s="21"/>
      <c r="L9" s="19">
        <f>L10+L13+L16</f>
        <v>3172851</v>
      </c>
      <c r="M9" s="202">
        <f t="shared" ref="M9:M76" si="4">L9-I9</f>
        <v>0</v>
      </c>
      <c r="N9" s="21"/>
      <c r="O9" s="19">
        <f>O10+O13+O16</f>
        <v>3172851</v>
      </c>
      <c r="P9" s="202">
        <f t="shared" ref="P9:P76" si="5">O9-L9</f>
        <v>0</v>
      </c>
      <c r="Q9" s="21"/>
    </row>
    <row r="10" spans="1:17" x14ac:dyDescent="0.25">
      <c r="B10" s="191" t="s">
        <v>29</v>
      </c>
      <c r="C10" s="210" t="s">
        <v>30</v>
      </c>
      <c r="D10" s="211" t="s">
        <v>31</v>
      </c>
      <c r="E10" s="28">
        <v>2040017.74</v>
      </c>
      <c r="F10" s="28">
        <f>SUM(F11:F12)</f>
        <v>2040018</v>
      </c>
      <c r="G10" s="212">
        <f t="shared" si="2"/>
        <v>0.26000000000931323</v>
      </c>
      <c r="H10" s="29"/>
      <c r="I10" s="212">
        <f>SUM(I11:I12)</f>
        <v>2040018</v>
      </c>
      <c r="J10" s="212">
        <f t="shared" si="3"/>
        <v>0</v>
      </c>
      <c r="K10" s="30"/>
      <c r="L10" s="212">
        <f>SUM(L11:L12)</f>
        <v>2040018</v>
      </c>
      <c r="M10" s="212">
        <f t="shared" si="4"/>
        <v>0</v>
      </c>
      <c r="N10" s="30"/>
      <c r="O10" s="212">
        <f>SUM(O11:O12)</f>
        <v>2040018</v>
      </c>
      <c r="P10" s="212">
        <f t="shared" si="5"/>
        <v>0</v>
      </c>
      <c r="Q10" s="30"/>
    </row>
    <row r="11" spans="1:17" x14ac:dyDescent="0.25">
      <c r="A11" s="191" t="s">
        <v>22</v>
      </c>
      <c r="B11" s="206" t="s">
        <v>32</v>
      </c>
      <c r="C11" s="207" t="s">
        <v>33</v>
      </c>
      <c r="D11" s="208" t="s">
        <v>25</v>
      </c>
      <c r="E11" s="25">
        <v>1900000</v>
      </c>
      <c r="F11" s="25">
        <f>ROUND(E11,0)</f>
        <v>1900000</v>
      </c>
      <c r="G11" s="209">
        <f t="shared" si="2"/>
        <v>0</v>
      </c>
      <c r="H11" s="31"/>
      <c r="I11" s="209">
        <f>ROUND(F11,0)</f>
        <v>1900000</v>
      </c>
      <c r="J11" s="209">
        <f t="shared" si="3"/>
        <v>0</v>
      </c>
      <c r="K11" s="32"/>
      <c r="L11" s="209">
        <f>ROUND(I11,0)</f>
        <v>1900000</v>
      </c>
      <c r="M11" s="209">
        <f t="shared" si="4"/>
        <v>0</v>
      </c>
      <c r="N11" s="32"/>
      <c r="O11" s="209">
        <f>ROUND(L11,0)</f>
        <v>1900000</v>
      </c>
      <c r="P11" s="209">
        <f t="shared" si="5"/>
        <v>0</v>
      </c>
      <c r="Q11" s="32"/>
    </row>
    <row r="12" spans="1:17" x14ac:dyDescent="0.25">
      <c r="A12" s="191" t="s">
        <v>22</v>
      </c>
      <c r="B12" s="206" t="s">
        <v>34</v>
      </c>
      <c r="C12" s="207" t="s">
        <v>35</v>
      </c>
      <c r="D12" s="208" t="s">
        <v>36</v>
      </c>
      <c r="E12" s="25">
        <v>140017.74</v>
      </c>
      <c r="F12" s="25">
        <f>ROUND(E12,0)</f>
        <v>140018</v>
      </c>
      <c r="G12" s="209">
        <f t="shared" si="2"/>
        <v>0.26000000000931323</v>
      </c>
      <c r="H12" s="26"/>
      <c r="I12" s="209">
        <f>ROUND(F12,0)</f>
        <v>140018</v>
      </c>
      <c r="J12" s="209">
        <f t="shared" si="3"/>
        <v>0</v>
      </c>
      <c r="K12" s="27"/>
      <c r="L12" s="209">
        <f>ROUND(I12,0)</f>
        <v>140018</v>
      </c>
      <c r="M12" s="209">
        <f t="shared" si="4"/>
        <v>0</v>
      </c>
      <c r="N12" s="27"/>
      <c r="O12" s="209">
        <f>ROUND(L12,0)</f>
        <v>140018</v>
      </c>
      <c r="P12" s="209">
        <f t="shared" si="5"/>
        <v>0</v>
      </c>
      <c r="Q12" s="27"/>
    </row>
    <row r="13" spans="1:17" x14ac:dyDescent="0.25">
      <c r="B13" s="191" t="s">
        <v>37</v>
      </c>
      <c r="C13" s="210" t="s">
        <v>38</v>
      </c>
      <c r="D13" s="211" t="s">
        <v>39</v>
      </c>
      <c r="E13" s="28">
        <v>410966.93</v>
      </c>
      <c r="F13" s="28">
        <f>SUM(F14:F15)</f>
        <v>410967</v>
      </c>
      <c r="G13" s="212">
        <f t="shared" si="2"/>
        <v>7.0000000006984919E-2</v>
      </c>
      <c r="H13" s="29"/>
      <c r="I13" s="212">
        <f>SUM(I14:I15)</f>
        <v>410967</v>
      </c>
      <c r="J13" s="212">
        <f t="shared" si="3"/>
        <v>0</v>
      </c>
      <c r="K13" s="30"/>
      <c r="L13" s="212">
        <f>SUM(L14:L15)</f>
        <v>410967</v>
      </c>
      <c r="M13" s="212">
        <f t="shared" si="4"/>
        <v>0</v>
      </c>
      <c r="N13" s="30"/>
      <c r="O13" s="212">
        <f>SUM(O14:O15)</f>
        <v>410967</v>
      </c>
      <c r="P13" s="212">
        <f t="shared" si="5"/>
        <v>0</v>
      </c>
      <c r="Q13" s="30"/>
    </row>
    <row r="14" spans="1:17" x14ac:dyDescent="0.25">
      <c r="A14" s="191" t="s">
        <v>22</v>
      </c>
      <c r="B14" s="206" t="s">
        <v>40</v>
      </c>
      <c r="C14" s="207" t="s">
        <v>41</v>
      </c>
      <c r="D14" s="208" t="s">
        <v>42</v>
      </c>
      <c r="E14" s="25">
        <v>350989</v>
      </c>
      <c r="F14" s="25">
        <f>ROUND(E14,0)</f>
        <v>350989</v>
      </c>
      <c r="G14" s="209">
        <f t="shared" si="2"/>
        <v>0</v>
      </c>
      <c r="H14" s="33"/>
      <c r="I14" s="209">
        <f>ROUND(F14,0)</f>
        <v>350989</v>
      </c>
      <c r="J14" s="209">
        <f t="shared" si="3"/>
        <v>0</v>
      </c>
      <c r="K14" s="34"/>
      <c r="L14" s="209">
        <f>ROUND(I14,0)</f>
        <v>350989</v>
      </c>
      <c r="M14" s="209">
        <f t="shared" si="4"/>
        <v>0</v>
      </c>
      <c r="N14" s="34"/>
      <c r="O14" s="209">
        <f>ROUND(L14,0)</f>
        <v>350989</v>
      </c>
      <c r="P14" s="209">
        <f t="shared" si="5"/>
        <v>0</v>
      </c>
      <c r="Q14" s="34"/>
    </row>
    <row r="15" spans="1:17" x14ac:dyDescent="0.25">
      <c r="A15" s="191" t="s">
        <v>22</v>
      </c>
      <c r="B15" s="206" t="s">
        <v>43</v>
      </c>
      <c r="C15" s="207" t="s">
        <v>44</v>
      </c>
      <c r="D15" s="208" t="s">
        <v>36</v>
      </c>
      <c r="E15" s="25">
        <v>59977.93</v>
      </c>
      <c r="F15" s="25">
        <f>ROUND(E15,0)</f>
        <v>59978</v>
      </c>
      <c r="G15" s="209">
        <f t="shared" si="2"/>
        <v>6.9999999999708962E-2</v>
      </c>
      <c r="H15" s="26"/>
      <c r="I15" s="209">
        <f>ROUND(F15,0)</f>
        <v>59978</v>
      </c>
      <c r="J15" s="209">
        <f t="shared" si="3"/>
        <v>0</v>
      </c>
      <c r="K15" s="27"/>
      <c r="L15" s="209">
        <f>ROUND(I15,0)</f>
        <v>59978</v>
      </c>
      <c r="M15" s="209">
        <f t="shared" si="4"/>
        <v>0</v>
      </c>
      <c r="N15" s="27"/>
      <c r="O15" s="209">
        <f>ROUND(L15,0)</f>
        <v>59978</v>
      </c>
      <c r="P15" s="209">
        <f t="shared" si="5"/>
        <v>0</v>
      </c>
      <c r="Q15" s="27"/>
    </row>
    <row r="16" spans="1:17" ht="29.25" x14ac:dyDescent="0.25">
      <c r="B16" s="191" t="s">
        <v>45</v>
      </c>
      <c r="C16" s="210" t="s">
        <v>46</v>
      </c>
      <c r="D16" s="211" t="s">
        <v>47</v>
      </c>
      <c r="E16" s="28">
        <v>721865.94</v>
      </c>
      <c r="F16" s="28">
        <f>SUM(F17:F18)</f>
        <v>721866</v>
      </c>
      <c r="G16" s="212">
        <f t="shared" si="2"/>
        <v>6.0000000055879354E-2</v>
      </c>
      <c r="H16" s="29"/>
      <c r="I16" s="212">
        <f>SUM(I17:I18)</f>
        <v>721866</v>
      </c>
      <c r="J16" s="212">
        <f t="shared" si="3"/>
        <v>0</v>
      </c>
      <c r="K16" s="30"/>
      <c r="L16" s="212">
        <f>SUM(L17:L18)</f>
        <v>721866</v>
      </c>
      <c r="M16" s="212">
        <f t="shared" si="4"/>
        <v>0</v>
      </c>
      <c r="N16" s="30"/>
      <c r="O16" s="212">
        <f>SUM(O17:O18)</f>
        <v>721866</v>
      </c>
      <c r="P16" s="212">
        <f t="shared" si="5"/>
        <v>0</v>
      </c>
      <c r="Q16" s="30"/>
    </row>
    <row r="17" spans="1:17" ht="18.75" customHeight="1" x14ac:dyDescent="0.25">
      <c r="A17" s="191" t="s">
        <v>22</v>
      </c>
      <c r="B17" s="206" t="s">
        <v>48</v>
      </c>
      <c r="C17" s="207" t="s">
        <v>49</v>
      </c>
      <c r="D17" s="208" t="s">
        <v>42</v>
      </c>
      <c r="E17" s="25">
        <v>650000</v>
      </c>
      <c r="F17" s="25">
        <f>ROUND(E17,0)</f>
        <v>650000</v>
      </c>
      <c r="G17" s="209">
        <f t="shared" si="2"/>
        <v>0</v>
      </c>
      <c r="H17" s="33"/>
      <c r="I17" s="209">
        <f>ROUND(F17,0)</f>
        <v>650000</v>
      </c>
      <c r="J17" s="209">
        <f t="shared" si="3"/>
        <v>0</v>
      </c>
      <c r="K17" s="34"/>
      <c r="L17" s="209">
        <f>ROUND(I17,0)</f>
        <v>650000</v>
      </c>
      <c r="M17" s="209">
        <f t="shared" si="4"/>
        <v>0</v>
      </c>
      <c r="N17" s="34"/>
      <c r="O17" s="209">
        <f>ROUND(L17,0)</f>
        <v>650000</v>
      </c>
      <c r="P17" s="209">
        <f t="shared" si="5"/>
        <v>0</v>
      </c>
      <c r="Q17" s="34"/>
    </row>
    <row r="18" spans="1:17" x14ac:dyDescent="0.25">
      <c r="A18" s="191" t="s">
        <v>22</v>
      </c>
      <c r="B18" s="206" t="s">
        <v>50</v>
      </c>
      <c r="C18" s="207" t="s">
        <v>51</v>
      </c>
      <c r="D18" s="208" t="s">
        <v>36</v>
      </c>
      <c r="E18" s="25">
        <v>71865.94</v>
      </c>
      <c r="F18" s="25">
        <f>ROUND(E18,0)</f>
        <v>71866</v>
      </c>
      <c r="G18" s="209">
        <f t="shared" si="2"/>
        <v>5.9999999997671694E-2</v>
      </c>
      <c r="H18" s="31"/>
      <c r="I18" s="209">
        <f>ROUND(F18,0)</f>
        <v>71866</v>
      </c>
      <c r="J18" s="209">
        <f t="shared" si="3"/>
        <v>0</v>
      </c>
      <c r="K18" s="32"/>
      <c r="L18" s="209">
        <f>ROUND(I18,0)</f>
        <v>71866</v>
      </c>
      <c r="M18" s="209">
        <f t="shared" si="4"/>
        <v>0</v>
      </c>
      <c r="N18" s="32"/>
      <c r="O18" s="209">
        <f>ROUND(L18,0)</f>
        <v>71866</v>
      </c>
      <c r="P18" s="209">
        <f t="shared" si="5"/>
        <v>0</v>
      </c>
      <c r="Q18" s="32"/>
    </row>
    <row r="19" spans="1:17" ht="29.25" x14ac:dyDescent="0.25">
      <c r="B19" s="213"/>
      <c r="C19" s="210" t="s">
        <v>52</v>
      </c>
      <c r="D19" s="211" t="s">
        <v>53</v>
      </c>
      <c r="E19" s="28">
        <v>70000</v>
      </c>
      <c r="F19" s="28">
        <f t="shared" ref="F19" si="6">SUM(F20:F21)</f>
        <v>70000</v>
      </c>
      <c r="G19" s="212">
        <f t="shared" si="2"/>
        <v>0</v>
      </c>
      <c r="H19" s="29"/>
      <c r="I19" s="212">
        <f>SUM(I20:I21)</f>
        <v>70000</v>
      </c>
      <c r="J19" s="212">
        <f t="shared" si="3"/>
        <v>0</v>
      </c>
      <c r="K19" s="30"/>
      <c r="L19" s="212">
        <f>SUM(L20:L21)</f>
        <v>70000</v>
      </c>
      <c r="M19" s="212">
        <f t="shared" si="4"/>
        <v>0</v>
      </c>
      <c r="N19" s="30"/>
      <c r="O19" s="212">
        <f>SUM(O20:O21)</f>
        <v>70000</v>
      </c>
      <c r="P19" s="212">
        <f t="shared" si="5"/>
        <v>0</v>
      </c>
      <c r="Q19" s="30"/>
    </row>
    <row r="20" spans="1:17" ht="14.45" customHeight="1" outlineLevel="1" x14ac:dyDescent="0.25">
      <c r="B20" s="206" t="s">
        <v>54</v>
      </c>
      <c r="C20" s="207" t="s">
        <v>55</v>
      </c>
      <c r="D20" s="208" t="s">
        <v>56</v>
      </c>
      <c r="E20" s="25">
        <v>0</v>
      </c>
      <c r="F20" s="25">
        <f>ROUND(E20,0)</f>
        <v>0</v>
      </c>
      <c r="G20" s="209">
        <f t="shared" si="2"/>
        <v>0</v>
      </c>
      <c r="H20" s="33"/>
      <c r="I20" s="209">
        <f>ROUND(F20,0)</f>
        <v>0</v>
      </c>
      <c r="J20" s="209">
        <f t="shared" si="3"/>
        <v>0</v>
      </c>
      <c r="K20" s="34"/>
      <c r="L20" s="209">
        <f>ROUND(I20,0)</f>
        <v>0</v>
      </c>
      <c r="M20" s="209">
        <f t="shared" si="4"/>
        <v>0</v>
      </c>
      <c r="N20" s="34"/>
      <c r="O20" s="209">
        <f>ROUND(L20,0)</f>
        <v>0</v>
      </c>
      <c r="P20" s="209">
        <f t="shared" si="5"/>
        <v>0</v>
      </c>
      <c r="Q20" s="34"/>
    </row>
    <row r="21" spans="1:17" ht="15.6" customHeight="1" x14ac:dyDescent="0.25">
      <c r="B21" s="206" t="s">
        <v>57</v>
      </c>
      <c r="C21" s="207" t="s">
        <v>55</v>
      </c>
      <c r="D21" s="208" t="s">
        <v>58</v>
      </c>
      <c r="E21" s="25">
        <v>70000</v>
      </c>
      <c r="F21" s="25">
        <f>ROUND(E21,0)</f>
        <v>70000</v>
      </c>
      <c r="G21" s="209">
        <f t="shared" si="2"/>
        <v>0</v>
      </c>
      <c r="H21" s="35"/>
      <c r="I21" s="209">
        <f>ROUND(F21,0)</f>
        <v>70000</v>
      </c>
      <c r="J21" s="209">
        <f t="shared" si="3"/>
        <v>0</v>
      </c>
      <c r="K21" s="36"/>
      <c r="L21" s="209">
        <f>ROUND(I21,0)</f>
        <v>70000</v>
      </c>
      <c r="M21" s="209">
        <f t="shared" si="4"/>
        <v>0</v>
      </c>
      <c r="N21" s="36"/>
      <c r="O21" s="209">
        <f>ROUND(L21,0)</f>
        <v>70000</v>
      </c>
      <c r="P21" s="209">
        <f t="shared" si="5"/>
        <v>0</v>
      </c>
      <c r="Q21" s="36"/>
    </row>
    <row r="22" spans="1:17" ht="15.75" customHeight="1" x14ac:dyDescent="0.25">
      <c r="B22" s="191" t="s">
        <v>59</v>
      </c>
      <c r="C22" s="210" t="s">
        <v>60</v>
      </c>
      <c r="D22" s="211" t="s">
        <v>61</v>
      </c>
      <c r="E22" s="28">
        <v>160000</v>
      </c>
      <c r="F22" s="28">
        <f t="shared" ref="F22" si="7">F23+F27</f>
        <v>160000</v>
      </c>
      <c r="G22" s="212">
        <f t="shared" si="2"/>
        <v>0</v>
      </c>
      <c r="H22" s="29"/>
      <c r="I22" s="212">
        <f>I23+I27</f>
        <v>160000</v>
      </c>
      <c r="J22" s="212">
        <f t="shared" si="3"/>
        <v>0</v>
      </c>
      <c r="K22" s="30"/>
      <c r="L22" s="212">
        <f>L23+L27</f>
        <v>160000</v>
      </c>
      <c r="M22" s="212">
        <f t="shared" si="4"/>
        <v>0</v>
      </c>
      <c r="N22" s="30"/>
      <c r="O22" s="212">
        <f>O23+O27</f>
        <v>167000</v>
      </c>
      <c r="P22" s="212">
        <f t="shared" si="5"/>
        <v>7000</v>
      </c>
      <c r="Q22" s="30"/>
    </row>
    <row r="23" spans="1:17" x14ac:dyDescent="0.25">
      <c r="A23" s="191" t="s">
        <v>22</v>
      </c>
      <c r="B23" s="191" t="s">
        <v>62</v>
      </c>
      <c r="C23" s="207" t="s">
        <v>63</v>
      </c>
      <c r="D23" s="208" t="s">
        <v>64</v>
      </c>
      <c r="E23" s="25">
        <v>6700</v>
      </c>
      <c r="F23" s="25">
        <f>F24+F25+F26</f>
        <v>6700</v>
      </c>
      <c r="G23" s="209">
        <f>F23-E23</f>
        <v>0</v>
      </c>
      <c r="H23" s="31"/>
      <c r="I23" s="209">
        <f>I24+I25+I26</f>
        <v>6700</v>
      </c>
      <c r="J23" s="209">
        <f t="shared" si="3"/>
        <v>0</v>
      </c>
      <c r="K23" s="32"/>
      <c r="L23" s="209">
        <f>L24+L25+L26</f>
        <v>6700</v>
      </c>
      <c r="M23" s="209">
        <f t="shared" si="4"/>
        <v>0</v>
      </c>
      <c r="N23" s="32"/>
      <c r="O23" s="209">
        <f>O24+O25+O26</f>
        <v>6700</v>
      </c>
      <c r="P23" s="209">
        <f t="shared" si="5"/>
        <v>0</v>
      </c>
      <c r="Q23" s="32"/>
    </row>
    <row r="24" spans="1:17" ht="26.25" x14ac:dyDescent="0.25">
      <c r="B24" s="206" t="s">
        <v>65</v>
      </c>
      <c r="C24" s="214" t="s">
        <v>66</v>
      </c>
      <c r="D24" s="215" t="s">
        <v>67</v>
      </c>
      <c r="E24" s="25">
        <v>1700</v>
      </c>
      <c r="F24" s="25">
        <f>ROUND(E24,0)</f>
        <v>1700</v>
      </c>
      <c r="G24" s="209">
        <f t="shared" si="2"/>
        <v>0</v>
      </c>
      <c r="H24" s="31"/>
      <c r="I24" s="209">
        <f>ROUND(F24,0)</f>
        <v>1700</v>
      </c>
      <c r="J24" s="209">
        <f t="shared" si="3"/>
        <v>0</v>
      </c>
      <c r="K24" s="32"/>
      <c r="L24" s="209">
        <f>ROUND(I24,0)</f>
        <v>1700</v>
      </c>
      <c r="M24" s="209">
        <f t="shared" si="4"/>
        <v>0</v>
      </c>
      <c r="N24" s="32"/>
      <c r="O24" s="209">
        <f>ROUND(L24,0)</f>
        <v>1700</v>
      </c>
      <c r="P24" s="209">
        <f t="shared" si="5"/>
        <v>0</v>
      </c>
      <c r="Q24" s="32"/>
    </row>
    <row r="25" spans="1:17" ht="26.25" x14ac:dyDescent="0.25">
      <c r="B25" s="206" t="s">
        <v>68</v>
      </c>
      <c r="C25" s="214" t="s">
        <v>69</v>
      </c>
      <c r="D25" s="215" t="s">
        <v>70</v>
      </c>
      <c r="E25" s="25">
        <v>4500</v>
      </c>
      <c r="F25" s="25">
        <f>ROUND(E25,0)</f>
        <v>4500</v>
      </c>
      <c r="G25" s="209">
        <f t="shared" si="2"/>
        <v>0</v>
      </c>
      <c r="H25" s="31"/>
      <c r="I25" s="209">
        <f>ROUND(F25,0)</f>
        <v>4500</v>
      </c>
      <c r="J25" s="209">
        <f t="shared" si="3"/>
        <v>0</v>
      </c>
      <c r="K25" s="32"/>
      <c r="L25" s="209">
        <f>ROUND(I25,0)</f>
        <v>4500</v>
      </c>
      <c r="M25" s="209">
        <f t="shared" si="4"/>
        <v>0</v>
      </c>
      <c r="N25" s="32"/>
      <c r="O25" s="209">
        <f>ROUND(L25,0)</f>
        <v>4500</v>
      </c>
      <c r="P25" s="209">
        <f t="shared" si="5"/>
        <v>0</v>
      </c>
      <c r="Q25" s="32"/>
    </row>
    <row r="26" spans="1:17" ht="26.25" x14ac:dyDescent="0.25">
      <c r="B26" s="206" t="s">
        <v>71</v>
      </c>
      <c r="C26" s="214" t="s">
        <v>72</v>
      </c>
      <c r="D26" s="215" t="s">
        <v>73</v>
      </c>
      <c r="E26" s="25">
        <v>500</v>
      </c>
      <c r="F26" s="25">
        <f>ROUND(E26,0)</f>
        <v>500</v>
      </c>
      <c r="G26" s="209">
        <f t="shared" si="2"/>
        <v>0</v>
      </c>
      <c r="H26" s="31"/>
      <c r="I26" s="209">
        <f>ROUND(F26,0)</f>
        <v>500</v>
      </c>
      <c r="J26" s="209">
        <f t="shared" si="3"/>
        <v>0</v>
      </c>
      <c r="K26" s="32"/>
      <c r="L26" s="209">
        <f>ROUND(I26,0)</f>
        <v>500</v>
      </c>
      <c r="M26" s="209">
        <f t="shared" si="4"/>
        <v>0</v>
      </c>
      <c r="N26" s="32"/>
      <c r="O26" s="209">
        <f>ROUND(L26,0)</f>
        <v>500</v>
      </c>
      <c r="P26" s="209">
        <f t="shared" si="5"/>
        <v>0</v>
      </c>
      <c r="Q26" s="32"/>
    </row>
    <row r="27" spans="1:17" x14ac:dyDescent="0.25">
      <c r="A27" s="191" t="s">
        <v>22</v>
      </c>
      <c r="B27" s="191" t="s">
        <v>74</v>
      </c>
      <c r="C27" s="207" t="s">
        <v>75</v>
      </c>
      <c r="D27" s="208" t="s">
        <v>76</v>
      </c>
      <c r="E27" s="25">
        <v>153300</v>
      </c>
      <c r="F27" s="25">
        <f t="shared" ref="F27" si="8">SUM(F28:F33)</f>
        <v>153300</v>
      </c>
      <c r="G27" s="209">
        <f t="shared" si="2"/>
        <v>0</v>
      </c>
      <c r="H27" s="31"/>
      <c r="I27" s="209">
        <f>SUM(I28:I33)</f>
        <v>153300</v>
      </c>
      <c r="J27" s="209">
        <f t="shared" si="3"/>
        <v>0</v>
      </c>
      <c r="K27" s="32"/>
      <c r="L27" s="209">
        <f>SUM(L28:L33)</f>
        <v>153300</v>
      </c>
      <c r="M27" s="209">
        <f t="shared" si="4"/>
        <v>0</v>
      </c>
      <c r="N27" s="32"/>
      <c r="O27" s="209">
        <f>SUM(O28:O33)</f>
        <v>160300</v>
      </c>
      <c r="P27" s="209">
        <f t="shared" si="5"/>
        <v>7000</v>
      </c>
      <c r="Q27" s="32"/>
    </row>
    <row r="28" spans="1:17" ht="26.25" x14ac:dyDescent="0.25">
      <c r="B28" s="206" t="s">
        <v>77</v>
      </c>
      <c r="C28" s="214" t="s">
        <v>78</v>
      </c>
      <c r="D28" s="215" t="s">
        <v>79</v>
      </c>
      <c r="E28" s="25">
        <v>350</v>
      </c>
      <c r="F28" s="25">
        <f t="shared" ref="F28:F33" si="9">ROUND(E28,0)</f>
        <v>350</v>
      </c>
      <c r="G28" s="209">
        <f t="shared" si="2"/>
        <v>0</v>
      </c>
      <c r="H28" s="31"/>
      <c r="I28" s="209">
        <f t="shared" ref="I28:I33" si="10">ROUND(F28,0)</f>
        <v>350</v>
      </c>
      <c r="J28" s="209">
        <f t="shared" si="3"/>
        <v>0</v>
      </c>
      <c r="K28" s="32"/>
      <c r="L28" s="209">
        <f t="shared" ref="L28:L33" si="11">ROUND(I28,0)</f>
        <v>350</v>
      </c>
      <c r="M28" s="209">
        <f t="shared" si="4"/>
        <v>0</v>
      </c>
      <c r="N28" s="32"/>
      <c r="O28" s="209">
        <f t="shared" ref="O28:O33" si="12">ROUND(L28,0)</f>
        <v>350</v>
      </c>
      <c r="P28" s="209">
        <f t="shared" si="5"/>
        <v>0</v>
      </c>
      <c r="Q28" s="32"/>
    </row>
    <row r="29" spans="1:17" ht="26.25" x14ac:dyDescent="0.25">
      <c r="B29" s="216" t="s">
        <v>80</v>
      </c>
      <c r="C29" s="214" t="s">
        <v>81</v>
      </c>
      <c r="D29" s="215" t="s">
        <v>82</v>
      </c>
      <c r="E29" s="25">
        <v>1100</v>
      </c>
      <c r="F29" s="25">
        <f t="shared" si="9"/>
        <v>1100</v>
      </c>
      <c r="G29" s="209">
        <f t="shared" si="2"/>
        <v>0</v>
      </c>
      <c r="H29" s="31"/>
      <c r="I29" s="209">
        <f t="shared" si="10"/>
        <v>1100</v>
      </c>
      <c r="J29" s="209">
        <f t="shared" si="3"/>
        <v>0</v>
      </c>
      <c r="K29" s="32"/>
      <c r="L29" s="209">
        <f t="shared" si="11"/>
        <v>1100</v>
      </c>
      <c r="M29" s="209">
        <f t="shared" si="4"/>
        <v>0</v>
      </c>
      <c r="N29" s="32"/>
      <c r="O29" s="209">
        <f t="shared" si="12"/>
        <v>1100</v>
      </c>
      <c r="P29" s="209">
        <f t="shared" si="5"/>
        <v>0</v>
      </c>
      <c r="Q29" s="32"/>
    </row>
    <row r="30" spans="1:17" ht="45" x14ac:dyDescent="0.25">
      <c r="B30" s="206" t="s">
        <v>83</v>
      </c>
      <c r="C30" s="214" t="s">
        <v>84</v>
      </c>
      <c r="D30" s="215" t="s">
        <v>85</v>
      </c>
      <c r="E30" s="25">
        <v>27000</v>
      </c>
      <c r="F30" s="25">
        <f t="shared" si="9"/>
        <v>27000</v>
      </c>
      <c r="G30" s="209">
        <f t="shared" si="2"/>
        <v>0</v>
      </c>
      <c r="H30" s="31"/>
      <c r="I30" s="209">
        <f t="shared" si="10"/>
        <v>27000</v>
      </c>
      <c r="J30" s="209">
        <f t="shared" si="3"/>
        <v>0</v>
      </c>
      <c r="K30" s="32"/>
      <c r="L30" s="209">
        <f t="shared" si="11"/>
        <v>27000</v>
      </c>
      <c r="M30" s="209">
        <f t="shared" si="4"/>
        <v>0</v>
      </c>
      <c r="N30" s="32"/>
      <c r="O30" s="209">
        <f>ROUND(L30,0)+7000</f>
        <v>34000</v>
      </c>
      <c r="P30" s="209">
        <f t="shared" si="5"/>
        <v>7000</v>
      </c>
      <c r="Q30" s="37" t="s">
        <v>86</v>
      </c>
    </row>
    <row r="31" spans="1:17" ht="26.25" x14ac:dyDescent="0.25">
      <c r="B31" s="206" t="s">
        <v>87</v>
      </c>
      <c r="C31" s="214" t="s">
        <v>88</v>
      </c>
      <c r="D31" s="215" t="s">
        <v>89</v>
      </c>
      <c r="E31" s="25">
        <v>11500</v>
      </c>
      <c r="F31" s="25">
        <f t="shared" si="9"/>
        <v>11500</v>
      </c>
      <c r="G31" s="209">
        <f t="shared" si="2"/>
        <v>0</v>
      </c>
      <c r="H31" s="31"/>
      <c r="I31" s="209">
        <f t="shared" si="10"/>
        <v>11500</v>
      </c>
      <c r="J31" s="209">
        <f t="shared" si="3"/>
        <v>0</v>
      </c>
      <c r="K31" s="32"/>
      <c r="L31" s="209">
        <f t="shared" si="11"/>
        <v>11500</v>
      </c>
      <c r="M31" s="209">
        <f t="shared" si="4"/>
        <v>0</v>
      </c>
      <c r="N31" s="32"/>
      <c r="O31" s="209">
        <f t="shared" si="12"/>
        <v>11500</v>
      </c>
      <c r="P31" s="209">
        <f t="shared" si="5"/>
        <v>0</v>
      </c>
      <c r="Q31" s="32"/>
    </row>
    <row r="32" spans="1:17" x14ac:dyDescent="0.25">
      <c r="B32" s="206" t="s">
        <v>90</v>
      </c>
      <c r="C32" s="214" t="s">
        <v>91</v>
      </c>
      <c r="D32" s="215" t="s">
        <v>92</v>
      </c>
      <c r="E32" s="25">
        <v>106350</v>
      </c>
      <c r="F32" s="25">
        <f t="shared" si="9"/>
        <v>106350</v>
      </c>
      <c r="G32" s="209">
        <f t="shared" si="2"/>
        <v>0</v>
      </c>
      <c r="H32" s="31"/>
      <c r="I32" s="209">
        <f t="shared" si="10"/>
        <v>106350</v>
      </c>
      <c r="J32" s="209">
        <f t="shared" si="3"/>
        <v>0</v>
      </c>
      <c r="K32" s="32"/>
      <c r="L32" s="209">
        <f t="shared" si="11"/>
        <v>106350</v>
      </c>
      <c r="M32" s="209">
        <f t="shared" si="4"/>
        <v>0</v>
      </c>
      <c r="N32" s="32"/>
      <c r="O32" s="209">
        <f t="shared" si="12"/>
        <v>106350</v>
      </c>
      <c r="P32" s="209">
        <f t="shared" si="5"/>
        <v>0</v>
      </c>
      <c r="Q32" s="32"/>
    </row>
    <row r="33" spans="1:17" x14ac:dyDescent="0.25">
      <c r="B33" s="206" t="s">
        <v>93</v>
      </c>
      <c r="C33" s="214" t="s">
        <v>94</v>
      </c>
      <c r="D33" s="215" t="s">
        <v>95</v>
      </c>
      <c r="E33" s="25">
        <v>7000</v>
      </c>
      <c r="F33" s="25">
        <f t="shared" si="9"/>
        <v>7000</v>
      </c>
      <c r="G33" s="209">
        <f t="shared" si="2"/>
        <v>0</v>
      </c>
      <c r="H33" s="31"/>
      <c r="I33" s="209">
        <f t="shared" si="10"/>
        <v>7000</v>
      </c>
      <c r="J33" s="209">
        <f t="shared" si="3"/>
        <v>0</v>
      </c>
      <c r="K33" s="32"/>
      <c r="L33" s="209">
        <f t="shared" si="11"/>
        <v>7000</v>
      </c>
      <c r="M33" s="209">
        <f t="shared" si="4"/>
        <v>0</v>
      </c>
      <c r="N33" s="32"/>
      <c r="O33" s="209">
        <f t="shared" si="12"/>
        <v>7000</v>
      </c>
      <c r="P33" s="209">
        <f t="shared" si="5"/>
        <v>0</v>
      </c>
      <c r="Q33" s="32"/>
    </row>
    <row r="34" spans="1:17" ht="18" customHeight="1" x14ac:dyDescent="0.25">
      <c r="B34" s="191" t="s">
        <v>96</v>
      </c>
      <c r="C34" s="210" t="s">
        <v>97</v>
      </c>
      <c r="D34" s="211" t="s">
        <v>98</v>
      </c>
      <c r="E34" s="28">
        <v>65000</v>
      </c>
      <c r="F34" s="28">
        <f>F35+F36</f>
        <v>65000</v>
      </c>
      <c r="G34" s="212">
        <f t="shared" si="2"/>
        <v>0</v>
      </c>
      <c r="H34" s="38"/>
      <c r="I34" s="212">
        <f>I35+I36</f>
        <v>65000</v>
      </c>
      <c r="J34" s="212">
        <f t="shared" si="3"/>
        <v>0</v>
      </c>
      <c r="K34" s="39"/>
      <c r="L34" s="212">
        <f>L35+L36</f>
        <v>65000</v>
      </c>
      <c r="M34" s="212">
        <f t="shared" si="4"/>
        <v>0</v>
      </c>
      <c r="N34" s="39"/>
      <c r="O34" s="212">
        <f>O35+O36</f>
        <v>65000</v>
      </c>
      <c r="P34" s="212">
        <f t="shared" si="5"/>
        <v>0</v>
      </c>
      <c r="Q34" s="39"/>
    </row>
    <row r="35" spans="1:17" ht="16.5" customHeight="1" x14ac:dyDescent="0.25">
      <c r="B35" s="213" t="s">
        <v>99</v>
      </c>
      <c r="C35" s="207" t="s">
        <v>100</v>
      </c>
      <c r="D35" s="208" t="s">
        <v>98</v>
      </c>
      <c r="E35" s="25">
        <v>31000</v>
      </c>
      <c r="F35" s="25">
        <f>ROUND(E35,0)</f>
        <v>31000</v>
      </c>
      <c r="G35" s="209">
        <f t="shared" si="2"/>
        <v>0</v>
      </c>
      <c r="H35" s="26"/>
      <c r="I35" s="209">
        <f>ROUND(F35,0)</f>
        <v>31000</v>
      </c>
      <c r="J35" s="209">
        <f t="shared" si="3"/>
        <v>0</v>
      </c>
      <c r="K35" s="27"/>
      <c r="L35" s="209">
        <f>ROUND(I35,0)</f>
        <v>31000</v>
      </c>
      <c r="M35" s="209">
        <f t="shared" si="4"/>
        <v>0</v>
      </c>
      <c r="N35" s="27"/>
      <c r="O35" s="209">
        <f>ROUND(L35,0)</f>
        <v>31000</v>
      </c>
      <c r="P35" s="209">
        <f t="shared" si="5"/>
        <v>0</v>
      </c>
      <c r="Q35" s="27"/>
    </row>
    <row r="36" spans="1:17" ht="30" x14ac:dyDescent="0.25">
      <c r="B36" s="213" t="s">
        <v>101</v>
      </c>
      <c r="C36" s="207" t="s">
        <v>102</v>
      </c>
      <c r="D36" s="208" t="s">
        <v>103</v>
      </c>
      <c r="E36" s="25">
        <v>34000</v>
      </c>
      <c r="F36" s="25">
        <f>ROUND(E36,0)</f>
        <v>34000</v>
      </c>
      <c r="G36" s="209">
        <f t="shared" si="2"/>
        <v>0</v>
      </c>
      <c r="H36" s="26"/>
      <c r="I36" s="209">
        <f>ROUND(F36,0)</f>
        <v>34000</v>
      </c>
      <c r="J36" s="209">
        <f t="shared" si="3"/>
        <v>0</v>
      </c>
      <c r="K36" s="27"/>
      <c r="L36" s="209">
        <f>ROUND(I36,0)</f>
        <v>34000</v>
      </c>
      <c r="M36" s="209">
        <f t="shared" si="4"/>
        <v>0</v>
      </c>
      <c r="N36" s="27"/>
      <c r="O36" s="209">
        <f>ROUND(L36,0)</f>
        <v>34000</v>
      </c>
      <c r="P36" s="209">
        <f t="shared" si="5"/>
        <v>0</v>
      </c>
      <c r="Q36" s="27"/>
    </row>
    <row r="37" spans="1:17" x14ac:dyDescent="0.25">
      <c r="B37" s="191" t="s">
        <v>104</v>
      </c>
      <c r="C37" s="210" t="s">
        <v>105</v>
      </c>
      <c r="D37" s="211" t="s">
        <v>106</v>
      </c>
      <c r="E37" s="28">
        <v>6453</v>
      </c>
      <c r="F37" s="28">
        <f>F38+F39+F40</f>
        <v>6453</v>
      </c>
      <c r="G37" s="212">
        <f t="shared" si="2"/>
        <v>0</v>
      </c>
      <c r="H37" s="29"/>
      <c r="I37" s="212">
        <f>I38+I39+I40</f>
        <v>25797</v>
      </c>
      <c r="J37" s="212">
        <f t="shared" si="3"/>
        <v>19344</v>
      </c>
      <c r="K37" s="30"/>
      <c r="L37" s="212">
        <f>L38+L39+L40</f>
        <v>35106</v>
      </c>
      <c r="M37" s="212">
        <f t="shared" si="4"/>
        <v>9309</v>
      </c>
      <c r="N37" s="30"/>
      <c r="O37" s="212">
        <f>O38+O39+O40</f>
        <v>57106</v>
      </c>
      <c r="P37" s="212">
        <f t="shared" si="5"/>
        <v>22000</v>
      </c>
      <c r="Q37" s="30"/>
    </row>
    <row r="38" spans="1:17" ht="27.6" customHeight="1" x14ac:dyDescent="0.25">
      <c r="A38" s="191" t="s">
        <v>22</v>
      </c>
      <c r="B38" s="194" t="s">
        <v>107</v>
      </c>
      <c r="C38" s="207" t="s">
        <v>108</v>
      </c>
      <c r="D38" s="217" t="s">
        <v>109</v>
      </c>
      <c r="E38" s="25">
        <v>0</v>
      </c>
      <c r="F38" s="25">
        <f>ROUND(E38,0)</f>
        <v>0</v>
      </c>
      <c r="G38" s="209">
        <f t="shared" si="2"/>
        <v>0</v>
      </c>
      <c r="H38" s="40"/>
      <c r="I38" s="209">
        <f>ROUND(F38,0)+19344</f>
        <v>19344</v>
      </c>
      <c r="J38" s="209">
        <f t="shared" si="3"/>
        <v>19344</v>
      </c>
      <c r="K38" s="41" t="s">
        <v>110</v>
      </c>
      <c r="L38" s="209">
        <f>ROUND(I38,0)+9309</f>
        <v>28653</v>
      </c>
      <c r="M38" s="209">
        <f t="shared" si="4"/>
        <v>9309</v>
      </c>
      <c r="N38" s="41" t="s">
        <v>111</v>
      </c>
      <c r="O38" s="209">
        <f>ROUND(L38,0)+22000</f>
        <v>50653</v>
      </c>
      <c r="P38" s="209">
        <f t="shared" si="5"/>
        <v>22000</v>
      </c>
      <c r="Q38" s="41" t="s">
        <v>1153</v>
      </c>
    </row>
    <row r="39" spans="1:17" ht="30" x14ac:dyDescent="0.25">
      <c r="B39" s="191" t="s">
        <v>112</v>
      </c>
      <c r="C39" s="207" t="s">
        <v>113</v>
      </c>
      <c r="D39" s="208" t="s">
        <v>114</v>
      </c>
      <c r="E39" s="25">
        <v>500</v>
      </c>
      <c r="F39" s="25">
        <f>ROUND(E39,0)</f>
        <v>500</v>
      </c>
      <c r="G39" s="209">
        <f t="shared" si="2"/>
        <v>0</v>
      </c>
      <c r="H39" s="40"/>
      <c r="I39" s="209">
        <f>ROUND(F39,0)</f>
        <v>500</v>
      </c>
      <c r="J39" s="209">
        <f t="shared" si="3"/>
        <v>0</v>
      </c>
      <c r="K39" s="41"/>
      <c r="L39" s="209">
        <f>ROUND(I39,0)</f>
        <v>500</v>
      </c>
      <c r="M39" s="209">
        <f t="shared" si="4"/>
        <v>0</v>
      </c>
      <c r="N39" s="41"/>
      <c r="O39" s="209">
        <f>ROUND(L39,0)</f>
        <v>500</v>
      </c>
      <c r="P39" s="209">
        <f t="shared" si="5"/>
        <v>0</v>
      </c>
      <c r="Q39" s="41"/>
    </row>
    <row r="40" spans="1:17" x14ac:dyDescent="0.25">
      <c r="C40" s="207" t="s">
        <v>115</v>
      </c>
      <c r="D40" s="208" t="s">
        <v>116</v>
      </c>
      <c r="E40" s="25">
        <v>5953</v>
      </c>
      <c r="F40" s="25">
        <f>ROUND(E40,0)</f>
        <v>5953</v>
      </c>
      <c r="G40" s="209">
        <f t="shared" si="2"/>
        <v>0</v>
      </c>
      <c r="H40" s="26"/>
      <c r="I40" s="209">
        <f>ROUND(F40,0)</f>
        <v>5953</v>
      </c>
      <c r="J40" s="209">
        <f t="shared" si="3"/>
        <v>0</v>
      </c>
      <c r="K40" s="27"/>
      <c r="L40" s="209">
        <f>ROUND(I40,0)</f>
        <v>5953</v>
      </c>
      <c r="M40" s="209">
        <f t="shared" si="4"/>
        <v>0</v>
      </c>
      <c r="N40" s="27"/>
      <c r="O40" s="209">
        <f>ROUND(L40,0)</f>
        <v>5953</v>
      </c>
      <c r="P40" s="209">
        <f t="shared" si="5"/>
        <v>0</v>
      </c>
      <c r="Q40" s="27"/>
    </row>
    <row r="41" spans="1:17" ht="26.45" customHeight="1" x14ac:dyDescent="0.25">
      <c r="B41" s="191" t="s">
        <v>117</v>
      </c>
      <c r="C41" s="218" t="s">
        <v>118</v>
      </c>
      <c r="D41" s="211" t="s">
        <v>119</v>
      </c>
      <c r="E41" s="28">
        <v>5856</v>
      </c>
      <c r="F41" s="28">
        <f>ROUND(E41,0)</f>
        <v>5856</v>
      </c>
      <c r="G41" s="212">
        <f t="shared" si="2"/>
        <v>0</v>
      </c>
      <c r="H41" s="38"/>
      <c r="I41" s="212">
        <f>ROUND(F41,0)</f>
        <v>5856</v>
      </c>
      <c r="J41" s="212">
        <f t="shared" si="3"/>
        <v>0</v>
      </c>
      <c r="K41" s="39"/>
      <c r="L41" s="212">
        <f>ROUND(I41,0)+23095</f>
        <v>28951</v>
      </c>
      <c r="M41" s="212">
        <f t="shared" si="4"/>
        <v>23095</v>
      </c>
      <c r="N41" s="39" t="s">
        <v>120</v>
      </c>
      <c r="O41" s="212">
        <f>ROUND(L41,0)</f>
        <v>28951</v>
      </c>
      <c r="P41" s="212">
        <f t="shared" si="5"/>
        <v>0</v>
      </c>
      <c r="Q41" s="39"/>
    </row>
    <row r="42" spans="1:17" x14ac:dyDescent="0.25">
      <c r="C42" s="218" t="s">
        <v>121</v>
      </c>
      <c r="D42" s="211" t="s">
        <v>122</v>
      </c>
      <c r="E42" s="28">
        <v>10153512</v>
      </c>
      <c r="F42" s="28">
        <f t="shared" ref="F42" si="13">F43+F66+F87</f>
        <v>10611779</v>
      </c>
      <c r="G42" s="212">
        <f t="shared" si="2"/>
        <v>458267</v>
      </c>
      <c r="H42" s="219"/>
      <c r="I42" s="212">
        <f>I43+I66+I87</f>
        <v>10715183</v>
      </c>
      <c r="J42" s="212">
        <f t="shared" si="3"/>
        <v>103404</v>
      </c>
      <c r="K42" s="212"/>
      <c r="L42" s="212">
        <f>L43+L66+L87</f>
        <v>10765964</v>
      </c>
      <c r="M42" s="212">
        <f t="shared" si="4"/>
        <v>50781</v>
      </c>
      <c r="N42" s="212"/>
      <c r="O42" s="212">
        <f>O43+O66+O87</f>
        <v>10765964</v>
      </c>
      <c r="P42" s="212">
        <f t="shared" si="5"/>
        <v>0</v>
      </c>
      <c r="Q42" s="212"/>
    </row>
    <row r="43" spans="1:17" ht="17.45" customHeight="1" x14ac:dyDescent="0.25">
      <c r="B43" s="206"/>
      <c r="C43" s="220" t="s">
        <v>123</v>
      </c>
      <c r="D43" s="221" t="s">
        <v>124</v>
      </c>
      <c r="E43" s="42">
        <v>8993696</v>
      </c>
      <c r="F43" s="42">
        <f t="shared" ref="F43" si="14">SUM(F44:F47)+F50+SUM(F54:F65)</f>
        <v>9340698</v>
      </c>
      <c r="G43" s="222">
        <f t="shared" si="2"/>
        <v>347002</v>
      </c>
      <c r="H43" s="223"/>
      <c r="I43" s="222">
        <f>SUM(I44:I47)+I50+SUM(I54:I65)</f>
        <v>9468249</v>
      </c>
      <c r="J43" s="222">
        <f t="shared" si="3"/>
        <v>127551</v>
      </c>
      <c r="K43" s="222"/>
      <c r="L43" s="222">
        <f>SUM(L44:L47)+L50+SUM(L54:L65)</f>
        <v>9519030</v>
      </c>
      <c r="M43" s="222">
        <f t="shared" si="4"/>
        <v>50781</v>
      </c>
      <c r="N43" s="222"/>
      <c r="O43" s="222">
        <f>SUM(O44:O47)+O50+SUM(O54:O65)</f>
        <v>9519030</v>
      </c>
      <c r="P43" s="222">
        <f t="shared" si="5"/>
        <v>0</v>
      </c>
      <c r="Q43" s="222"/>
    </row>
    <row r="44" spans="1:17" ht="16.899999999999999" customHeight="1" x14ac:dyDescent="0.25">
      <c r="A44" s="191" t="s">
        <v>125</v>
      </c>
      <c r="B44" s="191" t="s">
        <v>126</v>
      </c>
      <c r="C44" s="214" t="s">
        <v>127</v>
      </c>
      <c r="D44" s="208" t="s">
        <v>128</v>
      </c>
      <c r="E44" s="25">
        <v>651116</v>
      </c>
      <c r="F44" s="25">
        <f>ROUND(E44,0)+142597</f>
        <v>793713</v>
      </c>
      <c r="G44" s="209">
        <f t="shared" si="2"/>
        <v>142597</v>
      </c>
      <c r="H44" s="41" t="s">
        <v>129</v>
      </c>
      <c r="I44" s="209">
        <f>ROUND(F44,0)</f>
        <v>793713</v>
      </c>
      <c r="J44" s="209">
        <f t="shared" si="3"/>
        <v>0</v>
      </c>
      <c r="K44" s="41"/>
      <c r="L44" s="209">
        <f>ROUND(I44,0)</f>
        <v>793713</v>
      </c>
      <c r="M44" s="209">
        <f t="shared" si="4"/>
        <v>0</v>
      </c>
      <c r="N44" s="41"/>
      <c r="O44" s="209">
        <f>ROUND(L44,0)</f>
        <v>793713</v>
      </c>
      <c r="P44" s="209">
        <f t="shared" si="5"/>
        <v>0</v>
      </c>
      <c r="Q44" s="41"/>
    </row>
    <row r="45" spans="1:17" ht="13.9" customHeight="1" x14ac:dyDescent="0.25">
      <c r="A45" s="191" t="s">
        <v>125</v>
      </c>
      <c r="B45" s="213" t="s">
        <v>130</v>
      </c>
      <c r="C45" s="214" t="s">
        <v>131</v>
      </c>
      <c r="D45" s="208" t="s">
        <v>132</v>
      </c>
      <c r="E45" s="25">
        <v>314606</v>
      </c>
      <c r="F45" s="25">
        <f>ROUND(E45,0)</f>
        <v>314606</v>
      </c>
      <c r="G45" s="209">
        <f t="shared" si="2"/>
        <v>0</v>
      </c>
      <c r="H45" s="26"/>
      <c r="I45" s="209">
        <f>ROUND(F45,0)-22981</f>
        <v>291625</v>
      </c>
      <c r="J45" s="209">
        <f t="shared" si="3"/>
        <v>-22981</v>
      </c>
      <c r="K45" s="27" t="s">
        <v>133</v>
      </c>
      <c r="L45" s="209">
        <f>ROUND(I45,0)</f>
        <v>291625</v>
      </c>
      <c r="M45" s="209">
        <f t="shared" si="4"/>
        <v>0</v>
      </c>
      <c r="N45" s="27"/>
      <c r="O45" s="209">
        <f>ROUND(L45,0)</f>
        <v>291625</v>
      </c>
      <c r="P45" s="209">
        <f t="shared" si="5"/>
        <v>0</v>
      </c>
      <c r="Q45" s="27"/>
    </row>
    <row r="46" spans="1:17" x14ac:dyDescent="0.25">
      <c r="B46" s="213" t="s">
        <v>134</v>
      </c>
      <c r="C46" s="214" t="s">
        <v>135</v>
      </c>
      <c r="D46" s="208" t="s">
        <v>136</v>
      </c>
      <c r="E46" s="25">
        <v>249276</v>
      </c>
      <c r="F46" s="25">
        <f>ROUND(E46,0)</f>
        <v>249276</v>
      </c>
      <c r="G46" s="209">
        <f t="shared" si="2"/>
        <v>0</v>
      </c>
      <c r="H46" s="40"/>
      <c r="I46" s="209">
        <f>ROUND(F46,0)</f>
        <v>249276</v>
      </c>
      <c r="J46" s="209">
        <f t="shared" si="3"/>
        <v>0</v>
      </c>
      <c r="K46" s="41"/>
      <c r="L46" s="209">
        <f>ROUND(I46,0)</f>
        <v>249276</v>
      </c>
      <c r="M46" s="209">
        <f t="shared" si="4"/>
        <v>0</v>
      </c>
      <c r="N46" s="41"/>
      <c r="O46" s="209">
        <f>ROUND(L46,0)</f>
        <v>249276</v>
      </c>
      <c r="P46" s="209">
        <f t="shared" si="5"/>
        <v>0</v>
      </c>
      <c r="Q46" s="41"/>
    </row>
    <row r="47" spans="1:17" ht="14.25" customHeight="1" x14ac:dyDescent="0.25">
      <c r="A47" s="191" t="s">
        <v>125</v>
      </c>
      <c r="B47" s="213" t="s">
        <v>137</v>
      </c>
      <c r="C47" s="214" t="s">
        <v>138</v>
      </c>
      <c r="D47" s="208" t="s">
        <v>139</v>
      </c>
      <c r="E47" s="209">
        <v>0</v>
      </c>
      <c r="F47" s="25">
        <f t="shared" ref="F47" si="15">F48+F49</f>
        <v>0</v>
      </c>
      <c r="G47" s="209">
        <f t="shared" si="2"/>
        <v>0</v>
      </c>
      <c r="H47" s="224"/>
      <c r="I47" s="209">
        <f>I48+I49</f>
        <v>112839</v>
      </c>
      <c r="J47" s="209">
        <f t="shared" si="3"/>
        <v>112839</v>
      </c>
      <c r="K47" s="209" t="s">
        <v>140</v>
      </c>
      <c r="L47" s="209">
        <f>L48+L49</f>
        <v>112839</v>
      </c>
      <c r="M47" s="209">
        <f t="shared" si="4"/>
        <v>0</v>
      </c>
      <c r="N47" s="209"/>
      <c r="O47" s="209">
        <f>O48+O49</f>
        <v>112839</v>
      </c>
      <c r="P47" s="209">
        <f t="shared" si="5"/>
        <v>0</v>
      </c>
      <c r="Q47" s="209"/>
    </row>
    <row r="48" spans="1:17" ht="14.25" customHeight="1" x14ac:dyDescent="0.25">
      <c r="B48" s="213"/>
      <c r="C48" s="214" t="s">
        <v>141</v>
      </c>
      <c r="D48" s="215" t="s">
        <v>142</v>
      </c>
      <c r="E48" s="43"/>
      <c r="F48" s="25"/>
      <c r="G48" s="209">
        <f t="shared" si="2"/>
        <v>0</v>
      </c>
      <c r="H48" s="40"/>
      <c r="I48" s="209">
        <f>3025+2989+4538+2468+7380+112+71355+538+851+19583</f>
        <v>112839</v>
      </c>
      <c r="J48" s="209">
        <f t="shared" si="3"/>
        <v>112839</v>
      </c>
      <c r="K48" s="41"/>
      <c r="L48" s="209">
        <f t="shared" ref="L48:L49" si="16">ROUND(I48,0)</f>
        <v>112839</v>
      </c>
      <c r="M48" s="209">
        <f t="shared" si="4"/>
        <v>0</v>
      </c>
      <c r="N48" s="41"/>
      <c r="O48" s="209">
        <f>ROUND(L48,0)</f>
        <v>112839</v>
      </c>
      <c r="P48" s="209">
        <f t="shared" si="5"/>
        <v>0</v>
      </c>
      <c r="Q48" s="41"/>
    </row>
    <row r="49" spans="1:17" ht="17.45" customHeight="1" x14ac:dyDescent="0.25">
      <c r="B49" s="213"/>
      <c r="C49" s="214" t="s">
        <v>143</v>
      </c>
      <c r="D49" s="215" t="s">
        <v>144</v>
      </c>
      <c r="E49" s="43"/>
      <c r="F49" s="25"/>
      <c r="G49" s="209">
        <f t="shared" si="2"/>
        <v>0</v>
      </c>
      <c r="H49" s="40"/>
      <c r="I49" s="209"/>
      <c r="J49" s="209">
        <f t="shared" si="3"/>
        <v>0</v>
      </c>
      <c r="K49" s="41"/>
      <c r="L49" s="209">
        <f t="shared" si="16"/>
        <v>0</v>
      </c>
      <c r="M49" s="209">
        <f t="shared" si="4"/>
        <v>0</v>
      </c>
      <c r="N49" s="41"/>
      <c r="O49" s="209"/>
      <c r="P49" s="209">
        <f t="shared" si="5"/>
        <v>0</v>
      </c>
      <c r="Q49" s="41"/>
    </row>
    <row r="50" spans="1:17" ht="13.9" customHeight="1" x14ac:dyDescent="0.25">
      <c r="B50" s="191" t="s">
        <v>145</v>
      </c>
      <c r="C50" s="214" t="s">
        <v>146</v>
      </c>
      <c r="D50" s="208" t="s">
        <v>147</v>
      </c>
      <c r="E50" s="44">
        <v>6510554</v>
      </c>
      <c r="F50" s="44">
        <f>F51+F52+F53</f>
        <v>6646187</v>
      </c>
      <c r="G50" s="225">
        <f t="shared" si="2"/>
        <v>135633</v>
      </c>
      <c r="H50" s="226"/>
      <c r="I50" s="225">
        <f>I51+I52+I53</f>
        <v>6646187</v>
      </c>
      <c r="J50" s="225">
        <f t="shared" si="3"/>
        <v>0</v>
      </c>
      <c r="K50" s="227"/>
      <c r="L50" s="225">
        <f>L51+L52+L53</f>
        <v>6646187</v>
      </c>
      <c r="M50" s="225">
        <f t="shared" si="4"/>
        <v>0</v>
      </c>
      <c r="N50" s="227"/>
      <c r="O50" s="225">
        <f>O51+O52+O53</f>
        <v>6646187</v>
      </c>
      <c r="P50" s="225">
        <f t="shared" si="5"/>
        <v>0</v>
      </c>
      <c r="Q50" s="227"/>
    </row>
    <row r="51" spans="1:17" s="229" customFormat="1" x14ac:dyDescent="0.25">
      <c r="A51" s="191" t="s">
        <v>125</v>
      </c>
      <c r="B51" s="213" t="s">
        <v>148</v>
      </c>
      <c r="C51" s="214" t="s">
        <v>149</v>
      </c>
      <c r="D51" s="215" t="s">
        <v>150</v>
      </c>
      <c r="E51" s="45">
        <v>1100762</v>
      </c>
      <c r="F51" s="45">
        <f t="shared" ref="F51:F64" si="17">ROUND(E51,0)</f>
        <v>1100762</v>
      </c>
      <c r="G51" s="228">
        <f t="shared" si="2"/>
        <v>0</v>
      </c>
      <c r="H51" s="46"/>
      <c r="I51" s="228">
        <f t="shared" ref="I51:I58" si="18">ROUND(F51,0)</f>
        <v>1100762</v>
      </c>
      <c r="J51" s="228">
        <f t="shared" si="3"/>
        <v>0</v>
      </c>
      <c r="K51" s="47"/>
      <c r="L51" s="228">
        <f t="shared" ref="L51:L58" si="19">ROUND(I51,0)</f>
        <v>1100762</v>
      </c>
      <c r="M51" s="228">
        <f t="shared" si="4"/>
        <v>0</v>
      </c>
      <c r="N51" s="47"/>
      <c r="O51" s="228">
        <f t="shared" ref="O51:O58" si="20">ROUND(L51,0)</f>
        <v>1100762</v>
      </c>
      <c r="P51" s="228">
        <f t="shared" si="5"/>
        <v>0</v>
      </c>
      <c r="Q51" s="47"/>
    </row>
    <row r="52" spans="1:17" s="229" customFormat="1" x14ac:dyDescent="0.25">
      <c r="A52" s="191" t="s">
        <v>125</v>
      </c>
      <c r="B52" s="213" t="s">
        <v>151</v>
      </c>
      <c r="C52" s="214" t="s">
        <v>152</v>
      </c>
      <c r="D52" s="215" t="s">
        <v>153</v>
      </c>
      <c r="E52" s="45">
        <v>5092428</v>
      </c>
      <c r="F52" s="45">
        <f>ROUND(E52,0)+17418</f>
        <v>5109846</v>
      </c>
      <c r="G52" s="228">
        <f t="shared" si="2"/>
        <v>17418</v>
      </c>
      <c r="H52" s="48" t="s">
        <v>129</v>
      </c>
      <c r="I52" s="228">
        <f t="shared" si="18"/>
        <v>5109846</v>
      </c>
      <c r="J52" s="228">
        <f t="shared" si="3"/>
        <v>0</v>
      </c>
      <c r="K52" s="47"/>
      <c r="L52" s="228">
        <f t="shared" si="19"/>
        <v>5109846</v>
      </c>
      <c r="M52" s="228">
        <f t="shared" si="4"/>
        <v>0</v>
      </c>
      <c r="N52" s="47"/>
      <c r="O52" s="228">
        <f t="shared" si="20"/>
        <v>5109846</v>
      </c>
      <c r="P52" s="228">
        <f t="shared" si="5"/>
        <v>0</v>
      </c>
      <c r="Q52" s="47"/>
    </row>
    <row r="53" spans="1:17" s="229" customFormat="1" x14ac:dyDescent="0.25">
      <c r="A53" s="191" t="s">
        <v>125</v>
      </c>
      <c r="B53" s="191"/>
      <c r="C53" s="214" t="s">
        <v>154</v>
      </c>
      <c r="D53" s="215" t="s">
        <v>155</v>
      </c>
      <c r="E53" s="45">
        <v>317364</v>
      </c>
      <c r="F53" s="45">
        <f>ROUND(E53,0)-44403+110614+52004</f>
        <v>435579</v>
      </c>
      <c r="G53" s="230">
        <f t="shared" si="2"/>
        <v>118215</v>
      </c>
      <c r="H53" s="48" t="s">
        <v>129</v>
      </c>
      <c r="I53" s="228">
        <f t="shared" si="18"/>
        <v>435579</v>
      </c>
      <c r="J53" s="230">
        <f t="shared" si="3"/>
        <v>0</v>
      </c>
      <c r="K53" s="49"/>
      <c r="L53" s="228">
        <f t="shared" si="19"/>
        <v>435579</v>
      </c>
      <c r="M53" s="230">
        <f t="shared" si="4"/>
        <v>0</v>
      </c>
      <c r="N53" s="49"/>
      <c r="O53" s="228">
        <f t="shared" si="20"/>
        <v>435579</v>
      </c>
      <c r="P53" s="230">
        <f t="shared" si="5"/>
        <v>0</v>
      </c>
      <c r="Q53" s="49"/>
    </row>
    <row r="54" spans="1:17" ht="31.5" customHeight="1" x14ac:dyDescent="0.25">
      <c r="A54" s="191" t="s">
        <v>125</v>
      </c>
      <c r="B54" s="191" t="s">
        <v>156</v>
      </c>
      <c r="C54" s="214" t="s">
        <v>157</v>
      </c>
      <c r="D54" s="208" t="s">
        <v>158</v>
      </c>
      <c r="E54" s="25">
        <v>13088</v>
      </c>
      <c r="F54" s="25">
        <f t="shared" si="17"/>
        <v>13088</v>
      </c>
      <c r="G54" s="209">
        <f t="shared" si="2"/>
        <v>0</v>
      </c>
      <c r="H54" s="31"/>
      <c r="I54" s="209">
        <f t="shared" si="18"/>
        <v>13088</v>
      </c>
      <c r="J54" s="209">
        <f t="shared" si="3"/>
        <v>0</v>
      </c>
      <c r="K54" s="32"/>
      <c r="L54" s="209">
        <f t="shared" si="19"/>
        <v>13088</v>
      </c>
      <c r="M54" s="209">
        <f t="shared" si="4"/>
        <v>0</v>
      </c>
      <c r="N54" s="32"/>
      <c r="O54" s="209">
        <f t="shared" si="20"/>
        <v>13088</v>
      </c>
      <c r="P54" s="209">
        <f t="shared" si="5"/>
        <v>0</v>
      </c>
      <c r="Q54" s="32"/>
    </row>
    <row r="55" spans="1:17" ht="19.149999999999999" customHeight="1" x14ac:dyDescent="0.25">
      <c r="A55" s="191" t="s">
        <v>125</v>
      </c>
      <c r="B55" s="213" t="s">
        <v>159</v>
      </c>
      <c r="C55" s="214" t="s">
        <v>160</v>
      </c>
      <c r="D55" s="208" t="s">
        <v>161</v>
      </c>
      <c r="E55" s="25">
        <v>14485</v>
      </c>
      <c r="F55" s="25">
        <f>ROUND(E55,0)</f>
        <v>14485</v>
      </c>
      <c r="G55" s="209">
        <f t="shared" si="2"/>
        <v>0</v>
      </c>
      <c r="H55" s="26"/>
      <c r="I55" s="209">
        <f>ROUND(F55,0)+26175</f>
        <v>40660</v>
      </c>
      <c r="J55" s="209">
        <f t="shared" si="3"/>
        <v>26175</v>
      </c>
      <c r="K55" s="27" t="s">
        <v>162</v>
      </c>
      <c r="L55" s="209">
        <f t="shared" si="19"/>
        <v>40660</v>
      </c>
      <c r="M55" s="209">
        <f t="shared" si="4"/>
        <v>0</v>
      </c>
      <c r="N55" s="27"/>
      <c r="O55" s="209">
        <f t="shared" si="20"/>
        <v>40660</v>
      </c>
      <c r="P55" s="209">
        <f t="shared" si="5"/>
        <v>0</v>
      </c>
      <c r="Q55" s="27"/>
    </row>
    <row r="56" spans="1:17" ht="19.149999999999999" customHeight="1" x14ac:dyDescent="0.25">
      <c r="B56" s="213"/>
      <c r="C56" s="214" t="s">
        <v>163</v>
      </c>
      <c r="D56" s="208" t="s">
        <v>164</v>
      </c>
      <c r="E56" s="25">
        <v>3668</v>
      </c>
      <c r="F56" s="25">
        <f>ROUND(E56,0)</f>
        <v>3668</v>
      </c>
      <c r="G56" s="209">
        <f t="shared" si="2"/>
        <v>0</v>
      </c>
      <c r="H56" s="26"/>
      <c r="I56" s="209">
        <f>ROUND(F56,0)+7552</f>
        <v>11220</v>
      </c>
      <c r="J56" s="209">
        <f t="shared" si="3"/>
        <v>7552</v>
      </c>
      <c r="K56" s="27" t="s">
        <v>162</v>
      </c>
      <c r="L56" s="209">
        <f t="shared" si="19"/>
        <v>11220</v>
      </c>
      <c r="M56" s="209">
        <f t="shared" si="4"/>
        <v>0</v>
      </c>
      <c r="N56" s="27"/>
      <c r="O56" s="209">
        <f t="shared" si="20"/>
        <v>11220</v>
      </c>
      <c r="P56" s="209">
        <f t="shared" si="5"/>
        <v>0</v>
      </c>
      <c r="Q56" s="27"/>
    </row>
    <row r="57" spans="1:17" ht="18.600000000000001" customHeight="1" x14ac:dyDescent="0.25">
      <c r="B57" s="191" t="s">
        <v>165</v>
      </c>
      <c r="C57" s="214" t="s">
        <v>166</v>
      </c>
      <c r="D57" s="208" t="s">
        <v>167</v>
      </c>
      <c r="E57" s="25">
        <v>501000</v>
      </c>
      <c r="F57" s="25">
        <f t="shared" si="17"/>
        <v>501000</v>
      </c>
      <c r="G57" s="209">
        <f t="shared" si="2"/>
        <v>0</v>
      </c>
      <c r="H57" s="40"/>
      <c r="I57" s="209">
        <f t="shared" si="18"/>
        <v>501000</v>
      </c>
      <c r="J57" s="209">
        <f t="shared" si="3"/>
        <v>0</v>
      </c>
      <c r="K57" s="41"/>
      <c r="L57" s="209">
        <f t="shared" si="19"/>
        <v>501000</v>
      </c>
      <c r="M57" s="209">
        <f t="shared" si="4"/>
        <v>0</v>
      </c>
      <c r="N57" s="41"/>
      <c r="O57" s="209">
        <f t="shared" si="20"/>
        <v>501000</v>
      </c>
      <c r="P57" s="209">
        <f t="shared" si="5"/>
        <v>0</v>
      </c>
      <c r="Q57" s="41"/>
    </row>
    <row r="58" spans="1:17" ht="31.5" customHeight="1" x14ac:dyDescent="0.25">
      <c r="C58" s="214" t="s">
        <v>168</v>
      </c>
      <c r="D58" s="208" t="s">
        <v>169</v>
      </c>
      <c r="E58" s="25">
        <v>0</v>
      </c>
      <c r="F58" s="25">
        <f t="shared" si="17"/>
        <v>0</v>
      </c>
      <c r="G58" s="209">
        <f t="shared" si="2"/>
        <v>0</v>
      </c>
      <c r="H58" s="26"/>
      <c r="I58" s="209">
        <f t="shared" si="18"/>
        <v>0</v>
      </c>
      <c r="J58" s="209">
        <f t="shared" si="3"/>
        <v>0</v>
      </c>
      <c r="K58" s="27"/>
      <c r="L58" s="209">
        <f t="shared" si="19"/>
        <v>0</v>
      </c>
      <c r="M58" s="209">
        <f t="shared" si="4"/>
        <v>0</v>
      </c>
      <c r="N58" s="27"/>
      <c r="O58" s="209">
        <f t="shared" si="20"/>
        <v>0</v>
      </c>
      <c r="P58" s="209">
        <f t="shared" si="5"/>
        <v>0</v>
      </c>
      <c r="Q58" s="27"/>
    </row>
    <row r="59" spans="1:17" ht="31.5" customHeight="1" x14ac:dyDescent="0.25">
      <c r="C59" s="214"/>
      <c r="D59" s="208" t="s">
        <v>170</v>
      </c>
      <c r="E59" s="25">
        <v>0</v>
      </c>
      <c r="F59" s="25"/>
      <c r="G59" s="209">
        <f t="shared" si="2"/>
        <v>0</v>
      </c>
      <c r="H59" s="26"/>
      <c r="I59" s="209"/>
      <c r="J59" s="209">
        <f t="shared" si="3"/>
        <v>0</v>
      </c>
      <c r="K59" s="27"/>
      <c r="L59" s="209"/>
      <c r="M59" s="209">
        <f t="shared" si="4"/>
        <v>0</v>
      </c>
      <c r="N59" s="27"/>
      <c r="O59" s="209"/>
      <c r="P59" s="209">
        <f t="shared" si="5"/>
        <v>0</v>
      </c>
      <c r="Q59" s="27"/>
    </row>
    <row r="60" spans="1:17" ht="28.15" customHeight="1" x14ac:dyDescent="0.25">
      <c r="B60" s="231" t="s">
        <v>171</v>
      </c>
      <c r="C60" s="214" t="s">
        <v>172</v>
      </c>
      <c r="D60" s="232" t="s">
        <v>173</v>
      </c>
      <c r="E60" s="25">
        <v>342263</v>
      </c>
      <c r="F60" s="25">
        <f>ROUND(E60,0)+59292+1248</f>
        <v>402803</v>
      </c>
      <c r="G60" s="209">
        <f t="shared" si="2"/>
        <v>60540</v>
      </c>
      <c r="H60" s="41" t="s">
        <v>174</v>
      </c>
      <c r="I60" s="209">
        <f>ROUND(F60,0)+3966</f>
        <v>406769</v>
      </c>
      <c r="J60" s="209">
        <f t="shared" si="3"/>
        <v>3966</v>
      </c>
      <c r="K60" s="27" t="s">
        <v>175</v>
      </c>
      <c r="L60" s="209">
        <f>ROUND(I60,0)</f>
        <v>406769</v>
      </c>
      <c r="M60" s="209">
        <f t="shared" si="4"/>
        <v>0</v>
      </c>
      <c r="N60" s="27"/>
      <c r="O60" s="209">
        <f t="shared" ref="O60:O65" si="21">ROUND(L60,0)</f>
        <v>406769</v>
      </c>
      <c r="P60" s="209">
        <f t="shared" si="5"/>
        <v>0</v>
      </c>
      <c r="Q60" s="27"/>
    </row>
    <row r="61" spans="1:17" ht="58.9" customHeight="1" x14ac:dyDescent="0.25">
      <c r="C61" s="214"/>
      <c r="D61" s="208" t="s">
        <v>176</v>
      </c>
      <c r="E61" s="25">
        <v>0</v>
      </c>
      <c r="F61" s="25">
        <f t="shared" si="17"/>
        <v>0</v>
      </c>
      <c r="G61" s="209">
        <f t="shared" si="2"/>
        <v>0</v>
      </c>
      <c r="H61" s="40"/>
      <c r="I61" s="209">
        <f t="shared" ref="I61:I65" si="22">ROUND(F61,0)</f>
        <v>0</v>
      </c>
      <c r="J61" s="209">
        <f t="shared" si="3"/>
        <v>0</v>
      </c>
      <c r="K61" s="41"/>
      <c r="L61" s="209">
        <f>ROUND(I61,0)</f>
        <v>0</v>
      </c>
      <c r="M61" s="209">
        <f t="shared" si="4"/>
        <v>0</v>
      </c>
      <c r="N61" s="41"/>
      <c r="O61" s="209">
        <f t="shared" si="21"/>
        <v>0</v>
      </c>
      <c r="P61" s="209">
        <f t="shared" si="5"/>
        <v>0</v>
      </c>
      <c r="Q61" s="41"/>
    </row>
    <row r="62" spans="1:17" ht="15.6" customHeight="1" x14ac:dyDescent="0.25">
      <c r="C62" s="214" t="s">
        <v>177</v>
      </c>
      <c r="D62" s="208" t="s">
        <v>178</v>
      </c>
      <c r="E62" s="25">
        <v>50000</v>
      </c>
      <c r="F62" s="25">
        <f t="shared" si="17"/>
        <v>50000</v>
      </c>
      <c r="G62" s="209">
        <f t="shared" si="2"/>
        <v>0</v>
      </c>
      <c r="H62" s="40"/>
      <c r="I62" s="209">
        <f t="shared" si="22"/>
        <v>50000</v>
      </c>
      <c r="J62" s="209">
        <f t="shared" si="3"/>
        <v>0</v>
      </c>
      <c r="K62" s="41"/>
      <c r="L62" s="209">
        <f>ROUND(I62,0)</f>
        <v>50000</v>
      </c>
      <c r="M62" s="209">
        <f t="shared" si="4"/>
        <v>0</v>
      </c>
      <c r="N62" s="41"/>
      <c r="O62" s="209">
        <f t="shared" si="21"/>
        <v>50000</v>
      </c>
      <c r="P62" s="209">
        <f t="shared" si="5"/>
        <v>0</v>
      </c>
      <c r="Q62" s="41"/>
    </row>
    <row r="63" spans="1:17" ht="17.45" customHeight="1" x14ac:dyDescent="0.25">
      <c r="B63" s="191" t="s">
        <v>145</v>
      </c>
      <c r="C63" s="214" t="s">
        <v>179</v>
      </c>
      <c r="D63" s="208" t="s">
        <v>180</v>
      </c>
      <c r="E63" s="25">
        <v>200000</v>
      </c>
      <c r="F63" s="25">
        <f t="shared" si="17"/>
        <v>200000</v>
      </c>
      <c r="G63" s="209">
        <f t="shared" si="2"/>
        <v>0</v>
      </c>
      <c r="H63" s="40"/>
      <c r="I63" s="209">
        <f t="shared" si="22"/>
        <v>200000</v>
      </c>
      <c r="J63" s="209">
        <f t="shared" si="3"/>
        <v>0</v>
      </c>
      <c r="K63" s="41"/>
      <c r="L63" s="209">
        <f>ROUND(I63,0)</f>
        <v>200000</v>
      </c>
      <c r="M63" s="209">
        <f t="shared" si="4"/>
        <v>0</v>
      </c>
      <c r="N63" s="41"/>
      <c r="O63" s="209">
        <f t="shared" si="21"/>
        <v>200000</v>
      </c>
      <c r="P63" s="209">
        <f t="shared" si="5"/>
        <v>0</v>
      </c>
      <c r="Q63" s="41"/>
    </row>
    <row r="64" spans="1:17" x14ac:dyDescent="0.25">
      <c r="A64" s="191" t="s">
        <v>125</v>
      </c>
      <c r="B64" s="213" t="s">
        <v>181</v>
      </c>
      <c r="C64" s="214" t="s">
        <v>182</v>
      </c>
      <c r="D64" s="233" t="s">
        <v>183</v>
      </c>
      <c r="E64" s="25">
        <v>0</v>
      </c>
      <c r="F64" s="25">
        <f t="shared" si="17"/>
        <v>0</v>
      </c>
      <c r="G64" s="209">
        <f>F64-E64</f>
        <v>0</v>
      </c>
      <c r="H64" s="51"/>
      <c r="I64" s="209">
        <f t="shared" si="22"/>
        <v>0</v>
      </c>
      <c r="J64" s="209">
        <f>I64-F64</f>
        <v>0</v>
      </c>
      <c r="K64" s="52"/>
      <c r="L64" s="209">
        <f>ROUND(I64,0)</f>
        <v>0</v>
      </c>
      <c r="M64" s="209">
        <f>L64-I64</f>
        <v>0</v>
      </c>
      <c r="N64" s="52"/>
      <c r="O64" s="209">
        <f t="shared" si="21"/>
        <v>0</v>
      </c>
      <c r="P64" s="209">
        <f>O64-L64</f>
        <v>0</v>
      </c>
      <c r="Q64" s="52"/>
    </row>
    <row r="65" spans="1:17" ht="39.6" customHeight="1" x14ac:dyDescent="0.25">
      <c r="A65" s="231" t="s">
        <v>184</v>
      </c>
      <c r="B65" s="191" t="s">
        <v>185</v>
      </c>
      <c r="C65" s="214" t="s">
        <v>186</v>
      </c>
      <c r="D65" s="208" t="s">
        <v>187</v>
      </c>
      <c r="E65" s="25">
        <v>143640</v>
      </c>
      <c r="F65" s="25">
        <f>ROUND(E65,0)+8232</f>
        <v>151872</v>
      </c>
      <c r="G65" s="209">
        <f t="shared" si="2"/>
        <v>8232</v>
      </c>
      <c r="H65" s="53" t="s">
        <v>188</v>
      </c>
      <c r="I65" s="209">
        <f t="shared" si="22"/>
        <v>151872</v>
      </c>
      <c r="J65" s="209">
        <f t="shared" si="3"/>
        <v>0</v>
      </c>
      <c r="K65" s="41"/>
      <c r="L65" s="209">
        <f>ROUND(I65,0)+50781</f>
        <v>202653</v>
      </c>
      <c r="M65" s="209">
        <f t="shared" si="4"/>
        <v>50781</v>
      </c>
      <c r="N65" s="41" t="s">
        <v>189</v>
      </c>
      <c r="O65" s="209">
        <f t="shared" si="21"/>
        <v>202653</v>
      </c>
      <c r="P65" s="209">
        <f t="shared" si="5"/>
        <v>0</v>
      </c>
      <c r="Q65" s="41"/>
    </row>
    <row r="66" spans="1:17" ht="32.25" customHeight="1" x14ac:dyDescent="0.25">
      <c r="C66" s="220" t="s">
        <v>190</v>
      </c>
      <c r="D66" s="221" t="s">
        <v>191</v>
      </c>
      <c r="E66" s="54">
        <v>1159816</v>
      </c>
      <c r="F66" s="54">
        <f t="shared" ref="F66" si="23">SUM(F67:F86)</f>
        <v>1271081</v>
      </c>
      <c r="G66" s="234">
        <f t="shared" si="2"/>
        <v>111265</v>
      </c>
      <c r="H66" s="55"/>
      <c r="I66" s="234">
        <f>SUM(I67:I86)</f>
        <v>1246934</v>
      </c>
      <c r="J66" s="234">
        <f t="shared" si="3"/>
        <v>-24147</v>
      </c>
      <c r="K66" s="56"/>
      <c r="L66" s="234">
        <f>SUM(L67:L86)</f>
        <v>1246934</v>
      </c>
      <c r="M66" s="234">
        <f t="shared" si="4"/>
        <v>0</v>
      </c>
      <c r="N66" s="56"/>
      <c r="O66" s="234">
        <f>SUM(O67:O86)</f>
        <v>1246934</v>
      </c>
      <c r="P66" s="234">
        <f t="shared" si="5"/>
        <v>0</v>
      </c>
      <c r="Q66" s="56"/>
    </row>
    <row r="67" spans="1:17" x14ac:dyDescent="0.25">
      <c r="A67" s="191" t="s">
        <v>192</v>
      </c>
      <c r="B67" s="191" t="s">
        <v>193</v>
      </c>
      <c r="C67" s="214" t="s">
        <v>194</v>
      </c>
      <c r="D67" s="233" t="s">
        <v>195</v>
      </c>
      <c r="E67" s="25">
        <v>0</v>
      </c>
      <c r="F67" s="25">
        <f>ROUND(E67,0)+(109839-16873)</f>
        <v>92966</v>
      </c>
      <c r="G67" s="209">
        <f t="shared" si="2"/>
        <v>92966</v>
      </c>
      <c r="H67" s="34" t="s">
        <v>196</v>
      </c>
      <c r="I67" s="209">
        <f t="shared" ref="I67:I87" si="24">ROUND(F67,0)</f>
        <v>92966</v>
      </c>
      <c r="J67" s="209">
        <f t="shared" si="3"/>
        <v>0</v>
      </c>
      <c r="K67" s="34"/>
      <c r="L67" s="209">
        <f t="shared" ref="L67:L87" si="25">ROUND(I67,0)</f>
        <v>92966</v>
      </c>
      <c r="M67" s="209">
        <f t="shared" si="4"/>
        <v>0</v>
      </c>
      <c r="N67" s="34"/>
      <c r="O67" s="209">
        <f t="shared" ref="O67:O87" si="26">ROUND(L67,0)</f>
        <v>92966</v>
      </c>
      <c r="P67" s="209">
        <f t="shared" si="5"/>
        <v>0</v>
      </c>
      <c r="Q67" s="34"/>
    </row>
    <row r="68" spans="1:17" x14ac:dyDescent="0.25">
      <c r="C68" s="214" t="s">
        <v>197</v>
      </c>
      <c r="D68" s="233" t="s">
        <v>198</v>
      </c>
      <c r="E68" s="25">
        <v>63988</v>
      </c>
      <c r="F68" s="25">
        <f t="shared" ref="F68:F87" si="27">ROUND(E68,0)</f>
        <v>63988</v>
      </c>
      <c r="G68" s="209">
        <f t="shared" si="2"/>
        <v>0</v>
      </c>
      <c r="H68" s="40"/>
      <c r="I68" s="209">
        <f t="shared" si="24"/>
        <v>63988</v>
      </c>
      <c r="J68" s="209">
        <f t="shared" si="3"/>
        <v>0</v>
      </c>
      <c r="K68" s="41"/>
      <c r="L68" s="209">
        <f t="shared" si="25"/>
        <v>63988</v>
      </c>
      <c r="M68" s="209">
        <f t="shared" si="4"/>
        <v>0</v>
      </c>
      <c r="N68" s="41"/>
      <c r="O68" s="209">
        <f t="shared" si="26"/>
        <v>63988</v>
      </c>
      <c r="P68" s="209">
        <f t="shared" si="5"/>
        <v>0</v>
      </c>
      <c r="Q68" s="41"/>
    </row>
    <row r="69" spans="1:17" ht="30" x14ac:dyDescent="0.25">
      <c r="B69" s="235" t="s">
        <v>199</v>
      </c>
      <c r="C69" s="214" t="s">
        <v>200</v>
      </c>
      <c r="D69" s="233" t="s">
        <v>201</v>
      </c>
      <c r="E69" s="25">
        <v>2532</v>
      </c>
      <c r="F69" s="25">
        <f t="shared" si="27"/>
        <v>2532</v>
      </c>
      <c r="G69" s="209">
        <f t="shared" si="2"/>
        <v>0</v>
      </c>
      <c r="H69" s="33"/>
      <c r="I69" s="209">
        <f t="shared" si="24"/>
        <v>2532</v>
      </c>
      <c r="J69" s="209">
        <f t="shared" si="3"/>
        <v>0</v>
      </c>
      <c r="K69" s="34"/>
      <c r="L69" s="209">
        <f t="shared" si="25"/>
        <v>2532</v>
      </c>
      <c r="M69" s="209">
        <f t="shared" si="4"/>
        <v>0</v>
      </c>
      <c r="N69" s="34"/>
      <c r="O69" s="209">
        <f t="shared" si="26"/>
        <v>2532</v>
      </c>
      <c r="P69" s="209">
        <f t="shared" si="5"/>
        <v>0</v>
      </c>
      <c r="Q69" s="34"/>
    </row>
    <row r="70" spans="1:17" x14ac:dyDescent="0.25">
      <c r="B70" s="235"/>
      <c r="C70" s="214" t="s">
        <v>202</v>
      </c>
      <c r="D70" s="233" t="s">
        <v>203</v>
      </c>
      <c r="E70" s="25">
        <v>5135</v>
      </c>
      <c r="F70" s="25">
        <f t="shared" si="27"/>
        <v>5135</v>
      </c>
      <c r="G70" s="209">
        <f t="shared" si="2"/>
        <v>0</v>
      </c>
      <c r="H70" s="33"/>
      <c r="I70" s="209">
        <f t="shared" si="24"/>
        <v>5135</v>
      </c>
      <c r="J70" s="209">
        <f t="shared" si="3"/>
        <v>0</v>
      </c>
      <c r="K70" s="34"/>
      <c r="L70" s="209">
        <f t="shared" si="25"/>
        <v>5135</v>
      </c>
      <c r="M70" s="209">
        <f t="shared" si="4"/>
        <v>0</v>
      </c>
      <c r="N70" s="34"/>
      <c r="O70" s="209">
        <f t="shared" si="26"/>
        <v>5135</v>
      </c>
      <c r="P70" s="209">
        <f t="shared" si="5"/>
        <v>0</v>
      </c>
      <c r="Q70" s="34"/>
    </row>
    <row r="71" spans="1:17" x14ac:dyDescent="0.25">
      <c r="B71" s="235"/>
      <c r="C71" s="214" t="s">
        <v>204</v>
      </c>
      <c r="D71" s="233" t="s">
        <v>205</v>
      </c>
      <c r="E71" s="25">
        <v>9000</v>
      </c>
      <c r="F71" s="25">
        <f t="shared" si="27"/>
        <v>9000</v>
      </c>
      <c r="G71" s="209">
        <f t="shared" si="2"/>
        <v>0</v>
      </c>
      <c r="H71" s="33"/>
      <c r="I71" s="209">
        <f t="shared" si="24"/>
        <v>9000</v>
      </c>
      <c r="J71" s="209">
        <f t="shared" si="3"/>
        <v>0</v>
      </c>
      <c r="K71" s="34"/>
      <c r="L71" s="209">
        <f t="shared" si="25"/>
        <v>9000</v>
      </c>
      <c r="M71" s="209">
        <f t="shared" si="4"/>
        <v>0</v>
      </c>
      <c r="N71" s="34"/>
      <c r="O71" s="209">
        <f t="shared" si="26"/>
        <v>9000</v>
      </c>
      <c r="P71" s="209">
        <f t="shared" si="5"/>
        <v>0</v>
      </c>
      <c r="Q71" s="34"/>
    </row>
    <row r="72" spans="1:17" ht="60" x14ac:dyDescent="0.25">
      <c r="B72" s="235"/>
      <c r="C72" s="214" t="s">
        <v>206</v>
      </c>
      <c r="D72" s="233" t="s">
        <v>207</v>
      </c>
      <c r="E72" s="25">
        <v>6010</v>
      </c>
      <c r="F72" s="25">
        <f t="shared" si="27"/>
        <v>6010</v>
      </c>
      <c r="G72" s="209">
        <f>F72-E72</f>
        <v>0</v>
      </c>
      <c r="H72" s="33"/>
      <c r="I72" s="209">
        <f t="shared" si="24"/>
        <v>6010</v>
      </c>
      <c r="J72" s="209">
        <f t="shared" si="3"/>
        <v>0</v>
      </c>
      <c r="K72" s="34"/>
      <c r="L72" s="209">
        <f t="shared" si="25"/>
        <v>6010</v>
      </c>
      <c r="M72" s="209">
        <f t="shared" si="4"/>
        <v>0</v>
      </c>
      <c r="N72" s="34"/>
      <c r="O72" s="209">
        <f t="shared" si="26"/>
        <v>6010</v>
      </c>
      <c r="P72" s="209">
        <f t="shared" si="5"/>
        <v>0</v>
      </c>
      <c r="Q72" s="34"/>
    </row>
    <row r="73" spans="1:17" ht="45" x14ac:dyDescent="0.25">
      <c r="B73" s="235"/>
      <c r="C73" s="214" t="s">
        <v>208</v>
      </c>
      <c r="D73" s="233" t="s">
        <v>209</v>
      </c>
      <c r="E73" s="25">
        <v>30655</v>
      </c>
      <c r="F73" s="25">
        <f>ROUND(E73,0)</f>
        <v>30655</v>
      </c>
      <c r="G73" s="209">
        <f>F73-E73</f>
        <v>0</v>
      </c>
      <c r="H73" s="33"/>
      <c r="I73" s="209">
        <f t="shared" si="24"/>
        <v>30655</v>
      </c>
      <c r="J73" s="209">
        <f t="shared" si="3"/>
        <v>0</v>
      </c>
      <c r="K73" s="34"/>
      <c r="L73" s="209">
        <f t="shared" si="25"/>
        <v>30655</v>
      </c>
      <c r="M73" s="209">
        <f t="shared" si="4"/>
        <v>0</v>
      </c>
      <c r="N73" s="34"/>
      <c r="O73" s="209">
        <f t="shared" si="26"/>
        <v>30655</v>
      </c>
      <c r="P73" s="209">
        <f t="shared" si="5"/>
        <v>0</v>
      </c>
      <c r="Q73" s="34"/>
    </row>
    <row r="74" spans="1:17" x14ac:dyDescent="0.25">
      <c r="A74" s="231" t="s">
        <v>210</v>
      </c>
      <c r="B74" s="235"/>
      <c r="C74" s="214" t="s">
        <v>211</v>
      </c>
      <c r="D74" s="233" t="s">
        <v>212</v>
      </c>
      <c r="E74" s="25">
        <v>0</v>
      </c>
      <c r="F74" s="25">
        <f>ROUND(E74,0)</f>
        <v>0</v>
      </c>
      <c r="G74" s="209">
        <f>F74-E74</f>
        <v>0</v>
      </c>
      <c r="H74" s="33"/>
      <c r="I74" s="209">
        <f t="shared" si="24"/>
        <v>0</v>
      </c>
      <c r="J74" s="209">
        <f t="shared" si="3"/>
        <v>0</v>
      </c>
      <c r="K74" s="34"/>
      <c r="L74" s="209">
        <f t="shared" si="25"/>
        <v>0</v>
      </c>
      <c r="M74" s="209">
        <f t="shared" si="4"/>
        <v>0</v>
      </c>
      <c r="N74" s="34"/>
      <c r="O74" s="209">
        <f t="shared" si="26"/>
        <v>0</v>
      </c>
      <c r="P74" s="209">
        <f t="shared" si="5"/>
        <v>0</v>
      </c>
      <c r="Q74" s="34"/>
    </row>
    <row r="75" spans="1:17" ht="60" x14ac:dyDescent="0.25">
      <c r="A75" s="231" t="s">
        <v>184</v>
      </c>
      <c r="B75" s="235"/>
      <c r="C75" s="214" t="s">
        <v>213</v>
      </c>
      <c r="D75" s="233" t="s">
        <v>214</v>
      </c>
      <c r="E75" s="25">
        <v>0</v>
      </c>
      <c r="F75" s="25">
        <f>ROUND(E75,0)+18299</f>
        <v>18299</v>
      </c>
      <c r="G75" s="209">
        <f>F75-E75</f>
        <v>18299</v>
      </c>
      <c r="H75" s="57" t="s">
        <v>215</v>
      </c>
      <c r="I75" s="209">
        <f t="shared" si="24"/>
        <v>18299</v>
      </c>
      <c r="J75" s="209">
        <f t="shared" si="3"/>
        <v>0</v>
      </c>
      <c r="K75" s="34"/>
      <c r="L75" s="209">
        <f t="shared" si="25"/>
        <v>18299</v>
      </c>
      <c r="M75" s="209">
        <f t="shared" si="4"/>
        <v>0</v>
      </c>
      <c r="N75" s="34"/>
      <c r="O75" s="209">
        <f t="shared" si="26"/>
        <v>18299</v>
      </c>
      <c r="P75" s="209">
        <f t="shared" si="5"/>
        <v>0</v>
      </c>
      <c r="Q75" s="34"/>
    </row>
    <row r="76" spans="1:17" ht="30" x14ac:dyDescent="0.25">
      <c r="B76" s="191" t="s">
        <v>216</v>
      </c>
      <c r="C76" s="214" t="s">
        <v>217</v>
      </c>
      <c r="D76" s="233" t="s">
        <v>218</v>
      </c>
      <c r="E76" s="25">
        <v>0</v>
      </c>
      <c r="F76" s="25">
        <f t="shared" si="27"/>
        <v>0</v>
      </c>
      <c r="G76" s="209">
        <f t="shared" ref="G76:G124" si="28">F76-E76</f>
        <v>0</v>
      </c>
      <c r="H76" s="35"/>
      <c r="I76" s="209">
        <f t="shared" si="24"/>
        <v>0</v>
      </c>
      <c r="J76" s="209">
        <f t="shared" si="3"/>
        <v>0</v>
      </c>
      <c r="K76" s="36"/>
      <c r="L76" s="209">
        <f t="shared" si="25"/>
        <v>0</v>
      </c>
      <c r="M76" s="209">
        <f t="shared" si="4"/>
        <v>0</v>
      </c>
      <c r="N76" s="36"/>
      <c r="O76" s="209">
        <f t="shared" si="26"/>
        <v>0</v>
      </c>
      <c r="P76" s="209">
        <f t="shared" si="5"/>
        <v>0</v>
      </c>
      <c r="Q76" s="36"/>
    </row>
    <row r="77" spans="1:17" ht="30" x14ac:dyDescent="0.25">
      <c r="B77" s="213" t="s">
        <v>219</v>
      </c>
      <c r="C77" s="214" t="s">
        <v>220</v>
      </c>
      <c r="D77" s="233" t="s">
        <v>221</v>
      </c>
      <c r="E77" s="25">
        <v>0</v>
      </c>
      <c r="F77" s="25">
        <f t="shared" si="27"/>
        <v>0</v>
      </c>
      <c r="G77" s="209">
        <f t="shared" si="28"/>
        <v>0</v>
      </c>
      <c r="H77" s="58"/>
      <c r="I77" s="209">
        <f t="shared" si="24"/>
        <v>0</v>
      </c>
      <c r="J77" s="209">
        <f t="shared" ref="J77:J124" si="29">I77-F77</f>
        <v>0</v>
      </c>
      <c r="K77" s="59"/>
      <c r="L77" s="209">
        <f t="shared" si="25"/>
        <v>0</v>
      </c>
      <c r="M77" s="209">
        <f t="shared" ref="M77:M124" si="30">L77-I77</f>
        <v>0</v>
      </c>
      <c r="N77" s="59"/>
      <c r="O77" s="209">
        <f t="shared" si="26"/>
        <v>0</v>
      </c>
      <c r="P77" s="209">
        <f t="shared" ref="P77:P124" si="31">O77-L77</f>
        <v>0</v>
      </c>
      <c r="Q77" s="59"/>
    </row>
    <row r="78" spans="1:17" ht="30" x14ac:dyDescent="0.25">
      <c r="B78" s="213"/>
      <c r="C78" s="214" t="s">
        <v>222</v>
      </c>
      <c r="D78" s="233" t="s">
        <v>223</v>
      </c>
      <c r="E78" s="25">
        <v>0</v>
      </c>
      <c r="F78" s="25">
        <f t="shared" si="27"/>
        <v>0</v>
      </c>
      <c r="G78" s="209">
        <f t="shared" si="28"/>
        <v>0</v>
      </c>
      <c r="H78" s="58"/>
      <c r="I78" s="209">
        <f t="shared" si="24"/>
        <v>0</v>
      </c>
      <c r="J78" s="209">
        <f t="shared" si="29"/>
        <v>0</v>
      </c>
      <c r="K78" s="59"/>
      <c r="L78" s="209">
        <f t="shared" si="25"/>
        <v>0</v>
      </c>
      <c r="M78" s="209">
        <f t="shared" si="30"/>
        <v>0</v>
      </c>
      <c r="N78" s="59"/>
      <c r="O78" s="209">
        <f t="shared" si="26"/>
        <v>0</v>
      </c>
      <c r="P78" s="209">
        <f t="shared" si="31"/>
        <v>0</v>
      </c>
      <c r="Q78" s="59"/>
    </row>
    <row r="79" spans="1:17" x14ac:dyDescent="0.25">
      <c r="B79" s="213"/>
      <c r="C79" s="214" t="s">
        <v>224</v>
      </c>
      <c r="D79" s="233" t="s">
        <v>225</v>
      </c>
      <c r="E79" s="25">
        <v>0</v>
      </c>
      <c r="F79" s="25">
        <f t="shared" si="27"/>
        <v>0</v>
      </c>
      <c r="G79" s="209">
        <f t="shared" si="28"/>
        <v>0</v>
      </c>
      <c r="H79" s="58"/>
      <c r="I79" s="209">
        <f t="shared" si="24"/>
        <v>0</v>
      </c>
      <c r="J79" s="209">
        <f t="shared" si="29"/>
        <v>0</v>
      </c>
      <c r="K79" s="59"/>
      <c r="L79" s="209">
        <f t="shared" si="25"/>
        <v>0</v>
      </c>
      <c r="M79" s="209">
        <f t="shared" si="30"/>
        <v>0</v>
      </c>
      <c r="N79" s="59"/>
      <c r="O79" s="209">
        <f t="shared" si="26"/>
        <v>0</v>
      </c>
      <c r="P79" s="209">
        <f t="shared" si="31"/>
        <v>0</v>
      </c>
      <c r="Q79" s="59"/>
    </row>
    <row r="80" spans="1:17" ht="30" x14ac:dyDescent="0.25">
      <c r="B80" s="213"/>
      <c r="C80" s="214" t="s">
        <v>226</v>
      </c>
      <c r="D80" s="233" t="s">
        <v>227</v>
      </c>
      <c r="E80" s="25">
        <v>0</v>
      </c>
      <c r="F80" s="25">
        <f t="shared" si="27"/>
        <v>0</v>
      </c>
      <c r="G80" s="209">
        <f t="shared" si="28"/>
        <v>0</v>
      </c>
      <c r="H80" s="58"/>
      <c r="I80" s="209">
        <f t="shared" si="24"/>
        <v>0</v>
      </c>
      <c r="J80" s="209">
        <f t="shared" si="29"/>
        <v>0</v>
      </c>
      <c r="K80" s="59"/>
      <c r="L80" s="209">
        <f t="shared" si="25"/>
        <v>0</v>
      </c>
      <c r="M80" s="209">
        <f t="shared" si="30"/>
        <v>0</v>
      </c>
      <c r="N80" s="59"/>
      <c r="O80" s="209">
        <f t="shared" si="26"/>
        <v>0</v>
      </c>
      <c r="P80" s="209">
        <f t="shared" si="31"/>
        <v>0</v>
      </c>
      <c r="Q80" s="59"/>
    </row>
    <row r="81" spans="1:17" x14ac:dyDescent="0.25">
      <c r="B81" s="236" t="s">
        <v>228</v>
      </c>
      <c r="C81" s="214" t="s">
        <v>229</v>
      </c>
      <c r="D81" s="233" t="s">
        <v>230</v>
      </c>
      <c r="E81" s="25">
        <v>0</v>
      </c>
      <c r="F81" s="25">
        <f t="shared" si="27"/>
        <v>0</v>
      </c>
      <c r="G81" s="209">
        <f t="shared" si="28"/>
        <v>0</v>
      </c>
      <c r="H81" s="58"/>
      <c r="I81" s="209">
        <f t="shared" si="24"/>
        <v>0</v>
      </c>
      <c r="J81" s="209">
        <f t="shared" si="29"/>
        <v>0</v>
      </c>
      <c r="K81" s="59"/>
      <c r="L81" s="209">
        <f t="shared" si="25"/>
        <v>0</v>
      </c>
      <c r="M81" s="209">
        <f t="shared" si="30"/>
        <v>0</v>
      </c>
      <c r="N81" s="59"/>
      <c r="O81" s="209">
        <f t="shared" si="26"/>
        <v>0</v>
      </c>
      <c r="P81" s="209">
        <f t="shared" si="31"/>
        <v>0</v>
      </c>
      <c r="Q81" s="59"/>
    </row>
    <row r="82" spans="1:17" x14ac:dyDescent="0.25">
      <c r="B82" s="213"/>
      <c r="C82" s="214" t="s">
        <v>231</v>
      </c>
      <c r="D82" s="233" t="s">
        <v>232</v>
      </c>
      <c r="E82" s="25">
        <v>150645</v>
      </c>
      <c r="F82" s="25">
        <f t="shared" si="27"/>
        <v>150645</v>
      </c>
      <c r="G82" s="209">
        <f t="shared" si="28"/>
        <v>0</v>
      </c>
      <c r="H82" s="58"/>
      <c r="I82" s="209">
        <f t="shared" si="24"/>
        <v>150645</v>
      </c>
      <c r="J82" s="209">
        <f t="shared" si="29"/>
        <v>0</v>
      </c>
      <c r="K82" s="59"/>
      <c r="L82" s="209">
        <f t="shared" si="25"/>
        <v>150645</v>
      </c>
      <c r="M82" s="209">
        <f t="shared" si="30"/>
        <v>0</v>
      </c>
      <c r="N82" s="59"/>
      <c r="O82" s="209">
        <f t="shared" si="26"/>
        <v>150645</v>
      </c>
      <c r="P82" s="209">
        <f t="shared" si="31"/>
        <v>0</v>
      </c>
      <c r="Q82" s="59"/>
    </row>
    <row r="83" spans="1:17" ht="41.45" customHeight="1" x14ac:dyDescent="0.25">
      <c r="B83" s="213"/>
      <c r="C83" s="214" t="s">
        <v>233</v>
      </c>
      <c r="D83" s="233" t="s">
        <v>234</v>
      </c>
      <c r="E83" s="25">
        <v>118650</v>
      </c>
      <c r="F83" s="25">
        <f t="shared" si="27"/>
        <v>118650</v>
      </c>
      <c r="G83" s="209">
        <f t="shared" si="28"/>
        <v>0</v>
      </c>
      <c r="H83" s="58"/>
      <c r="I83" s="209">
        <f t="shared" si="24"/>
        <v>118650</v>
      </c>
      <c r="J83" s="209">
        <f t="shared" si="29"/>
        <v>0</v>
      </c>
      <c r="K83" s="59"/>
      <c r="L83" s="209">
        <f t="shared" si="25"/>
        <v>118650</v>
      </c>
      <c r="M83" s="209">
        <f t="shared" si="30"/>
        <v>0</v>
      </c>
      <c r="N83" s="59"/>
      <c r="O83" s="209">
        <f t="shared" si="26"/>
        <v>118650</v>
      </c>
      <c r="P83" s="209">
        <f t="shared" si="31"/>
        <v>0</v>
      </c>
      <c r="Q83" s="59"/>
    </row>
    <row r="84" spans="1:17" x14ac:dyDescent="0.25">
      <c r="B84" s="213"/>
      <c r="C84" s="214" t="s">
        <v>235</v>
      </c>
      <c r="D84" s="233" t="s">
        <v>236</v>
      </c>
      <c r="E84" s="25">
        <v>390462</v>
      </c>
      <c r="F84" s="25">
        <f t="shared" si="27"/>
        <v>390462</v>
      </c>
      <c r="G84" s="209">
        <f t="shared" si="28"/>
        <v>0</v>
      </c>
      <c r="H84" s="58"/>
      <c r="I84" s="209">
        <f t="shared" si="24"/>
        <v>390462</v>
      </c>
      <c r="J84" s="209">
        <f t="shared" si="29"/>
        <v>0</v>
      </c>
      <c r="K84" s="59"/>
      <c r="L84" s="209">
        <f t="shared" si="25"/>
        <v>390462</v>
      </c>
      <c r="M84" s="209">
        <f t="shared" si="30"/>
        <v>0</v>
      </c>
      <c r="N84" s="59"/>
      <c r="O84" s="209">
        <f t="shared" si="26"/>
        <v>390462</v>
      </c>
      <c r="P84" s="209">
        <f t="shared" si="31"/>
        <v>0</v>
      </c>
      <c r="Q84" s="59"/>
    </row>
    <row r="85" spans="1:17" ht="30" x14ac:dyDescent="0.25">
      <c r="B85" s="236" t="s">
        <v>228</v>
      </c>
      <c r="C85" s="214" t="s">
        <v>237</v>
      </c>
      <c r="D85" s="233" t="s">
        <v>238</v>
      </c>
      <c r="E85" s="25">
        <v>0</v>
      </c>
      <c r="F85" s="25">
        <f t="shared" si="27"/>
        <v>0</v>
      </c>
      <c r="G85" s="209">
        <f t="shared" si="28"/>
        <v>0</v>
      </c>
      <c r="H85" s="58"/>
      <c r="I85" s="209">
        <f t="shared" si="24"/>
        <v>0</v>
      </c>
      <c r="J85" s="209">
        <f t="shared" si="29"/>
        <v>0</v>
      </c>
      <c r="K85" s="59"/>
      <c r="L85" s="209">
        <f t="shared" si="25"/>
        <v>0</v>
      </c>
      <c r="M85" s="209">
        <f t="shared" si="30"/>
        <v>0</v>
      </c>
      <c r="N85" s="59"/>
      <c r="O85" s="209">
        <f t="shared" si="26"/>
        <v>0</v>
      </c>
      <c r="P85" s="209">
        <f t="shared" si="31"/>
        <v>0</v>
      </c>
      <c r="Q85" s="59"/>
    </row>
    <row r="86" spans="1:17" x14ac:dyDescent="0.25">
      <c r="B86" s="231" t="s">
        <v>239</v>
      </c>
      <c r="C86" s="214" t="s">
        <v>240</v>
      </c>
      <c r="D86" s="237" t="s">
        <v>241</v>
      </c>
      <c r="E86" s="25">
        <v>382739</v>
      </c>
      <c r="F86" s="25">
        <f t="shared" si="27"/>
        <v>382739</v>
      </c>
      <c r="G86" s="209">
        <f t="shared" si="28"/>
        <v>0</v>
      </c>
      <c r="H86" s="58"/>
      <c r="I86" s="209">
        <f>ROUND(F86,0)-24147</f>
        <v>358592</v>
      </c>
      <c r="J86" s="209">
        <f t="shared" si="29"/>
        <v>-24147</v>
      </c>
      <c r="K86" s="59" t="s">
        <v>242</v>
      </c>
      <c r="L86" s="209">
        <f t="shared" si="25"/>
        <v>358592</v>
      </c>
      <c r="M86" s="209">
        <f t="shared" si="30"/>
        <v>0</v>
      </c>
      <c r="N86" s="59"/>
      <c r="O86" s="209">
        <f t="shared" si="26"/>
        <v>358592</v>
      </c>
      <c r="P86" s="209">
        <f t="shared" si="31"/>
        <v>0</v>
      </c>
      <c r="Q86" s="59"/>
    </row>
    <row r="87" spans="1:17" hidden="1" outlineLevel="1" x14ac:dyDescent="0.25">
      <c r="B87" s="206" t="s">
        <v>243</v>
      </c>
      <c r="C87" s="207" t="s">
        <v>244</v>
      </c>
      <c r="D87" s="238" t="s">
        <v>245</v>
      </c>
      <c r="E87" s="43">
        <v>0</v>
      </c>
      <c r="F87" s="25">
        <f t="shared" si="27"/>
        <v>0</v>
      </c>
      <c r="G87" s="209">
        <f t="shared" si="28"/>
        <v>0</v>
      </c>
      <c r="H87" s="26"/>
      <c r="I87" s="209">
        <f t="shared" si="24"/>
        <v>0</v>
      </c>
      <c r="J87" s="209">
        <f t="shared" si="29"/>
        <v>0</v>
      </c>
      <c r="K87" s="27"/>
      <c r="L87" s="209">
        <f t="shared" si="25"/>
        <v>0</v>
      </c>
      <c r="M87" s="209">
        <f t="shared" si="30"/>
        <v>0</v>
      </c>
      <c r="N87" s="27"/>
      <c r="O87" s="209">
        <f t="shared" si="26"/>
        <v>0</v>
      </c>
      <c r="P87" s="209">
        <f t="shared" si="31"/>
        <v>0</v>
      </c>
      <c r="Q87" s="27"/>
    </row>
    <row r="88" spans="1:17" collapsed="1" x14ac:dyDescent="0.25">
      <c r="C88" s="218" t="s">
        <v>246</v>
      </c>
      <c r="D88" s="211" t="s">
        <v>247</v>
      </c>
      <c r="E88" s="28">
        <v>295000</v>
      </c>
      <c r="F88" s="28">
        <f>F89+F90</f>
        <v>295000</v>
      </c>
      <c r="G88" s="212">
        <f t="shared" si="28"/>
        <v>0</v>
      </c>
      <c r="H88" s="29"/>
      <c r="I88" s="212">
        <f>I89+I90</f>
        <v>295000</v>
      </c>
      <c r="J88" s="212">
        <f t="shared" si="29"/>
        <v>0</v>
      </c>
      <c r="K88" s="30"/>
      <c r="L88" s="212">
        <f>L89+L90</f>
        <v>295000</v>
      </c>
      <c r="M88" s="212">
        <f t="shared" si="30"/>
        <v>0</v>
      </c>
      <c r="N88" s="30"/>
      <c r="O88" s="212">
        <f>O89+O90</f>
        <v>295000</v>
      </c>
      <c r="P88" s="212">
        <f t="shared" si="31"/>
        <v>0</v>
      </c>
      <c r="Q88" s="30"/>
    </row>
    <row r="89" spans="1:17" ht="27.6" customHeight="1" x14ac:dyDescent="0.25">
      <c r="B89" s="191" t="s">
        <v>248</v>
      </c>
      <c r="C89" s="207" t="s">
        <v>249</v>
      </c>
      <c r="D89" s="208" t="s">
        <v>250</v>
      </c>
      <c r="E89" s="25">
        <v>295000</v>
      </c>
      <c r="F89" s="25">
        <f>ROUND(E89,0)</f>
        <v>295000</v>
      </c>
      <c r="G89" s="209">
        <f t="shared" si="28"/>
        <v>0</v>
      </c>
      <c r="H89" s="40"/>
      <c r="I89" s="209">
        <f>ROUND(F89,0)</f>
        <v>295000</v>
      </c>
      <c r="J89" s="209">
        <f t="shared" si="29"/>
        <v>0</v>
      </c>
      <c r="K89" s="41"/>
      <c r="L89" s="209">
        <f>ROUND(I89,0)</f>
        <v>295000</v>
      </c>
      <c r="M89" s="209">
        <f t="shared" si="30"/>
        <v>0</v>
      </c>
      <c r="N89" s="41"/>
      <c r="O89" s="209">
        <f>ROUND(L89,0)</f>
        <v>295000</v>
      </c>
      <c r="P89" s="209">
        <f t="shared" si="31"/>
        <v>0</v>
      </c>
      <c r="Q89" s="41"/>
    </row>
    <row r="90" spans="1:17" ht="16.149999999999999" customHeight="1" x14ac:dyDescent="0.25">
      <c r="B90" s="191" t="s">
        <v>251</v>
      </c>
      <c r="C90" s="207" t="s">
        <v>252</v>
      </c>
      <c r="D90" s="208" t="s">
        <v>253</v>
      </c>
      <c r="E90" s="25">
        <v>0</v>
      </c>
      <c r="F90" s="25">
        <f>ROUND(E90,0)</f>
        <v>0</v>
      </c>
      <c r="G90" s="209">
        <f t="shared" si="28"/>
        <v>0</v>
      </c>
      <c r="H90" s="26"/>
      <c r="I90" s="209">
        <f>ROUND(F90,0)</f>
        <v>0</v>
      </c>
      <c r="J90" s="209">
        <f t="shared" si="29"/>
        <v>0</v>
      </c>
      <c r="K90" s="27"/>
      <c r="L90" s="209">
        <f>ROUND(I90,0)</f>
        <v>0</v>
      </c>
      <c r="M90" s="209">
        <f t="shared" si="30"/>
        <v>0</v>
      </c>
      <c r="N90" s="27"/>
      <c r="O90" s="209">
        <f>ROUND(L90,0)</f>
        <v>0</v>
      </c>
      <c r="P90" s="209">
        <f t="shared" si="31"/>
        <v>0</v>
      </c>
      <c r="Q90" s="27"/>
    </row>
    <row r="91" spans="1:17" ht="35.450000000000003" customHeight="1" x14ac:dyDescent="0.25">
      <c r="C91" s="218" t="s">
        <v>254</v>
      </c>
      <c r="D91" s="211" t="s">
        <v>255</v>
      </c>
      <c r="E91" s="28">
        <v>2153758</v>
      </c>
      <c r="F91" s="28">
        <f t="shared" ref="F91" si="32">F92+F95+F98+F102+F106</f>
        <v>1974755</v>
      </c>
      <c r="G91" s="212">
        <f t="shared" si="28"/>
        <v>-179003</v>
      </c>
      <c r="H91" s="29"/>
      <c r="I91" s="212">
        <f>I92+I95+I98+I102+I106</f>
        <v>1974755</v>
      </c>
      <c r="J91" s="212">
        <f t="shared" si="29"/>
        <v>0</v>
      </c>
      <c r="K91" s="30"/>
      <c r="L91" s="212">
        <f>L92+L95+L98+L102+L106</f>
        <v>1974755</v>
      </c>
      <c r="M91" s="212">
        <f t="shared" si="30"/>
        <v>0</v>
      </c>
      <c r="N91" s="30"/>
      <c r="O91" s="212">
        <f>O92+O95+O98+O102+O106</f>
        <v>2675467</v>
      </c>
      <c r="P91" s="212">
        <f t="shared" si="31"/>
        <v>700712</v>
      </c>
      <c r="Q91" s="30"/>
    </row>
    <row r="92" spans="1:17" x14ac:dyDescent="0.25">
      <c r="A92" s="191" t="s">
        <v>22</v>
      </c>
      <c r="B92" s="191" t="s">
        <v>256</v>
      </c>
      <c r="C92" s="207" t="s">
        <v>257</v>
      </c>
      <c r="D92" s="208" t="s">
        <v>258</v>
      </c>
      <c r="E92" s="25">
        <v>149000</v>
      </c>
      <c r="F92" s="25">
        <f>SUM(F93:F94)</f>
        <v>149000</v>
      </c>
      <c r="G92" s="209">
        <f t="shared" si="28"/>
        <v>0</v>
      </c>
      <c r="H92" s="26"/>
      <c r="I92" s="209">
        <f>SUM(I93:I94)</f>
        <v>149000</v>
      </c>
      <c r="J92" s="209">
        <f t="shared" si="29"/>
        <v>0</v>
      </c>
      <c r="K92" s="27"/>
      <c r="L92" s="209">
        <f>SUM(L93:L94)</f>
        <v>149000</v>
      </c>
      <c r="M92" s="209">
        <f t="shared" si="30"/>
        <v>0</v>
      </c>
      <c r="N92" s="27"/>
      <c r="O92" s="209">
        <f>SUM(O93:O94)</f>
        <v>149000</v>
      </c>
      <c r="P92" s="209">
        <f t="shared" si="31"/>
        <v>0</v>
      </c>
      <c r="Q92" s="27"/>
    </row>
    <row r="93" spans="1:17" ht="14.25" customHeight="1" x14ac:dyDescent="0.25">
      <c r="B93" s="191" t="s">
        <v>259</v>
      </c>
      <c r="C93" s="239" t="s">
        <v>260</v>
      </c>
      <c r="D93" s="240" t="s">
        <v>261</v>
      </c>
      <c r="E93" s="25">
        <v>24000</v>
      </c>
      <c r="F93" s="25">
        <f>ROUND(E93,0)</f>
        <v>24000</v>
      </c>
      <c r="G93" s="209">
        <f t="shared" si="28"/>
        <v>0</v>
      </c>
      <c r="H93" s="31"/>
      <c r="I93" s="209">
        <f>ROUND(F93,0)</f>
        <v>24000</v>
      </c>
      <c r="J93" s="209">
        <f t="shared" si="29"/>
        <v>0</v>
      </c>
      <c r="K93" s="32"/>
      <c r="L93" s="209">
        <f>ROUND(I93,0)</f>
        <v>24000</v>
      </c>
      <c r="M93" s="209">
        <f t="shared" si="30"/>
        <v>0</v>
      </c>
      <c r="N93" s="32"/>
      <c r="O93" s="209">
        <f>ROUND(L93,0)</f>
        <v>24000</v>
      </c>
      <c r="P93" s="209">
        <f t="shared" si="31"/>
        <v>0</v>
      </c>
      <c r="Q93" s="32"/>
    </row>
    <row r="94" spans="1:17" ht="15.6" customHeight="1" x14ac:dyDescent="0.25">
      <c r="B94" s="191" t="s">
        <v>262</v>
      </c>
      <c r="C94" s="239" t="s">
        <v>263</v>
      </c>
      <c r="D94" s="240" t="s">
        <v>264</v>
      </c>
      <c r="E94" s="25">
        <v>125000</v>
      </c>
      <c r="F94" s="25">
        <f>ROUND(E94,0)</f>
        <v>125000</v>
      </c>
      <c r="G94" s="209">
        <f t="shared" si="28"/>
        <v>0</v>
      </c>
      <c r="H94" s="31"/>
      <c r="I94" s="209">
        <f>ROUND(F94,0)</f>
        <v>125000</v>
      </c>
      <c r="J94" s="209">
        <f t="shared" si="29"/>
        <v>0</v>
      </c>
      <c r="K94" s="32"/>
      <c r="L94" s="209">
        <f>ROUND(I94,0)</f>
        <v>125000</v>
      </c>
      <c r="M94" s="209">
        <f t="shared" si="30"/>
        <v>0</v>
      </c>
      <c r="N94" s="32"/>
      <c r="O94" s="209">
        <f>ROUND(L94,0)</f>
        <v>125000</v>
      </c>
      <c r="P94" s="209">
        <f t="shared" si="31"/>
        <v>0</v>
      </c>
      <c r="Q94" s="32"/>
    </row>
    <row r="95" spans="1:17" ht="13.9" customHeight="1" x14ac:dyDescent="0.25">
      <c r="C95" s="207" t="s">
        <v>265</v>
      </c>
      <c r="D95" s="208" t="s">
        <v>266</v>
      </c>
      <c r="E95" s="25">
        <v>0</v>
      </c>
      <c r="F95" s="25">
        <f>F96+F97</f>
        <v>0</v>
      </c>
      <c r="G95" s="209">
        <f t="shared" si="28"/>
        <v>0</v>
      </c>
      <c r="H95" s="60"/>
      <c r="I95" s="209">
        <f>I96+I97</f>
        <v>0</v>
      </c>
      <c r="J95" s="209">
        <f t="shared" si="29"/>
        <v>0</v>
      </c>
      <c r="K95" s="61"/>
      <c r="L95" s="209">
        <f>L96+L97</f>
        <v>0</v>
      </c>
      <c r="M95" s="209">
        <f t="shared" si="30"/>
        <v>0</v>
      </c>
      <c r="N95" s="61"/>
      <c r="O95" s="209">
        <f>O96+O97</f>
        <v>0</v>
      </c>
      <c r="P95" s="209">
        <f t="shared" si="31"/>
        <v>0</v>
      </c>
      <c r="Q95" s="61"/>
    </row>
    <row r="96" spans="1:17" x14ac:dyDescent="0.25">
      <c r="C96" s="239" t="s">
        <v>267</v>
      </c>
      <c r="D96" s="240" t="s">
        <v>268</v>
      </c>
      <c r="E96" s="25">
        <v>0</v>
      </c>
      <c r="F96" s="25"/>
      <c r="G96" s="209">
        <f t="shared" si="28"/>
        <v>0</v>
      </c>
      <c r="H96" s="31"/>
      <c r="I96" s="209"/>
      <c r="J96" s="209">
        <f t="shared" si="29"/>
        <v>0</v>
      </c>
      <c r="K96" s="32"/>
      <c r="L96" s="209"/>
      <c r="M96" s="209">
        <f t="shared" si="30"/>
        <v>0</v>
      </c>
      <c r="N96" s="32"/>
      <c r="O96" s="209"/>
      <c r="P96" s="209">
        <f t="shared" si="31"/>
        <v>0</v>
      </c>
      <c r="Q96" s="32"/>
    </row>
    <row r="97" spans="1:17" ht="30" customHeight="1" x14ac:dyDescent="0.25">
      <c r="B97" s="231" t="s">
        <v>269</v>
      </c>
      <c r="C97" s="239" t="s">
        <v>270</v>
      </c>
      <c r="D97" s="233" t="s">
        <v>271</v>
      </c>
      <c r="E97" s="25">
        <v>0</v>
      </c>
      <c r="F97" s="25">
        <f>ROUND(E97,0)</f>
        <v>0</v>
      </c>
      <c r="G97" s="209">
        <f t="shared" si="28"/>
        <v>0</v>
      </c>
      <c r="H97" s="31"/>
      <c r="I97" s="209">
        <f>ROUND(F97,0)</f>
        <v>0</v>
      </c>
      <c r="J97" s="209">
        <f t="shared" si="29"/>
        <v>0</v>
      </c>
      <c r="K97" s="32"/>
      <c r="L97" s="209">
        <f>ROUND(I97,0)</f>
        <v>0</v>
      </c>
      <c r="M97" s="209">
        <f t="shared" si="30"/>
        <v>0</v>
      </c>
      <c r="N97" s="32"/>
      <c r="O97" s="209">
        <f>ROUND(L97,0)</f>
        <v>0</v>
      </c>
      <c r="P97" s="209">
        <f t="shared" si="31"/>
        <v>0</v>
      </c>
      <c r="Q97" s="32"/>
    </row>
    <row r="98" spans="1:17" x14ac:dyDescent="0.25">
      <c r="A98" s="191" t="s">
        <v>22</v>
      </c>
      <c r="B98" s="191" t="s">
        <v>272</v>
      </c>
      <c r="C98" s="207" t="s">
        <v>273</v>
      </c>
      <c r="D98" s="208" t="s">
        <v>274</v>
      </c>
      <c r="E98" s="25">
        <v>180000</v>
      </c>
      <c r="F98" s="25">
        <f>SUM(F99:F101)</f>
        <v>180000</v>
      </c>
      <c r="G98" s="209">
        <f t="shared" si="28"/>
        <v>0</v>
      </c>
      <c r="H98" s="26"/>
      <c r="I98" s="209">
        <f>SUM(I99:I101)</f>
        <v>180000</v>
      </c>
      <c r="J98" s="209">
        <f t="shared" si="29"/>
        <v>0</v>
      </c>
      <c r="K98" s="27"/>
      <c r="L98" s="209">
        <f>SUM(L99:L101)</f>
        <v>180000</v>
      </c>
      <c r="M98" s="209">
        <f t="shared" si="30"/>
        <v>0</v>
      </c>
      <c r="N98" s="27"/>
      <c r="O98" s="209">
        <f>SUM(O99:O101)</f>
        <v>195370</v>
      </c>
      <c r="P98" s="209">
        <f t="shared" si="31"/>
        <v>15370</v>
      </c>
      <c r="Q98" s="27"/>
    </row>
    <row r="99" spans="1:17" ht="87.6" customHeight="1" x14ac:dyDescent="0.25">
      <c r="B99" s="191" t="s">
        <v>275</v>
      </c>
      <c r="C99" s="239" t="s">
        <v>276</v>
      </c>
      <c r="D99" s="240" t="s">
        <v>277</v>
      </c>
      <c r="E99" s="25">
        <v>143000</v>
      </c>
      <c r="F99" s="25">
        <f>ROUND(E99,0)</f>
        <v>143000</v>
      </c>
      <c r="G99" s="209">
        <f t="shared" si="28"/>
        <v>0</v>
      </c>
      <c r="H99" s="40"/>
      <c r="I99" s="209">
        <f>ROUND(F99,0)</f>
        <v>143000</v>
      </c>
      <c r="J99" s="209">
        <f t="shared" si="29"/>
        <v>0</v>
      </c>
      <c r="K99" s="41"/>
      <c r="L99" s="209">
        <f>ROUND(I99,0)</f>
        <v>143000</v>
      </c>
      <c r="M99" s="209">
        <f t="shared" si="30"/>
        <v>0</v>
      </c>
      <c r="N99" s="41"/>
      <c r="O99" s="209">
        <f>ROUND(L99,0)+6370+9000</f>
        <v>158370</v>
      </c>
      <c r="P99" s="209">
        <f t="shared" si="31"/>
        <v>15370</v>
      </c>
      <c r="Q99" s="41" t="s">
        <v>278</v>
      </c>
    </row>
    <row r="100" spans="1:17" x14ac:dyDescent="0.25">
      <c r="B100" s="191" t="s">
        <v>279</v>
      </c>
      <c r="C100" s="239" t="s">
        <v>280</v>
      </c>
      <c r="D100" s="240" t="s">
        <v>281</v>
      </c>
      <c r="E100" s="25">
        <v>36000</v>
      </c>
      <c r="F100" s="25">
        <f>ROUND(E100,0)</f>
        <v>36000</v>
      </c>
      <c r="G100" s="209">
        <f t="shared" si="28"/>
        <v>0</v>
      </c>
      <c r="H100" s="26"/>
      <c r="I100" s="209">
        <f>ROUND(F100,0)</f>
        <v>36000</v>
      </c>
      <c r="J100" s="209">
        <f t="shared" si="29"/>
        <v>0</v>
      </c>
      <c r="K100" s="27"/>
      <c r="L100" s="209">
        <f>ROUND(I100,0)</f>
        <v>36000</v>
      </c>
      <c r="M100" s="209">
        <f t="shared" si="30"/>
        <v>0</v>
      </c>
      <c r="N100" s="27"/>
      <c r="O100" s="209">
        <f>ROUND(L100,0)</f>
        <v>36000</v>
      </c>
      <c r="P100" s="209">
        <f t="shared" si="31"/>
        <v>0</v>
      </c>
      <c r="Q100" s="27"/>
    </row>
    <row r="101" spans="1:17" x14ac:dyDescent="0.25">
      <c r="B101" s="191" t="s">
        <v>282</v>
      </c>
      <c r="C101" s="239" t="s">
        <v>283</v>
      </c>
      <c r="D101" s="233" t="s">
        <v>284</v>
      </c>
      <c r="E101" s="25">
        <v>1000</v>
      </c>
      <c r="F101" s="25">
        <f>ROUND(E101,0)</f>
        <v>1000</v>
      </c>
      <c r="G101" s="209">
        <f t="shared" si="28"/>
        <v>0</v>
      </c>
      <c r="H101" s="26"/>
      <c r="I101" s="209">
        <f>ROUND(F101,0)</f>
        <v>1000</v>
      </c>
      <c r="J101" s="209">
        <f t="shared" si="29"/>
        <v>0</v>
      </c>
      <c r="K101" s="27"/>
      <c r="L101" s="209">
        <f>ROUND(I101,0)</f>
        <v>1000</v>
      </c>
      <c r="M101" s="209">
        <f t="shared" si="30"/>
        <v>0</v>
      </c>
      <c r="N101" s="27"/>
      <c r="O101" s="209">
        <f>ROUND(L101,0)</f>
        <v>1000</v>
      </c>
      <c r="P101" s="209">
        <f t="shared" si="31"/>
        <v>0</v>
      </c>
      <c r="Q101" s="27"/>
    </row>
    <row r="102" spans="1:17" ht="25.15" customHeight="1" x14ac:dyDescent="0.25">
      <c r="A102" s="191" t="s">
        <v>22</v>
      </c>
      <c r="B102" s="191" t="s">
        <v>285</v>
      </c>
      <c r="C102" s="207" t="s">
        <v>286</v>
      </c>
      <c r="D102" s="208" t="s">
        <v>287</v>
      </c>
      <c r="E102" s="25">
        <v>1712137</v>
      </c>
      <c r="F102" s="25">
        <f t="shared" ref="F102" si="33">SUM(F103:F105)</f>
        <v>1543755</v>
      </c>
      <c r="G102" s="209">
        <f t="shared" si="28"/>
        <v>-168382</v>
      </c>
      <c r="H102" s="40"/>
      <c r="I102" s="209">
        <f>SUM(I103:I105)</f>
        <v>1543755</v>
      </c>
      <c r="J102" s="209">
        <f t="shared" si="29"/>
        <v>0</v>
      </c>
      <c r="K102" s="41"/>
      <c r="L102" s="209">
        <f>SUM(L103:L105)</f>
        <v>1543755</v>
      </c>
      <c r="M102" s="209">
        <f t="shared" si="30"/>
        <v>0</v>
      </c>
      <c r="N102" s="41"/>
      <c r="O102" s="209">
        <f>SUM(O103:O105)</f>
        <v>2224097</v>
      </c>
      <c r="P102" s="209">
        <f t="shared" si="31"/>
        <v>680342</v>
      </c>
      <c r="Q102" s="41"/>
    </row>
    <row r="103" spans="1:17" ht="28.15" customHeight="1" x14ac:dyDescent="0.25">
      <c r="A103" s="231" t="s">
        <v>288</v>
      </c>
      <c r="C103" s="239" t="s">
        <v>289</v>
      </c>
      <c r="D103" s="240" t="s">
        <v>287</v>
      </c>
      <c r="E103" s="25">
        <v>135600</v>
      </c>
      <c r="F103" s="25">
        <f>ROUND(E103,0)</f>
        <v>135600</v>
      </c>
      <c r="G103" s="209">
        <f t="shared" si="28"/>
        <v>0</v>
      </c>
      <c r="H103" s="26"/>
      <c r="I103" s="209">
        <f>ROUND(F103,0)</f>
        <v>135600</v>
      </c>
      <c r="J103" s="209">
        <f t="shared" si="29"/>
        <v>0</v>
      </c>
      <c r="K103" s="27"/>
      <c r="L103" s="209">
        <f>ROUND(I103,0)</f>
        <v>135600</v>
      </c>
      <c r="M103" s="209">
        <f t="shared" si="30"/>
        <v>0</v>
      </c>
      <c r="N103" s="27"/>
      <c r="O103" s="209">
        <f>ROUND(L103,0)</f>
        <v>135600</v>
      </c>
      <c r="P103" s="209">
        <f t="shared" si="31"/>
        <v>0</v>
      </c>
      <c r="Q103" s="41"/>
    </row>
    <row r="104" spans="1:17" ht="16.5" customHeight="1" x14ac:dyDescent="0.25">
      <c r="B104" s="191" t="s">
        <v>290</v>
      </c>
      <c r="C104" s="239" t="s">
        <v>291</v>
      </c>
      <c r="D104" s="240" t="s">
        <v>292</v>
      </c>
      <c r="E104" s="25">
        <v>2500</v>
      </c>
      <c r="F104" s="25">
        <f>ROUND(E104,0)</f>
        <v>2500</v>
      </c>
      <c r="G104" s="209">
        <f t="shared" si="28"/>
        <v>0</v>
      </c>
      <c r="H104" s="26"/>
      <c r="I104" s="209">
        <f>ROUND(F104,0)</f>
        <v>2500</v>
      </c>
      <c r="J104" s="209">
        <f t="shared" si="29"/>
        <v>0</v>
      </c>
      <c r="K104" s="27"/>
      <c r="L104" s="209">
        <f>ROUND(I104,0)</f>
        <v>2500</v>
      </c>
      <c r="M104" s="209">
        <f t="shared" si="30"/>
        <v>0</v>
      </c>
      <c r="N104" s="27"/>
      <c r="O104" s="209">
        <f>ROUND(L104,0)</f>
        <v>2500</v>
      </c>
      <c r="P104" s="209">
        <f t="shared" si="31"/>
        <v>0</v>
      </c>
      <c r="Q104" s="27"/>
    </row>
    <row r="105" spans="1:17" ht="28.9" customHeight="1" x14ac:dyDescent="0.25">
      <c r="B105" s="191" t="s">
        <v>293</v>
      </c>
      <c r="C105" s="239" t="s">
        <v>294</v>
      </c>
      <c r="D105" s="240" t="s">
        <v>295</v>
      </c>
      <c r="E105" s="25">
        <v>1574037</v>
      </c>
      <c r="F105" s="25">
        <f>ROUND(E105,0)-168382</f>
        <v>1405655</v>
      </c>
      <c r="G105" s="209">
        <f t="shared" si="28"/>
        <v>-168382</v>
      </c>
      <c r="H105" s="53" t="s">
        <v>296</v>
      </c>
      <c r="I105" s="209">
        <f>ROUND(F105,0)</f>
        <v>1405655</v>
      </c>
      <c r="J105" s="209">
        <f t="shared" si="29"/>
        <v>0</v>
      </c>
      <c r="K105" s="27"/>
      <c r="L105" s="209">
        <f>ROUND(I105,0)</f>
        <v>1405655</v>
      </c>
      <c r="M105" s="209">
        <f t="shared" si="30"/>
        <v>0</v>
      </c>
      <c r="N105" s="41"/>
      <c r="O105" s="209">
        <f>ROUND(L105,0)+680342</f>
        <v>2085997</v>
      </c>
      <c r="P105" s="209">
        <f t="shared" si="31"/>
        <v>680342</v>
      </c>
      <c r="Q105" s="41" t="s">
        <v>297</v>
      </c>
    </row>
    <row r="106" spans="1:17" ht="58.15" customHeight="1" thickBot="1" x14ac:dyDescent="0.3">
      <c r="A106" s="191" t="s">
        <v>22</v>
      </c>
      <c r="B106" s="213" t="s">
        <v>298</v>
      </c>
      <c r="C106" s="207" t="s">
        <v>299</v>
      </c>
      <c r="D106" s="208" t="s">
        <v>300</v>
      </c>
      <c r="E106" s="25">
        <v>112621</v>
      </c>
      <c r="F106" s="25">
        <f>ROUND(E106,0)-10621</f>
        <v>102000</v>
      </c>
      <c r="G106" s="209">
        <f t="shared" si="28"/>
        <v>-10621</v>
      </c>
      <c r="H106" s="41" t="s">
        <v>301</v>
      </c>
      <c r="I106" s="209">
        <f>ROUND(F106,0)</f>
        <v>102000</v>
      </c>
      <c r="J106" s="209">
        <f t="shared" si="29"/>
        <v>0</v>
      </c>
      <c r="K106" s="27"/>
      <c r="L106" s="209">
        <f>ROUND(I106,0)</f>
        <v>102000</v>
      </c>
      <c r="M106" s="209">
        <f t="shared" si="30"/>
        <v>0</v>
      </c>
      <c r="N106" s="27"/>
      <c r="O106" s="209">
        <f>ROUND(L106,0)+5000</f>
        <v>107000</v>
      </c>
      <c r="P106" s="209">
        <f t="shared" si="31"/>
        <v>5000</v>
      </c>
      <c r="Q106" s="41" t="s">
        <v>86</v>
      </c>
    </row>
    <row r="107" spans="1:17" ht="15" customHeight="1" thickBot="1" x14ac:dyDescent="0.3">
      <c r="C107" s="241"/>
      <c r="D107" s="242" t="s">
        <v>302</v>
      </c>
      <c r="E107" s="62">
        <v>50914202.609999999</v>
      </c>
      <c r="F107" s="62">
        <f t="shared" ref="F107" si="34">F7+F10+F13+F16+F19+F22+F34+F37+F41+F42+F88+F91</f>
        <v>51193467</v>
      </c>
      <c r="G107" s="243">
        <f t="shared" si="28"/>
        <v>279264.3900000006</v>
      </c>
      <c r="H107" s="63"/>
      <c r="I107" s="243">
        <f>I7+I10+I13+I16+I19+I22+I34+I37+I41+I42+I88+I91</f>
        <v>51761438</v>
      </c>
      <c r="J107" s="243">
        <f t="shared" si="29"/>
        <v>567971</v>
      </c>
      <c r="K107" s="64"/>
      <c r="L107" s="243">
        <f>L7+L10+L13+L16+L19+L22+L34+L37+L41+L42+L88+L91</f>
        <v>51844623</v>
      </c>
      <c r="M107" s="243">
        <f t="shared" si="30"/>
        <v>83185</v>
      </c>
      <c r="N107" s="64"/>
      <c r="O107" s="243">
        <f>O7+O10+O13+O16+O19+O22+O34+O37+O41+O42+O88+O91</f>
        <v>52574335</v>
      </c>
      <c r="P107" s="243">
        <f t="shared" si="31"/>
        <v>729712</v>
      </c>
      <c r="Q107" s="64"/>
    </row>
    <row r="108" spans="1:17" ht="15.75" thickBot="1" x14ac:dyDescent="0.3">
      <c r="C108" s="244" t="s">
        <v>303</v>
      </c>
      <c r="D108" s="245" t="s">
        <v>304</v>
      </c>
      <c r="E108" s="65">
        <v>9016614.0299999993</v>
      </c>
      <c r="F108" s="65">
        <f>SUM(F109:F110)</f>
        <v>9755067</v>
      </c>
      <c r="G108" s="246">
        <f t="shared" si="28"/>
        <v>738452.97000000067</v>
      </c>
      <c r="H108" s="66"/>
      <c r="I108" s="246">
        <f>SUM(I109:I110)</f>
        <v>9755067</v>
      </c>
      <c r="J108" s="246">
        <f t="shared" si="29"/>
        <v>0</v>
      </c>
      <c r="K108" s="67"/>
      <c r="L108" s="246">
        <f>SUM(L109:L110)</f>
        <v>9755067</v>
      </c>
      <c r="M108" s="246">
        <f t="shared" si="30"/>
        <v>0</v>
      </c>
      <c r="N108" s="67"/>
      <c r="O108" s="246">
        <f>SUM(O109:O110)</f>
        <v>9755067</v>
      </c>
      <c r="P108" s="246">
        <f t="shared" si="31"/>
        <v>0</v>
      </c>
      <c r="Q108" s="67"/>
    </row>
    <row r="109" spans="1:17" ht="14.45" customHeight="1" x14ac:dyDescent="0.25">
      <c r="C109" s="207" t="s">
        <v>305</v>
      </c>
      <c r="D109" s="208" t="s">
        <v>306</v>
      </c>
      <c r="E109" s="25">
        <v>2707710.83</v>
      </c>
      <c r="F109" s="25">
        <f>ROUND(E109,0)+104970+230-1+750-1034+19357+1832+41+1093+13000+168382+10621+3808+904+17685+76439+38150+31285</f>
        <v>3195223</v>
      </c>
      <c r="G109" s="209">
        <f t="shared" si="28"/>
        <v>487512.16999999993</v>
      </c>
      <c r="H109" s="40" t="s">
        <v>307</v>
      </c>
      <c r="I109" s="209">
        <f>ROUND(F109,0)</f>
        <v>3195223</v>
      </c>
      <c r="J109" s="209">
        <f t="shared" si="29"/>
        <v>0</v>
      </c>
      <c r="K109" s="41"/>
      <c r="L109" s="209">
        <f>ROUND(I109,0)</f>
        <v>3195223</v>
      </c>
      <c r="M109" s="209">
        <f t="shared" si="30"/>
        <v>0</v>
      </c>
      <c r="N109" s="41"/>
      <c r="O109" s="209">
        <f>ROUND(L109,0)</f>
        <v>3195223</v>
      </c>
      <c r="P109" s="209">
        <f t="shared" si="31"/>
        <v>0</v>
      </c>
      <c r="Q109" s="41"/>
    </row>
    <row r="110" spans="1:17" x14ac:dyDescent="0.25">
      <c r="C110" s="207" t="s">
        <v>308</v>
      </c>
      <c r="D110" s="208" t="s">
        <v>309</v>
      </c>
      <c r="E110" s="25">
        <v>6308903</v>
      </c>
      <c r="F110" s="25">
        <f>ROUND(E110,0)+3445956+208-F109</f>
        <v>6559844</v>
      </c>
      <c r="G110" s="209">
        <f t="shared" si="28"/>
        <v>250941</v>
      </c>
      <c r="H110" s="26"/>
      <c r="I110" s="209">
        <f>ROUND(F110,0)</f>
        <v>6559844</v>
      </c>
      <c r="J110" s="209">
        <f t="shared" si="29"/>
        <v>0</v>
      </c>
      <c r="K110" s="27"/>
      <c r="L110" s="209">
        <f>ROUND(I110,0)</f>
        <v>6559844</v>
      </c>
      <c r="M110" s="209">
        <f t="shared" si="30"/>
        <v>0</v>
      </c>
      <c r="N110" s="27"/>
      <c r="O110" s="209">
        <f>ROUND(L110,0)</f>
        <v>6559844</v>
      </c>
      <c r="P110" s="209">
        <f t="shared" si="31"/>
        <v>0</v>
      </c>
      <c r="Q110" s="27"/>
    </row>
    <row r="111" spans="1:17" x14ac:dyDescent="0.25">
      <c r="C111" s="218" t="s">
        <v>310</v>
      </c>
      <c r="D111" s="247" t="s">
        <v>311</v>
      </c>
      <c r="E111" s="68">
        <v>1873161</v>
      </c>
      <c r="F111" s="68">
        <f>SUM(F112:F123)</f>
        <v>1917782</v>
      </c>
      <c r="G111" s="212">
        <f t="shared" si="28"/>
        <v>44621</v>
      </c>
      <c r="H111" s="29"/>
      <c r="I111" s="248">
        <f>SUM(I112:I123)</f>
        <v>1941929</v>
      </c>
      <c r="J111" s="212">
        <f t="shared" si="29"/>
        <v>24147</v>
      </c>
      <c r="K111" s="30"/>
      <c r="L111" s="248">
        <f>SUM(L112:L123)</f>
        <v>1941929</v>
      </c>
      <c r="M111" s="212">
        <f t="shared" si="30"/>
        <v>0</v>
      </c>
      <c r="N111" s="30"/>
      <c r="O111" s="248">
        <f>SUM(O112:O123)</f>
        <v>1941929</v>
      </c>
      <c r="P111" s="212">
        <f t="shared" si="31"/>
        <v>0</v>
      </c>
      <c r="Q111" s="30"/>
    </row>
    <row r="112" spans="1:17" ht="30" hidden="1" outlineLevel="1" x14ac:dyDescent="0.25">
      <c r="A112" s="231"/>
      <c r="B112" s="231"/>
      <c r="C112" s="239" t="s">
        <v>312</v>
      </c>
      <c r="D112" s="249" t="s">
        <v>234</v>
      </c>
      <c r="E112" s="25">
        <v>0</v>
      </c>
      <c r="F112" s="25">
        <f t="shared" ref="F112:F123" si="35">ROUND(E112,0)</f>
        <v>0</v>
      </c>
      <c r="G112" s="250">
        <f t="shared" si="28"/>
        <v>0</v>
      </c>
      <c r="H112" s="35"/>
      <c r="I112" s="209">
        <f t="shared" ref="I112:I123" si="36">ROUND(F112,0)</f>
        <v>0</v>
      </c>
      <c r="J112" s="250">
        <f t="shared" si="29"/>
        <v>0</v>
      </c>
      <c r="K112" s="36"/>
      <c r="L112" s="209">
        <f t="shared" ref="L112:L123" si="37">ROUND(I112,0)</f>
        <v>0</v>
      </c>
      <c r="M112" s="250">
        <f t="shared" si="30"/>
        <v>0</v>
      </c>
      <c r="N112" s="36"/>
      <c r="O112" s="209">
        <f t="shared" ref="O112:O121" si="38">ROUND(L112,0)</f>
        <v>0</v>
      </c>
      <c r="P112" s="250">
        <f t="shared" si="31"/>
        <v>0</v>
      </c>
      <c r="Q112" s="36"/>
    </row>
    <row r="113" spans="1:17" hidden="1" outlineLevel="1" x14ac:dyDescent="0.25">
      <c r="A113" s="231"/>
      <c r="B113" s="231"/>
      <c r="C113" s="239" t="s">
        <v>313</v>
      </c>
      <c r="D113" s="249" t="s">
        <v>236</v>
      </c>
      <c r="E113" s="25">
        <v>0</v>
      </c>
      <c r="F113" s="25">
        <f t="shared" si="35"/>
        <v>0</v>
      </c>
      <c r="G113" s="250">
        <f t="shared" si="28"/>
        <v>0</v>
      </c>
      <c r="H113" s="35"/>
      <c r="I113" s="209">
        <f t="shared" si="36"/>
        <v>0</v>
      </c>
      <c r="J113" s="250">
        <f t="shared" si="29"/>
        <v>0</v>
      </c>
      <c r="K113" s="36"/>
      <c r="L113" s="209">
        <f t="shared" si="37"/>
        <v>0</v>
      </c>
      <c r="M113" s="250">
        <f t="shared" si="30"/>
        <v>0</v>
      </c>
      <c r="N113" s="36"/>
      <c r="O113" s="209">
        <f t="shared" si="38"/>
        <v>0</v>
      </c>
      <c r="P113" s="250">
        <f t="shared" si="31"/>
        <v>0</v>
      </c>
      <c r="Q113" s="36"/>
    </row>
    <row r="114" spans="1:17" ht="26.45" customHeight="1" collapsed="1" x14ac:dyDescent="0.25">
      <c r="A114" s="231" t="s">
        <v>314</v>
      </c>
      <c r="B114" s="231"/>
      <c r="C114" s="239" t="s">
        <v>312</v>
      </c>
      <c r="D114" s="249" t="s">
        <v>315</v>
      </c>
      <c r="E114" s="25">
        <v>541742</v>
      </c>
      <c r="F114" s="25">
        <f t="shared" si="35"/>
        <v>541742</v>
      </c>
      <c r="G114" s="250">
        <f t="shared" si="28"/>
        <v>0</v>
      </c>
      <c r="H114" s="35"/>
      <c r="I114" s="209">
        <f t="shared" si="36"/>
        <v>541742</v>
      </c>
      <c r="J114" s="250">
        <f t="shared" si="29"/>
        <v>0</v>
      </c>
      <c r="K114" s="36"/>
      <c r="L114" s="209">
        <f t="shared" si="37"/>
        <v>541742</v>
      </c>
      <c r="M114" s="250">
        <f t="shared" si="30"/>
        <v>0</v>
      </c>
      <c r="N114" s="36"/>
      <c r="O114" s="209">
        <f t="shared" si="38"/>
        <v>541742</v>
      </c>
      <c r="P114" s="250">
        <f t="shared" si="31"/>
        <v>0</v>
      </c>
      <c r="Q114" s="36"/>
    </row>
    <row r="115" spans="1:17" ht="30" x14ac:dyDescent="0.25">
      <c r="A115" s="231" t="s">
        <v>192</v>
      </c>
      <c r="B115" s="231" t="s">
        <v>316</v>
      </c>
      <c r="C115" s="239" t="s">
        <v>313</v>
      </c>
      <c r="D115" s="251" t="s">
        <v>317</v>
      </c>
      <c r="E115" s="25">
        <v>353405</v>
      </c>
      <c r="F115" s="25">
        <f>ROUND(E115,0)-3420</f>
        <v>349985</v>
      </c>
      <c r="G115" s="250">
        <f t="shared" si="28"/>
        <v>-3420</v>
      </c>
      <c r="H115" s="36" t="s">
        <v>318</v>
      </c>
      <c r="I115" s="209">
        <f t="shared" si="36"/>
        <v>349985</v>
      </c>
      <c r="J115" s="250">
        <f t="shared" si="29"/>
        <v>0</v>
      </c>
      <c r="K115" s="34"/>
      <c r="L115" s="209">
        <f t="shared" si="37"/>
        <v>349985</v>
      </c>
      <c r="M115" s="250">
        <f t="shared" si="30"/>
        <v>0</v>
      </c>
      <c r="N115" s="34"/>
      <c r="O115" s="209">
        <f t="shared" si="38"/>
        <v>349985</v>
      </c>
      <c r="P115" s="250">
        <f t="shared" si="31"/>
        <v>0</v>
      </c>
      <c r="Q115" s="34"/>
    </row>
    <row r="116" spans="1:17" ht="16.899999999999999" hidden="1" customHeight="1" outlineLevel="1" x14ac:dyDescent="0.25">
      <c r="A116" s="231"/>
      <c r="B116" s="231"/>
      <c r="C116" s="239" t="s">
        <v>319</v>
      </c>
      <c r="D116" s="251"/>
      <c r="E116" s="25">
        <v>0</v>
      </c>
      <c r="F116" s="25">
        <f t="shared" si="35"/>
        <v>0</v>
      </c>
      <c r="G116" s="250">
        <f t="shared" si="28"/>
        <v>0</v>
      </c>
      <c r="H116" s="33"/>
      <c r="I116" s="209">
        <f t="shared" si="36"/>
        <v>0</v>
      </c>
      <c r="J116" s="250">
        <f t="shared" si="29"/>
        <v>0</v>
      </c>
      <c r="K116" s="34"/>
      <c r="L116" s="209">
        <f t="shared" si="37"/>
        <v>0</v>
      </c>
      <c r="M116" s="250">
        <f t="shared" si="30"/>
        <v>0</v>
      </c>
      <c r="N116" s="34"/>
      <c r="O116" s="209">
        <f t="shared" si="38"/>
        <v>0</v>
      </c>
      <c r="P116" s="250">
        <f t="shared" si="31"/>
        <v>0</v>
      </c>
      <c r="Q116" s="34"/>
    </row>
    <row r="117" spans="1:17" hidden="1" outlineLevel="1" x14ac:dyDescent="0.25">
      <c r="B117" s="231"/>
      <c r="C117" s="239" t="s">
        <v>320</v>
      </c>
      <c r="D117" s="252" t="s">
        <v>321</v>
      </c>
      <c r="E117" s="69">
        <v>0</v>
      </c>
      <c r="F117" s="69">
        <f t="shared" si="35"/>
        <v>0</v>
      </c>
      <c r="G117" s="253">
        <f t="shared" si="28"/>
        <v>0</v>
      </c>
      <c r="H117" s="70"/>
      <c r="I117" s="254">
        <f>ROUND(F117,0)</f>
        <v>0</v>
      </c>
      <c r="J117" s="253">
        <f t="shared" si="29"/>
        <v>0</v>
      </c>
      <c r="K117" s="36"/>
      <c r="L117" s="254">
        <f t="shared" si="37"/>
        <v>0</v>
      </c>
      <c r="M117" s="253">
        <f t="shared" si="30"/>
        <v>0</v>
      </c>
      <c r="N117" s="36"/>
      <c r="O117" s="254">
        <f t="shared" si="38"/>
        <v>0</v>
      </c>
      <c r="P117" s="253">
        <f t="shared" si="31"/>
        <v>0</v>
      </c>
      <c r="Q117" s="36"/>
    </row>
    <row r="118" spans="1:17" ht="45" customHeight="1" collapsed="1" x14ac:dyDescent="0.25">
      <c r="A118" s="231" t="s">
        <v>322</v>
      </c>
      <c r="B118" s="231"/>
      <c r="C118" s="239" t="s">
        <v>323</v>
      </c>
      <c r="D118" s="255" t="s">
        <v>324</v>
      </c>
      <c r="E118" s="71">
        <v>30982</v>
      </c>
      <c r="F118" s="69">
        <f>ROUND(E118,0)+48041</f>
        <v>79023</v>
      </c>
      <c r="G118" s="253">
        <f t="shared" si="28"/>
        <v>48041</v>
      </c>
      <c r="H118" s="72" t="s">
        <v>325</v>
      </c>
      <c r="I118" s="254">
        <f t="shared" si="36"/>
        <v>79023</v>
      </c>
      <c r="J118" s="253">
        <f t="shared" si="29"/>
        <v>0</v>
      </c>
      <c r="K118" s="36"/>
      <c r="L118" s="254">
        <f t="shared" si="37"/>
        <v>79023</v>
      </c>
      <c r="M118" s="253">
        <f t="shared" si="30"/>
        <v>0</v>
      </c>
      <c r="N118" s="34"/>
      <c r="O118" s="254">
        <f t="shared" si="38"/>
        <v>79023</v>
      </c>
      <c r="P118" s="253">
        <f t="shared" si="31"/>
        <v>0</v>
      </c>
      <c r="Q118" s="34"/>
    </row>
    <row r="119" spans="1:17" ht="58.9" customHeight="1" x14ac:dyDescent="0.25">
      <c r="A119" s="231" t="s">
        <v>322</v>
      </c>
      <c r="B119" s="231"/>
      <c r="C119" s="239" t="s">
        <v>326</v>
      </c>
      <c r="D119" s="256" t="s">
        <v>327</v>
      </c>
      <c r="E119" s="74">
        <v>783000</v>
      </c>
      <c r="F119" s="75">
        <f t="shared" si="35"/>
        <v>783000</v>
      </c>
      <c r="G119" s="253">
        <f t="shared" si="28"/>
        <v>0</v>
      </c>
      <c r="H119" s="33"/>
      <c r="I119" s="254">
        <f t="shared" si="36"/>
        <v>783000</v>
      </c>
      <c r="J119" s="253">
        <f t="shared" si="29"/>
        <v>0</v>
      </c>
      <c r="K119" s="36"/>
      <c r="L119" s="254">
        <f t="shared" si="37"/>
        <v>783000</v>
      </c>
      <c r="M119" s="253">
        <f t="shared" si="30"/>
        <v>0</v>
      </c>
      <c r="N119" s="34"/>
      <c r="O119" s="254">
        <f t="shared" si="38"/>
        <v>783000</v>
      </c>
      <c r="P119" s="253">
        <f t="shared" si="31"/>
        <v>0</v>
      </c>
      <c r="Q119" s="34"/>
    </row>
    <row r="120" spans="1:17" ht="16.149999999999999" customHeight="1" x14ac:dyDescent="0.25">
      <c r="B120" s="231" t="s">
        <v>239</v>
      </c>
      <c r="C120" s="239" t="s">
        <v>319</v>
      </c>
      <c r="D120" s="256" t="s">
        <v>241</v>
      </c>
      <c r="E120" s="74">
        <v>164032</v>
      </c>
      <c r="F120" s="75">
        <f t="shared" si="35"/>
        <v>164032</v>
      </c>
      <c r="G120" s="209">
        <f t="shared" si="28"/>
        <v>0</v>
      </c>
      <c r="H120" s="76"/>
      <c r="I120" s="254">
        <f>ROUND(F120,0)+24147</f>
        <v>188179</v>
      </c>
      <c r="J120" s="257">
        <f t="shared" si="29"/>
        <v>24147</v>
      </c>
      <c r="K120" s="36" t="s">
        <v>242</v>
      </c>
      <c r="L120" s="258">
        <f t="shared" si="37"/>
        <v>188179</v>
      </c>
      <c r="M120" s="257">
        <f t="shared" si="30"/>
        <v>0</v>
      </c>
      <c r="N120" s="59"/>
      <c r="O120" s="254">
        <f t="shared" si="38"/>
        <v>188179</v>
      </c>
      <c r="P120" s="257">
        <f t="shared" si="31"/>
        <v>0</v>
      </c>
      <c r="Q120" s="34"/>
    </row>
    <row r="121" spans="1:17" ht="18.600000000000001" hidden="1" customHeight="1" outlineLevel="1" x14ac:dyDescent="0.25">
      <c r="B121" s="231"/>
      <c r="C121" s="239" t="s">
        <v>328</v>
      </c>
      <c r="D121" s="259" t="s">
        <v>329</v>
      </c>
      <c r="E121" s="73">
        <v>0</v>
      </c>
      <c r="F121" s="77">
        <f t="shared" si="35"/>
        <v>0</v>
      </c>
      <c r="G121" s="260">
        <f t="shared" si="28"/>
        <v>0</v>
      </c>
      <c r="H121" s="70"/>
      <c r="I121" s="254">
        <f t="shared" si="36"/>
        <v>0</v>
      </c>
      <c r="J121" s="253">
        <f t="shared" si="29"/>
        <v>0</v>
      </c>
      <c r="K121" s="36"/>
      <c r="L121" s="254">
        <f t="shared" si="37"/>
        <v>0</v>
      </c>
      <c r="M121" s="253">
        <f t="shared" si="30"/>
        <v>0</v>
      </c>
      <c r="N121" s="78"/>
      <c r="O121" s="254">
        <f t="shared" si="38"/>
        <v>0</v>
      </c>
      <c r="P121" s="253">
        <f t="shared" si="31"/>
        <v>0</v>
      </c>
      <c r="Q121" s="34"/>
    </row>
    <row r="122" spans="1:17" ht="27.6" hidden="1" customHeight="1" outlineLevel="1" x14ac:dyDescent="0.25">
      <c r="B122" s="231"/>
      <c r="C122" s="261" t="s">
        <v>330</v>
      </c>
      <c r="D122" s="262" t="s">
        <v>331</v>
      </c>
      <c r="E122" s="73">
        <v>0</v>
      </c>
      <c r="F122" s="69">
        <f t="shared" si="35"/>
        <v>0</v>
      </c>
      <c r="G122" s="253">
        <f t="shared" si="28"/>
        <v>0</v>
      </c>
      <c r="H122" s="70"/>
      <c r="I122" s="254">
        <f t="shared" si="36"/>
        <v>0</v>
      </c>
      <c r="J122" s="253">
        <f t="shared" si="29"/>
        <v>0</v>
      </c>
      <c r="K122" s="36"/>
      <c r="L122" s="254"/>
      <c r="M122" s="253"/>
      <c r="N122" s="79"/>
      <c r="O122" s="254">
        <f>ROUND(L122,0)</f>
        <v>0</v>
      </c>
      <c r="P122" s="253">
        <f t="shared" si="31"/>
        <v>0</v>
      </c>
      <c r="Q122" s="34"/>
    </row>
    <row r="123" spans="1:17" ht="28.9" hidden="1" customHeight="1" outlineLevel="1" thickBot="1" x14ac:dyDescent="0.3">
      <c r="B123" s="231"/>
      <c r="C123" s="239" t="s">
        <v>332</v>
      </c>
      <c r="D123" s="263" t="s">
        <v>333</v>
      </c>
      <c r="E123" s="69">
        <v>0</v>
      </c>
      <c r="F123" s="69">
        <f t="shared" si="35"/>
        <v>0</v>
      </c>
      <c r="G123" s="253">
        <f t="shared" si="28"/>
        <v>0</v>
      </c>
      <c r="H123" s="70"/>
      <c r="I123" s="254">
        <f t="shared" si="36"/>
        <v>0</v>
      </c>
      <c r="J123" s="253">
        <f t="shared" si="29"/>
        <v>0</v>
      </c>
      <c r="K123" s="36"/>
      <c r="L123" s="254">
        <f t="shared" si="37"/>
        <v>0</v>
      </c>
      <c r="M123" s="253">
        <f t="shared" si="30"/>
        <v>0</v>
      </c>
      <c r="N123" s="27"/>
      <c r="O123" s="254">
        <f>ROUND(L123,0)</f>
        <v>0</v>
      </c>
      <c r="P123" s="253">
        <f t="shared" si="31"/>
        <v>0</v>
      </c>
      <c r="Q123" s="34"/>
    </row>
    <row r="124" spans="1:17" ht="15.75" collapsed="1" thickBot="1" x14ac:dyDescent="0.3">
      <c r="C124" s="264"/>
      <c r="D124" s="265" t="s">
        <v>334</v>
      </c>
      <c r="E124" s="65">
        <v>61803977.640000001</v>
      </c>
      <c r="F124" s="65">
        <f t="shared" ref="F124" si="39">F107+F108+F111</f>
        <v>62866316</v>
      </c>
      <c r="G124" s="246">
        <f t="shared" si="28"/>
        <v>1062338.3599999994</v>
      </c>
      <c r="H124" s="80"/>
      <c r="I124" s="246">
        <f>I107+I108+I111</f>
        <v>63458434</v>
      </c>
      <c r="J124" s="246">
        <f t="shared" si="29"/>
        <v>592118</v>
      </c>
      <c r="K124" s="81"/>
      <c r="L124" s="246">
        <f>L107+L108+L111</f>
        <v>63541619</v>
      </c>
      <c r="M124" s="246">
        <f t="shared" si="30"/>
        <v>83185</v>
      </c>
      <c r="N124" s="81"/>
      <c r="O124" s="246">
        <f>O107+O108+O111</f>
        <v>64271331</v>
      </c>
      <c r="P124" s="246">
        <f t="shared" si="31"/>
        <v>729712</v>
      </c>
      <c r="Q124" s="81"/>
    </row>
    <row r="126" spans="1:17" x14ac:dyDescent="0.25">
      <c r="G126" s="196"/>
      <c r="I126" s="196"/>
      <c r="J126" s="196"/>
      <c r="L126" s="196"/>
      <c r="M126" s="196"/>
      <c r="O126" s="196"/>
      <c r="P126" s="196"/>
    </row>
    <row r="127" spans="1:17" ht="20.25" x14ac:dyDescent="0.3">
      <c r="C127" s="373" t="s">
        <v>335</v>
      </c>
      <c r="D127" s="373"/>
      <c r="G127" s="196"/>
      <c r="I127" s="196"/>
      <c r="J127" s="196"/>
      <c r="L127" s="196"/>
      <c r="M127" s="196"/>
      <c r="O127" s="196"/>
      <c r="P127" s="196"/>
    </row>
    <row r="128" spans="1:17" ht="15.75" thickBot="1" x14ac:dyDescent="0.3">
      <c r="C128" s="374"/>
      <c r="D128" s="374"/>
      <c r="G128" s="82"/>
      <c r="I128" s="82"/>
      <c r="J128" s="82"/>
      <c r="L128" s="82"/>
      <c r="M128" s="82"/>
      <c r="O128" s="82"/>
      <c r="P128" s="82"/>
    </row>
    <row r="129" spans="2:17" ht="57" customHeight="1" thickBot="1" x14ac:dyDescent="0.3">
      <c r="C129" s="198" t="s">
        <v>4</v>
      </c>
      <c r="D129" s="199" t="s">
        <v>5</v>
      </c>
      <c r="E129" s="16" t="s">
        <v>7</v>
      </c>
      <c r="F129" s="16" t="s">
        <v>8</v>
      </c>
      <c r="G129" s="15" t="s">
        <v>336</v>
      </c>
      <c r="H129" s="17" t="s">
        <v>337</v>
      </c>
      <c r="I129" s="15" t="s">
        <v>11</v>
      </c>
      <c r="J129" s="15" t="s">
        <v>338</v>
      </c>
      <c r="K129" s="18" t="s">
        <v>337</v>
      </c>
      <c r="L129" s="15" t="s">
        <v>13</v>
      </c>
      <c r="M129" s="15" t="s">
        <v>14</v>
      </c>
      <c r="N129" s="18" t="s">
        <v>337</v>
      </c>
      <c r="O129" s="15" t="s">
        <v>15</v>
      </c>
      <c r="P129" s="15" t="s">
        <v>16</v>
      </c>
      <c r="Q129" s="18" t="s">
        <v>337</v>
      </c>
    </row>
    <row r="130" spans="2:17" x14ac:dyDescent="0.25">
      <c r="C130" s="267" t="s">
        <v>20</v>
      </c>
      <c r="D130" s="268" t="s">
        <v>339</v>
      </c>
      <c r="E130" s="83">
        <v>11584924</v>
      </c>
      <c r="F130" s="83">
        <f t="shared" ref="F130" si="40">SUM(F131:F139)</f>
        <v>11593156</v>
      </c>
      <c r="G130" s="269">
        <f t="shared" ref="G130:G193" si="41">F130-E130</f>
        <v>8232</v>
      </c>
      <c r="H130" s="84"/>
      <c r="I130" s="269">
        <f>SUM(I131:I139)</f>
        <v>11675168</v>
      </c>
      <c r="J130" s="269">
        <f t="shared" ref="J130:J200" si="42">I130-F130</f>
        <v>82012</v>
      </c>
      <c r="K130" s="85"/>
      <c r="L130" s="269">
        <f>SUM(L131:L139)</f>
        <v>11718990</v>
      </c>
      <c r="M130" s="269">
        <f t="shared" ref="M130:M200" si="43">L130-I130</f>
        <v>43822</v>
      </c>
      <c r="N130" s="85"/>
      <c r="O130" s="269">
        <f>SUM(O131:O139)</f>
        <v>11668303</v>
      </c>
      <c r="P130" s="269">
        <f t="shared" ref="P130:P200" si="44">O130-L130</f>
        <v>-50687</v>
      </c>
      <c r="Q130" s="85"/>
    </row>
    <row r="131" spans="2:17" ht="31.5" customHeight="1" x14ac:dyDescent="0.25">
      <c r="B131" s="231" t="s">
        <v>340</v>
      </c>
      <c r="C131" s="270" t="s">
        <v>24</v>
      </c>
      <c r="D131" s="271" t="s">
        <v>341</v>
      </c>
      <c r="E131" s="54">
        <v>1983487</v>
      </c>
      <c r="F131" s="54">
        <f>ROUND(E131,0)</f>
        <v>1983487</v>
      </c>
      <c r="G131" s="234">
        <f t="shared" si="41"/>
        <v>0</v>
      </c>
      <c r="H131" s="55"/>
      <c r="I131" s="234">
        <f>ROUND(F131,0)</f>
        <v>1983487</v>
      </c>
      <c r="J131" s="234">
        <f t="shared" si="42"/>
        <v>0</v>
      </c>
      <c r="K131" s="56"/>
      <c r="L131" s="234">
        <f t="shared" ref="L131:L142" si="45">ROUND(I131,0)</f>
        <v>1983487</v>
      </c>
      <c r="M131" s="234">
        <f t="shared" si="43"/>
        <v>0</v>
      </c>
      <c r="N131" s="56"/>
      <c r="O131" s="234">
        <f t="shared" ref="O131:O141" si="46">ROUND(L131,0)</f>
        <v>1983487</v>
      </c>
      <c r="P131" s="234">
        <f t="shared" si="44"/>
        <v>0</v>
      </c>
      <c r="Q131" s="56"/>
    </row>
    <row r="132" spans="2:17" x14ac:dyDescent="0.25">
      <c r="B132" s="231" t="s">
        <v>342</v>
      </c>
      <c r="C132" s="270" t="s">
        <v>343</v>
      </c>
      <c r="D132" s="271" t="s">
        <v>344</v>
      </c>
      <c r="E132" s="54">
        <v>376850</v>
      </c>
      <c r="F132" s="54">
        <f t="shared" ref="F132:F141" si="47">ROUND(E132,0)</f>
        <v>376850</v>
      </c>
      <c r="G132" s="234">
        <f t="shared" si="41"/>
        <v>0</v>
      </c>
      <c r="H132" s="86"/>
      <c r="I132" s="234">
        <f t="shared" ref="I132:I137" si="48">ROUND(F132,0)</f>
        <v>376850</v>
      </c>
      <c r="J132" s="234">
        <f t="shared" si="42"/>
        <v>0</v>
      </c>
      <c r="K132" s="87"/>
      <c r="L132" s="234">
        <f t="shared" si="45"/>
        <v>376850</v>
      </c>
      <c r="M132" s="234">
        <f t="shared" si="43"/>
        <v>0</v>
      </c>
      <c r="N132" s="87"/>
      <c r="O132" s="234">
        <f t="shared" si="46"/>
        <v>376850</v>
      </c>
      <c r="P132" s="234">
        <f t="shared" si="44"/>
        <v>0</v>
      </c>
      <c r="Q132" s="87"/>
    </row>
    <row r="133" spans="2:17" ht="13.15" customHeight="1" x14ac:dyDescent="0.25">
      <c r="B133" s="231" t="s">
        <v>345</v>
      </c>
      <c r="C133" s="270" t="s">
        <v>346</v>
      </c>
      <c r="D133" s="271" t="s">
        <v>347</v>
      </c>
      <c r="E133" s="54">
        <v>62512</v>
      </c>
      <c r="F133" s="54">
        <f>ROUND(E133,0)</f>
        <v>62512</v>
      </c>
      <c r="G133" s="234">
        <f t="shared" si="41"/>
        <v>0</v>
      </c>
      <c r="H133" s="55"/>
      <c r="I133" s="234">
        <f t="shared" si="48"/>
        <v>62512</v>
      </c>
      <c r="J133" s="234">
        <f t="shared" si="42"/>
        <v>0</v>
      </c>
      <c r="K133" s="56"/>
      <c r="L133" s="234">
        <f t="shared" si="45"/>
        <v>62512</v>
      </c>
      <c r="M133" s="234">
        <f t="shared" si="43"/>
        <v>0</v>
      </c>
      <c r="N133" s="56"/>
      <c r="O133" s="234">
        <f t="shared" si="46"/>
        <v>62512</v>
      </c>
      <c r="P133" s="234">
        <f t="shared" si="44"/>
        <v>0</v>
      </c>
      <c r="Q133" s="56"/>
    </row>
    <row r="134" spans="2:17" ht="14.45" customHeight="1" x14ac:dyDescent="0.25">
      <c r="B134" s="231" t="s">
        <v>348</v>
      </c>
      <c r="C134" s="270" t="s">
        <v>349</v>
      </c>
      <c r="D134" s="271" t="s">
        <v>350</v>
      </c>
      <c r="E134" s="54">
        <v>45277</v>
      </c>
      <c r="F134" s="54">
        <f t="shared" si="47"/>
        <v>45277</v>
      </c>
      <c r="G134" s="234">
        <f t="shared" si="41"/>
        <v>0</v>
      </c>
      <c r="H134" s="55"/>
      <c r="I134" s="234">
        <f t="shared" si="48"/>
        <v>45277</v>
      </c>
      <c r="J134" s="234">
        <f t="shared" si="42"/>
        <v>0</v>
      </c>
      <c r="K134" s="56"/>
      <c r="L134" s="234">
        <f t="shared" si="45"/>
        <v>45277</v>
      </c>
      <c r="M134" s="234">
        <f t="shared" si="43"/>
        <v>0</v>
      </c>
      <c r="N134" s="56"/>
      <c r="O134" s="234">
        <f t="shared" si="46"/>
        <v>45277</v>
      </c>
      <c r="P134" s="234">
        <f t="shared" si="44"/>
        <v>0</v>
      </c>
      <c r="Q134" s="56"/>
    </row>
    <row r="135" spans="2:17" ht="15.6" customHeight="1" x14ac:dyDescent="0.25">
      <c r="B135" s="231" t="s">
        <v>351</v>
      </c>
      <c r="C135" s="270" t="s">
        <v>352</v>
      </c>
      <c r="D135" s="271" t="s">
        <v>353</v>
      </c>
      <c r="E135" s="54">
        <v>8040</v>
      </c>
      <c r="F135" s="54">
        <f>ROUND(E135,0)+8232</f>
        <v>16272</v>
      </c>
      <c r="G135" s="234">
        <f t="shared" si="41"/>
        <v>8232</v>
      </c>
      <c r="H135" s="53" t="s">
        <v>188</v>
      </c>
      <c r="I135" s="234">
        <f t="shared" si="48"/>
        <v>16272</v>
      </c>
      <c r="J135" s="234">
        <f t="shared" si="42"/>
        <v>0</v>
      </c>
      <c r="K135" s="87"/>
      <c r="L135" s="234">
        <f>ROUND(I135,0)+50781</f>
        <v>67053</v>
      </c>
      <c r="M135" s="234">
        <f t="shared" si="43"/>
        <v>50781</v>
      </c>
      <c r="N135" s="87" t="s">
        <v>189</v>
      </c>
      <c r="O135" s="234">
        <f t="shared" si="46"/>
        <v>67053</v>
      </c>
      <c r="P135" s="234">
        <f t="shared" si="44"/>
        <v>0</v>
      </c>
      <c r="Q135" s="87"/>
    </row>
    <row r="136" spans="2:17" ht="14.45" customHeight="1" x14ac:dyDescent="0.25">
      <c r="B136" s="231" t="s">
        <v>354</v>
      </c>
      <c r="C136" s="270" t="s">
        <v>355</v>
      </c>
      <c r="D136" s="271" t="s">
        <v>356</v>
      </c>
      <c r="E136" s="54">
        <v>53045</v>
      </c>
      <c r="F136" s="54">
        <f t="shared" si="47"/>
        <v>53045</v>
      </c>
      <c r="G136" s="234">
        <f t="shared" si="41"/>
        <v>0</v>
      </c>
      <c r="H136" s="86"/>
      <c r="I136" s="234">
        <f>ROUND(F136,0)</f>
        <v>53045</v>
      </c>
      <c r="J136" s="234">
        <f t="shared" si="42"/>
        <v>0</v>
      </c>
      <c r="K136" s="87"/>
      <c r="L136" s="234">
        <f t="shared" si="45"/>
        <v>53045</v>
      </c>
      <c r="M136" s="234">
        <f t="shared" si="43"/>
        <v>0</v>
      </c>
      <c r="N136" s="87"/>
      <c r="O136" s="234">
        <f t="shared" si="46"/>
        <v>53045</v>
      </c>
      <c r="P136" s="234">
        <f t="shared" si="44"/>
        <v>0</v>
      </c>
      <c r="Q136" s="87"/>
    </row>
    <row r="137" spans="2:17" ht="48.6" customHeight="1" x14ac:dyDescent="0.25">
      <c r="B137" s="231" t="s">
        <v>340</v>
      </c>
      <c r="C137" s="270" t="s">
        <v>357</v>
      </c>
      <c r="D137" s="271" t="s">
        <v>358</v>
      </c>
      <c r="E137" s="54">
        <v>2229302</v>
      </c>
      <c r="F137" s="54">
        <f t="shared" si="47"/>
        <v>2229302</v>
      </c>
      <c r="G137" s="234">
        <f t="shared" si="41"/>
        <v>0</v>
      </c>
      <c r="H137" s="55"/>
      <c r="I137" s="234">
        <f t="shared" si="48"/>
        <v>2229302</v>
      </c>
      <c r="J137" s="234">
        <f t="shared" si="42"/>
        <v>0</v>
      </c>
      <c r="K137" s="56"/>
      <c r="L137" s="234">
        <f t="shared" si="45"/>
        <v>2229302</v>
      </c>
      <c r="M137" s="234">
        <f t="shared" si="43"/>
        <v>0</v>
      </c>
      <c r="N137" s="56"/>
      <c r="O137" s="234">
        <f>ROUND(L137,0)-50687</f>
        <v>2178615</v>
      </c>
      <c r="P137" s="234">
        <f t="shared" si="44"/>
        <v>-50687</v>
      </c>
      <c r="Q137" s="56" t="s">
        <v>1154</v>
      </c>
    </row>
    <row r="138" spans="2:17" ht="13.9" customHeight="1" x14ac:dyDescent="0.25">
      <c r="B138" s="231" t="s">
        <v>340</v>
      </c>
      <c r="C138" s="270" t="s">
        <v>359</v>
      </c>
      <c r="D138" s="271" t="s">
        <v>360</v>
      </c>
      <c r="E138" s="54">
        <v>6416104</v>
      </c>
      <c r="F138" s="54">
        <f t="shared" si="47"/>
        <v>6416104</v>
      </c>
      <c r="G138" s="234">
        <f t="shared" si="41"/>
        <v>0</v>
      </c>
      <c r="H138" s="86"/>
      <c r="I138" s="234">
        <f>ROUND(F138,0)+61071+20941</f>
        <v>6498116</v>
      </c>
      <c r="J138" s="234">
        <f t="shared" si="42"/>
        <v>82012</v>
      </c>
      <c r="K138" s="56" t="s">
        <v>361</v>
      </c>
      <c r="L138" s="234">
        <f t="shared" si="45"/>
        <v>6498116</v>
      </c>
      <c r="M138" s="234">
        <f t="shared" si="43"/>
        <v>0</v>
      </c>
      <c r="N138" s="87"/>
      <c r="O138" s="234">
        <f t="shared" si="46"/>
        <v>6498116</v>
      </c>
      <c r="P138" s="234">
        <f t="shared" si="44"/>
        <v>0</v>
      </c>
      <c r="Q138" s="87"/>
    </row>
    <row r="139" spans="2:17" ht="42.6" customHeight="1" x14ac:dyDescent="0.25">
      <c r="B139" s="231" t="s">
        <v>362</v>
      </c>
      <c r="C139" s="270" t="s">
        <v>363</v>
      </c>
      <c r="D139" s="271" t="s">
        <v>364</v>
      </c>
      <c r="E139" s="54">
        <v>410307</v>
      </c>
      <c r="F139" s="54">
        <f>ROUND(E139,0)</f>
        <v>410307</v>
      </c>
      <c r="G139" s="234">
        <f t="shared" si="41"/>
        <v>0</v>
      </c>
      <c r="H139" s="55"/>
      <c r="I139" s="234">
        <f>ROUND(F139,0)</f>
        <v>410307</v>
      </c>
      <c r="J139" s="234">
        <f t="shared" si="42"/>
        <v>0</v>
      </c>
      <c r="K139" s="56"/>
      <c r="L139" s="234">
        <f>ROUND(I139,0)-6959</f>
        <v>403348</v>
      </c>
      <c r="M139" s="234">
        <f t="shared" si="43"/>
        <v>-6959</v>
      </c>
      <c r="N139" s="56" t="s">
        <v>365</v>
      </c>
      <c r="O139" s="234">
        <f t="shared" si="46"/>
        <v>403348</v>
      </c>
      <c r="P139" s="234">
        <f t="shared" si="44"/>
        <v>0</v>
      </c>
      <c r="Q139" s="56"/>
    </row>
    <row r="140" spans="2:17" x14ac:dyDescent="0.25">
      <c r="C140" s="272" t="s">
        <v>30</v>
      </c>
      <c r="D140" s="273" t="s">
        <v>366</v>
      </c>
      <c r="E140" s="28">
        <v>0</v>
      </c>
      <c r="F140" s="28">
        <f t="shared" si="47"/>
        <v>0</v>
      </c>
      <c r="G140" s="212">
        <f t="shared" si="41"/>
        <v>0</v>
      </c>
      <c r="H140" s="29"/>
      <c r="I140" s="212">
        <f>ROUND(F140,0)</f>
        <v>0</v>
      </c>
      <c r="J140" s="212">
        <f t="shared" si="42"/>
        <v>0</v>
      </c>
      <c r="K140" s="30"/>
      <c r="L140" s="212">
        <f t="shared" si="45"/>
        <v>0</v>
      </c>
      <c r="M140" s="212">
        <f t="shared" si="43"/>
        <v>0</v>
      </c>
      <c r="N140" s="30"/>
      <c r="O140" s="212">
        <f t="shared" si="46"/>
        <v>0</v>
      </c>
      <c r="P140" s="212">
        <f t="shared" si="44"/>
        <v>0</v>
      </c>
      <c r="Q140" s="30"/>
    </row>
    <row r="141" spans="2:17" ht="13.9" customHeight="1" x14ac:dyDescent="0.25">
      <c r="B141" s="231" t="s">
        <v>367</v>
      </c>
      <c r="C141" s="270" t="s">
        <v>33</v>
      </c>
      <c r="D141" s="271" t="s">
        <v>368</v>
      </c>
      <c r="E141" s="54">
        <v>0</v>
      </c>
      <c r="F141" s="54">
        <f t="shared" si="47"/>
        <v>0</v>
      </c>
      <c r="G141" s="234">
        <f t="shared" si="41"/>
        <v>0</v>
      </c>
      <c r="H141" s="86"/>
      <c r="I141" s="234">
        <f>ROUND(F141,0)</f>
        <v>0</v>
      </c>
      <c r="J141" s="234">
        <f t="shared" si="42"/>
        <v>0</v>
      </c>
      <c r="K141" s="87"/>
      <c r="L141" s="234">
        <f t="shared" si="45"/>
        <v>0</v>
      </c>
      <c r="M141" s="234">
        <f t="shared" si="43"/>
        <v>0</v>
      </c>
      <c r="N141" s="87"/>
      <c r="O141" s="234">
        <f t="shared" si="46"/>
        <v>0</v>
      </c>
      <c r="P141" s="234">
        <f t="shared" si="44"/>
        <v>0</v>
      </c>
      <c r="Q141" s="87"/>
    </row>
    <row r="142" spans="2:17" ht="29.45" customHeight="1" collapsed="1" x14ac:dyDescent="0.25">
      <c r="B142" s="231" t="s">
        <v>369</v>
      </c>
      <c r="C142" s="272" t="s">
        <v>38</v>
      </c>
      <c r="D142" s="273" t="s">
        <v>370</v>
      </c>
      <c r="E142" s="28">
        <v>1032367.7769225</v>
      </c>
      <c r="F142" s="28">
        <f>ROUND(E142,0)+645</f>
        <v>1033013</v>
      </c>
      <c r="G142" s="212">
        <f t="shared" si="41"/>
        <v>645.22307750000618</v>
      </c>
      <c r="H142" s="38" t="s">
        <v>371</v>
      </c>
      <c r="I142" s="212">
        <f>ROUND(F142,0)+13315</f>
        <v>1046328</v>
      </c>
      <c r="J142" s="212">
        <f t="shared" si="42"/>
        <v>13315</v>
      </c>
      <c r="K142" s="39" t="s">
        <v>372</v>
      </c>
      <c r="L142" s="212">
        <f t="shared" si="45"/>
        <v>1046328</v>
      </c>
      <c r="M142" s="212">
        <f t="shared" si="43"/>
        <v>0</v>
      </c>
      <c r="N142" s="39"/>
      <c r="O142" s="212">
        <f>ROUND(L142,0)-102</f>
        <v>1046226</v>
      </c>
      <c r="P142" s="212">
        <f t="shared" si="44"/>
        <v>-102</v>
      </c>
      <c r="Q142" s="39" t="s">
        <v>373</v>
      </c>
    </row>
    <row r="143" spans="2:17" s="274" customFormat="1" ht="16.899999999999999" customHeight="1" x14ac:dyDescent="0.25">
      <c r="C143" s="272" t="s">
        <v>46</v>
      </c>
      <c r="D143" s="273" t="s">
        <v>374</v>
      </c>
      <c r="E143" s="28">
        <v>521949.07229136</v>
      </c>
      <c r="F143" s="28">
        <f t="shared" ref="F143" si="49">F144+F147</f>
        <v>583582</v>
      </c>
      <c r="G143" s="212">
        <f t="shared" si="41"/>
        <v>61632.927708639996</v>
      </c>
      <c r="H143" s="38"/>
      <c r="I143" s="212">
        <f>I144+I147</f>
        <v>587548</v>
      </c>
      <c r="J143" s="212">
        <f t="shared" si="42"/>
        <v>3966</v>
      </c>
      <c r="K143" s="39"/>
      <c r="L143" s="212">
        <f>L144+L147</f>
        <v>587548</v>
      </c>
      <c r="M143" s="212">
        <f t="shared" si="43"/>
        <v>0</v>
      </c>
      <c r="N143" s="39"/>
      <c r="O143" s="212">
        <f>O144+O147</f>
        <v>587548</v>
      </c>
      <c r="P143" s="212">
        <f t="shared" si="44"/>
        <v>0</v>
      </c>
      <c r="Q143" s="39"/>
    </row>
    <row r="144" spans="2:17" x14ac:dyDescent="0.25">
      <c r="B144" s="231" t="s">
        <v>375</v>
      </c>
      <c r="C144" s="270" t="s">
        <v>49</v>
      </c>
      <c r="D144" s="271" t="s">
        <v>376</v>
      </c>
      <c r="E144" s="54">
        <v>179686.07229136</v>
      </c>
      <c r="F144" s="54">
        <f>SUM(F145:F146)</f>
        <v>179686</v>
      </c>
      <c r="G144" s="234">
        <f t="shared" ref="G144" si="50">SUM(G145:G146)</f>
        <v>-7.2291360003873706E-2</v>
      </c>
      <c r="H144" s="275"/>
      <c r="I144" s="234">
        <f>SUM(I145:I146)</f>
        <v>179686</v>
      </c>
      <c r="J144" s="234">
        <f t="shared" si="42"/>
        <v>0</v>
      </c>
      <c r="K144" s="234"/>
      <c r="L144" s="234">
        <f>SUM(L145:L146)</f>
        <v>179686</v>
      </c>
      <c r="M144" s="234">
        <f t="shared" si="43"/>
        <v>0</v>
      </c>
      <c r="N144" s="234"/>
      <c r="O144" s="234">
        <f>SUM(O145:O146)</f>
        <v>179686</v>
      </c>
      <c r="P144" s="234">
        <f t="shared" si="44"/>
        <v>0</v>
      </c>
      <c r="Q144" s="234"/>
    </row>
    <row r="145" spans="2:17" ht="30" x14ac:dyDescent="0.25">
      <c r="B145" s="231" t="s">
        <v>375</v>
      </c>
      <c r="C145" s="276" t="s">
        <v>377</v>
      </c>
      <c r="D145" s="277" t="s">
        <v>378</v>
      </c>
      <c r="E145" s="25">
        <v>150459.07229136</v>
      </c>
      <c r="F145" s="25">
        <f>ROUND(E145,0)</f>
        <v>150459</v>
      </c>
      <c r="G145" s="209">
        <f t="shared" si="41"/>
        <v>-7.2291360003873706E-2</v>
      </c>
      <c r="H145" s="26"/>
      <c r="I145" s="209">
        <f>ROUND(F145,0)-3283-544</f>
        <v>146632</v>
      </c>
      <c r="J145" s="209">
        <f t="shared" si="42"/>
        <v>-3827</v>
      </c>
      <c r="K145" s="375" t="s">
        <v>379</v>
      </c>
      <c r="L145" s="209">
        <f>ROUND(I145,0)-660</f>
        <v>145972</v>
      </c>
      <c r="M145" s="209">
        <f t="shared" si="43"/>
        <v>-660</v>
      </c>
      <c r="N145" s="41" t="s">
        <v>380</v>
      </c>
      <c r="O145" s="209">
        <f>ROUND(L145,0)</f>
        <v>145972</v>
      </c>
      <c r="P145" s="209">
        <f t="shared" si="44"/>
        <v>0</v>
      </c>
      <c r="Q145" s="27"/>
    </row>
    <row r="146" spans="2:17" ht="15.6" customHeight="1" x14ac:dyDescent="0.25">
      <c r="B146" s="231"/>
      <c r="C146" s="276" t="s">
        <v>381</v>
      </c>
      <c r="D146" s="277" t="s">
        <v>382</v>
      </c>
      <c r="E146" s="25">
        <v>29227</v>
      </c>
      <c r="F146" s="25">
        <f>ROUND(E146,0)</f>
        <v>29227</v>
      </c>
      <c r="G146" s="209">
        <f t="shared" si="41"/>
        <v>0</v>
      </c>
      <c r="H146" s="26"/>
      <c r="I146" s="209">
        <f>ROUND(F146,0)+3283+544</f>
        <v>33054</v>
      </c>
      <c r="J146" s="209">
        <f t="shared" si="42"/>
        <v>3827</v>
      </c>
      <c r="K146" s="376"/>
      <c r="L146" s="209">
        <f>ROUND(I146,0)+660</f>
        <v>33714</v>
      </c>
      <c r="M146" s="209">
        <f t="shared" si="43"/>
        <v>660</v>
      </c>
      <c r="N146" s="27"/>
      <c r="O146" s="209">
        <f>ROUND(L146,0)</f>
        <v>33714</v>
      </c>
      <c r="P146" s="209">
        <f t="shared" si="44"/>
        <v>0</v>
      </c>
      <c r="Q146" s="27"/>
    </row>
    <row r="147" spans="2:17" ht="30" x14ac:dyDescent="0.25">
      <c r="B147" s="231" t="s">
        <v>383</v>
      </c>
      <c r="C147" s="270" t="s">
        <v>51</v>
      </c>
      <c r="D147" s="271" t="s">
        <v>384</v>
      </c>
      <c r="E147" s="54">
        <v>342263</v>
      </c>
      <c r="F147" s="54">
        <f>ROUND(E147,0)+1093+59292+1248</f>
        <v>403896</v>
      </c>
      <c r="G147" s="234">
        <f t="shared" si="41"/>
        <v>61633</v>
      </c>
      <c r="H147" s="56" t="s">
        <v>385</v>
      </c>
      <c r="I147" s="234">
        <f>ROUND(F147,0)+3966</f>
        <v>407862</v>
      </c>
      <c r="J147" s="234">
        <f t="shared" si="42"/>
        <v>3966</v>
      </c>
      <c r="K147" s="234" t="s">
        <v>175</v>
      </c>
      <c r="L147" s="234">
        <f>ROUND(I147,0)</f>
        <v>407862</v>
      </c>
      <c r="M147" s="234">
        <f t="shared" si="43"/>
        <v>0</v>
      </c>
      <c r="N147" s="234"/>
      <c r="O147" s="234">
        <f>ROUND(L147,0)</f>
        <v>407862</v>
      </c>
      <c r="P147" s="234">
        <f t="shared" si="44"/>
        <v>0</v>
      </c>
      <c r="Q147" s="234"/>
    </row>
    <row r="148" spans="2:17" x14ac:dyDescent="0.25">
      <c r="C148" s="272" t="s">
        <v>52</v>
      </c>
      <c r="D148" s="273" t="s">
        <v>386</v>
      </c>
      <c r="E148" s="28">
        <v>70000</v>
      </c>
      <c r="F148" s="28">
        <f t="shared" ref="F148" si="51">F149</f>
        <v>174970</v>
      </c>
      <c r="G148" s="212">
        <f t="shared" si="41"/>
        <v>104970</v>
      </c>
      <c r="H148" s="29"/>
      <c r="I148" s="212">
        <f>I149</f>
        <v>174970</v>
      </c>
      <c r="J148" s="212">
        <f t="shared" si="42"/>
        <v>0</v>
      </c>
      <c r="K148" s="30"/>
      <c r="L148" s="212">
        <f>L149</f>
        <v>174970</v>
      </c>
      <c r="M148" s="212">
        <f t="shared" si="43"/>
        <v>0</v>
      </c>
      <c r="N148" s="30"/>
      <c r="O148" s="212">
        <f>O149</f>
        <v>174970</v>
      </c>
      <c r="P148" s="212">
        <f t="shared" si="44"/>
        <v>0</v>
      </c>
      <c r="Q148" s="30"/>
    </row>
    <row r="149" spans="2:17" ht="16.149999999999999" customHeight="1" x14ac:dyDescent="0.25">
      <c r="B149" s="231" t="s">
        <v>387</v>
      </c>
      <c r="C149" s="270" t="s">
        <v>55</v>
      </c>
      <c r="D149" s="271" t="s">
        <v>388</v>
      </c>
      <c r="E149" s="54">
        <v>70000</v>
      </c>
      <c r="F149" s="54">
        <f>ROUND(E149,0)+104970</f>
        <v>174970</v>
      </c>
      <c r="G149" s="234">
        <f t="shared" si="41"/>
        <v>104970</v>
      </c>
      <c r="H149" s="56" t="s">
        <v>1</v>
      </c>
      <c r="I149" s="234">
        <f>ROUND(F149,0)</f>
        <v>174970</v>
      </c>
      <c r="J149" s="234">
        <f t="shared" si="42"/>
        <v>0</v>
      </c>
      <c r="K149" s="56"/>
      <c r="L149" s="234">
        <f>ROUND(I149,0)</f>
        <v>174970</v>
      </c>
      <c r="M149" s="234">
        <f t="shared" si="43"/>
        <v>0</v>
      </c>
      <c r="N149" s="56"/>
      <c r="O149" s="234">
        <f>ROUND(L149,0)</f>
        <v>174970</v>
      </c>
      <c r="P149" s="234">
        <f t="shared" si="44"/>
        <v>0</v>
      </c>
      <c r="Q149" s="56"/>
    </row>
    <row r="150" spans="2:17" ht="29.25" x14ac:dyDescent="0.25">
      <c r="C150" s="272" t="s">
        <v>60</v>
      </c>
      <c r="D150" s="273" t="s">
        <v>389</v>
      </c>
      <c r="E150" s="28">
        <v>14182678.841957785</v>
      </c>
      <c r="F150" s="28">
        <f t="shared" ref="F150" si="52">F151+F152+F153+F154+F172</f>
        <v>14286414</v>
      </c>
      <c r="G150" s="212">
        <f>G152+G153+G154+G172</f>
        <v>103735.15804221481</v>
      </c>
      <c r="H150" s="219"/>
      <c r="I150" s="212">
        <f>I151+I152+I153+I154+I172</f>
        <v>14591725</v>
      </c>
      <c r="J150" s="212">
        <f t="shared" si="42"/>
        <v>305311</v>
      </c>
      <c r="K150" s="212"/>
      <c r="L150" s="212">
        <f>L151+L152+L153+L154+L172</f>
        <v>14665800</v>
      </c>
      <c r="M150" s="212">
        <f t="shared" si="43"/>
        <v>74075</v>
      </c>
      <c r="N150" s="212"/>
      <c r="O150" s="212">
        <f>O151+O152+O153+O154+O172</f>
        <v>15381807</v>
      </c>
      <c r="P150" s="212">
        <f t="shared" si="44"/>
        <v>716007</v>
      </c>
      <c r="Q150" s="212"/>
    </row>
    <row r="151" spans="2:17" ht="15.6" customHeight="1" x14ac:dyDescent="0.25">
      <c r="B151" s="231" t="s">
        <v>367</v>
      </c>
      <c r="C151" s="270" t="s">
        <v>63</v>
      </c>
      <c r="D151" s="278" t="s">
        <v>368</v>
      </c>
      <c r="E151" s="88">
        <v>70000</v>
      </c>
      <c r="F151" s="54">
        <f>ROUND(E151,0)</f>
        <v>70000</v>
      </c>
      <c r="G151" s="234">
        <f>F151-E151</f>
        <v>0</v>
      </c>
      <c r="H151" s="86"/>
      <c r="I151" s="234">
        <f>ROUND(F151,0)</f>
        <v>70000</v>
      </c>
      <c r="J151" s="234">
        <f t="shared" si="42"/>
        <v>0</v>
      </c>
      <c r="K151" s="87"/>
      <c r="L151" s="234">
        <f>ROUND(I151,0)</f>
        <v>70000</v>
      </c>
      <c r="M151" s="234">
        <f t="shared" si="43"/>
        <v>0</v>
      </c>
      <c r="N151" s="87"/>
      <c r="O151" s="234">
        <f>ROUND(L151,0)</f>
        <v>70000</v>
      </c>
      <c r="P151" s="234">
        <f t="shared" si="44"/>
        <v>0</v>
      </c>
      <c r="Q151" s="87"/>
    </row>
    <row r="152" spans="2:17" ht="28.15" customHeight="1" x14ac:dyDescent="0.25">
      <c r="B152" s="231" t="s">
        <v>390</v>
      </c>
      <c r="C152" s="270" t="s">
        <v>75</v>
      </c>
      <c r="D152" s="278" t="s">
        <v>391</v>
      </c>
      <c r="E152" s="88">
        <v>330452</v>
      </c>
      <c r="F152" s="88">
        <f>ROUND(E152,0)</f>
        <v>330452</v>
      </c>
      <c r="G152" s="279">
        <f t="shared" si="41"/>
        <v>0</v>
      </c>
      <c r="H152" s="55"/>
      <c r="I152" s="279">
        <f>ROUND(F152,0)</f>
        <v>330452</v>
      </c>
      <c r="J152" s="279">
        <f t="shared" si="42"/>
        <v>0</v>
      </c>
      <c r="K152" s="89"/>
      <c r="L152" s="279">
        <f>ROUND(I152,0)</f>
        <v>330452</v>
      </c>
      <c r="M152" s="279">
        <f t="shared" si="43"/>
        <v>0</v>
      </c>
      <c r="N152" s="89"/>
      <c r="O152" s="279">
        <f>ROUND(L152,0)</f>
        <v>330452</v>
      </c>
      <c r="P152" s="279">
        <f t="shared" si="44"/>
        <v>0</v>
      </c>
      <c r="Q152" s="89"/>
    </row>
    <row r="153" spans="2:17" ht="16.149999999999999" customHeight="1" x14ac:dyDescent="0.25">
      <c r="B153" s="231" t="s">
        <v>392</v>
      </c>
      <c r="C153" s="270" t="s">
        <v>393</v>
      </c>
      <c r="D153" s="278" t="s">
        <v>394</v>
      </c>
      <c r="E153" s="88">
        <v>393055</v>
      </c>
      <c r="F153" s="88">
        <f>ROUND(E153,0)</f>
        <v>393055</v>
      </c>
      <c r="G153" s="279">
        <f t="shared" si="41"/>
        <v>0</v>
      </c>
      <c r="H153" s="55"/>
      <c r="I153" s="279">
        <f>ROUND(F153,0)</f>
        <v>393055</v>
      </c>
      <c r="J153" s="279">
        <f t="shared" si="42"/>
        <v>0</v>
      </c>
      <c r="K153" s="56"/>
      <c r="L153" s="279">
        <f>ROUND(I153,0)</f>
        <v>393055</v>
      </c>
      <c r="M153" s="279">
        <f t="shared" si="43"/>
        <v>0</v>
      </c>
      <c r="N153" s="56"/>
      <c r="O153" s="279">
        <f>ROUND(L153,0)</f>
        <v>393055</v>
      </c>
      <c r="P153" s="279">
        <f t="shared" si="44"/>
        <v>0</v>
      </c>
      <c r="Q153" s="56"/>
    </row>
    <row r="154" spans="2:17" x14ac:dyDescent="0.25">
      <c r="C154" s="270" t="s">
        <v>395</v>
      </c>
      <c r="D154" s="278" t="s">
        <v>396</v>
      </c>
      <c r="E154" s="88">
        <v>1839370</v>
      </c>
      <c r="F154" s="88">
        <f t="shared" ref="F154:G154" si="53">SUM(F155:F171)</f>
        <v>1839370</v>
      </c>
      <c r="G154" s="279">
        <f t="shared" si="53"/>
        <v>0</v>
      </c>
      <c r="H154" s="280"/>
      <c r="I154" s="279">
        <f>SUM(I155:I171)</f>
        <v>1841370</v>
      </c>
      <c r="J154" s="279">
        <f t="shared" si="42"/>
        <v>2000</v>
      </c>
      <c r="K154" s="279"/>
      <c r="L154" s="279">
        <f>SUM(L155:L171)</f>
        <v>1834021</v>
      </c>
      <c r="M154" s="279">
        <f t="shared" si="43"/>
        <v>-7349</v>
      </c>
      <c r="N154" s="279"/>
      <c r="O154" s="279">
        <f>SUM(O155:O171)</f>
        <v>1862424</v>
      </c>
      <c r="P154" s="279">
        <f t="shared" si="44"/>
        <v>28403</v>
      </c>
      <c r="Q154" s="279"/>
    </row>
    <row r="155" spans="2:17" ht="126" customHeight="1" x14ac:dyDescent="0.25">
      <c r="B155" s="231" t="s">
        <v>184</v>
      </c>
      <c r="C155" s="276" t="s">
        <v>397</v>
      </c>
      <c r="D155" s="256" t="s">
        <v>398</v>
      </c>
      <c r="E155" s="25">
        <v>696938</v>
      </c>
      <c r="F155" s="25">
        <f>ROUND(E155,0)</f>
        <v>696938</v>
      </c>
      <c r="G155" s="209">
        <f t="shared" si="41"/>
        <v>0</v>
      </c>
      <c r="H155" s="90"/>
      <c r="I155" s="209">
        <f>ROUND(F155,0)+2000</f>
        <v>698938</v>
      </c>
      <c r="J155" s="209">
        <f t="shared" si="42"/>
        <v>2000</v>
      </c>
      <c r="K155" s="37" t="s">
        <v>399</v>
      </c>
      <c r="L155" s="209">
        <f>ROUND(I155,0)-7349+5000+26640</f>
        <v>723229</v>
      </c>
      <c r="M155" s="209">
        <f t="shared" si="43"/>
        <v>24291</v>
      </c>
      <c r="N155" s="37" t="s">
        <v>400</v>
      </c>
      <c r="O155" s="209">
        <f>ROUND(L155,0)-5801-44284-3347</f>
        <v>669797</v>
      </c>
      <c r="P155" s="209">
        <f t="shared" si="44"/>
        <v>-53432</v>
      </c>
      <c r="Q155" s="37" t="s">
        <v>1155</v>
      </c>
    </row>
    <row r="156" spans="2:17" ht="18.600000000000001" customHeight="1" x14ac:dyDescent="0.25">
      <c r="B156" s="231" t="s">
        <v>401</v>
      </c>
      <c r="C156" s="276" t="s">
        <v>402</v>
      </c>
      <c r="D156" s="256" t="s">
        <v>403</v>
      </c>
      <c r="E156" s="25">
        <v>40000</v>
      </c>
      <c r="F156" s="25">
        <f t="shared" ref="F156:F171" si="54">ROUND(E156,0)</f>
        <v>40000</v>
      </c>
      <c r="G156" s="209">
        <f t="shared" si="41"/>
        <v>0</v>
      </c>
      <c r="H156" s="90"/>
      <c r="I156" s="209">
        <f t="shared" ref="I156:I168" si="55">ROUND(F156,0)</f>
        <v>40000</v>
      </c>
      <c r="J156" s="209">
        <f t="shared" si="42"/>
        <v>0</v>
      </c>
      <c r="K156" s="37"/>
      <c r="L156" s="209">
        <f>ROUND(I156,0)</f>
        <v>40000</v>
      </c>
      <c r="M156" s="209">
        <f t="shared" si="43"/>
        <v>0</v>
      </c>
      <c r="N156" s="37"/>
      <c r="O156" s="209">
        <f t="shared" ref="O156:O160" si="56">ROUND(L156,0)</f>
        <v>40000</v>
      </c>
      <c r="P156" s="209">
        <f t="shared" si="44"/>
        <v>0</v>
      </c>
      <c r="Q156" s="37"/>
    </row>
    <row r="157" spans="2:17" ht="16.5" customHeight="1" x14ac:dyDescent="0.25">
      <c r="B157" s="231" t="s">
        <v>401</v>
      </c>
      <c r="C157" s="276" t="s">
        <v>404</v>
      </c>
      <c r="D157" s="256" t="s">
        <v>405</v>
      </c>
      <c r="E157" s="25">
        <v>15094</v>
      </c>
      <c r="F157" s="25">
        <f t="shared" si="54"/>
        <v>15094</v>
      </c>
      <c r="G157" s="209">
        <f t="shared" si="41"/>
        <v>0</v>
      </c>
      <c r="H157" s="90"/>
      <c r="I157" s="209">
        <f t="shared" si="55"/>
        <v>15094</v>
      </c>
      <c r="J157" s="209">
        <f t="shared" si="42"/>
        <v>0</v>
      </c>
      <c r="K157" s="37"/>
      <c r="L157" s="209">
        <f>ROUND(I157,0)</f>
        <v>15094</v>
      </c>
      <c r="M157" s="209">
        <f t="shared" si="43"/>
        <v>0</v>
      </c>
      <c r="N157" s="37"/>
      <c r="O157" s="209">
        <f t="shared" si="56"/>
        <v>15094</v>
      </c>
      <c r="P157" s="209">
        <f t="shared" si="44"/>
        <v>0</v>
      </c>
      <c r="Q157" s="37"/>
    </row>
    <row r="158" spans="2:17" ht="28.15" customHeight="1" x14ac:dyDescent="0.25">
      <c r="B158" s="231" t="s">
        <v>406</v>
      </c>
      <c r="C158" s="281" t="s">
        <v>407</v>
      </c>
      <c r="D158" s="233" t="s">
        <v>408</v>
      </c>
      <c r="E158" s="25">
        <v>50458</v>
      </c>
      <c r="F158" s="25">
        <f>ROUND(E158,0)</f>
        <v>50458</v>
      </c>
      <c r="G158" s="209">
        <f t="shared" si="41"/>
        <v>0</v>
      </c>
      <c r="H158" s="90"/>
      <c r="I158" s="209">
        <f t="shared" si="55"/>
        <v>50458</v>
      </c>
      <c r="J158" s="209">
        <f t="shared" si="42"/>
        <v>0</v>
      </c>
      <c r="K158" s="37"/>
      <c r="L158" s="209">
        <f>ROUND(I158,0)</f>
        <v>50458</v>
      </c>
      <c r="M158" s="209">
        <f t="shared" si="43"/>
        <v>0</v>
      </c>
      <c r="N158" s="37"/>
      <c r="O158" s="209">
        <f t="shared" si="56"/>
        <v>50458</v>
      </c>
      <c r="P158" s="209">
        <f t="shared" si="44"/>
        <v>0</v>
      </c>
      <c r="Q158" s="37"/>
    </row>
    <row r="159" spans="2:17" ht="40.9" customHeight="1" x14ac:dyDescent="0.25">
      <c r="B159" s="231" t="s">
        <v>409</v>
      </c>
      <c r="C159" s="281" t="s">
        <v>410</v>
      </c>
      <c r="D159" s="282" t="s">
        <v>411</v>
      </c>
      <c r="E159" s="25">
        <v>145650</v>
      </c>
      <c r="F159" s="25">
        <f t="shared" si="54"/>
        <v>145650</v>
      </c>
      <c r="G159" s="209">
        <f t="shared" si="41"/>
        <v>0</v>
      </c>
      <c r="H159" s="90"/>
      <c r="I159" s="209">
        <f>ROUND(F159,0)</f>
        <v>145650</v>
      </c>
      <c r="J159" s="209">
        <f t="shared" si="42"/>
        <v>0</v>
      </c>
      <c r="K159" s="37"/>
      <c r="L159" s="209">
        <f>ROUND(I159,0)-5000-26640</f>
        <v>114010</v>
      </c>
      <c r="M159" s="209">
        <f t="shared" si="43"/>
        <v>-31640</v>
      </c>
      <c r="N159" s="37" t="s">
        <v>412</v>
      </c>
      <c r="O159" s="209">
        <f>ROUND(L159,0)+3347</f>
        <v>117357</v>
      </c>
      <c r="P159" s="209">
        <f t="shared" si="44"/>
        <v>3347</v>
      </c>
      <c r="Q159" s="37" t="s">
        <v>1152</v>
      </c>
    </row>
    <row r="160" spans="2:17" ht="15.75" customHeight="1" x14ac:dyDescent="0.25">
      <c r="B160" s="231" t="s">
        <v>413</v>
      </c>
      <c r="C160" s="281" t="s">
        <v>414</v>
      </c>
      <c r="D160" s="282" t="s">
        <v>236</v>
      </c>
      <c r="E160" s="25">
        <v>397337</v>
      </c>
      <c r="F160" s="25">
        <f t="shared" si="54"/>
        <v>397337</v>
      </c>
      <c r="G160" s="209">
        <f t="shared" si="41"/>
        <v>0</v>
      </c>
      <c r="H160" s="90"/>
      <c r="I160" s="209">
        <f t="shared" si="55"/>
        <v>397337</v>
      </c>
      <c r="J160" s="209">
        <f t="shared" si="42"/>
        <v>0</v>
      </c>
      <c r="K160" s="37"/>
      <c r="L160" s="209">
        <f>ROUND(I160,0)</f>
        <v>397337</v>
      </c>
      <c r="M160" s="209">
        <f t="shared" si="43"/>
        <v>0</v>
      </c>
      <c r="N160" s="37"/>
      <c r="O160" s="209">
        <f t="shared" si="56"/>
        <v>397337</v>
      </c>
      <c r="P160" s="209">
        <f t="shared" si="44"/>
        <v>0</v>
      </c>
      <c r="Q160" s="37"/>
    </row>
    <row r="161" spans="2:17" ht="43.9" customHeight="1" x14ac:dyDescent="0.25">
      <c r="B161" s="283" t="s">
        <v>415</v>
      </c>
      <c r="C161" s="281" t="s">
        <v>416</v>
      </c>
      <c r="D161" s="282" t="s">
        <v>198</v>
      </c>
      <c r="E161" s="25">
        <v>207440</v>
      </c>
      <c r="F161" s="25">
        <f t="shared" si="54"/>
        <v>207440</v>
      </c>
      <c r="G161" s="209">
        <f t="shared" si="41"/>
        <v>0</v>
      </c>
      <c r="H161" s="40"/>
      <c r="I161" s="209">
        <f t="shared" si="55"/>
        <v>207440</v>
      </c>
      <c r="J161" s="209">
        <f t="shared" si="42"/>
        <v>0</v>
      </c>
      <c r="K161" s="41"/>
      <c r="L161" s="209">
        <f>ROUND(I161,0)</f>
        <v>207440</v>
      </c>
      <c r="M161" s="209">
        <f t="shared" si="43"/>
        <v>0</v>
      </c>
      <c r="N161" s="41"/>
      <c r="O161" s="209">
        <f>ROUND(L161,0)+22000+50687</f>
        <v>280127</v>
      </c>
      <c r="P161" s="209">
        <f t="shared" si="44"/>
        <v>72687</v>
      </c>
      <c r="Q161" s="41" t="s">
        <v>1156</v>
      </c>
    </row>
    <row r="162" spans="2:17" ht="30" customHeight="1" x14ac:dyDescent="0.25">
      <c r="B162" s="231" t="s">
        <v>417</v>
      </c>
      <c r="C162" s="281" t="s">
        <v>418</v>
      </c>
      <c r="D162" s="282" t="s">
        <v>201</v>
      </c>
      <c r="E162" s="25">
        <v>14067</v>
      </c>
      <c r="F162" s="25">
        <f t="shared" si="54"/>
        <v>14067</v>
      </c>
      <c r="G162" s="209">
        <f t="shared" si="41"/>
        <v>0</v>
      </c>
      <c r="H162" s="40"/>
      <c r="I162" s="209">
        <f t="shared" si="55"/>
        <v>14067</v>
      </c>
      <c r="J162" s="209">
        <f t="shared" si="42"/>
        <v>0</v>
      </c>
      <c r="K162" s="41"/>
      <c r="L162" s="209">
        <f t="shared" ref="L162:L165" si="57">ROUND(I162,0)</f>
        <v>14067</v>
      </c>
      <c r="M162" s="209">
        <f t="shared" si="43"/>
        <v>0</v>
      </c>
      <c r="N162" s="41"/>
      <c r="O162" s="209">
        <f>ROUND(L162,0)+5801</f>
        <v>19868</v>
      </c>
      <c r="P162" s="209">
        <f t="shared" si="44"/>
        <v>5801</v>
      </c>
      <c r="Q162" s="41" t="s">
        <v>1157</v>
      </c>
    </row>
    <row r="163" spans="2:17" ht="30" customHeight="1" x14ac:dyDescent="0.25">
      <c r="B163" s="231" t="s">
        <v>184</v>
      </c>
      <c r="C163" s="281" t="s">
        <v>419</v>
      </c>
      <c r="D163" s="282" t="s">
        <v>203</v>
      </c>
      <c r="E163" s="25">
        <v>7900</v>
      </c>
      <c r="F163" s="25">
        <f t="shared" si="54"/>
        <v>7900</v>
      </c>
      <c r="G163" s="209">
        <f t="shared" si="41"/>
        <v>0</v>
      </c>
      <c r="H163" s="40"/>
      <c r="I163" s="209">
        <f t="shared" si="55"/>
        <v>7900</v>
      </c>
      <c r="J163" s="209">
        <f t="shared" si="42"/>
        <v>0</v>
      </c>
      <c r="K163" s="41"/>
      <c r="L163" s="209">
        <f t="shared" si="57"/>
        <v>7900</v>
      </c>
      <c r="M163" s="209">
        <f t="shared" si="43"/>
        <v>0</v>
      </c>
      <c r="N163" s="41"/>
      <c r="O163" s="209">
        <f t="shared" ref="O163:O171" si="58">ROUND(L163,0)</f>
        <v>7900</v>
      </c>
      <c r="P163" s="209">
        <f t="shared" si="44"/>
        <v>0</v>
      </c>
      <c r="Q163" s="41"/>
    </row>
    <row r="164" spans="2:17" ht="17.45" customHeight="1" x14ac:dyDescent="0.25">
      <c r="B164" s="231" t="s">
        <v>184</v>
      </c>
      <c r="C164" s="281" t="s">
        <v>420</v>
      </c>
      <c r="D164" s="282" t="s">
        <v>205</v>
      </c>
      <c r="E164" s="25">
        <v>9000</v>
      </c>
      <c r="F164" s="25">
        <f t="shared" si="54"/>
        <v>9000</v>
      </c>
      <c r="G164" s="209">
        <f t="shared" si="41"/>
        <v>0</v>
      </c>
      <c r="H164" s="40"/>
      <c r="I164" s="209">
        <f t="shared" si="55"/>
        <v>9000</v>
      </c>
      <c r="J164" s="209">
        <f t="shared" si="42"/>
        <v>0</v>
      </c>
      <c r="K164" s="41"/>
      <c r="L164" s="209">
        <f t="shared" si="57"/>
        <v>9000</v>
      </c>
      <c r="M164" s="209">
        <f t="shared" si="43"/>
        <v>0</v>
      </c>
      <c r="N164" s="41"/>
      <c r="O164" s="209">
        <f t="shared" si="58"/>
        <v>9000</v>
      </c>
      <c r="P164" s="209">
        <f t="shared" si="44"/>
        <v>0</v>
      </c>
      <c r="Q164" s="41"/>
    </row>
    <row r="165" spans="2:17" ht="55.9" customHeight="1" x14ac:dyDescent="0.25">
      <c r="B165" s="231" t="s">
        <v>184</v>
      </c>
      <c r="C165" s="281" t="s">
        <v>421</v>
      </c>
      <c r="D165" s="282" t="s">
        <v>207</v>
      </c>
      <c r="E165" s="25">
        <v>12020</v>
      </c>
      <c r="F165" s="25">
        <f t="shared" si="54"/>
        <v>12020</v>
      </c>
      <c r="G165" s="209">
        <f t="shared" si="41"/>
        <v>0</v>
      </c>
      <c r="H165" s="40"/>
      <c r="I165" s="209">
        <f t="shared" si="55"/>
        <v>12020</v>
      </c>
      <c r="J165" s="209">
        <f t="shared" si="42"/>
        <v>0</v>
      </c>
      <c r="K165" s="41"/>
      <c r="L165" s="209">
        <f t="shared" si="57"/>
        <v>12020</v>
      </c>
      <c r="M165" s="209">
        <f t="shared" si="43"/>
        <v>0</v>
      </c>
      <c r="N165" s="41"/>
      <c r="O165" s="209">
        <f t="shared" si="58"/>
        <v>12020</v>
      </c>
      <c r="P165" s="209">
        <f t="shared" si="44"/>
        <v>0</v>
      </c>
      <c r="Q165" s="41"/>
    </row>
    <row r="166" spans="2:17" ht="40.9" customHeight="1" x14ac:dyDescent="0.25">
      <c r="B166" s="231" t="s">
        <v>184</v>
      </c>
      <c r="C166" s="281" t="s">
        <v>422</v>
      </c>
      <c r="D166" s="282" t="s">
        <v>209</v>
      </c>
      <c r="E166" s="25">
        <v>30655</v>
      </c>
      <c r="F166" s="25">
        <f t="shared" si="54"/>
        <v>30655</v>
      </c>
      <c r="G166" s="209">
        <f t="shared" si="41"/>
        <v>0</v>
      </c>
      <c r="H166" s="40"/>
      <c r="I166" s="209">
        <f t="shared" si="55"/>
        <v>30655</v>
      </c>
      <c r="J166" s="209">
        <f t="shared" si="42"/>
        <v>0</v>
      </c>
      <c r="K166" s="41"/>
      <c r="L166" s="209">
        <f>ROUND(I166,0)</f>
        <v>30655</v>
      </c>
      <c r="M166" s="209">
        <f t="shared" si="43"/>
        <v>0</v>
      </c>
      <c r="N166" s="41"/>
      <c r="O166" s="209">
        <f t="shared" si="58"/>
        <v>30655</v>
      </c>
      <c r="P166" s="209">
        <f t="shared" si="44"/>
        <v>0</v>
      </c>
      <c r="Q166" s="41"/>
    </row>
    <row r="167" spans="2:17" ht="16.899999999999999" customHeight="1" x14ac:dyDescent="0.25">
      <c r="B167" s="231" t="s">
        <v>210</v>
      </c>
      <c r="C167" s="281" t="s">
        <v>423</v>
      </c>
      <c r="D167" s="282" t="s">
        <v>212</v>
      </c>
      <c r="E167" s="25">
        <v>168527</v>
      </c>
      <c r="F167" s="25">
        <f t="shared" si="54"/>
        <v>168527</v>
      </c>
      <c r="G167" s="209">
        <f t="shared" si="41"/>
        <v>0</v>
      </c>
      <c r="H167" s="40"/>
      <c r="I167" s="209">
        <f t="shared" si="55"/>
        <v>168527</v>
      </c>
      <c r="J167" s="209">
        <f t="shared" si="42"/>
        <v>0</v>
      </c>
      <c r="K167" s="41"/>
      <c r="L167" s="209">
        <f t="shared" ref="L167:L168" si="59">ROUND(I167,0)</f>
        <v>168527</v>
      </c>
      <c r="M167" s="209">
        <f t="shared" si="43"/>
        <v>0</v>
      </c>
      <c r="N167" s="41"/>
      <c r="O167" s="209">
        <f t="shared" si="58"/>
        <v>168527</v>
      </c>
      <c r="P167" s="209">
        <f t="shared" si="44"/>
        <v>0</v>
      </c>
      <c r="Q167" s="41"/>
    </row>
    <row r="168" spans="2:17" ht="42.6" customHeight="1" x14ac:dyDescent="0.25">
      <c r="B168" s="231" t="s">
        <v>184</v>
      </c>
      <c r="C168" s="281" t="s">
        <v>424</v>
      </c>
      <c r="D168" s="282" t="s">
        <v>425</v>
      </c>
      <c r="E168" s="25">
        <v>44284</v>
      </c>
      <c r="F168" s="25">
        <f t="shared" si="54"/>
        <v>44284</v>
      </c>
      <c r="G168" s="209">
        <f t="shared" si="41"/>
        <v>0</v>
      </c>
      <c r="H168" s="40"/>
      <c r="I168" s="209">
        <f t="shared" si="55"/>
        <v>44284</v>
      </c>
      <c r="J168" s="209">
        <f t="shared" si="42"/>
        <v>0</v>
      </c>
      <c r="K168" s="41"/>
      <c r="L168" s="209">
        <f t="shared" si="59"/>
        <v>44284</v>
      </c>
      <c r="M168" s="209">
        <f t="shared" si="43"/>
        <v>0</v>
      </c>
      <c r="N168" s="41"/>
      <c r="O168" s="209">
        <f t="shared" si="58"/>
        <v>44284</v>
      </c>
      <c r="P168" s="209">
        <f t="shared" si="44"/>
        <v>0</v>
      </c>
      <c r="Q168" s="41"/>
    </row>
    <row r="169" spans="2:17" ht="13.15" customHeight="1" x14ac:dyDescent="0.25">
      <c r="B169" s="231" t="s">
        <v>184</v>
      </c>
      <c r="C169" s="281" t="s">
        <v>418</v>
      </c>
      <c r="D169" s="233" t="s">
        <v>268</v>
      </c>
      <c r="E169" s="25">
        <v>0</v>
      </c>
      <c r="F169" s="25">
        <f t="shared" si="54"/>
        <v>0</v>
      </c>
      <c r="G169" s="209">
        <f t="shared" si="41"/>
        <v>0</v>
      </c>
      <c r="H169" s="90"/>
      <c r="I169" s="209"/>
      <c r="J169" s="209">
        <f t="shared" si="42"/>
        <v>0</v>
      </c>
      <c r="K169" s="37"/>
      <c r="L169" s="209"/>
      <c r="M169" s="209">
        <f t="shared" si="43"/>
        <v>0</v>
      </c>
      <c r="N169" s="37"/>
      <c r="O169" s="209">
        <f t="shared" si="58"/>
        <v>0</v>
      </c>
      <c r="P169" s="209">
        <f t="shared" si="44"/>
        <v>0</v>
      </c>
      <c r="Q169" s="37"/>
    </row>
    <row r="170" spans="2:17" ht="30.6" customHeight="1" x14ac:dyDescent="0.25">
      <c r="B170" s="231" t="s">
        <v>269</v>
      </c>
      <c r="C170" s="281" t="s">
        <v>419</v>
      </c>
      <c r="D170" s="282" t="s">
        <v>426</v>
      </c>
      <c r="E170" s="25">
        <v>0</v>
      </c>
      <c r="F170" s="25">
        <f t="shared" si="54"/>
        <v>0</v>
      </c>
      <c r="G170" s="209">
        <f t="shared" si="41"/>
        <v>0</v>
      </c>
      <c r="H170" s="90"/>
      <c r="I170" s="209"/>
      <c r="J170" s="209">
        <f t="shared" si="42"/>
        <v>0</v>
      </c>
      <c r="K170" s="91"/>
      <c r="L170" s="209"/>
      <c r="M170" s="209">
        <f t="shared" si="43"/>
        <v>0</v>
      </c>
      <c r="N170" s="37"/>
      <c r="O170" s="209">
        <f t="shared" si="58"/>
        <v>0</v>
      </c>
      <c r="P170" s="209">
        <f t="shared" si="44"/>
        <v>0</v>
      </c>
      <c r="Q170" s="37"/>
    </row>
    <row r="171" spans="2:17" ht="32.450000000000003" customHeight="1" x14ac:dyDescent="0.25">
      <c r="B171" s="231" t="s">
        <v>427</v>
      </c>
      <c r="C171" s="281" t="s">
        <v>420</v>
      </c>
      <c r="D171" s="282" t="s">
        <v>238</v>
      </c>
      <c r="E171" s="25">
        <v>0</v>
      </c>
      <c r="F171" s="25">
        <f t="shared" si="54"/>
        <v>0</v>
      </c>
      <c r="G171" s="209">
        <f t="shared" si="41"/>
        <v>0</v>
      </c>
      <c r="H171" s="90"/>
      <c r="I171" s="209"/>
      <c r="J171" s="209">
        <f t="shared" si="42"/>
        <v>0</v>
      </c>
      <c r="K171" s="92"/>
      <c r="L171" s="209"/>
      <c r="M171" s="209">
        <f t="shared" si="43"/>
        <v>0</v>
      </c>
      <c r="N171" s="92"/>
      <c r="O171" s="209">
        <f t="shared" si="58"/>
        <v>0</v>
      </c>
      <c r="P171" s="209">
        <f t="shared" si="44"/>
        <v>0</v>
      </c>
      <c r="Q171" s="92"/>
    </row>
    <row r="172" spans="2:17" ht="29.25" customHeight="1" x14ac:dyDescent="0.25">
      <c r="C172" s="270" t="s">
        <v>428</v>
      </c>
      <c r="D172" s="278" t="s">
        <v>429</v>
      </c>
      <c r="E172" s="88">
        <v>11549801.841957785</v>
      </c>
      <c r="F172" s="88">
        <f t="shared" ref="F172" si="60">SUM(F173:F177,F181:F190)</f>
        <v>11653537</v>
      </c>
      <c r="G172" s="279">
        <f t="shared" si="41"/>
        <v>103735.15804221481</v>
      </c>
      <c r="H172" s="93"/>
      <c r="I172" s="279">
        <f>SUM(I173:I177,I181:I190)</f>
        <v>11956848</v>
      </c>
      <c r="J172" s="279">
        <f t="shared" si="42"/>
        <v>303311</v>
      </c>
      <c r="K172" s="94"/>
      <c r="L172" s="279">
        <f>SUM(L173:L177,L181:L190)</f>
        <v>12038272</v>
      </c>
      <c r="M172" s="279">
        <f t="shared" si="43"/>
        <v>81424</v>
      </c>
      <c r="N172" s="94"/>
      <c r="O172" s="279">
        <f>SUM(O173:O177,O181:O190)</f>
        <v>12725876</v>
      </c>
      <c r="P172" s="279">
        <f t="shared" si="44"/>
        <v>687604</v>
      </c>
      <c r="Q172" s="94"/>
    </row>
    <row r="173" spans="2:17" ht="15" customHeight="1" x14ac:dyDescent="0.25">
      <c r="B173" s="231" t="s">
        <v>430</v>
      </c>
      <c r="C173" s="276" t="s">
        <v>431</v>
      </c>
      <c r="D173" s="282" t="s">
        <v>432</v>
      </c>
      <c r="E173" s="25">
        <v>1199200.0293275001</v>
      </c>
      <c r="F173" s="25">
        <f>ROUND(E173,0)</f>
        <v>1199200</v>
      </c>
      <c r="G173" s="209">
        <f t="shared" si="41"/>
        <v>-2.9327500145882368E-2</v>
      </c>
      <c r="H173" s="95"/>
      <c r="I173" s="209">
        <f>ROUND(F173,0)</f>
        <v>1199200</v>
      </c>
      <c r="J173" s="209">
        <f t="shared" si="42"/>
        <v>0</v>
      </c>
      <c r="K173" s="92"/>
      <c r="L173" s="209">
        <f>ROUND(I173,0)</f>
        <v>1199200</v>
      </c>
      <c r="M173" s="209">
        <f t="shared" si="43"/>
        <v>0</v>
      </c>
      <c r="N173" s="92"/>
      <c r="O173" s="209">
        <f>ROUND(L173,0)</f>
        <v>1199200</v>
      </c>
      <c r="P173" s="209">
        <f t="shared" si="44"/>
        <v>0</v>
      </c>
      <c r="Q173" s="92"/>
    </row>
    <row r="174" spans="2:17" ht="13.9" customHeight="1" x14ac:dyDescent="0.25">
      <c r="B174" s="231" t="s">
        <v>433</v>
      </c>
      <c r="C174" s="276" t="s">
        <v>434</v>
      </c>
      <c r="D174" s="282" t="s">
        <v>435</v>
      </c>
      <c r="E174" s="25">
        <v>1875164.83</v>
      </c>
      <c r="F174" s="25">
        <f t="shared" ref="F174:F186" si="61">ROUND(E174,0)</f>
        <v>1875165</v>
      </c>
      <c r="G174" s="209">
        <f t="shared" si="41"/>
        <v>0.16999999992549419</v>
      </c>
      <c r="H174" s="90"/>
      <c r="I174" s="209">
        <f>ROUND(F174,0)</f>
        <v>1875165</v>
      </c>
      <c r="J174" s="209">
        <f t="shared" si="42"/>
        <v>0</v>
      </c>
      <c r="K174" s="37"/>
      <c r="L174" s="209">
        <f>ROUND(I174,0)</f>
        <v>1875165</v>
      </c>
      <c r="M174" s="209">
        <f t="shared" si="43"/>
        <v>0</v>
      </c>
      <c r="N174" s="37"/>
      <c r="O174" s="209">
        <f>ROUND(L174,0)</f>
        <v>1875165</v>
      </c>
      <c r="P174" s="209">
        <f t="shared" si="44"/>
        <v>0</v>
      </c>
      <c r="Q174" s="37"/>
    </row>
    <row r="175" spans="2:17" ht="27" customHeight="1" x14ac:dyDescent="0.25">
      <c r="B175" s="231" t="s">
        <v>192</v>
      </c>
      <c r="C175" s="281" t="s">
        <v>436</v>
      </c>
      <c r="D175" s="282" t="s">
        <v>317</v>
      </c>
      <c r="E175" s="25">
        <v>363351</v>
      </c>
      <c r="F175" s="25">
        <f>ROUND(E175,0)-1-3420+92966</f>
        <v>452896</v>
      </c>
      <c r="G175" s="209">
        <f t="shared" si="41"/>
        <v>89545</v>
      </c>
      <c r="H175" s="37" t="s">
        <v>437</v>
      </c>
      <c r="I175" s="209">
        <f>ROUND(F175,0)</f>
        <v>452896</v>
      </c>
      <c r="J175" s="209">
        <f t="shared" si="42"/>
        <v>0</v>
      </c>
      <c r="K175" s="37"/>
      <c r="L175" s="209">
        <f>ROUND(I175,0)</f>
        <v>452896</v>
      </c>
      <c r="M175" s="209">
        <f t="shared" si="43"/>
        <v>0</v>
      </c>
      <c r="N175" s="37"/>
      <c r="O175" s="209">
        <f>ROUND(L175,0)</f>
        <v>452896</v>
      </c>
      <c r="P175" s="209">
        <f t="shared" si="44"/>
        <v>0</v>
      </c>
      <c r="Q175" s="37"/>
    </row>
    <row r="176" spans="2:17" ht="25.9" customHeight="1" x14ac:dyDescent="0.25">
      <c r="B176" s="231" t="s">
        <v>438</v>
      </c>
      <c r="C176" s="276" t="s">
        <v>439</v>
      </c>
      <c r="D176" s="282" t="s">
        <v>440</v>
      </c>
      <c r="E176" s="25">
        <v>1574037</v>
      </c>
      <c r="F176" s="25">
        <f>ROUND(E176,0)+168382-168382</f>
        <v>1574037</v>
      </c>
      <c r="G176" s="209">
        <f t="shared" si="41"/>
        <v>0</v>
      </c>
      <c r="H176" s="53" t="s">
        <v>441</v>
      </c>
      <c r="I176" s="209">
        <f>ROUND(F176,0)</f>
        <v>1574037</v>
      </c>
      <c r="J176" s="209">
        <f t="shared" si="42"/>
        <v>0</v>
      </c>
      <c r="K176" s="37"/>
      <c r="L176" s="209">
        <f>ROUND(I176,0)</f>
        <v>1574037</v>
      </c>
      <c r="M176" s="209">
        <f t="shared" si="43"/>
        <v>0</v>
      </c>
      <c r="N176" s="37"/>
      <c r="O176" s="209">
        <f>ROUND(L176,0)+680342</f>
        <v>2254379</v>
      </c>
      <c r="P176" s="209">
        <f t="shared" si="44"/>
        <v>680342</v>
      </c>
      <c r="Q176" s="37" t="s">
        <v>297</v>
      </c>
    </row>
    <row r="177" spans="2:17" ht="32.25" customHeight="1" x14ac:dyDescent="0.25">
      <c r="B177" s="231" t="s">
        <v>6</v>
      </c>
      <c r="C177" s="276" t="s">
        <v>442</v>
      </c>
      <c r="D177" s="282" t="s">
        <v>443</v>
      </c>
      <c r="E177" s="96">
        <v>5403977.9826302836</v>
      </c>
      <c r="F177" s="96">
        <f>SUM(F178:F180)</f>
        <v>5418168</v>
      </c>
      <c r="G177" s="209">
        <f t="shared" si="41"/>
        <v>14190.017369716428</v>
      </c>
      <c r="H177" s="90"/>
      <c r="I177" s="284">
        <f>SUM(I178:I180)</f>
        <v>5367776</v>
      </c>
      <c r="J177" s="209">
        <f t="shared" si="42"/>
        <v>-50392</v>
      </c>
      <c r="K177" s="37"/>
      <c r="L177" s="284">
        <f>SUM(L178:L180)</f>
        <v>5373200</v>
      </c>
      <c r="M177" s="209">
        <f t="shared" si="43"/>
        <v>5424</v>
      </c>
      <c r="N177" s="37"/>
      <c r="O177" s="284">
        <f>SUM(O178:O180)</f>
        <v>5380462</v>
      </c>
      <c r="P177" s="209">
        <f t="shared" si="44"/>
        <v>7262</v>
      </c>
      <c r="Q177" s="37"/>
    </row>
    <row r="178" spans="2:17" s="290" customFormat="1" ht="166.9" customHeight="1" x14ac:dyDescent="0.25">
      <c r="B178" s="285"/>
      <c r="C178" s="286" t="s">
        <v>444</v>
      </c>
      <c r="D178" s="287" t="s">
        <v>445</v>
      </c>
      <c r="E178" s="97">
        <v>4799085.2470302833</v>
      </c>
      <c r="F178" s="97">
        <f>ROUND(E178,0)+13000-645+1835</f>
        <v>4813275</v>
      </c>
      <c r="G178" s="288">
        <f t="shared" si="41"/>
        <v>14189.752969716676</v>
      </c>
      <c r="H178" s="98" t="s">
        <v>446</v>
      </c>
      <c r="I178" s="289">
        <f>ROUND(F178,0)-10919-6705-19453</f>
        <v>4776198</v>
      </c>
      <c r="J178" s="288">
        <f t="shared" si="42"/>
        <v>-37077</v>
      </c>
      <c r="K178" s="99" t="s">
        <v>447</v>
      </c>
      <c r="L178" s="289">
        <f>ROUND(I178,0)-9076+3500+11000</f>
        <v>4781622</v>
      </c>
      <c r="M178" s="288">
        <f t="shared" si="43"/>
        <v>5424</v>
      </c>
      <c r="N178" s="99" t="s">
        <v>448</v>
      </c>
      <c r="O178" s="289">
        <f>ROUND(L178,0)+276+62+102+28+165+6629</f>
        <v>4788884</v>
      </c>
      <c r="P178" s="288">
        <f t="shared" si="44"/>
        <v>7262</v>
      </c>
      <c r="Q178" s="37" t="s">
        <v>449</v>
      </c>
    </row>
    <row r="179" spans="2:17" s="290" customFormat="1" ht="18" customHeight="1" x14ac:dyDescent="0.25">
      <c r="B179" s="285"/>
      <c r="C179" s="286" t="s">
        <v>450</v>
      </c>
      <c r="D179" s="287" t="s">
        <v>451</v>
      </c>
      <c r="E179" s="97">
        <v>350000</v>
      </c>
      <c r="F179" s="97">
        <f t="shared" si="61"/>
        <v>350000</v>
      </c>
      <c r="G179" s="288">
        <f t="shared" si="41"/>
        <v>0</v>
      </c>
      <c r="H179" s="98"/>
      <c r="I179" s="289">
        <f>ROUND(F179,0)-13315</f>
        <v>336685</v>
      </c>
      <c r="J179" s="288">
        <f t="shared" si="42"/>
        <v>-13315</v>
      </c>
      <c r="K179" s="99" t="s">
        <v>372</v>
      </c>
      <c r="L179" s="289">
        <f>ROUND(I179,0)</f>
        <v>336685</v>
      </c>
      <c r="M179" s="288">
        <f t="shared" si="43"/>
        <v>0</v>
      </c>
      <c r="N179" s="99"/>
      <c r="O179" s="289">
        <f t="shared" ref="O179:O190" si="62">ROUND(L179,0)</f>
        <v>336685</v>
      </c>
      <c r="P179" s="288">
        <f t="shared" si="44"/>
        <v>0</v>
      </c>
      <c r="Q179" s="99"/>
    </row>
    <row r="180" spans="2:17" s="290" customFormat="1" ht="15" customHeight="1" x14ac:dyDescent="0.25">
      <c r="B180" s="285"/>
      <c r="C180" s="286" t="s">
        <v>452</v>
      </c>
      <c r="D180" s="287" t="s">
        <v>453</v>
      </c>
      <c r="E180" s="97">
        <v>254892.73560000001</v>
      </c>
      <c r="F180" s="97">
        <f t="shared" si="61"/>
        <v>254893</v>
      </c>
      <c r="G180" s="288">
        <f t="shared" si="41"/>
        <v>0.26439999998547137</v>
      </c>
      <c r="H180" s="98"/>
      <c r="I180" s="289">
        <f>ROUND(F180,0)</f>
        <v>254893</v>
      </c>
      <c r="J180" s="288">
        <f t="shared" si="42"/>
        <v>0</v>
      </c>
      <c r="K180" s="99"/>
      <c r="L180" s="289">
        <f>ROUND(I180,0)</f>
        <v>254893</v>
      </c>
      <c r="M180" s="288">
        <f t="shared" si="43"/>
        <v>0</v>
      </c>
      <c r="N180" s="99"/>
      <c r="O180" s="289">
        <f t="shared" si="62"/>
        <v>254893</v>
      </c>
      <c r="P180" s="288">
        <f t="shared" si="44"/>
        <v>0</v>
      </c>
      <c r="Q180" s="99"/>
    </row>
    <row r="181" spans="2:17" ht="30" customHeight="1" x14ac:dyDescent="0.25">
      <c r="B181" s="231" t="s">
        <v>6</v>
      </c>
      <c r="C181" s="281" t="s">
        <v>454</v>
      </c>
      <c r="D181" s="282" t="s">
        <v>455</v>
      </c>
      <c r="E181" s="25">
        <v>35000</v>
      </c>
      <c r="F181" s="25">
        <f t="shared" si="61"/>
        <v>35000</v>
      </c>
      <c r="G181" s="209">
        <f t="shared" si="41"/>
        <v>0</v>
      </c>
      <c r="H181" s="90"/>
      <c r="I181" s="209">
        <f t="shared" ref="I181:I190" si="63">ROUND(F181,0)</f>
        <v>35000</v>
      </c>
      <c r="J181" s="209">
        <f t="shared" si="42"/>
        <v>0</v>
      </c>
      <c r="K181" s="37"/>
      <c r="L181" s="209">
        <f t="shared" ref="L181:L188" si="64">ROUND(I181,0)</f>
        <v>35000</v>
      </c>
      <c r="M181" s="209">
        <f t="shared" si="43"/>
        <v>0</v>
      </c>
      <c r="N181" s="37"/>
      <c r="O181" s="209">
        <f t="shared" si="62"/>
        <v>35000</v>
      </c>
      <c r="P181" s="209">
        <f t="shared" si="44"/>
        <v>0</v>
      </c>
      <c r="Q181" s="37"/>
    </row>
    <row r="182" spans="2:17" ht="41.45" customHeight="1" x14ac:dyDescent="0.25">
      <c r="B182" s="231" t="s">
        <v>6</v>
      </c>
      <c r="C182" s="281" t="s">
        <v>456</v>
      </c>
      <c r="D182" s="282" t="s">
        <v>457</v>
      </c>
      <c r="E182" s="25">
        <v>210000</v>
      </c>
      <c r="F182" s="25">
        <f t="shared" si="61"/>
        <v>210000</v>
      </c>
      <c r="G182" s="209">
        <f t="shared" si="41"/>
        <v>0</v>
      </c>
      <c r="H182" s="90"/>
      <c r="I182" s="209">
        <f>ROUND(F182,0)+90000</f>
        <v>300000</v>
      </c>
      <c r="J182" s="209">
        <f t="shared" si="42"/>
        <v>90000</v>
      </c>
      <c r="K182" s="37" t="s">
        <v>458</v>
      </c>
      <c r="L182" s="209">
        <f t="shared" si="64"/>
        <v>300000</v>
      </c>
      <c r="M182" s="209">
        <f t="shared" si="43"/>
        <v>0</v>
      </c>
      <c r="N182" s="37"/>
      <c r="O182" s="209">
        <f t="shared" si="62"/>
        <v>300000</v>
      </c>
      <c r="P182" s="209">
        <f t="shared" si="44"/>
        <v>0</v>
      </c>
      <c r="Q182" s="37"/>
    </row>
    <row r="183" spans="2:17" ht="18" customHeight="1" x14ac:dyDescent="0.25">
      <c r="B183" s="231" t="s">
        <v>6</v>
      </c>
      <c r="C183" s="281" t="s">
        <v>459</v>
      </c>
      <c r="D183" s="282" t="s">
        <v>460</v>
      </c>
      <c r="E183" s="25"/>
      <c r="F183" s="25"/>
      <c r="G183" s="209"/>
      <c r="H183" s="90"/>
      <c r="I183" s="209">
        <v>263703</v>
      </c>
      <c r="J183" s="209">
        <f t="shared" si="42"/>
        <v>263703</v>
      </c>
      <c r="K183" s="37"/>
      <c r="L183" s="209">
        <f t="shared" si="64"/>
        <v>263703</v>
      </c>
      <c r="M183" s="209">
        <f t="shared" si="43"/>
        <v>0</v>
      </c>
      <c r="N183" s="37"/>
      <c r="O183" s="209">
        <f t="shared" si="62"/>
        <v>263703</v>
      </c>
      <c r="P183" s="209">
        <f t="shared" si="44"/>
        <v>0</v>
      </c>
      <c r="Q183" s="37"/>
    </row>
    <row r="184" spans="2:17" ht="18.600000000000001" customHeight="1" x14ac:dyDescent="0.25">
      <c r="B184" s="231" t="s">
        <v>6</v>
      </c>
      <c r="C184" s="281" t="s">
        <v>461</v>
      </c>
      <c r="D184" s="282" t="s">
        <v>462</v>
      </c>
      <c r="E184" s="25">
        <v>17500</v>
      </c>
      <c r="F184" s="25">
        <f t="shared" si="61"/>
        <v>17500</v>
      </c>
      <c r="G184" s="209">
        <f t="shared" si="41"/>
        <v>0</v>
      </c>
      <c r="H184" s="90"/>
      <c r="I184" s="209">
        <f t="shared" si="63"/>
        <v>17500</v>
      </c>
      <c r="J184" s="209">
        <f t="shared" si="42"/>
        <v>0</v>
      </c>
      <c r="K184" s="37"/>
      <c r="L184" s="209">
        <f>ROUND(I184,0)</f>
        <v>17500</v>
      </c>
      <c r="M184" s="209">
        <f t="shared" si="43"/>
        <v>0</v>
      </c>
      <c r="N184" s="37"/>
      <c r="O184" s="209">
        <f t="shared" si="62"/>
        <v>17500</v>
      </c>
      <c r="P184" s="209">
        <f t="shared" si="44"/>
        <v>0</v>
      </c>
      <c r="Q184" s="37"/>
    </row>
    <row r="185" spans="2:17" ht="33.6" customHeight="1" x14ac:dyDescent="0.25">
      <c r="B185" s="231" t="s">
        <v>6</v>
      </c>
      <c r="C185" s="281" t="s">
        <v>463</v>
      </c>
      <c r="D185" s="282" t="s">
        <v>333</v>
      </c>
      <c r="E185" s="25">
        <v>255000</v>
      </c>
      <c r="F185" s="25">
        <f t="shared" si="61"/>
        <v>255000</v>
      </c>
      <c r="G185" s="209">
        <f t="shared" si="41"/>
        <v>0</v>
      </c>
      <c r="H185" s="90"/>
      <c r="I185" s="209">
        <f t="shared" si="63"/>
        <v>255000</v>
      </c>
      <c r="J185" s="209">
        <f t="shared" si="42"/>
        <v>0</v>
      </c>
      <c r="K185" s="37"/>
      <c r="L185" s="209">
        <f t="shared" si="64"/>
        <v>255000</v>
      </c>
      <c r="M185" s="209">
        <f t="shared" si="43"/>
        <v>0</v>
      </c>
      <c r="N185" s="37"/>
      <c r="O185" s="209">
        <f t="shared" si="62"/>
        <v>255000</v>
      </c>
      <c r="P185" s="209">
        <f t="shared" si="44"/>
        <v>0</v>
      </c>
      <c r="Q185" s="37"/>
    </row>
    <row r="186" spans="2:17" ht="17.45" customHeight="1" x14ac:dyDescent="0.25">
      <c r="B186" s="231" t="s">
        <v>6</v>
      </c>
      <c r="C186" s="281" t="s">
        <v>464</v>
      </c>
      <c r="D186" s="282" t="s">
        <v>465</v>
      </c>
      <c r="E186" s="25">
        <v>39800</v>
      </c>
      <c r="F186" s="25">
        <f t="shared" si="61"/>
        <v>39800</v>
      </c>
      <c r="G186" s="209">
        <f t="shared" si="41"/>
        <v>0</v>
      </c>
      <c r="H186" s="90"/>
      <c r="I186" s="209">
        <f t="shared" si="63"/>
        <v>39800</v>
      </c>
      <c r="J186" s="209">
        <f t="shared" si="42"/>
        <v>0</v>
      </c>
      <c r="K186" s="37"/>
      <c r="L186" s="209">
        <f t="shared" si="64"/>
        <v>39800</v>
      </c>
      <c r="M186" s="209">
        <f t="shared" si="43"/>
        <v>0</v>
      </c>
      <c r="N186" s="37"/>
      <c r="O186" s="209">
        <f t="shared" si="62"/>
        <v>39800</v>
      </c>
      <c r="P186" s="209">
        <f t="shared" si="44"/>
        <v>0</v>
      </c>
      <c r="Q186" s="37"/>
    </row>
    <row r="187" spans="2:17" ht="29.45" customHeight="1" x14ac:dyDescent="0.25">
      <c r="B187" s="231" t="s">
        <v>6</v>
      </c>
      <c r="C187" s="281" t="s">
        <v>466</v>
      </c>
      <c r="D187" s="282" t="s">
        <v>467</v>
      </c>
      <c r="E187" s="25">
        <v>30000</v>
      </c>
      <c r="F187" s="25">
        <f>ROUND(E187,0)</f>
        <v>30000</v>
      </c>
      <c r="G187" s="209">
        <f>F187-E187</f>
        <v>0</v>
      </c>
      <c r="H187" s="90"/>
      <c r="I187" s="209">
        <f>ROUND(F187,0)</f>
        <v>30000</v>
      </c>
      <c r="J187" s="209">
        <f>I187-F187</f>
        <v>0</v>
      </c>
      <c r="K187" s="37"/>
      <c r="L187" s="209">
        <f>ROUND(I187,0)</f>
        <v>30000</v>
      </c>
      <c r="M187" s="209">
        <f>L187-I187</f>
        <v>0</v>
      </c>
      <c r="N187" s="37"/>
      <c r="O187" s="209">
        <f t="shared" si="62"/>
        <v>30000</v>
      </c>
      <c r="P187" s="209">
        <f>O187-L187</f>
        <v>0</v>
      </c>
      <c r="Q187" s="37"/>
    </row>
    <row r="188" spans="2:17" ht="18.600000000000001" customHeight="1" x14ac:dyDescent="0.25">
      <c r="B188" s="231" t="s">
        <v>239</v>
      </c>
      <c r="C188" s="281" t="s">
        <v>466</v>
      </c>
      <c r="D188" s="282" t="s">
        <v>241</v>
      </c>
      <c r="E188" s="25">
        <v>546771</v>
      </c>
      <c r="F188" s="25">
        <f>ROUND(E188,0)</f>
        <v>546771</v>
      </c>
      <c r="G188" s="209">
        <f>F188-E188</f>
        <v>0</v>
      </c>
      <c r="H188" s="90"/>
      <c r="I188" s="209">
        <f t="shared" si="63"/>
        <v>546771</v>
      </c>
      <c r="J188" s="209">
        <f t="shared" si="42"/>
        <v>0</v>
      </c>
      <c r="K188" s="37"/>
      <c r="L188" s="209">
        <f t="shared" si="64"/>
        <v>546771</v>
      </c>
      <c r="M188" s="209">
        <f t="shared" si="43"/>
        <v>0</v>
      </c>
      <c r="N188" s="37"/>
      <c r="O188" s="209">
        <f t="shared" si="62"/>
        <v>546771</v>
      </c>
      <c r="P188" s="209">
        <f t="shared" si="44"/>
        <v>0</v>
      </c>
      <c r="Q188" s="37"/>
    </row>
    <row r="189" spans="2:17" ht="18" customHeight="1" x14ac:dyDescent="0.25">
      <c r="B189" s="231"/>
      <c r="C189" s="281" t="s">
        <v>468</v>
      </c>
      <c r="D189" s="282" t="s">
        <v>469</v>
      </c>
      <c r="E189" s="25">
        <v>0</v>
      </c>
      <c r="F189" s="25">
        <f>ROUND(E189,0)</f>
        <v>0</v>
      </c>
      <c r="G189" s="209">
        <f>F189-E189</f>
        <v>0</v>
      </c>
      <c r="H189" s="37"/>
      <c r="I189" s="209">
        <f t="shared" si="63"/>
        <v>0</v>
      </c>
      <c r="J189" s="209">
        <f t="shared" si="42"/>
        <v>0</v>
      </c>
      <c r="K189" s="37"/>
      <c r="L189" s="209">
        <f>ROUND(I189,0)+55000</f>
        <v>55000</v>
      </c>
      <c r="M189" s="209">
        <f t="shared" si="43"/>
        <v>55000</v>
      </c>
      <c r="N189" s="37" t="s">
        <v>470</v>
      </c>
      <c r="O189" s="209">
        <f t="shared" si="62"/>
        <v>55000</v>
      </c>
      <c r="P189" s="209">
        <f t="shared" si="44"/>
        <v>0</v>
      </c>
      <c r="Q189" s="37"/>
    </row>
    <row r="190" spans="2:17" ht="27.6" customHeight="1" x14ac:dyDescent="0.25">
      <c r="B190" s="231" t="s">
        <v>471</v>
      </c>
      <c r="C190" s="281" t="s">
        <v>472</v>
      </c>
      <c r="D190" s="282" t="s">
        <v>473</v>
      </c>
      <c r="E190" s="25">
        <v>0</v>
      </c>
      <c r="F190" s="25">
        <f>ROUND(E190,0)</f>
        <v>0</v>
      </c>
      <c r="G190" s="209">
        <f>F190-E190</f>
        <v>0</v>
      </c>
      <c r="H190" s="40"/>
      <c r="I190" s="209">
        <f t="shared" si="63"/>
        <v>0</v>
      </c>
      <c r="J190" s="209">
        <f t="shared" si="42"/>
        <v>0</v>
      </c>
      <c r="K190" s="41"/>
      <c r="L190" s="209">
        <f>ROUND(I190,0)+21000</f>
        <v>21000</v>
      </c>
      <c r="M190" s="209">
        <f t="shared" si="43"/>
        <v>21000</v>
      </c>
      <c r="N190" s="37" t="s">
        <v>470</v>
      </c>
      <c r="O190" s="209">
        <f t="shared" si="62"/>
        <v>21000</v>
      </c>
      <c r="P190" s="209">
        <f t="shared" si="44"/>
        <v>0</v>
      </c>
      <c r="Q190" s="41"/>
    </row>
    <row r="191" spans="2:17" x14ac:dyDescent="0.25">
      <c r="C191" s="272" t="s">
        <v>97</v>
      </c>
      <c r="D191" s="273" t="s">
        <v>474</v>
      </c>
      <c r="E191" s="212">
        <v>2519181.6714729005</v>
      </c>
      <c r="F191" s="28">
        <f t="shared" ref="F191" si="65">SUM(F192,F197:F201)+F204+F205</f>
        <v>2529195</v>
      </c>
      <c r="G191" s="212">
        <f>SUM(G192,G197:G205)</f>
        <v>10013.342056599839</v>
      </c>
      <c r="H191" s="219"/>
      <c r="I191" s="212">
        <f>SUM(I192,I197:I201)+I204+I205</f>
        <v>2529195</v>
      </c>
      <c r="J191" s="212">
        <f t="shared" si="42"/>
        <v>0</v>
      </c>
      <c r="K191" s="212"/>
      <c r="L191" s="212">
        <f>SUM(L192,L197:L201)+L204+L205</f>
        <v>2527695</v>
      </c>
      <c r="M191" s="212">
        <f t="shared" si="43"/>
        <v>-1500</v>
      </c>
      <c r="N191" s="212"/>
      <c r="O191" s="212">
        <f>SUM(O192,O197:O201)+O204+O205</f>
        <v>2554562</v>
      </c>
      <c r="P191" s="212">
        <f t="shared" si="44"/>
        <v>26867</v>
      </c>
      <c r="Q191" s="212"/>
    </row>
    <row r="192" spans="2:17" ht="23.25" customHeight="1" x14ac:dyDescent="0.25">
      <c r="C192" s="270" t="s">
        <v>100</v>
      </c>
      <c r="D192" s="271" t="s">
        <v>475</v>
      </c>
      <c r="E192" s="54">
        <v>1326357.7900424001</v>
      </c>
      <c r="F192" s="54">
        <f>SUM(F193:F196)</f>
        <v>1326358</v>
      </c>
      <c r="G192" s="54">
        <f>SUM(G193:G196)</f>
        <v>0.20995759987272322</v>
      </c>
      <c r="H192" s="54">
        <f>SUM(H193:H196)</f>
        <v>0</v>
      </c>
      <c r="I192" s="54">
        <f>SUM(I193:I196)</f>
        <v>1326358</v>
      </c>
      <c r="J192" s="234">
        <f t="shared" si="42"/>
        <v>0</v>
      </c>
      <c r="K192" s="234"/>
      <c r="L192" s="54">
        <f>SUM(L193:L196)</f>
        <v>1334858</v>
      </c>
      <c r="M192" s="234">
        <f t="shared" si="43"/>
        <v>8500</v>
      </c>
      <c r="N192" s="234"/>
      <c r="O192" s="234">
        <f>SUM(O193:O196)</f>
        <v>1355693</v>
      </c>
      <c r="P192" s="234">
        <f t="shared" si="44"/>
        <v>20835</v>
      </c>
      <c r="Q192" s="234"/>
    </row>
    <row r="193" spans="2:17" ht="60" customHeight="1" x14ac:dyDescent="0.25">
      <c r="B193" s="231" t="s">
        <v>476</v>
      </c>
      <c r="C193" s="276" t="s">
        <v>477</v>
      </c>
      <c r="D193" s="277" t="s">
        <v>478</v>
      </c>
      <c r="E193" s="25">
        <v>638049.85509206681</v>
      </c>
      <c r="F193" s="25">
        <f>ROUND(E193,0)</f>
        <v>638050</v>
      </c>
      <c r="G193" s="209">
        <f t="shared" si="41"/>
        <v>0.14490793319419026</v>
      </c>
      <c r="H193" s="90"/>
      <c r="I193" s="209">
        <f t="shared" ref="I193:I200" si="66">ROUND(F193,0)</f>
        <v>638050</v>
      </c>
      <c r="J193" s="209">
        <f t="shared" si="42"/>
        <v>0</v>
      </c>
      <c r="K193" s="100"/>
      <c r="L193" s="209">
        <f>ROUND(I193,0)</f>
        <v>638050</v>
      </c>
      <c r="M193" s="209">
        <f t="shared" si="43"/>
        <v>0</v>
      </c>
      <c r="N193" s="100"/>
      <c r="O193" s="209">
        <f>ROUND(L193,0)+21000</f>
        <v>659050</v>
      </c>
      <c r="P193" s="209">
        <f t="shared" si="44"/>
        <v>21000</v>
      </c>
      <c r="Q193" s="100" t="s">
        <v>86</v>
      </c>
    </row>
    <row r="194" spans="2:17" ht="25.9" customHeight="1" x14ac:dyDescent="0.25">
      <c r="B194" s="231" t="s">
        <v>479</v>
      </c>
      <c r="C194" s="276" t="s">
        <v>480</v>
      </c>
      <c r="D194" s="277" t="s">
        <v>481</v>
      </c>
      <c r="E194" s="25">
        <v>485179.86028633331</v>
      </c>
      <c r="F194" s="25">
        <f>ROUND(E194,0)</f>
        <v>485180</v>
      </c>
      <c r="G194" s="209">
        <f t="shared" ref="G194:G257" si="67">F194-E194</f>
        <v>0.1397136666928418</v>
      </c>
      <c r="H194" s="90"/>
      <c r="I194" s="209">
        <f t="shared" si="66"/>
        <v>485180</v>
      </c>
      <c r="J194" s="209">
        <f t="shared" si="42"/>
        <v>0</v>
      </c>
      <c r="K194" s="37"/>
      <c r="L194" s="209">
        <f>ROUND(I194,0)+8500</f>
        <v>493680</v>
      </c>
      <c r="M194" s="209">
        <f t="shared" si="43"/>
        <v>8500</v>
      </c>
      <c r="N194" s="100" t="s">
        <v>482</v>
      </c>
      <c r="O194" s="209">
        <f>ROUND(L194,0)-165</f>
        <v>493515</v>
      </c>
      <c r="P194" s="209">
        <f t="shared" si="44"/>
        <v>-165</v>
      </c>
      <c r="Q194" s="37" t="s">
        <v>483</v>
      </c>
    </row>
    <row r="195" spans="2:17" ht="13.15" customHeight="1" x14ac:dyDescent="0.25">
      <c r="B195" s="231" t="s">
        <v>484</v>
      </c>
      <c r="C195" s="276" t="s">
        <v>485</v>
      </c>
      <c r="D195" s="277" t="s">
        <v>486</v>
      </c>
      <c r="E195" s="25">
        <v>172588.07466400001</v>
      </c>
      <c r="F195" s="25">
        <f>ROUND(E195,0)</f>
        <v>172588</v>
      </c>
      <c r="G195" s="209">
        <f t="shared" si="67"/>
        <v>-7.466400001430884E-2</v>
      </c>
      <c r="H195" s="40"/>
      <c r="I195" s="209">
        <f t="shared" si="66"/>
        <v>172588</v>
      </c>
      <c r="J195" s="209">
        <f t="shared" si="42"/>
        <v>0</v>
      </c>
      <c r="K195" s="41"/>
      <c r="L195" s="209">
        <f t="shared" ref="L195:L205" si="68">ROUND(I195,0)</f>
        <v>172588</v>
      </c>
      <c r="M195" s="209">
        <f t="shared" si="43"/>
        <v>0</v>
      </c>
      <c r="N195" s="41"/>
      <c r="O195" s="209">
        <f t="shared" ref="O195:O205" si="69">ROUND(L195,0)</f>
        <v>172588</v>
      </c>
      <c r="P195" s="209">
        <f t="shared" si="44"/>
        <v>0</v>
      </c>
      <c r="Q195" s="41"/>
    </row>
    <row r="196" spans="2:17" ht="16.899999999999999" customHeight="1" x14ac:dyDescent="0.25">
      <c r="B196" s="231" t="s">
        <v>487</v>
      </c>
      <c r="C196" s="276" t="s">
        <v>488</v>
      </c>
      <c r="D196" s="277" t="s">
        <v>489</v>
      </c>
      <c r="E196" s="50">
        <v>30540</v>
      </c>
      <c r="F196" s="50">
        <f>ROUND(E196,0)</f>
        <v>30540</v>
      </c>
      <c r="G196" s="209">
        <f>F196-E196</f>
        <v>0</v>
      </c>
      <c r="H196" s="101"/>
      <c r="I196" s="209">
        <f t="shared" si="66"/>
        <v>30540</v>
      </c>
      <c r="J196" s="209">
        <f t="shared" si="42"/>
        <v>0</v>
      </c>
      <c r="K196" s="41"/>
      <c r="L196" s="209">
        <f t="shared" si="68"/>
        <v>30540</v>
      </c>
      <c r="M196" s="209">
        <f t="shared" si="43"/>
        <v>0</v>
      </c>
      <c r="N196" s="102"/>
      <c r="O196" s="209">
        <f t="shared" si="69"/>
        <v>30540</v>
      </c>
      <c r="P196" s="209">
        <f t="shared" si="44"/>
        <v>0</v>
      </c>
      <c r="Q196" s="102"/>
    </row>
    <row r="197" spans="2:17" ht="29.45" customHeight="1" x14ac:dyDescent="0.25">
      <c r="B197" s="231" t="s">
        <v>490</v>
      </c>
      <c r="C197" s="291" t="s">
        <v>491</v>
      </c>
      <c r="D197" s="271" t="s">
        <v>492</v>
      </c>
      <c r="E197" s="54">
        <v>185742</v>
      </c>
      <c r="F197" s="54">
        <f>ROUND(E197,0)+10013</f>
        <v>195755</v>
      </c>
      <c r="G197" s="234">
        <f t="shared" si="67"/>
        <v>10013</v>
      </c>
      <c r="H197" s="103" t="s">
        <v>493</v>
      </c>
      <c r="I197" s="234">
        <f t="shared" si="66"/>
        <v>195755</v>
      </c>
      <c r="J197" s="234">
        <f t="shared" si="42"/>
        <v>0</v>
      </c>
      <c r="K197" s="104"/>
      <c r="L197" s="234">
        <f t="shared" si="68"/>
        <v>195755</v>
      </c>
      <c r="M197" s="234">
        <f t="shared" si="43"/>
        <v>0</v>
      </c>
      <c r="N197" s="104"/>
      <c r="O197" s="234">
        <f t="shared" si="69"/>
        <v>195755</v>
      </c>
      <c r="P197" s="234">
        <f t="shared" si="44"/>
        <v>0</v>
      </c>
      <c r="Q197" s="104"/>
    </row>
    <row r="198" spans="2:17" ht="27" customHeight="1" x14ac:dyDescent="0.25">
      <c r="B198" s="231" t="s">
        <v>494</v>
      </c>
      <c r="C198" s="291" t="s">
        <v>495</v>
      </c>
      <c r="D198" s="271" t="s">
        <v>496</v>
      </c>
      <c r="E198" s="54">
        <v>0</v>
      </c>
      <c r="F198" s="54">
        <f t="shared" ref="F198:F205" si="70">ROUND(E198,0)</f>
        <v>0</v>
      </c>
      <c r="G198" s="234">
        <f t="shared" si="67"/>
        <v>0</v>
      </c>
      <c r="H198" s="55"/>
      <c r="I198" s="234">
        <f t="shared" si="66"/>
        <v>0</v>
      </c>
      <c r="J198" s="234">
        <f t="shared" si="42"/>
        <v>0</v>
      </c>
      <c r="K198" s="56"/>
      <c r="L198" s="234">
        <f t="shared" si="68"/>
        <v>0</v>
      </c>
      <c r="M198" s="234">
        <f t="shared" si="43"/>
        <v>0</v>
      </c>
      <c r="N198" s="56"/>
      <c r="O198" s="234">
        <f t="shared" si="69"/>
        <v>0</v>
      </c>
      <c r="P198" s="234">
        <f t="shared" si="44"/>
        <v>0</v>
      </c>
      <c r="Q198" s="56"/>
    </row>
    <row r="199" spans="2:17" ht="15" customHeight="1" x14ac:dyDescent="0.25">
      <c r="B199" s="231" t="s">
        <v>497</v>
      </c>
      <c r="C199" s="270" t="s">
        <v>498</v>
      </c>
      <c r="D199" s="271" t="s">
        <v>499</v>
      </c>
      <c r="E199" s="54">
        <v>153395.37309000001</v>
      </c>
      <c r="F199" s="54">
        <f t="shared" si="70"/>
        <v>153395</v>
      </c>
      <c r="G199" s="234">
        <f t="shared" si="67"/>
        <v>-0.37309000000823289</v>
      </c>
      <c r="H199" s="105"/>
      <c r="I199" s="234">
        <f t="shared" si="66"/>
        <v>153395</v>
      </c>
      <c r="J199" s="234">
        <f t="shared" si="42"/>
        <v>0</v>
      </c>
      <c r="K199" s="104"/>
      <c r="L199" s="234">
        <f t="shared" si="68"/>
        <v>153395</v>
      </c>
      <c r="M199" s="234">
        <f t="shared" si="43"/>
        <v>0</v>
      </c>
      <c r="N199" s="104"/>
      <c r="O199" s="234">
        <f>ROUND(L199,0)-276</f>
        <v>153119</v>
      </c>
      <c r="P199" s="234">
        <f t="shared" si="44"/>
        <v>-276</v>
      </c>
      <c r="Q199" s="104" t="s">
        <v>500</v>
      </c>
    </row>
    <row r="200" spans="2:17" ht="15.6" customHeight="1" x14ac:dyDescent="0.25">
      <c r="B200" s="231" t="s">
        <v>501</v>
      </c>
      <c r="C200" s="270" t="s">
        <v>502</v>
      </c>
      <c r="D200" s="271" t="s">
        <v>503</v>
      </c>
      <c r="E200" s="54">
        <v>64813.521870000011</v>
      </c>
      <c r="F200" s="54">
        <f t="shared" si="70"/>
        <v>64814</v>
      </c>
      <c r="G200" s="234">
        <f t="shared" si="67"/>
        <v>0.47812999998859596</v>
      </c>
      <c r="H200" s="105"/>
      <c r="I200" s="234">
        <f t="shared" si="66"/>
        <v>64814</v>
      </c>
      <c r="J200" s="234">
        <f t="shared" si="42"/>
        <v>0</v>
      </c>
      <c r="K200" s="104"/>
      <c r="L200" s="234">
        <f t="shared" si="68"/>
        <v>64814</v>
      </c>
      <c r="M200" s="234">
        <f t="shared" si="43"/>
        <v>0</v>
      </c>
      <c r="N200" s="104"/>
      <c r="O200" s="234">
        <f>ROUND(L200,0)-62</f>
        <v>64752</v>
      </c>
      <c r="P200" s="234">
        <f t="shared" si="44"/>
        <v>-62</v>
      </c>
      <c r="Q200" s="104" t="s">
        <v>504</v>
      </c>
    </row>
    <row r="201" spans="2:17" ht="15" customHeight="1" x14ac:dyDescent="0.25">
      <c r="B201" s="231" t="s">
        <v>288</v>
      </c>
      <c r="C201" s="270" t="s">
        <v>505</v>
      </c>
      <c r="D201" s="271" t="s">
        <v>506</v>
      </c>
      <c r="E201" s="54">
        <v>765644.98647050001</v>
      </c>
      <c r="F201" s="54">
        <f t="shared" ref="F201" si="71">F202+F203</f>
        <v>765645</v>
      </c>
      <c r="G201" s="234">
        <f t="shared" si="67"/>
        <v>1.3529499992728233E-2</v>
      </c>
      <c r="H201" s="55"/>
      <c r="I201" s="234">
        <f>I202+I203</f>
        <v>765645</v>
      </c>
      <c r="J201" s="234">
        <f t="shared" ref="J201:J281" si="72">I201-F201</f>
        <v>0</v>
      </c>
      <c r="K201" s="56"/>
      <c r="L201" s="234">
        <f>L202+L203</f>
        <v>755645</v>
      </c>
      <c r="M201" s="234">
        <f t="shared" ref="M201:M281" si="73">L201-I201</f>
        <v>-10000</v>
      </c>
      <c r="N201" s="56"/>
      <c r="O201" s="234">
        <f>O202+O203</f>
        <v>762015</v>
      </c>
      <c r="P201" s="234">
        <f t="shared" ref="P201:P281" si="74">O201-L201</f>
        <v>6370</v>
      </c>
      <c r="Q201" s="56"/>
    </row>
    <row r="202" spans="2:17" ht="82.9" customHeight="1" x14ac:dyDescent="0.25">
      <c r="B202" s="231"/>
      <c r="C202" s="292" t="s">
        <v>507</v>
      </c>
      <c r="D202" s="277" t="s">
        <v>508</v>
      </c>
      <c r="E202" s="50">
        <v>765644.98647050001</v>
      </c>
      <c r="F202" s="50">
        <f>ROUND(E202,0)-126968</f>
        <v>638677</v>
      </c>
      <c r="G202" s="293">
        <f t="shared" si="67"/>
        <v>-126967.98647050001</v>
      </c>
      <c r="H202" s="41" t="s">
        <v>509</v>
      </c>
      <c r="I202" s="209">
        <f>ROUND(F202,0)-43878</f>
        <v>594799</v>
      </c>
      <c r="J202" s="209">
        <f t="shared" si="72"/>
        <v>-43878</v>
      </c>
      <c r="K202" s="41" t="s">
        <v>510</v>
      </c>
      <c r="L202" s="209">
        <f>ROUND(I202,0)-10000</f>
        <v>584799</v>
      </c>
      <c r="M202" s="209">
        <f t="shared" si="73"/>
        <v>-10000</v>
      </c>
      <c r="N202" s="41" t="s">
        <v>511</v>
      </c>
      <c r="O202" s="209">
        <f>ROUND(L202,0)+6370-926</f>
        <v>590243</v>
      </c>
      <c r="P202" s="209">
        <f t="shared" si="74"/>
        <v>5444</v>
      </c>
      <c r="Q202" s="41" t="s">
        <v>512</v>
      </c>
    </row>
    <row r="203" spans="2:17" ht="15" customHeight="1" x14ac:dyDescent="0.25">
      <c r="B203" s="231"/>
      <c r="C203" s="294" t="s">
        <v>513</v>
      </c>
      <c r="D203" s="277" t="s">
        <v>514</v>
      </c>
      <c r="E203" s="50">
        <v>0</v>
      </c>
      <c r="F203" s="50">
        <v>126968</v>
      </c>
      <c r="G203" s="293">
        <f t="shared" si="67"/>
        <v>126968</v>
      </c>
      <c r="H203" s="40"/>
      <c r="I203" s="209">
        <f>ROUND(F203,0)+43878</f>
        <v>170846</v>
      </c>
      <c r="J203" s="209">
        <f t="shared" si="72"/>
        <v>43878</v>
      </c>
      <c r="K203" s="41" t="s">
        <v>510</v>
      </c>
      <c r="L203" s="209">
        <f t="shared" si="68"/>
        <v>170846</v>
      </c>
      <c r="M203" s="209">
        <f t="shared" si="73"/>
        <v>0</v>
      </c>
      <c r="N203" s="41"/>
      <c r="O203" s="209">
        <f>ROUND(L203,0)+926</f>
        <v>171772</v>
      </c>
      <c r="P203" s="209">
        <f t="shared" si="74"/>
        <v>926</v>
      </c>
      <c r="Q203" s="41" t="s">
        <v>515</v>
      </c>
    </row>
    <row r="204" spans="2:17" ht="15.6" customHeight="1" x14ac:dyDescent="0.25">
      <c r="B204" s="231" t="s">
        <v>516</v>
      </c>
      <c r="C204" s="270" t="s">
        <v>517</v>
      </c>
      <c r="D204" s="271" t="s">
        <v>518</v>
      </c>
      <c r="E204" s="54">
        <v>4000</v>
      </c>
      <c r="F204" s="54">
        <f t="shared" si="70"/>
        <v>4000</v>
      </c>
      <c r="G204" s="234">
        <f t="shared" si="67"/>
        <v>0</v>
      </c>
      <c r="H204" s="86"/>
      <c r="I204" s="234">
        <f>ROUND(F204,0)</f>
        <v>4000</v>
      </c>
      <c r="J204" s="234">
        <f t="shared" si="72"/>
        <v>0</v>
      </c>
      <c r="K204" s="87"/>
      <c r="L204" s="234">
        <f t="shared" si="68"/>
        <v>4000</v>
      </c>
      <c r="M204" s="234">
        <f t="shared" si="73"/>
        <v>0</v>
      </c>
      <c r="N204" s="87"/>
      <c r="O204" s="234">
        <f t="shared" si="69"/>
        <v>4000</v>
      </c>
      <c r="P204" s="234">
        <f t="shared" si="74"/>
        <v>0</v>
      </c>
      <c r="Q204" s="87"/>
    </row>
    <row r="205" spans="2:17" ht="15.6" customHeight="1" x14ac:dyDescent="0.25">
      <c r="B205" s="231" t="s">
        <v>519</v>
      </c>
      <c r="C205" s="270" t="s">
        <v>520</v>
      </c>
      <c r="D205" s="271" t="s">
        <v>521</v>
      </c>
      <c r="E205" s="54">
        <v>19228</v>
      </c>
      <c r="F205" s="54">
        <f t="shared" si="70"/>
        <v>19228</v>
      </c>
      <c r="G205" s="234">
        <f t="shared" si="67"/>
        <v>0</v>
      </c>
      <c r="H205" s="86"/>
      <c r="I205" s="234">
        <f>ROUND(F205,0)</f>
        <v>19228</v>
      </c>
      <c r="J205" s="234">
        <f t="shared" si="72"/>
        <v>0</v>
      </c>
      <c r="K205" s="87"/>
      <c r="L205" s="234">
        <f t="shared" si="68"/>
        <v>19228</v>
      </c>
      <c r="M205" s="234">
        <f t="shared" si="73"/>
        <v>0</v>
      </c>
      <c r="N205" s="87"/>
      <c r="O205" s="234">
        <f t="shared" si="69"/>
        <v>19228</v>
      </c>
      <c r="P205" s="234">
        <f t="shared" si="74"/>
        <v>0</v>
      </c>
      <c r="Q205" s="87"/>
    </row>
    <row r="206" spans="2:17" s="266" customFormat="1" ht="15.6" customHeight="1" x14ac:dyDescent="0.2">
      <c r="C206" s="272" t="s">
        <v>105</v>
      </c>
      <c r="D206" s="273" t="s">
        <v>522</v>
      </c>
      <c r="E206" s="212">
        <v>3797025.7610668591</v>
      </c>
      <c r="F206" s="212">
        <f t="shared" ref="F206:L206" si="75">F207+F214+F217+F222+F223+F224+F225+F226+F227</f>
        <v>3834372</v>
      </c>
      <c r="G206" s="212">
        <f t="shared" si="75"/>
        <v>37346.238933140878</v>
      </c>
      <c r="H206" s="212">
        <f t="shared" si="75"/>
        <v>0</v>
      </c>
      <c r="I206" s="212">
        <f t="shared" si="75"/>
        <v>3834372</v>
      </c>
      <c r="J206" s="212">
        <f t="shared" si="75"/>
        <v>0</v>
      </c>
      <c r="K206" s="212">
        <f t="shared" si="75"/>
        <v>0</v>
      </c>
      <c r="L206" s="212">
        <f t="shared" si="75"/>
        <v>3806675</v>
      </c>
      <c r="M206" s="212">
        <f t="shared" si="73"/>
        <v>-27697</v>
      </c>
      <c r="N206" s="212"/>
      <c r="O206" s="212">
        <f>O207+O214+O217+O222+O223+O224+O225+O226+O227</f>
        <v>3850931</v>
      </c>
      <c r="P206" s="212">
        <f t="shared" si="74"/>
        <v>44256</v>
      </c>
      <c r="Q206" s="212"/>
    </row>
    <row r="207" spans="2:17" s="266" customFormat="1" ht="15" customHeight="1" x14ac:dyDescent="0.25">
      <c r="C207" s="270" t="s">
        <v>108</v>
      </c>
      <c r="D207" s="271" t="s">
        <v>523</v>
      </c>
      <c r="E207" s="54">
        <v>2756987.0633929078</v>
      </c>
      <c r="F207" s="54">
        <f>F208+F209+F210+F211+F213</f>
        <v>2756987</v>
      </c>
      <c r="G207" s="234">
        <f>G208+G209+G210+G211+G213</f>
        <v>-6.3392907846719027E-2</v>
      </c>
      <c r="H207" s="275"/>
      <c r="I207" s="234">
        <f t="shared" ref="I207:L207" si="76">SUM(I208:I213)</f>
        <v>2756987</v>
      </c>
      <c r="J207" s="234">
        <f t="shared" si="76"/>
        <v>0</v>
      </c>
      <c r="K207" s="234">
        <f t="shared" si="76"/>
        <v>0</v>
      </c>
      <c r="L207" s="234">
        <f t="shared" si="76"/>
        <v>2756987</v>
      </c>
      <c r="M207" s="234">
        <f t="shared" si="73"/>
        <v>0</v>
      </c>
      <c r="N207" s="234"/>
      <c r="O207" s="234">
        <f>SUM(O208:O213)</f>
        <v>2756959</v>
      </c>
      <c r="P207" s="234">
        <f t="shared" si="74"/>
        <v>-28</v>
      </c>
      <c r="Q207" s="234"/>
    </row>
    <row r="208" spans="2:17" s="295" customFormat="1" ht="18.600000000000001" customHeight="1" outlineLevel="1" x14ac:dyDescent="0.25">
      <c r="B208" s="295">
        <v>1010</v>
      </c>
      <c r="C208" s="292" t="s">
        <v>524</v>
      </c>
      <c r="D208" s="296" t="s">
        <v>525</v>
      </c>
      <c r="E208" s="106">
        <v>650934.06339290785</v>
      </c>
      <c r="F208" s="106">
        <f>ROUND(E208,0)</f>
        <v>650934</v>
      </c>
      <c r="G208" s="293">
        <f t="shared" si="67"/>
        <v>-6.3392907846719027E-2</v>
      </c>
      <c r="H208" s="107"/>
      <c r="I208" s="293">
        <f>ROUND(F208,0)</f>
        <v>650934</v>
      </c>
      <c r="J208" s="293">
        <f t="shared" si="72"/>
        <v>0</v>
      </c>
      <c r="K208" s="37"/>
      <c r="L208" s="293">
        <f>ROUND(I208,0)</f>
        <v>650934</v>
      </c>
      <c r="M208" s="293">
        <f t="shared" si="73"/>
        <v>0</v>
      </c>
      <c r="N208" s="37"/>
      <c r="O208" s="293">
        <f>ROUND(L208,0)-1186</f>
        <v>649748</v>
      </c>
      <c r="P208" s="293">
        <f t="shared" si="74"/>
        <v>-1186</v>
      </c>
      <c r="Q208" s="41" t="s">
        <v>526</v>
      </c>
    </row>
    <row r="209" spans="2:17" s="295" customFormat="1" ht="16.149999999999999" customHeight="1" outlineLevel="1" x14ac:dyDescent="0.25">
      <c r="B209" s="295">
        <v>1010</v>
      </c>
      <c r="C209" s="294" t="s">
        <v>527</v>
      </c>
      <c r="D209" s="296" t="s">
        <v>528</v>
      </c>
      <c r="E209" s="106">
        <v>1598833</v>
      </c>
      <c r="F209" s="106">
        <f>ROUND(E209,0)</f>
        <v>1598833</v>
      </c>
      <c r="G209" s="293">
        <f t="shared" si="67"/>
        <v>0</v>
      </c>
      <c r="H209" s="40"/>
      <c r="I209" s="293">
        <f>ROUND(F209,0)</f>
        <v>1598833</v>
      </c>
      <c r="J209" s="293">
        <f t="shared" si="72"/>
        <v>0</v>
      </c>
      <c r="K209" s="52"/>
      <c r="L209" s="293">
        <f>ROUND(I209,0)</f>
        <v>1598833</v>
      </c>
      <c r="M209" s="293">
        <f t="shared" si="73"/>
        <v>0</v>
      </c>
      <c r="N209" s="52"/>
      <c r="O209" s="293">
        <f>ROUND(L209,0)</f>
        <v>1598833</v>
      </c>
      <c r="P209" s="293">
        <f t="shared" si="74"/>
        <v>0</v>
      </c>
      <c r="Q209" s="52"/>
    </row>
    <row r="210" spans="2:17" s="295" customFormat="1" ht="17.45" customHeight="1" outlineLevel="1" x14ac:dyDescent="0.25">
      <c r="B210" s="295">
        <v>1010</v>
      </c>
      <c r="C210" s="294" t="s">
        <v>529</v>
      </c>
      <c r="D210" s="296" t="s">
        <v>530</v>
      </c>
      <c r="E210" s="106">
        <v>0</v>
      </c>
      <c r="F210" s="106">
        <f>ROUND(E210,0)</f>
        <v>0</v>
      </c>
      <c r="G210" s="293">
        <f t="shared" si="67"/>
        <v>0</v>
      </c>
      <c r="H210" s="51"/>
      <c r="I210" s="293">
        <f>ROUND(F210,0)</f>
        <v>0</v>
      </c>
      <c r="J210" s="293">
        <f t="shared" si="72"/>
        <v>0</v>
      </c>
      <c r="K210" s="52"/>
      <c r="L210" s="293">
        <f>ROUND(I210,0)</f>
        <v>0</v>
      </c>
      <c r="M210" s="293">
        <f t="shared" si="73"/>
        <v>0</v>
      </c>
      <c r="N210" s="52"/>
      <c r="O210" s="293">
        <f>ROUND(L210,0)</f>
        <v>0</v>
      </c>
      <c r="P210" s="293">
        <f t="shared" si="74"/>
        <v>0</v>
      </c>
      <c r="Q210" s="52"/>
    </row>
    <row r="211" spans="2:17" s="295" customFormat="1" outlineLevel="1" x14ac:dyDescent="0.25">
      <c r="B211" s="295">
        <v>1012</v>
      </c>
      <c r="C211" s="294" t="s">
        <v>531</v>
      </c>
      <c r="D211" s="296" t="s">
        <v>532</v>
      </c>
      <c r="E211" s="106">
        <v>501000</v>
      </c>
      <c r="F211" s="106">
        <f>ROUND(E211,0)</f>
        <v>501000</v>
      </c>
      <c r="G211" s="293">
        <f t="shared" si="67"/>
        <v>0</v>
      </c>
      <c r="H211" s="107"/>
      <c r="I211" s="293">
        <f>ROUND(F211,0)</f>
        <v>501000</v>
      </c>
      <c r="J211" s="293">
        <f t="shared" si="72"/>
        <v>0</v>
      </c>
      <c r="K211" s="108"/>
      <c r="L211" s="293">
        <f>ROUND(I211,0)</f>
        <v>501000</v>
      </c>
      <c r="M211" s="293">
        <f t="shared" si="73"/>
        <v>0</v>
      </c>
      <c r="N211" s="108"/>
      <c r="O211" s="293">
        <f>ROUND(L211,0)</f>
        <v>501000</v>
      </c>
      <c r="P211" s="293">
        <f t="shared" si="74"/>
        <v>0</v>
      </c>
      <c r="Q211" s="108"/>
    </row>
    <row r="212" spans="2:17" s="295" customFormat="1" outlineLevel="1" x14ac:dyDescent="0.25">
      <c r="C212" s="294" t="s">
        <v>533</v>
      </c>
      <c r="D212" s="296" t="s">
        <v>534</v>
      </c>
      <c r="E212" s="106"/>
      <c r="F212" s="106"/>
      <c r="G212" s="293"/>
      <c r="H212" s="107"/>
      <c r="I212" s="293"/>
      <c r="J212" s="293"/>
      <c r="K212" s="108"/>
      <c r="L212" s="293"/>
      <c r="M212" s="293"/>
      <c r="N212" s="108"/>
      <c r="O212" s="293">
        <f>1186</f>
        <v>1186</v>
      </c>
      <c r="P212" s="293">
        <f t="shared" si="74"/>
        <v>1186</v>
      </c>
      <c r="Q212" s="41" t="s">
        <v>526</v>
      </c>
    </row>
    <row r="213" spans="2:17" s="295" customFormat="1" outlineLevel="1" x14ac:dyDescent="0.25">
      <c r="B213" s="295">
        <v>1015</v>
      </c>
      <c r="C213" s="294" t="s">
        <v>535</v>
      </c>
      <c r="D213" s="296" t="s">
        <v>536</v>
      </c>
      <c r="E213" s="106">
        <v>6220</v>
      </c>
      <c r="F213" s="106">
        <f>ROUND(E213,0)</f>
        <v>6220</v>
      </c>
      <c r="G213" s="293">
        <f t="shared" si="67"/>
        <v>0</v>
      </c>
      <c r="H213" s="107"/>
      <c r="I213" s="293">
        <f>ROUND(F213,0)</f>
        <v>6220</v>
      </c>
      <c r="J213" s="293">
        <f t="shared" si="72"/>
        <v>0</v>
      </c>
      <c r="K213" s="108"/>
      <c r="L213" s="293">
        <f>ROUND(I213,0)</f>
        <v>6220</v>
      </c>
      <c r="M213" s="293">
        <f t="shared" si="73"/>
        <v>0</v>
      </c>
      <c r="N213" s="108"/>
      <c r="O213" s="293">
        <f>ROUND(L213,0)-28</f>
        <v>6192</v>
      </c>
      <c r="P213" s="293">
        <f t="shared" si="74"/>
        <v>-28</v>
      </c>
      <c r="Q213" s="108" t="s">
        <v>537</v>
      </c>
    </row>
    <row r="214" spans="2:17" s="266" customFormat="1" ht="19.5" customHeight="1" x14ac:dyDescent="0.25">
      <c r="C214" s="270" t="s">
        <v>113</v>
      </c>
      <c r="D214" s="271" t="s">
        <v>538</v>
      </c>
      <c r="E214" s="54">
        <v>14014</v>
      </c>
      <c r="F214" s="54">
        <f>F215+F216</f>
        <v>14244</v>
      </c>
      <c r="G214" s="234">
        <f t="shared" si="67"/>
        <v>230</v>
      </c>
      <c r="H214" s="55"/>
      <c r="I214" s="234">
        <f>I215+I216</f>
        <v>14244</v>
      </c>
      <c r="J214" s="234">
        <f t="shared" si="72"/>
        <v>0</v>
      </c>
      <c r="K214" s="56"/>
      <c r="L214" s="234">
        <f>L215+L216</f>
        <v>14244</v>
      </c>
      <c r="M214" s="234">
        <f t="shared" si="73"/>
        <v>0</v>
      </c>
      <c r="N214" s="56"/>
      <c r="O214" s="234">
        <f>O215+O216</f>
        <v>14244</v>
      </c>
      <c r="P214" s="234">
        <f t="shared" si="74"/>
        <v>0</v>
      </c>
      <c r="Q214" s="56"/>
    </row>
    <row r="215" spans="2:17" s="295" customFormat="1" outlineLevel="1" x14ac:dyDescent="0.25">
      <c r="B215" s="295">
        <v>1011</v>
      </c>
      <c r="C215" s="294" t="s">
        <v>539</v>
      </c>
      <c r="D215" s="296" t="s">
        <v>540</v>
      </c>
      <c r="E215" s="106">
        <v>1407</v>
      </c>
      <c r="F215" s="106">
        <f>ROUND(E215,0)</f>
        <v>1407</v>
      </c>
      <c r="G215" s="293">
        <f t="shared" si="67"/>
        <v>0</v>
      </c>
      <c r="H215" s="107"/>
      <c r="I215" s="293">
        <f>ROUND(F215,0)</f>
        <v>1407</v>
      </c>
      <c r="J215" s="293">
        <f t="shared" si="72"/>
        <v>0</v>
      </c>
      <c r="K215" s="108"/>
      <c r="L215" s="293">
        <f>ROUND(I215,0)</f>
        <v>1407</v>
      </c>
      <c r="M215" s="293">
        <f t="shared" si="73"/>
        <v>0</v>
      </c>
      <c r="N215" s="108"/>
      <c r="O215" s="293">
        <f>ROUND(L215,0)</f>
        <v>1407</v>
      </c>
      <c r="P215" s="293">
        <f t="shared" si="74"/>
        <v>0</v>
      </c>
      <c r="Q215" s="108"/>
    </row>
    <row r="216" spans="2:17" s="295" customFormat="1" outlineLevel="1" x14ac:dyDescent="0.25">
      <c r="B216" s="295">
        <v>1011</v>
      </c>
      <c r="C216" s="294" t="s">
        <v>541</v>
      </c>
      <c r="D216" s="296" t="s">
        <v>542</v>
      </c>
      <c r="E216" s="106">
        <v>12607</v>
      </c>
      <c r="F216" s="106">
        <f>ROUND(E216,0)+230</f>
        <v>12837</v>
      </c>
      <c r="G216" s="293">
        <f t="shared" si="67"/>
        <v>230</v>
      </c>
      <c r="H216" s="108" t="s">
        <v>1</v>
      </c>
      <c r="I216" s="293">
        <f>ROUND(F216,0)</f>
        <v>12837</v>
      </c>
      <c r="J216" s="293">
        <f t="shared" si="72"/>
        <v>0</v>
      </c>
      <c r="K216" s="108"/>
      <c r="L216" s="293">
        <f>ROUND(I216,0)</f>
        <v>12837</v>
      </c>
      <c r="M216" s="293">
        <f t="shared" si="73"/>
        <v>0</v>
      </c>
      <c r="N216" s="108"/>
      <c r="O216" s="293">
        <f>ROUND(L216,0)</f>
        <v>12837</v>
      </c>
      <c r="P216" s="293">
        <f t="shared" si="74"/>
        <v>0</v>
      </c>
      <c r="Q216" s="108"/>
    </row>
    <row r="217" spans="2:17" s="266" customFormat="1" ht="27" customHeight="1" x14ac:dyDescent="0.25">
      <c r="C217" s="270" t="s">
        <v>115</v>
      </c>
      <c r="D217" s="271" t="s">
        <v>543</v>
      </c>
      <c r="E217" s="42">
        <v>622113.62317695003</v>
      </c>
      <c r="F217" s="42">
        <f t="shared" ref="F217:G217" si="77">SUM(F218:F221)</f>
        <v>659230</v>
      </c>
      <c r="G217" s="222">
        <f t="shared" si="77"/>
        <v>37116.376823049912</v>
      </c>
      <c r="H217" s="86"/>
      <c r="I217" s="222">
        <f>SUM(I218:I221)</f>
        <v>659230</v>
      </c>
      <c r="J217" s="222">
        <f t="shared" si="72"/>
        <v>0</v>
      </c>
      <c r="K217" s="87"/>
      <c r="L217" s="222">
        <f>SUM(L218:L221)</f>
        <v>631533</v>
      </c>
      <c r="M217" s="222">
        <f t="shared" si="73"/>
        <v>-27697</v>
      </c>
      <c r="N217" s="87"/>
      <c r="O217" s="222">
        <f>SUM(O218:O221)</f>
        <v>631533</v>
      </c>
      <c r="P217" s="222">
        <f t="shared" si="74"/>
        <v>0</v>
      </c>
      <c r="Q217" s="87"/>
    </row>
    <row r="218" spans="2:17" s="266" customFormat="1" ht="15" customHeight="1" x14ac:dyDescent="0.25">
      <c r="B218" s="191" t="s">
        <v>544</v>
      </c>
      <c r="C218" s="297" t="s">
        <v>545</v>
      </c>
      <c r="D218" s="298" t="s">
        <v>546</v>
      </c>
      <c r="E218" s="25">
        <v>402246.62317695009</v>
      </c>
      <c r="F218" s="25">
        <f>ROUND(E218,0)</f>
        <v>402247</v>
      </c>
      <c r="G218" s="209">
        <f t="shared" si="67"/>
        <v>0.37682304991176352</v>
      </c>
      <c r="H218" s="26"/>
      <c r="I218" s="209">
        <f>ROUND(F218,0)</f>
        <v>402247</v>
      </c>
      <c r="J218" s="209">
        <f t="shared" si="72"/>
        <v>0</v>
      </c>
      <c r="K218" s="37"/>
      <c r="L218" s="209">
        <f>ROUND(I218,0)-27697</f>
        <v>374550</v>
      </c>
      <c r="M218" s="209">
        <f t="shared" si="73"/>
        <v>-27697</v>
      </c>
      <c r="N218" s="37" t="s">
        <v>365</v>
      </c>
      <c r="O218" s="209">
        <f>ROUND(L218,0)-3745</f>
        <v>370805</v>
      </c>
      <c r="P218" s="209">
        <f t="shared" si="74"/>
        <v>-3745</v>
      </c>
      <c r="Q218" s="41" t="s">
        <v>547</v>
      </c>
    </row>
    <row r="219" spans="2:17" s="266" customFormat="1" ht="15" customHeight="1" x14ac:dyDescent="0.25">
      <c r="B219" s="191" t="s">
        <v>544</v>
      </c>
      <c r="C219" s="297" t="s">
        <v>548</v>
      </c>
      <c r="D219" s="298" t="s">
        <v>549</v>
      </c>
      <c r="E219" s="25"/>
      <c r="F219" s="25"/>
      <c r="G219" s="209"/>
      <c r="H219" s="26"/>
      <c r="I219" s="209"/>
      <c r="J219" s="209"/>
      <c r="K219" s="37"/>
      <c r="L219" s="209"/>
      <c r="M219" s="209"/>
      <c r="N219" s="37"/>
      <c r="O219" s="209">
        <f>3745</f>
        <v>3745</v>
      </c>
      <c r="P219" s="209">
        <f t="shared" si="74"/>
        <v>3745</v>
      </c>
      <c r="Q219" s="41" t="s">
        <v>547</v>
      </c>
    </row>
    <row r="220" spans="2:17" s="266" customFormat="1" ht="15.75" customHeight="1" x14ac:dyDescent="0.25">
      <c r="B220" s="191" t="s">
        <v>544</v>
      </c>
      <c r="C220" s="299" t="s">
        <v>550</v>
      </c>
      <c r="D220" s="298" t="s">
        <v>551</v>
      </c>
      <c r="E220" s="25">
        <v>10250</v>
      </c>
      <c r="F220" s="25">
        <f>ROUND(E220,0)+38150</f>
        <v>48400</v>
      </c>
      <c r="G220" s="209">
        <f t="shared" si="67"/>
        <v>38150</v>
      </c>
      <c r="H220" s="27" t="s">
        <v>552</v>
      </c>
      <c r="I220" s="209">
        <f t="shared" ref="I220:I227" si="78">ROUND(F220,0)</f>
        <v>48400</v>
      </c>
      <c r="J220" s="209">
        <f t="shared" si="72"/>
        <v>0</v>
      </c>
      <c r="K220" s="27"/>
      <c r="L220" s="209">
        <f t="shared" ref="L220:L227" si="79">ROUND(I220,0)</f>
        <v>48400</v>
      </c>
      <c r="M220" s="209">
        <f t="shared" si="73"/>
        <v>0</v>
      </c>
      <c r="N220" s="27"/>
      <c r="O220" s="209">
        <f t="shared" ref="O220:O227" si="80">ROUND(L220,0)</f>
        <v>48400</v>
      </c>
      <c r="P220" s="209">
        <f t="shared" si="74"/>
        <v>0</v>
      </c>
      <c r="Q220" s="27"/>
    </row>
    <row r="221" spans="2:17" s="266" customFormat="1" ht="15.6" customHeight="1" x14ac:dyDescent="0.25">
      <c r="B221" s="191" t="s">
        <v>553</v>
      </c>
      <c r="C221" s="297" t="s">
        <v>554</v>
      </c>
      <c r="D221" s="298" t="s">
        <v>555</v>
      </c>
      <c r="E221" s="25">
        <v>209617</v>
      </c>
      <c r="F221" s="25">
        <f>ROUND(E221,0)-1034</f>
        <v>208583</v>
      </c>
      <c r="G221" s="209">
        <f t="shared" si="67"/>
        <v>-1034</v>
      </c>
      <c r="H221" s="27" t="s">
        <v>1</v>
      </c>
      <c r="I221" s="209">
        <f t="shared" si="78"/>
        <v>208583</v>
      </c>
      <c r="J221" s="209">
        <f t="shared" si="72"/>
        <v>0</v>
      </c>
      <c r="K221" s="27"/>
      <c r="L221" s="209">
        <f t="shared" si="79"/>
        <v>208583</v>
      </c>
      <c r="M221" s="209">
        <f t="shared" si="73"/>
        <v>0</v>
      </c>
      <c r="N221" s="27"/>
      <c r="O221" s="209">
        <f t="shared" si="80"/>
        <v>208583</v>
      </c>
      <c r="P221" s="209">
        <f t="shared" si="74"/>
        <v>0</v>
      </c>
      <c r="Q221" s="27"/>
    </row>
    <row r="222" spans="2:17" s="266" customFormat="1" ht="16.149999999999999" customHeight="1" x14ac:dyDescent="0.25">
      <c r="C222" s="270" t="s">
        <v>556</v>
      </c>
      <c r="D222" s="271" t="s">
        <v>557</v>
      </c>
      <c r="E222" s="54">
        <v>139599.07449700119</v>
      </c>
      <c r="F222" s="54">
        <f>ROUND(E222,0)</f>
        <v>139599</v>
      </c>
      <c r="G222" s="234">
        <f t="shared" si="67"/>
        <v>-7.4497001187410206E-2</v>
      </c>
      <c r="H222" s="86"/>
      <c r="I222" s="234">
        <f>ROUND(F222,0)</f>
        <v>139599</v>
      </c>
      <c r="J222" s="234">
        <f t="shared" si="72"/>
        <v>0</v>
      </c>
      <c r="K222" s="56"/>
      <c r="L222" s="234">
        <f t="shared" si="79"/>
        <v>139599</v>
      </c>
      <c r="M222" s="234">
        <f t="shared" si="73"/>
        <v>0</v>
      </c>
      <c r="N222" s="56"/>
      <c r="O222" s="234">
        <f t="shared" si="80"/>
        <v>139599</v>
      </c>
      <c r="P222" s="234">
        <f t="shared" si="74"/>
        <v>0</v>
      </c>
      <c r="Q222" s="56"/>
    </row>
    <row r="223" spans="2:17" s="266" customFormat="1" ht="18.75" customHeight="1" x14ac:dyDescent="0.25">
      <c r="B223" s="191">
        <v>1016</v>
      </c>
      <c r="C223" s="270" t="s">
        <v>558</v>
      </c>
      <c r="D223" s="271" t="s">
        <v>178</v>
      </c>
      <c r="E223" s="54">
        <v>50000</v>
      </c>
      <c r="F223" s="54">
        <f>ROUND(E223,0)</f>
        <v>50000</v>
      </c>
      <c r="G223" s="234">
        <f t="shared" si="67"/>
        <v>0</v>
      </c>
      <c r="H223" s="86"/>
      <c r="I223" s="234">
        <f>ROUND(F223,0)</f>
        <v>50000</v>
      </c>
      <c r="J223" s="234">
        <f t="shared" si="72"/>
        <v>0</v>
      </c>
      <c r="K223" s="87"/>
      <c r="L223" s="234">
        <f t="shared" si="79"/>
        <v>50000</v>
      </c>
      <c r="M223" s="234">
        <f t="shared" si="73"/>
        <v>0</v>
      </c>
      <c r="N223" s="87"/>
      <c r="O223" s="234">
        <f>ROUND(L223,0)</f>
        <v>50000</v>
      </c>
      <c r="P223" s="234">
        <f t="shared" si="74"/>
        <v>0</v>
      </c>
      <c r="Q223" s="87"/>
    </row>
    <row r="224" spans="2:17" s="266" customFormat="1" ht="18.75" customHeight="1" x14ac:dyDescent="0.25">
      <c r="B224" s="191">
        <v>1017</v>
      </c>
      <c r="C224" s="270" t="s">
        <v>559</v>
      </c>
      <c r="D224" s="271" t="s">
        <v>180</v>
      </c>
      <c r="E224" s="54">
        <v>200000</v>
      </c>
      <c r="F224" s="54">
        <f>ROUND(E224,0)</f>
        <v>200000</v>
      </c>
      <c r="G224" s="234">
        <f t="shared" si="67"/>
        <v>0</v>
      </c>
      <c r="H224" s="86"/>
      <c r="I224" s="234">
        <f t="shared" si="78"/>
        <v>200000</v>
      </c>
      <c r="J224" s="234">
        <f t="shared" si="72"/>
        <v>0</v>
      </c>
      <c r="K224" s="87"/>
      <c r="L224" s="234">
        <f t="shared" si="79"/>
        <v>200000</v>
      </c>
      <c r="M224" s="234">
        <f t="shared" si="73"/>
        <v>0</v>
      </c>
      <c r="N224" s="87"/>
      <c r="O224" s="234">
        <f t="shared" si="80"/>
        <v>200000</v>
      </c>
      <c r="P224" s="234">
        <f t="shared" si="74"/>
        <v>0</v>
      </c>
      <c r="Q224" s="87"/>
    </row>
    <row r="225" spans="2:17" s="266" customFormat="1" ht="40.15" customHeight="1" x14ac:dyDescent="0.25">
      <c r="B225" s="191">
        <v>1018</v>
      </c>
      <c r="C225" s="270" t="s">
        <v>560</v>
      </c>
      <c r="D225" s="271" t="s">
        <v>425</v>
      </c>
      <c r="E225" s="54"/>
      <c r="F225" s="54"/>
      <c r="G225" s="234"/>
      <c r="H225" s="86"/>
      <c r="I225" s="234"/>
      <c r="J225" s="234"/>
      <c r="K225" s="87"/>
      <c r="L225" s="234"/>
      <c r="M225" s="234"/>
      <c r="N225" s="87"/>
      <c r="O225" s="234">
        <v>44284</v>
      </c>
      <c r="P225" s="234"/>
      <c r="Q225" s="56" t="s">
        <v>561</v>
      </c>
    </row>
    <row r="226" spans="2:17" ht="40.9" customHeight="1" x14ac:dyDescent="0.25">
      <c r="B226" s="191" t="s">
        <v>562</v>
      </c>
      <c r="C226" s="270" t="s">
        <v>563</v>
      </c>
      <c r="D226" s="271" t="s">
        <v>564</v>
      </c>
      <c r="E226" s="54">
        <v>10226</v>
      </c>
      <c r="F226" s="54">
        <f>ROUND(E226,0)</f>
        <v>10226</v>
      </c>
      <c r="G226" s="234">
        <f>F226-E226</f>
        <v>0</v>
      </c>
      <c r="H226" s="86"/>
      <c r="I226" s="209">
        <f t="shared" si="78"/>
        <v>10226</v>
      </c>
      <c r="J226" s="209">
        <f t="shared" si="72"/>
        <v>0</v>
      </c>
      <c r="K226" s="37"/>
      <c r="L226" s="209">
        <f t="shared" si="79"/>
        <v>10226</v>
      </c>
      <c r="M226" s="209">
        <f t="shared" si="73"/>
        <v>0</v>
      </c>
      <c r="N226" s="37"/>
      <c r="O226" s="209">
        <f t="shared" si="80"/>
        <v>10226</v>
      </c>
      <c r="P226" s="209">
        <f t="shared" si="74"/>
        <v>0</v>
      </c>
      <c r="Q226" s="37"/>
    </row>
    <row r="227" spans="2:17" ht="44.45" customHeight="1" x14ac:dyDescent="0.25">
      <c r="B227" s="191" t="s">
        <v>565</v>
      </c>
      <c r="C227" s="270" t="s">
        <v>566</v>
      </c>
      <c r="D227" s="271" t="s">
        <v>567</v>
      </c>
      <c r="E227" s="54">
        <v>4086</v>
      </c>
      <c r="F227" s="54">
        <f>ROUND(E227,0)</f>
        <v>4086</v>
      </c>
      <c r="G227" s="234">
        <f>F227-E227</f>
        <v>0</v>
      </c>
      <c r="H227" s="86"/>
      <c r="I227" s="209">
        <f t="shared" si="78"/>
        <v>4086</v>
      </c>
      <c r="J227" s="209">
        <f t="shared" si="72"/>
        <v>0</v>
      </c>
      <c r="K227" s="37"/>
      <c r="L227" s="209">
        <f t="shared" si="79"/>
        <v>4086</v>
      </c>
      <c r="M227" s="209">
        <f t="shared" si="73"/>
        <v>0</v>
      </c>
      <c r="N227" s="37"/>
      <c r="O227" s="209">
        <f t="shared" si="80"/>
        <v>4086</v>
      </c>
      <c r="P227" s="209">
        <f t="shared" si="74"/>
        <v>0</v>
      </c>
      <c r="Q227" s="37"/>
    </row>
    <row r="228" spans="2:17" x14ac:dyDescent="0.25">
      <c r="C228" s="272" t="s">
        <v>118</v>
      </c>
      <c r="D228" s="273" t="s">
        <v>568</v>
      </c>
      <c r="E228" s="28">
        <v>24609695.260866992</v>
      </c>
      <c r="F228" s="28">
        <f t="shared" ref="F228" si="81">F229+F230+F234+F238+F242+F246+F250+F261+F262+F280+F283+F286+F287+F288+F289+F290+F291+F292</f>
        <v>25093873</v>
      </c>
      <c r="G228" s="212">
        <f>F228-E228</f>
        <v>484177.73913300782</v>
      </c>
      <c r="H228" s="219"/>
      <c r="I228" s="212">
        <f>I229+I230+I234+I238+I242+I246+I250+I261+I262+I280+I283+I286+I287+I288+I289+I290+I291+I292</f>
        <v>25311613</v>
      </c>
      <c r="J228" s="212">
        <f t="shared" si="72"/>
        <v>217740</v>
      </c>
      <c r="K228" s="212"/>
      <c r="L228" s="212">
        <f>L229+L230+L234+L238+L242+L246+L250+L261+L262+L280+L283+L286+L287+L288+L289+L290+L291+L292</f>
        <v>25301551</v>
      </c>
      <c r="M228" s="212">
        <f t="shared" si="73"/>
        <v>-10062</v>
      </c>
      <c r="N228" s="212"/>
      <c r="O228" s="212">
        <f>O229+O230+O234+O238+O242+O246+O250+O261+O262+O280+O283+O286+O287+O288+O289+O290+O291+O292</f>
        <v>25294922</v>
      </c>
      <c r="P228" s="212">
        <f t="shared" si="74"/>
        <v>-6629</v>
      </c>
      <c r="Q228" s="212"/>
    </row>
    <row r="229" spans="2:17" ht="27.6" customHeight="1" x14ac:dyDescent="0.25">
      <c r="B229" s="300" t="s">
        <v>569</v>
      </c>
      <c r="C229" s="270" t="s">
        <v>570</v>
      </c>
      <c r="D229" s="278" t="s">
        <v>571</v>
      </c>
      <c r="E229" s="54">
        <v>750000</v>
      </c>
      <c r="F229" s="54">
        <f>ROUND(E229,0)</f>
        <v>750000</v>
      </c>
      <c r="G229" s="234">
        <f t="shared" si="67"/>
        <v>0</v>
      </c>
      <c r="H229" s="55"/>
      <c r="I229" s="234">
        <f>ROUND(F229,0)</f>
        <v>750000</v>
      </c>
      <c r="J229" s="234">
        <f t="shared" si="72"/>
        <v>0</v>
      </c>
      <c r="K229" s="56"/>
      <c r="L229" s="234">
        <f>ROUND(I229,0)</f>
        <v>750000</v>
      </c>
      <c r="M229" s="234">
        <f t="shared" si="73"/>
        <v>0</v>
      </c>
      <c r="N229" s="56"/>
      <c r="O229" s="234">
        <f>ROUND(L229,0)</f>
        <v>750000</v>
      </c>
      <c r="P229" s="234">
        <f t="shared" si="74"/>
        <v>0</v>
      </c>
      <c r="Q229" s="56"/>
    </row>
    <row r="230" spans="2:17" ht="18" customHeight="1" x14ac:dyDescent="0.25">
      <c r="C230" s="270" t="s">
        <v>572</v>
      </c>
      <c r="D230" s="278" t="s">
        <v>573</v>
      </c>
      <c r="E230" s="54">
        <v>2321467.5649073655</v>
      </c>
      <c r="F230" s="54">
        <f t="shared" ref="F230" si="82">SUM(F231:F233)</f>
        <v>2327886</v>
      </c>
      <c r="G230" s="234">
        <f t="shared" si="67"/>
        <v>6418.4350926345214</v>
      </c>
      <c r="H230" s="86"/>
      <c r="I230" s="234">
        <f>SUM(I231:I233)</f>
        <v>2335378</v>
      </c>
      <c r="J230" s="234">
        <f t="shared" si="72"/>
        <v>7492</v>
      </c>
      <c r="K230" s="87"/>
      <c r="L230" s="234">
        <f>SUM(L231:L233)</f>
        <v>2312869</v>
      </c>
      <c r="M230" s="234">
        <f t="shared" si="73"/>
        <v>-22509</v>
      </c>
      <c r="N230" s="87"/>
      <c r="O230" s="234">
        <f>SUM(O231:O233)</f>
        <v>2312869</v>
      </c>
      <c r="P230" s="234">
        <f t="shared" si="74"/>
        <v>0</v>
      </c>
      <c r="Q230" s="87"/>
    </row>
    <row r="231" spans="2:17" ht="16.149999999999999" customHeight="1" x14ac:dyDescent="0.25">
      <c r="B231" s="231" t="s">
        <v>574</v>
      </c>
      <c r="C231" s="276" t="s">
        <v>575</v>
      </c>
      <c r="D231" s="256" t="s">
        <v>576</v>
      </c>
      <c r="E231" s="109">
        <v>413462</v>
      </c>
      <c r="F231" s="109">
        <f>ROUND(E231,0)+399+324</f>
        <v>414185</v>
      </c>
      <c r="G231" s="301">
        <f t="shared" si="67"/>
        <v>723</v>
      </c>
      <c r="H231" s="41" t="s">
        <v>577</v>
      </c>
      <c r="I231" s="301">
        <f>ROUND(F231,0)+7380+112</f>
        <v>421677</v>
      </c>
      <c r="J231" s="301">
        <f t="shared" si="72"/>
        <v>7492</v>
      </c>
      <c r="K231" s="41" t="s">
        <v>578</v>
      </c>
      <c r="L231" s="301">
        <f>ROUND(I231,0)</f>
        <v>421677</v>
      </c>
      <c r="M231" s="301">
        <f t="shared" si="73"/>
        <v>0</v>
      </c>
      <c r="N231" s="41"/>
      <c r="O231" s="301">
        <f>ROUND(L231,0)</f>
        <v>421677</v>
      </c>
      <c r="P231" s="301">
        <f t="shared" si="74"/>
        <v>0</v>
      </c>
      <c r="Q231" s="41"/>
    </row>
    <row r="232" spans="2:17" ht="15" customHeight="1" x14ac:dyDescent="0.25">
      <c r="B232" s="231" t="s">
        <v>579</v>
      </c>
      <c r="C232" s="276" t="s">
        <v>580</v>
      </c>
      <c r="D232" s="256" t="s">
        <v>581</v>
      </c>
      <c r="E232" s="109">
        <v>1908005.5649073652</v>
      </c>
      <c r="F232" s="109">
        <f>ROUND(E232,0)-160317+5695</f>
        <v>1753384</v>
      </c>
      <c r="G232" s="301">
        <f t="shared" si="67"/>
        <v>-154621.56490736525</v>
      </c>
      <c r="H232" s="41" t="s">
        <v>582</v>
      </c>
      <c r="I232" s="301">
        <f>ROUND(F232,0)-145959</f>
        <v>1607425</v>
      </c>
      <c r="J232" s="301">
        <f t="shared" si="72"/>
        <v>-145959</v>
      </c>
      <c r="K232" s="41" t="s">
        <v>583</v>
      </c>
      <c r="L232" s="301">
        <f>ROUND(I232,0)-22509</f>
        <v>1584916</v>
      </c>
      <c r="M232" s="301">
        <f t="shared" si="73"/>
        <v>-22509</v>
      </c>
      <c r="N232" s="41" t="s">
        <v>365</v>
      </c>
      <c r="O232" s="301">
        <f>ROUND(L232,0)-7811</f>
        <v>1577105</v>
      </c>
      <c r="P232" s="301">
        <f t="shared" si="74"/>
        <v>-7811</v>
      </c>
      <c r="Q232" s="41" t="s">
        <v>584</v>
      </c>
    </row>
    <row r="233" spans="2:17" ht="16.149999999999999" customHeight="1" x14ac:dyDescent="0.25">
      <c r="B233" s="231"/>
      <c r="C233" s="276" t="s">
        <v>585</v>
      </c>
      <c r="D233" s="256" t="s">
        <v>586</v>
      </c>
      <c r="E233" s="109"/>
      <c r="F233" s="109">
        <v>160317</v>
      </c>
      <c r="G233" s="301">
        <f t="shared" si="67"/>
        <v>160317</v>
      </c>
      <c r="H233" s="110"/>
      <c r="I233" s="301">
        <f>ROUND(F233,0)+145959</f>
        <v>306276</v>
      </c>
      <c r="J233" s="301">
        <f>I233-F233</f>
        <v>145959</v>
      </c>
      <c r="K233" s="41" t="s">
        <v>583</v>
      </c>
      <c r="L233" s="301">
        <f>ROUND(I233,0)</f>
        <v>306276</v>
      </c>
      <c r="M233" s="301">
        <f t="shared" si="73"/>
        <v>0</v>
      </c>
      <c r="N233" s="41"/>
      <c r="O233" s="301">
        <f>ROUND(L233,0)+7811</f>
        <v>314087</v>
      </c>
      <c r="P233" s="301">
        <f t="shared" si="74"/>
        <v>7811</v>
      </c>
      <c r="Q233" s="41" t="s">
        <v>584</v>
      </c>
    </row>
    <row r="234" spans="2:17" ht="18" customHeight="1" x14ac:dyDescent="0.25">
      <c r="C234" s="270" t="s">
        <v>587</v>
      </c>
      <c r="D234" s="278" t="s">
        <v>588</v>
      </c>
      <c r="E234" s="54">
        <v>1447835.9786112006</v>
      </c>
      <c r="F234" s="54">
        <f t="shared" ref="F234" si="83">F235+F236+F237</f>
        <v>1429177</v>
      </c>
      <c r="G234" s="234">
        <f t="shared" si="67"/>
        <v>-18658.978611200582</v>
      </c>
      <c r="H234" s="86"/>
      <c r="I234" s="234">
        <f>I235+I236+I237</f>
        <v>1432166</v>
      </c>
      <c r="J234" s="234">
        <f t="shared" si="72"/>
        <v>2989</v>
      </c>
      <c r="K234" s="87"/>
      <c r="L234" s="234">
        <f>L235+L236+L237</f>
        <v>1426182</v>
      </c>
      <c r="M234" s="234">
        <f t="shared" si="73"/>
        <v>-5984</v>
      </c>
      <c r="N234" s="87"/>
      <c r="O234" s="234">
        <f>O235+O236+O237</f>
        <v>1426182</v>
      </c>
      <c r="P234" s="234">
        <f t="shared" si="74"/>
        <v>0</v>
      </c>
      <c r="Q234" s="87"/>
    </row>
    <row r="235" spans="2:17" ht="16.5" customHeight="1" x14ac:dyDescent="0.25">
      <c r="B235" s="231" t="s">
        <v>589</v>
      </c>
      <c r="C235" s="276" t="s">
        <v>590</v>
      </c>
      <c r="D235" s="256" t="s">
        <v>576</v>
      </c>
      <c r="E235" s="25">
        <v>158733</v>
      </c>
      <c r="F235" s="25">
        <f>ROUND(E235,0)+525</f>
        <v>159258</v>
      </c>
      <c r="G235" s="209">
        <f t="shared" si="67"/>
        <v>525</v>
      </c>
      <c r="H235" s="41" t="s">
        <v>577</v>
      </c>
      <c r="I235" s="209">
        <f>ROUND(F235,0)+2989</f>
        <v>162247</v>
      </c>
      <c r="J235" s="209">
        <f t="shared" si="72"/>
        <v>2989</v>
      </c>
      <c r="K235" s="41" t="s">
        <v>578</v>
      </c>
      <c r="L235" s="209">
        <f>ROUND(I235,0)</f>
        <v>162247</v>
      </c>
      <c r="M235" s="209">
        <f t="shared" si="73"/>
        <v>0</v>
      </c>
      <c r="N235" s="41"/>
      <c r="O235" s="209">
        <f>ROUND(L235,0)</f>
        <v>162247</v>
      </c>
      <c r="P235" s="209">
        <f t="shared" si="74"/>
        <v>0</v>
      </c>
      <c r="Q235" s="41"/>
    </row>
    <row r="236" spans="2:17" ht="27" customHeight="1" x14ac:dyDescent="0.25">
      <c r="B236" s="231" t="s">
        <v>591</v>
      </c>
      <c r="C236" s="276" t="s">
        <v>592</v>
      </c>
      <c r="D236" s="256" t="s">
        <v>581</v>
      </c>
      <c r="E236" s="25">
        <v>1289102.9786112006</v>
      </c>
      <c r="F236" s="25">
        <f>ROUND(E236,0)-119772-19184</f>
        <v>1150147</v>
      </c>
      <c r="G236" s="209">
        <f t="shared" si="67"/>
        <v>-138955.97861120058</v>
      </c>
      <c r="H236" s="41" t="s">
        <v>582</v>
      </c>
      <c r="I236" s="209">
        <f>ROUND(F236,0)-64977</f>
        <v>1085170</v>
      </c>
      <c r="J236" s="209">
        <f t="shared" si="72"/>
        <v>-64977</v>
      </c>
      <c r="K236" s="41" t="s">
        <v>593</v>
      </c>
      <c r="L236" s="209">
        <f>ROUND(I236,0)-3036</f>
        <v>1082134</v>
      </c>
      <c r="M236" s="209">
        <f t="shared" si="73"/>
        <v>-3036</v>
      </c>
      <c r="N236" s="41" t="s">
        <v>365</v>
      </c>
      <c r="O236" s="209">
        <f>ROUND(L236,0)</f>
        <v>1082134</v>
      </c>
      <c r="P236" s="209">
        <f t="shared" si="74"/>
        <v>0</v>
      </c>
      <c r="Q236" s="41"/>
    </row>
    <row r="237" spans="2:17" ht="13.15" customHeight="1" x14ac:dyDescent="0.25">
      <c r="B237" s="231"/>
      <c r="C237" s="276" t="s">
        <v>594</v>
      </c>
      <c r="D237" s="256" t="s">
        <v>586</v>
      </c>
      <c r="E237" s="25"/>
      <c r="F237" s="25">
        <v>119772</v>
      </c>
      <c r="G237" s="209">
        <f t="shared" si="67"/>
        <v>119772</v>
      </c>
      <c r="H237" s="40"/>
      <c r="I237" s="209">
        <f>ROUND(F237,0)+64977</f>
        <v>184749</v>
      </c>
      <c r="J237" s="209">
        <f>I237-F237</f>
        <v>64977</v>
      </c>
      <c r="K237" s="41" t="s">
        <v>593</v>
      </c>
      <c r="L237" s="209">
        <f>ROUND(I237,0)-2948</f>
        <v>181801</v>
      </c>
      <c r="M237" s="209">
        <f t="shared" si="73"/>
        <v>-2948</v>
      </c>
      <c r="N237" s="41" t="s">
        <v>365</v>
      </c>
      <c r="O237" s="209">
        <f>ROUND(L237,0)</f>
        <v>181801</v>
      </c>
      <c r="P237" s="209">
        <f t="shared" si="74"/>
        <v>0</v>
      </c>
      <c r="Q237" s="41"/>
    </row>
    <row r="238" spans="2:17" ht="18" customHeight="1" x14ac:dyDescent="0.25">
      <c r="C238" s="302" t="s">
        <v>595</v>
      </c>
      <c r="D238" s="278" t="s">
        <v>596</v>
      </c>
      <c r="E238" s="54">
        <v>1594129.4529886562</v>
      </c>
      <c r="F238" s="54">
        <f>F239+F240+F241</f>
        <v>1595142</v>
      </c>
      <c r="G238" s="234">
        <f t="shared" si="67"/>
        <v>1012.5470113437623</v>
      </c>
      <c r="H238" s="86"/>
      <c r="I238" s="234">
        <f>I239+I240+I241</f>
        <v>1599680</v>
      </c>
      <c r="J238" s="234">
        <f t="shared" si="72"/>
        <v>4538</v>
      </c>
      <c r="K238" s="87"/>
      <c r="L238" s="234">
        <f>L239+L240+L241</f>
        <v>1602830</v>
      </c>
      <c r="M238" s="234">
        <f t="shared" si="73"/>
        <v>3150</v>
      </c>
      <c r="N238" s="87"/>
      <c r="O238" s="234">
        <f>O239+O240+O241</f>
        <v>1605980</v>
      </c>
      <c r="P238" s="234">
        <f t="shared" si="74"/>
        <v>3150</v>
      </c>
      <c r="Q238" s="87"/>
    </row>
    <row r="239" spans="2:17" ht="13.5" customHeight="1" x14ac:dyDescent="0.25">
      <c r="B239" s="191" t="s">
        <v>597</v>
      </c>
      <c r="C239" s="276" t="s">
        <v>598</v>
      </c>
      <c r="D239" s="256" t="s">
        <v>576</v>
      </c>
      <c r="E239" s="25">
        <v>238164</v>
      </c>
      <c r="F239" s="25">
        <f>ROUND(E239,0)+1013</f>
        <v>239177</v>
      </c>
      <c r="G239" s="209">
        <f t="shared" si="67"/>
        <v>1013</v>
      </c>
      <c r="H239" s="41" t="s">
        <v>577</v>
      </c>
      <c r="I239" s="209">
        <f>ROUND(F239,0)+4538</f>
        <v>243715</v>
      </c>
      <c r="J239" s="209">
        <f t="shared" si="72"/>
        <v>4538</v>
      </c>
      <c r="K239" s="27" t="s">
        <v>599</v>
      </c>
      <c r="L239" s="209">
        <f>ROUND(I239,0)</f>
        <v>243715</v>
      </c>
      <c r="M239" s="209">
        <f t="shared" si="73"/>
        <v>0</v>
      </c>
      <c r="N239" s="41"/>
      <c r="O239" s="209">
        <f>ROUND(L239,0)</f>
        <v>243715</v>
      </c>
      <c r="P239" s="209">
        <f t="shared" si="74"/>
        <v>0</v>
      </c>
      <c r="Q239" s="41"/>
    </row>
    <row r="240" spans="2:17" ht="43.9" customHeight="1" x14ac:dyDescent="0.25">
      <c r="B240" s="191" t="s">
        <v>600</v>
      </c>
      <c r="C240" s="276" t="s">
        <v>601</v>
      </c>
      <c r="D240" s="256" t="s">
        <v>581</v>
      </c>
      <c r="E240" s="25">
        <v>1201933.4529886562</v>
      </c>
      <c r="F240" s="25">
        <f>ROUND(E240,0)-10900</f>
        <v>1191033</v>
      </c>
      <c r="G240" s="209">
        <f t="shared" si="67"/>
        <v>-10900.452988656238</v>
      </c>
      <c r="H240" s="370" t="s">
        <v>602</v>
      </c>
      <c r="I240" s="209">
        <f>ROUND(F240,0)</f>
        <v>1191033</v>
      </c>
      <c r="J240" s="209">
        <f t="shared" si="72"/>
        <v>0</v>
      </c>
      <c r="K240" s="41"/>
      <c r="L240" s="209">
        <f>ROUND(I240,0)+3150</f>
        <v>1194183</v>
      </c>
      <c r="M240" s="209">
        <f t="shared" si="73"/>
        <v>3150</v>
      </c>
      <c r="N240" s="41"/>
      <c r="O240" s="209">
        <f>ROUND(L240,0)+3150</f>
        <v>1197333</v>
      </c>
      <c r="P240" s="209">
        <f t="shared" si="74"/>
        <v>3150</v>
      </c>
      <c r="Q240" s="41" t="s">
        <v>1158</v>
      </c>
    </row>
    <row r="241" spans="2:17" ht="17.45" customHeight="1" x14ac:dyDescent="0.25">
      <c r="C241" s="276" t="s">
        <v>603</v>
      </c>
      <c r="D241" s="256" t="s">
        <v>586</v>
      </c>
      <c r="E241" s="25">
        <v>154032</v>
      </c>
      <c r="F241" s="25">
        <f>ROUND(E241,0)+10900</f>
        <v>164932</v>
      </c>
      <c r="G241" s="209">
        <f>F241-E241</f>
        <v>10900</v>
      </c>
      <c r="H241" s="371"/>
      <c r="I241" s="209">
        <f>ROUND(F241,0)</f>
        <v>164932</v>
      </c>
      <c r="J241" s="209">
        <f t="shared" si="72"/>
        <v>0</v>
      </c>
      <c r="K241" s="41"/>
      <c r="L241" s="209">
        <f>ROUND(I241,0)</f>
        <v>164932</v>
      </c>
      <c r="M241" s="209">
        <f t="shared" si="73"/>
        <v>0</v>
      </c>
      <c r="N241" s="41"/>
      <c r="O241" s="209">
        <f>ROUND(L241,0)</f>
        <v>164932</v>
      </c>
      <c r="P241" s="209">
        <f t="shared" si="74"/>
        <v>0</v>
      </c>
      <c r="Q241" s="41"/>
    </row>
    <row r="242" spans="2:17" x14ac:dyDescent="0.25">
      <c r="B242" s="191" t="s">
        <v>604</v>
      </c>
      <c r="C242" s="302" t="s">
        <v>605</v>
      </c>
      <c r="D242" s="278" t="s">
        <v>606</v>
      </c>
      <c r="E242" s="54">
        <v>1451440.1020564402</v>
      </c>
      <c r="F242" s="54">
        <f t="shared" ref="F242" si="84">SUM(F243:F245)</f>
        <v>1453093</v>
      </c>
      <c r="G242" s="234">
        <f t="shared" si="67"/>
        <v>1652.8979435598012</v>
      </c>
      <c r="H242" s="86"/>
      <c r="I242" s="234">
        <f>SUM(I243:I245)</f>
        <v>1456118</v>
      </c>
      <c r="J242" s="234">
        <f t="shared" si="72"/>
        <v>3025</v>
      </c>
      <c r="K242" s="87"/>
      <c r="L242" s="234">
        <f>SUM(L243:L245)</f>
        <v>1451590</v>
      </c>
      <c r="M242" s="234">
        <f t="shared" si="73"/>
        <v>-4528</v>
      </c>
      <c r="N242" s="87"/>
      <c r="O242" s="234">
        <f>SUM(O243:O245)</f>
        <v>1451590</v>
      </c>
      <c r="P242" s="234">
        <f t="shared" si="74"/>
        <v>0</v>
      </c>
      <c r="Q242" s="87"/>
    </row>
    <row r="243" spans="2:17" s="304" customFormat="1" ht="17.25" customHeight="1" x14ac:dyDescent="0.25">
      <c r="B243" s="303" t="s">
        <v>607</v>
      </c>
      <c r="C243" s="276" t="s">
        <v>608</v>
      </c>
      <c r="D243" s="256" t="s">
        <v>576</v>
      </c>
      <c r="E243" s="25">
        <v>152284</v>
      </c>
      <c r="F243" s="25">
        <f>ROUND(E243,0)+1917-264</f>
        <v>153937</v>
      </c>
      <c r="G243" s="301">
        <f t="shared" si="67"/>
        <v>1653</v>
      </c>
      <c r="H243" s="41" t="s">
        <v>577</v>
      </c>
      <c r="I243" s="209">
        <f>ROUND(F243,0)+3025</f>
        <v>156962</v>
      </c>
      <c r="J243" s="301">
        <f t="shared" si="72"/>
        <v>3025</v>
      </c>
      <c r="K243" s="27" t="s">
        <v>599</v>
      </c>
      <c r="L243" s="209">
        <f>ROUND(I243,0)</f>
        <v>156962</v>
      </c>
      <c r="M243" s="301">
        <f t="shared" si="73"/>
        <v>0</v>
      </c>
      <c r="N243" s="27"/>
      <c r="O243" s="209">
        <f>ROUND(L243,0)</f>
        <v>156962</v>
      </c>
      <c r="P243" s="301">
        <f t="shared" si="74"/>
        <v>0</v>
      </c>
      <c r="Q243" s="27"/>
    </row>
    <row r="244" spans="2:17" s="304" customFormat="1" ht="15.6" customHeight="1" x14ac:dyDescent="0.25">
      <c r="C244" s="276" t="s">
        <v>609</v>
      </c>
      <c r="D244" s="256" t="s">
        <v>581</v>
      </c>
      <c r="E244" s="25">
        <v>1154321.1020564402</v>
      </c>
      <c r="F244" s="25">
        <f>ROUND(E244,0)</f>
        <v>1154321</v>
      </c>
      <c r="G244" s="301">
        <f t="shared" si="67"/>
        <v>-0.10205644019879401</v>
      </c>
      <c r="H244" s="40"/>
      <c r="I244" s="209">
        <f>ROUND(F244,0)</f>
        <v>1154321</v>
      </c>
      <c r="J244" s="301">
        <f t="shared" si="72"/>
        <v>0</v>
      </c>
      <c r="K244" s="27"/>
      <c r="L244" s="209">
        <f>ROUND(I244,0)-4528</f>
        <v>1149793</v>
      </c>
      <c r="M244" s="301">
        <f t="shared" si="73"/>
        <v>-4528</v>
      </c>
      <c r="N244" s="27" t="s">
        <v>365</v>
      </c>
      <c r="O244" s="209">
        <f>ROUND(L244,0)</f>
        <v>1149793</v>
      </c>
      <c r="P244" s="301">
        <f t="shared" si="74"/>
        <v>0</v>
      </c>
      <c r="Q244" s="27"/>
    </row>
    <row r="245" spans="2:17" s="304" customFormat="1" ht="13.9" customHeight="1" x14ac:dyDescent="0.25">
      <c r="C245" s="276" t="s">
        <v>610</v>
      </c>
      <c r="D245" s="256" t="s">
        <v>586</v>
      </c>
      <c r="E245" s="25">
        <v>144835</v>
      </c>
      <c r="F245" s="25">
        <f>ROUND(E245,0)</f>
        <v>144835</v>
      </c>
      <c r="G245" s="301">
        <f>F245-E245</f>
        <v>0</v>
      </c>
      <c r="H245" s="40"/>
      <c r="I245" s="209">
        <f>ROUND(F245,0)</f>
        <v>144835</v>
      </c>
      <c r="J245" s="301">
        <f t="shared" si="72"/>
        <v>0</v>
      </c>
      <c r="K245" s="41"/>
      <c r="L245" s="209">
        <f>ROUND(I245,0)</f>
        <v>144835</v>
      </c>
      <c r="M245" s="301">
        <f t="shared" si="73"/>
        <v>0</v>
      </c>
      <c r="N245" s="41"/>
      <c r="O245" s="209">
        <f>ROUND(L245,0)</f>
        <v>144835</v>
      </c>
      <c r="P245" s="301">
        <f t="shared" si="74"/>
        <v>0</v>
      </c>
      <c r="Q245" s="41"/>
    </row>
    <row r="246" spans="2:17" x14ac:dyDescent="0.25">
      <c r="C246" s="302" t="s">
        <v>611</v>
      </c>
      <c r="D246" s="278" t="s">
        <v>612</v>
      </c>
      <c r="E246" s="54">
        <v>2861690</v>
      </c>
      <c r="F246" s="54">
        <f>F247+F248+F249</f>
        <v>2818998</v>
      </c>
      <c r="G246" s="234">
        <f t="shared" si="67"/>
        <v>-42692</v>
      </c>
      <c r="H246" s="86"/>
      <c r="I246" s="234">
        <f>I247+I248+I249</f>
        <v>2827823</v>
      </c>
      <c r="J246" s="234">
        <f t="shared" si="72"/>
        <v>8825</v>
      </c>
      <c r="K246" s="87"/>
      <c r="L246" s="234">
        <f>L247+L248+L249</f>
        <v>2827823</v>
      </c>
      <c r="M246" s="234">
        <f t="shared" si="73"/>
        <v>0</v>
      </c>
      <c r="N246" s="87"/>
      <c r="O246" s="234">
        <f>O247+O248+O249</f>
        <v>2827823</v>
      </c>
      <c r="P246" s="234">
        <f t="shared" si="74"/>
        <v>0</v>
      </c>
      <c r="Q246" s="87"/>
    </row>
    <row r="247" spans="2:17" s="304" customFormat="1" ht="16.899999999999999" customHeight="1" x14ac:dyDescent="0.25">
      <c r="B247" s="303" t="s">
        <v>613</v>
      </c>
      <c r="C247" s="305" t="s">
        <v>614</v>
      </c>
      <c r="D247" s="306" t="s">
        <v>615</v>
      </c>
      <c r="E247" s="25">
        <v>833320</v>
      </c>
      <c r="F247" s="25">
        <f>ROUND(E247,0)-44403+1711</f>
        <v>790628</v>
      </c>
      <c r="G247" s="301">
        <f t="shared" si="67"/>
        <v>-42692</v>
      </c>
      <c r="H247" s="53" t="s">
        <v>616</v>
      </c>
      <c r="I247" s="209">
        <f>ROUND(F247,0)+8825</f>
        <v>799453</v>
      </c>
      <c r="J247" s="301">
        <f t="shared" si="72"/>
        <v>8825</v>
      </c>
      <c r="K247" s="102" t="s">
        <v>617</v>
      </c>
      <c r="L247" s="209">
        <f>ROUND(I247,0)</f>
        <v>799453</v>
      </c>
      <c r="M247" s="301">
        <f t="shared" si="73"/>
        <v>0</v>
      </c>
      <c r="N247" s="27"/>
      <c r="O247" s="209">
        <f>ROUND(L247,0)</f>
        <v>799453</v>
      </c>
      <c r="P247" s="301">
        <f t="shared" si="74"/>
        <v>0</v>
      </c>
      <c r="Q247" s="27"/>
    </row>
    <row r="248" spans="2:17" s="304" customFormat="1" ht="16.149999999999999" customHeight="1" x14ac:dyDescent="0.25">
      <c r="B248" s="303" t="s">
        <v>618</v>
      </c>
      <c r="C248" s="305" t="s">
        <v>619</v>
      </c>
      <c r="D248" s="306" t="s">
        <v>620</v>
      </c>
      <c r="E248" s="25">
        <v>1865620</v>
      </c>
      <c r="F248" s="25">
        <f>ROUND(E248,0)</f>
        <v>1865620</v>
      </c>
      <c r="G248" s="301">
        <f t="shared" si="67"/>
        <v>0</v>
      </c>
      <c r="H248" s="26"/>
      <c r="I248" s="209">
        <f>ROUND(F248,0)</f>
        <v>1865620</v>
      </c>
      <c r="J248" s="301">
        <f t="shared" si="72"/>
        <v>0</v>
      </c>
      <c r="K248" s="27"/>
      <c r="L248" s="209">
        <f>ROUND(I248,0)</f>
        <v>1865620</v>
      </c>
      <c r="M248" s="301">
        <f t="shared" si="73"/>
        <v>0</v>
      </c>
      <c r="N248" s="27"/>
      <c r="O248" s="209">
        <f>ROUND(L248,0)</f>
        <v>1865620</v>
      </c>
      <c r="P248" s="301">
        <f t="shared" si="74"/>
        <v>0</v>
      </c>
      <c r="Q248" s="27"/>
    </row>
    <row r="249" spans="2:17" x14ac:dyDescent="0.25">
      <c r="B249" s="231" t="s">
        <v>618</v>
      </c>
      <c r="C249" s="276" t="s">
        <v>621</v>
      </c>
      <c r="D249" s="256" t="s">
        <v>622</v>
      </c>
      <c r="E249" s="25">
        <v>162750</v>
      </c>
      <c r="F249" s="25">
        <f>ROUND(E249,0)</f>
        <v>162750</v>
      </c>
      <c r="G249" s="301">
        <f t="shared" si="67"/>
        <v>0</v>
      </c>
      <c r="H249" s="26"/>
      <c r="I249" s="209">
        <f>ROUND(F249,0)</f>
        <v>162750</v>
      </c>
      <c r="J249" s="301">
        <f t="shared" si="72"/>
        <v>0</v>
      </c>
      <c r="K249" s="27"/>
      <c r="L249" s="209">
        <f>ROUND(I249,0)</f>
        <v>162750</v>
      </c>
      <c r="M249" s="301">
        <f t="shared" si="73"/>
        <v>0</v>
      </c>
      <c r="N249" s="27"/>
      <c r="O249" s="209">
        <f>ROUND(L249,0)</f>
        <v>162750</v>
      </c>
      <c r="P249" s="301">
        <f t="shared" si="74"/>
        <v>0</v>
      </c>
      <c r="Q249" s="27"/>
    </row>
    <row r="250" spans="2:17" s="266" customFormat="1" ht="15.75" customHeight="1" x14ac:dyDescent="0.2">
      <c r="C250" s="302" t="s">
        <v>623</v>
      </c>
      <c r="D250" s="278" t="s">
        <v>624</v>
      </c>
      <c r="E250" s="88">
        <v>2139500.4741500001</v>
      </c>
      <c r="F250" s="88">
        <f>F251+F255+F256+F257+F258+F259+F260</f>
        <v>2133236</v>
      </c>
      <c r="G250" s="279">
        <f t="shared" si="67"/>
        <v>-6264.4741500001401</v>
      </c>
      <c r="H250" s="93"/>
      <c r="I250" s="279">
        <f>I251+I255+I256+I257+I258+I259+I260</f>
        <v>2205896</v>
      </c>
      <c r="J250" s="279">
        <f t="shared" si="72"/>
        <v>72660</v>
      </c>
      <c r="K250" s="94"/>
      <c r="L250" s="279">
        <f>L251+L255+L256+L257+L258+L259+L260</f>
        <v>2200705</v>
      </c>
      <c r="M250" s="279">
        <f t="shared" si="73"/>
        <v>-5191</v>
      </c>
      <c r="N250" s="94"/>
      <c r="O250" s="279">
        <f>O251+O255+O256+O257+O258+O259+O260</f>
        <v>2200705</v>
      </c>
      <c r="P250" s="279">
        <f t="shared" si="74"/>
        <v>0</v>
      </c>
      <c r="Q250" s="94"/>
    </row>
    <row r="251" spans="2:17" s="206" customFormat="1" ht="17.25" customHeight="1" x14ac:dyDescent="0.25">
      <c r="B251" s="216" t="s">
        <v>625</v>
      </c>
      <c r="C251" s="276" t="s">
        <v>626</v>
      </c>
      <c r="D251" s="256" t="s">
        <v>576</v>
      </c>
      <c r="E251" s="25">
        <v>1127101</v>
      </c>
      <c r="F251" s="25">
        <f>F252+F253+F254</f>
        <v>1201531</v>
      </c>
      <c r="G251" s="209">
        <f t="shared" si="67"/>
        <v>74430</v>
      </c>
      <c r="H251" s="53" t="s">
        <v>616</v>
      </c>
      <c r="I251" s="209">
        <f>I252+I253+I254</f>
        <v>1239539</v>
      </c>
      <c r="J251" s="209">
        <f t="shared" si="72"/>
        <v>38008</v>
      </c>
      <c r="K251" s="41"/>
      <c r="L251" s="209">
        <f>L252+L253+L254</f>
        <v>1239539</v>
      </c>
      <c r="M251" s="209">
        <f t="shared" si="73"/>
        <v>0</v>
      </c>
      <c r="N251" s="41"/>
      <c r="O251" s="209">
        <f>O252+O253+O254</f>
        <v>1239539</v>
      </c>
      <c r="P251" s="209">
        <f t="shared" si="74"/>
        <v>0</v>
      </c>
      <c r="Q251" s="41"/>
    </row>
    <row r="252" spans="2:17" s="308" customFormat="1" ht="17.25" customHeight="1" x14ac:dyDescent="0.25">
      <c r="B252" s="307"/>
      <c r="C252" s="286" t="s">
        <v>627</v>
      </c>
      <c r="D252" s="287" t="s">
        <v>628</v>
      </c>
      <c r="E252" s="111">
        <v>1070901</v>
      </c>
      <c r="F252" s="111">
        <f>1070901+22307</f>
        <v>1093208</v>
      </c>
      <c r="G252" s="288">
        <f t="shared" si="67"/>
        <v>22307</v>
      </c>
      <c r="H252" s="112" t="s">
        <v>616</v>
      </c>
      <c r="I252" s="288">
        <f t="shared" ref="I252:I261" si="85">ROUND(F252,0)</f>
        <v>1093208</v>
      </c>
      <c r="J252" s="288">
        <f t="shared" si="72"/>
        <v>0</v>
      </c>
      <c r="K252" s="102"/>
      <c r="L252" s="288">
        <f t="shared" ref="L252:L261" si="86">ROUND(I252,0)</f>
        <v>1093208</v>
      </c>
      <c r="M252" s="209">
        <f t="shared" si="73"/>
        <v>0</v>
      </c>
      <c r="N252" s="102"/>
      <c r="O252" s="288">
        <f t="shared" ref="O252:O260" si="87">ROUND(L252,0)</f>
        <v>1093208</v>
      </c>
      <c r="P252" s="288">
        <f t="shared" si="74"/>
        <v>0</v>
      </c>
      <c r="Q252" s="102"/>
    </row>
    <row r="253" spans="2:17" s="308" customFormat="1" ht="19.899999999999999" customHeight="1" x14ac:dyDescent="0.25">
      <c r="B253" s="307"/>
      <c r="C253" s="286" t="s">
        <v>629</v>
      </c>
      <c r="D253" s="287" t="s">
        <v>630</v>
      </c>
      <c r="E253" s="111">
        <v>56200</v>
      </c>
      <c r="F253" s="111">
        <f>56200+52004-31</f>
        <v>108173</v>
      </c>
      <c r="G253" s="288">
        <f t="shared" si="67"/>
        <v>51973</v>
      </c>
      <c r="H253" s="112" t="s">
        <v>616</v>
      </c>
      <c r="I253" s="288">
        <f>ROUND(F253,0)+18425</f>
        <v>126598</v>
      </c>
      <c r="J253" s="288">
        <f t="shared" si="72"/>
        <v>18425</v>
      </c>
      <c r="K253" s="102" t="s">
        <v>617</v>
      </c>
      <c r="L253" s="288">
        <f t="shared" si="86"/>
        <v>126598</v>
      </c>
      <c r="M253" s="209">
        <f t="shared" si="73"/>
        <v>0</v>
      </c>
      <c r="N253" s="102"/>
      <c r="O253" s="288">
        <f t="shared" si="87"/>
        <v>126598</v>
      </c>
      <c r="P253" s="288">
        <f t="shared" si="74"/>
        <v>0</v>
      </c>
      <c r="Q253" s="102"/>
    </row>
    <row r="254" spans="2:17" s="308" customFormat="1" ht="17.25" customHeight="1" x14ac:dyDescent="0.25">
      <c r="B254" s="307"/>
      <c r="C254" s="286" t="s">
        <v>631</v>
      </c>
      <c r="D254" s="287" t="s">
        <v>632</v>
      </c>
      <c r="E254" s="111"/>
      <c r="F254" s="111">
        <v>150</v>
      </c>
      <c r="G254" s="288">
        <f t="shared" si="67"/>
        <v>150</v>
      </c>
      <c r="H254" s="112" t="s">
        <v>616</v>
      </c>
      <c r="I254" s="288">
        <f>ROUND(F254,0)+19583</f>
        <v>19733</v>
      </c>
      <c r="J254" s="288">
        <f t="shared" si="72"/>
        <v>19583</v>
      </c>
      <c r="K254" s="102" t="s">
        <v>578</v>
      </c>
      <c r="L254" s="288">
        <f t="shared" si="86"/>
        <v>19733</v>
      </c>
      <c r="M254" s="209">
        <f t="shared" si="73"/>
        <v>0</v>
      </c>
      <c r="N254" s="102"/>
      <c r="O254" s="288">
        <f t="shared" si="87"/>
        <v>19733</v>
      </c>
      <c r="P254" s="288">
        <f t="shared" si="74"/>
        <v>0</v>
      </c>
      <c r="Q254" s="102"/>
    </row>
    <row r="255" spans="2:17" s="206" customFormat="1" x14ac:dyDescent="0.25">
      <c r="B255" s="206" t="s">
        <v>625</v>
      </c>
      <c r="C255" s="276" t="s">
        <v>633</v>
      </c>
      <c r="D255" s="256" t="s">
        <v>634</v>
      </c>
      <c r="E255" s="50">
        <v>49493</v>
      </c>
      <c r="F255" s="50">
        <f>ROUND(E255,0)+4754</f>
        <v>54247</v>
      </c>
      <c r="G255" s="209">
        <f t="shared" si="67"/>
        <v>4754</v>
      </c>
      <c r="H255" s="41" t="s">
        <v>577</v>
      </c>
      <c r="I255" s="209">
        <f t="shared" si="85"/>
        <v>54247</v>
      </c>
      <c r="J255" s="209">
        <f t="shared" si="72"/>
        <v>0</v>
      </c>
      <c r="K255" s="41"/>
      <c r="L255" s="209">
        <f t="shared" si="86"/>
        <v>54247</v>
      </c>
      <c r="M255" s="209">
        <f t="shared" si="73"/>
        <v>0</v>
      </c>
      <c r="N255" s="41"/>
      <c r="O255" s="209">
        <f t="shared" si="87"/>
        <v>54247</v>
      </c>
      <c r="P255" s="209">
        <f t="shared" si="74"/>
        <v>0</v>
      </c>
      <c r="Q255" s="41"/>
    </row>
    <row r="256" spans="2:17" s="206" customFormat="1" ht="18" customHeight="1" x14ac:dyDescent="0.25">
      <c r="B256" s="216" t="s">
        <v>635</v>
      </c>
      <c r="C256" s="276" t="s">
        <v>636</v>
      </c>
      <c r="D256" s="256" t="s">
        <v>581</v>
      </c>
      <c r="E256" s="25">
        <v>659972.47414999991</v>
      </c>
      <c r="F256" s="25">
        <f>ROUND(E256,0)-42018-43430</f>
        <v>574524</v>
      </c>
      <c r="G256" s="209">
        <f t="shared" si="67"/>
        <v>-85448.474149999907</v>
      </c>
      <c r="H256" s="53" t="s">
        <v>637</v>
      </c>
      <c r="I256" s="209">
        <f t="shared" si="85"/>
        <v>574524</v>
      </c>
      <c r="J256" s="209">
        <f t="shared" si="72"/>
        <v>0</v>
      </c>
      <c r="K256" s="41" t="s">
        <v>638</v>
      </c>
      <c r="L256" s="209">
        <f>ROUND(I256,0)-5191</f>
        <v>569333</v>
      </c>
      <c r="M256" s="209">
        <f t="shared" si="73"/>
        <v>-5191</v>
      </c>
      <c r="N256" s="41" t="s">
        <v>365</v>
      </c>
      <c r="O256" s="209">
        <f t="shared" si="87"/>
        <v>569333</v>
      </c>
      <c r="P256" s="209">
        <f t="shared" si="74"/>
        <v>0</v>
      </c>
      <c r="Q256" s="41"/>
    </row>
    <row r="257" spans="2:17" s="206" customFormat="1" ht="16.899999999999999" customHeight="1" x14ac:dyDescent="0.25">
      <c r="B257" s="216"/>
      <c r="C257" s="276" t="s">
        <v>639</v>
      </c>
      <c r="D257" s="256" t="s">
        <v>586</v>
      </c>
      <c r="E257" s="25">
        <v>283797</v>
      </c>
      <c r="F257" s="25">
        <f>ROUND(E257,0)</f>
        <v>283797</v>
      </c>
      <c r="G257" s="209">
        <f t="shared" si="67"/>
        <v>0</v>
      </c>
      <c r="H257" s="40"/>
      <c r="I257" s="209">
        <f t="shared" si="85"/>
        <v>283797</v>
      </c>
      <c r="J257" s="209">
        <f t="shared" si="72"/>
        <v>0</v>
      </c>
      <c r="K257" s="41"/>
      <c r="L257" s="209">
        <f t="shared" si="86"/>
        <v>283797</v>
      </c>
      <c r="M257" s="209">
        <f t="shared" si="73"/>
        <v>0</v>
      </c>
      <c r="N257" s="41"/>
      <c r="O257" s="209">
        <f>ROUND(L257,0)</f>
        <v>283797</v>
      </c>
      <c r="P257" s="209">
        <f t="shared" si="74"/>
        <v>0</v>
      </c>
      <c r="Q257" s="41"/>
    </row>
    <row r="258" spans="2:17" s="206" customFormat="1" ht="16.899999999999999" customHeight="1" x14ac:dyDescent="0.25">
      <c r="B258" s="216" t="s">
        <v>640</v>
      </c>
      <c r="C258" s="276" t="s">
        <v>641</v>
      </c>
      <c r="D258" s="256" t="s">
        <v>642</v>
      </c>
      <c r="E258" s="25">
        <v>3668</v>
      </c>
      <c r="F258" s="25">
        <f>ROUND(E258,0)</f>
        <v>3668</v>
      </c>
      <c r="G258" s="209">
        <f t="shared" ref="G258:G260" si="88">F258-E258</f>
        <v>0</v>
      </c>
      <c r="H258" s="26"/>
      <c r="I258" s="209">
        <f>ROUND(F258,0)+7552</f>
        <v>11220</v>
      </c>
      <c r="J258" s="209">
        <f t="shared" si="72"/>
        <v>7552</v>
      </c>
      <c r="K258" s="27" t="s">
        <v>162</v>
      </c>
      <c r="L258" s="209">
        <f t="shared" si="86"/>
        <v>11220</v>
      </c>
      <c r="M258" s="209">
        <f t="shared" si="73"/>
        <v>0</v>
      </c>
      <c r="N258" s="27"/>
      <c r="O258" s="209">
        <f t="shared" si="87"/>
        <v>11220</v>
      </c>
      <c r="P258" s="209">
        <f t="shared" si="74"/>
        <v>0</v>
      </c>
      <c r="Q258" s="27"/>
    </row>
    <row r="259" spans="2:17" s="266" customFormat="1" ht="31.15" customHeight="1" x14ac:dyDescent="0.25">
      <c r="B259" s="231" t="s">
        <v>643</v>
      </c>
      <c r="C259" s="276" t="s">
        <v>644</v>
      </c>
      <c r="D259" s="256" t="s">
        <v>645</v>
      </c>
      <c r="E259" s="25">
        <v>15469</v>
      </c>
      <c r="F259" s="25">
        <f>ROUND(E259,0)</f>
        <v>15469</v>
      </c>
      <c r="G259" s="209">
        <f t="shared" si="88"/>
        <v>0</v>
      </c>
      <c r="H259" s="26"/>
      <c r="I259" s="209">
        <f>ROUND(F259,0)+27100</f>
        <v>42569</v>
      </c>
      <c r="J259" s="209">
        <f t="shared" si="72"/>
        <v>27100</v>
      </c>
      <c r="K259" s="113" t="s">
        <v>646</v>
      </c>
      <c r="L259" s="209">
        <f t="shared" si="86"/>
        <v>42569</v>
      </c>
      <c r="M259" s="209">
        <f t="shared" si="73"/>
        <v>0</v>
      </c>
      <c r="N259" s="59"/>
      <c r="O259" s="209">
        <f t="shared" si="87"/>
        <v>42569</v>
      </c>
      <c r="P259" s="209">
        <f t="shared" si="74"/>
        <v>0</v>
      </c>
      <c r="Q259" s="59"/>
    </row>
    <row r="260" spans="2:17" s="266" customFormat="1" ht="15" customHeight="1" x14ac:dyDescent="0.25">
      <c r="B260" s="231" t="s">
        <v>647</v>
      </c>
      <c r="C260" s="276" t="s">
        <v>648</v>
      </c>
      <c r="D260" s="256" t="s">
        <v>649</v>
      </c>
      <c r="E260" s="25">
        <v>0</v>
      </c>
      <c r="F260" s="25">
        <f>ROUND(E260,0)</f>
        <v>0</v>
      </c>
      <c r="G260" s="209">
        <f t="shared" si="88"/>
        <v>0</v>
      </c>
      <c r="H260" s="26"/>
      <c r="I260" s="209">
        <f t="shared" si="85"/>
        <v>0</v>
      </c>
      <c r="J260" s="209">
        <f t="shared" si="72"/>
        <v>0</v>
      </c>
      <c r="K260" s="27"/>
      <c r="L260" s="209">
        <f t="shared" si="86"/>
        <v>0</v>
      </c>
      <c r="M260" s="209">
        <f t="shared" si="73"/>
        <v>0</v>
      </c>
      <c r="N260" s="27"/>
      <c r="O260" s="209">
        <f t="shared" si="87"/>
        <v>0</v>
      </c>
      <c r="P260" s="209">
        <f t="shared" si="74"/>
        <v>0</v>
      </c>
      <c r="Q260" s="27"/>
    </row>
    <row r="261" spans="2:17" ht="28.9" customHeight="1" x14ac:dyDescent="0.25">
      <c r="B261" s="231" t="s">
        <v>650</v>
      </c>
      <c r="C261" s="302" t="s">
        <v>651</v>
      </c>
      <c r="D261" s="278" t="s">
        <v>321</v>
      </c>
      <c r="E261" s="88">
        <v>0</v>
      </c>
      <c r="F261" s="88">
        <f>ROUND(E261,0)+19357+102058</f>
        <v>121415</v>
      </c>
      <c r="G261" s="279">
        <f>F261-E261</f>
        <v>121415</v>
      </c>
      <c r="H261" s="56" t="s">
        <v>652</v>
      </c>
      <c r="I261" s="279">
        <f t="shared" si="85"/>
        <v>121415</v>
      </c>
      <c r="J261" s="279">
        <f t="shared" si="72"/>
        <v>0</v>
      </c>
      <c r="K261" s="56"/>
      <c r="L261" s="279">
        <f t="shared" si="86"/>
        <v>121415</v>
      </c>
      <c r="M261" s="279">
        <f t="shared" si="73"/>
        <v>0</v>
      </c>
      <c r="N261" s="56"/>
      <c r="O261" s="279">
        <f>ROUND(L261,0)-6629</f>
        <v>114786</v>
      </c>
      <c r="P261" s="279">
        <f t="shared" si="74"/>
        <v>-6629</v>
      </c>
      <c r="Q261" s="56" t="s">
        <v>653</v>
      </c>
    </row>
    <row r="262" spans="2:17" s="206" customFormat="1" ht="15.75" customHeight="1" x14ac:dyDescent="0.25">
      <c r="B262" s="216"/>
      <c r="C262" s="302" t="s">
        <v>654</v>
      </c>
      <c r="D262" s="278" t="s">
        <v>655</v>
      </c>
      <c r="E262" s="279">
        <v>8531591.7446570527</v>
      </c>
      <c r="F262" s="88">
        <f>F263+F267+F268+F269+F270+F271+F272+F273+F274+F275+F276</f>
        <v>8748498</v>
      </c>
      <c r="G262" s="88">
        <f t="shared" ref="G262:H262" si="89">G263+G267+G268+G269+G270+G271+G272+G273+G274+G275+G276</f>
        <v>216906.25534294697</v>
      </c>
      <c r="H262" s="88" t="e">
        <f t="shared" si="89"/>
        <v>#VALUE!</v>
      </c>
      <c r="I262" s="88">
        <f>I263+I267+I268+I269+I270+I271+I272+I273+I274+I275+I276</f>
        <v>8832612</v>
      </c>
      <c r="J262" s="279">
        <f t="shared" si="72"/>
        <v>84114</v>
      </c>
      <c r="K262" s="56"/>
      <c r="L262" s="88">
        <f>L263+L267+L268+L269+L270+L271+L272+L273+L274+L275+L276</f>
        <v>8853612</v>
      </c>
      <c r="M262" s="279">
        <f t="shared" si="73"/>
        <v>21000</v>
      </c>
      <c r="N262" s="56"/>
      <c r="O262" s="279">
        <f>O263+O267+O268+O269+O270+O271+O272+O273+O274+O275+O276</f>
        <v>8850462</v>
      </c>
      <c r="P262" s="279">
        <f t="shared" si="74"/>
        <v>-3150</v>
      </c>
      <c r="Q262" s="56"/>
    </row>
    <row r="263" spans="2:17" s="206" customFormat="1" ht="17.25" customHeight="1" x14ac:dyDescent="0.25">
      <c r="B263" s="216" t="s">
        <v>322</v>
      </c>
      <c r="C263" s="276" t="s">
        <v>656</v>
      </c>
      <c r="D263" s="256" t="s">
        <v>576</v>
      </c>
      <c r="E263" s="25">
        <v>4238288</v>
      </c>
      <c r="F263" s="25">
        <f>SUM(F264:F266)</f>
        <v>4362146</v>
      </c>
      <c r="G263" s="209">
        <f t="shared" ref="G263:G301" si="90">F263-E263</f>
        <v>123858</v>
      </c>
      <c r="H263" s="53" t="s">
        <v>616</v>
      </c>
      <c r="I263" s="209">
        <f>SUM(I264:I266)</f>
        <v>4407640</v>
      </c>
      <c r="J263" s="209">
        <f t="shared" si="72"/>
        <v>45494</v>
      </c>
      <c r="K263" s="41"/>
      <c r="L263" s="209">
        <f>SUM(L264:L266)</f>
        <v>4407640</v>
      </c>
      <c r="M263" s="209">
        <f t="shared" si="73"/>
        <v>0</v>
      </c>
      <c r="N263" s="41"/>
      <c r="O263" s="209">
        <f>SUM(O264:O266)</f>
        <v>4407640</v>
      </c>
      <c r="P263" s="209">
        <f t="shared" si="74"/>
        <v>0</v>
      </c>
      <c r="Q263" s="41"/>
    </row>
    <row r="264" spans="2:17" s="308" customFormat="1" ht="17.25" customHeight="1" x14ac:dyDescent="0.25">
      <c r="B264" s="307"/>
      <c r="C264" s="286" t="s">
        <v>657</v>
      </c>
      <c r="D264" s="287" t="s">
        <v>628</v>
      </c>
      <c r="E264" s="111">
        <v>4021527</v>
      </c>
      <c r="F264" s="111">
        <f>4021527+17418-6716</f>
        <v>4032229</v>
      </c>
      <c r="G264" s="288">
        <f t="shared" si="90"/>
        <v>10702</v>
      </c>
      <c r="H264" s="112" t="s">
        <v>616</v>
      </c>
      <c r="I264" s="288">
        <f>ROUND(F264,0)</f>
        <v>4032229</v>
      </c>
      <c r="J264" s="288">
        <f>I264-F264</f>
        <v>0</v>
      </c>
      <c r="K264" s="102"/>
      <c r="L264" s="288">
        <f t="shared" ref="L264:L275" si="91">ROUND(I264,0)</f>
        <v>4032229</v>
      </c>
      <c r="M264" s="209">
        <f t="shared" si="73"/>
        <v>0</v>
      </c>
      <c r="N264" s="102"/>
      <c r="O264" s="209">
        <f t="shared" ref="O264:O266" si="92">ROUND(L264,0)</f>
        <v>4032229</v>
      </c>
      <c r="P264" s="209">
        <f t="shared" si="74"/>
        <v>0</v>
      </c>
      <c r="Q264" s="102"/>
    </row>
    <row r="265" spans="2:17" s="308" customFormat="1" ht="16.899999999999999" customHeight="1" x14ac:dyDescent="0.25">
      <c r="B265" s="307"/>
      <c r="C265" s="286" t="s">
        <v>658</v>
      </c>
      <c r="D265" s="287" t="s">
        <v>630</v>
      </c>
      <c r="E265" s="111">
        <v>216761</v>
      </c>
      <c r="F265" s="111">
        <f>216761+110614+3572+30+4-1482</f>
        <v>329499</v>
      </c>
      <c r="G265" s="288">
        <f t="shared" si="90"/>
        <v>112738</v>
      </c>
      <c r="H265" s="112" t="s">
        <v>616</v>
      </c>
      <c r="I265" s="288">
        <f>ROUND(F265,0)-49310+22060+264</f>
        <v>302513</v>
      </c>
      <c r="J265" s="288">
        <f>I265-F265</f>
        <v>-26986</v>
      </c>
      <c r="K265" s="102" t="s">
        <v>617</v>
      </c>
      <c r="L265" s="288">
        <f t="shared" si="91"/>
        <v>302513</v>
      </c>
      <c r="M265" s="209">
        <f t="shared" si="73"/>
        <v>0</v>
      </c>
      <c r="N265" s="102"/>
      <c r="O265" s="209">
        <f t="shared" si="92"/>
        <v>302513</v>
      </c>
      <c r="P265" s="209">
        <f t="shared" si="74"/>
        <v>0</v>
      </c>
      <c r="Q265" s="102"/>
    </row>
    <row r="266" spans="2:17" s="308" customFormat="1" ht="17.25" customHeight="1" x14ac:dyDescent="0.25">
      <c r="B266" s="307"/>
      <c r="C266" s="286" t="s">
        <v>659</v>
      </c>
      <c r="D266" s="287" t="s">
        <v>632</v>
      </c>
      <c r="E266" s="111"/>
      <c r="F266" s="111">
        <f>418</f>
        <v>418</v>
      </c>
      <c r="G266" s="288">
        <f t="shared" si="90"/>
        <v>418</v>
      </c>
      <c r="H266" s="112" t="s">
        <v>616</v>
      </c>
      <c r="I266" s="288">
        <f>ROUND(F266,0)-264+71355+538+851</f>
        <v>72898</v>
      </c>
      <c r="J266" s="288">
        <f>I266-F266</f>
        <v>72480</v>
      </c>
      <c r="K266" s="102" t="s">
        <v>599</v>
      </c>
      <c r="L266" s="288">
        <f t="shared" si="91"/>
        <v>72898</v>
      </c>
      <c r="M266" s="209">
        <f t="shared" si="73"/>
        <v>0</v>
      </c>
      <c r="N266" s="102"/>
      <c r="O266" s="209">
        <f t="shared" si="92"/>
        <v>72898</v>
      </c>
      <c r="P266" s="209">
        <f t="shared" si="74"/>
        <v>0</v>
      </c>
      <c r="Q266" s="102"/>
    </row>
    <row r="267" spans="2:17" s="206" customFormat="1" ht="14.45" customHeight="1" x14ac:dyDescent="0.25">
      <c r="B267" s="216" t="s">
        <v>660</v>
      </c>
      <c r="C267" s="276" t="s">
        <v>661</v>
      </c>
      <c r="D267" s="256" t="s">
        <v>581</v>
      </c>
      <c r="E267" s="25">
        <v>1427218.8621271863</v>
      </c>
      <c r="F267" s="25">
        <f>ROUND(E267,0)-337847+35517</f>
        <v>1124889</v>
      </c>
      <c r="G267" s="209">
        <f t="shared" si="90"/>
        <v>-302329.86212718626</v>
      </c>
      <c r="H267" s="41" t="s">
        <v>662</v>
      </c>
      <c r="I267" s="209">
        <f>ROUND(F267,0)-146203</f>
        <v>978686</v>
      </c>
      <c r="J267" s="209">
        <f t="shared" si="72"/>
        <v>-146203</v>
      </c>
      <c r="K267" s="41" t="s">
        <v>663</v>
      </c>
      <c r="L267" s="209">
        <f>ROUND(I267,0)+5000+16000</f>
        <v>999686</v>
      </c>
      <c r="M267" s="209">
        <f t="shared" si="73"/>
        <v>21000</v>
      </c>
      <c r="N267" s="114" t="s">
        <v>664</v>
      </c>
      <c r="O267" s="209">
        <f>ROUND(L267,0)-6000</f>
        <v>993686</v>
      </c>
      <c r="P267" s="209">
        <f t="shared" si="74"/>
        <v>-6000</v>
      </c>
      <c r="Q267" s="27" t="s">
        <v>665</v>
      </c>
    </row>
    <row r="268" spans="2:17" s="206" customFormat="1" ht="18.600000000000001" customHeight="1" x14ac:dyDescent="0.25">
      <c r="B268" s="216"/>
      <c r="C268" s="276" t="s">
        <v>666</v>
      </c>
      <c r="D268" s="256" t="s">
        <v>586</v>
      </c>
      <c r="E268" s="25"/>
      <c r="F268" s="25">
        <v>337847</v>
      </c>
      <c r="G268" s="209">
        <f t="shared" si="90"/>
        <v>337847</v>
      </c>
      <c r="H268" s="41"/>
      <c r="I268" s="209">
        <f>ROUND(F268,0)+10919+146203</f>
        <v>494969</v>
      </c>
      <c r="J268" s="209">
        <f>I268-F268</f>
        <v>157122</v>
      </c>
      <c r="K268" s="41" t="s">
        <v>667</v>
      </c>
      <c r="L268" s="209">
        <f t="shared" si="91"/>
        <v>494969</v>
      </c>
      <c r="M268" s="209">
        <f t="shared" si="73"/>
        <v>0</v>
      </c>
      <c r="N268" s="41"/>
      <c r="O268" s="209">
        <f>ROUND(L268,0)+6000</f>
        <v>500969</v>
      </c>
      <c r="P268" s="209">
        <f t="shared" si="74"/>
        <v>6000</v>
      </c>
      <c r="Q268" s="27" t="s">
        <v>665</v>
      </c>
    </row>
    <row r="269" spans="2:17" s="206" customFormat="1" ht="15" customHeight="1" x14ac:dyDescent="0.25">
      <c r="B269" s="206" t="s">
        <v>668</v>
      </c>
      <c r="C269" s="276" t="s">
        <v>669</v>
      </c>
      <c r="D269" s="256" t="s">
        <v>670</v>
      </c>
      <c r="E269" s="25">
        <v>266093</v>
      </c>
      <c r="F269" s="25">
        <f>ROUND(E269,0)</f>
        <v>266093</v>
      </c>
      <c r="G269" s="209">
        <f t="shared" si="90"/>
        <v>0</v>
      </c>
      <c r="H269" s="27"/>
      <c r="I269" s="209">
        <f>ROUND(F269,0)-27100</f>
        <v>238993</v>
      </c>
      <c r="J269" s="209">
        <f t="shared" si="72"/>
        <v>-27100</v>
      </c>
      <c r="K269" s="113" t="s">
        <v>646</v>
      </c>
      <c r="L269" s="209">
        <f t="shared" si="91"/>
        <v>238993</v>
      </c>
      <c r="M269" s="209">
        <f t="shared" si="73"/>
        <v>0</v>
      </c>
      <c r="N269" s="27"/>
      <c r="O269" s="209">
        <f t="shared" ref="O269:O275" si="93">ROUND(L269,0)</f>
        <v>238993</v>
      </c>
      <c r="P269" s="209">
        <f t="shared" si="74"/>
        <v>0</v>
      </c>
      <c r="Q269" s="27"/>
    </row>
    <row r="270" spans="2:17" s="206" customFormat="1" ht="16.149999999999999" customHeight="1" x14ac:dyDescent="0.25">
      <c r="B270" s="216" t="s">
        <v>671</v>
      </c>
      <c r="C270" s="276" t="s">
        <v>672</v>
      </c>
      <c r="D270" s="256" t="s">
        <v>642</v>
      </c>
      <c r="E270" s="25">
        <v>14485</v>
      </c>
      <c r="F270" s="25">
        <f>ROUND(E270,0)</f>
        <v>14485</v>
      </c>
      <c r="G270" s="209">
        <f t="shared" si="90"/>
        <v>0</v>
      </c>
      <c r="H270" s="27"/>
      <c r="I270" s="209">
        <f>ROUND(F270,0)+26175</f>
        <v>40660</v>
      </c>
      <c r="J270" s="209">
        <f t="shared" si="72"/>
        <v>26175</v>
      </c>
      <c r="K270" s="27" t="s">
        <v>162</v>
      </c>
      <c r="L270" s="209">
        <f t="shared" si="91"/>
        <v>40660</v>
      </c>
      <c r="M270" s="209">
        <f t="shared" si="73"/>
        <v>0</v>
      </c>
      <c r="N270" s="27"/>
      <c r="O270" s="209">
        <f t="shared" si="93"/>
        <v>40660</v>
      </c>
      <c r="P270" s="209">
        <f t="shared" si="74"/>
        <v>0</v>
      </c>
      <c r="Q270" s="27"/>
    </row>
    <row r="271" spans="2:17" s="309" customFormat="1" ht="42.6" customHeight="1" x14ac:dyDescent="0.25">
      <c r="B271" s="216" t="s">
        <v>660</v>
      </c>
      <c r="C271" s="276" t="s">
        <v>673</v>
      </c>
      <c r="D271" s="256" t="s">
        <v>324</v>
      </c>
      <c r="E271" s="25">
        <v>34497</v>
      </c>
      <c r="F271" s="25">
        <f>ROUND(E271,0)+53231</f>
        <v>87728</v>
      </c>
      <c r="G271" s="209">
        <f t="shared" si="90"/>
        <v>53231</v>
      </c>
      <c r="H271" s="41" t="s">
        <v>674</v>
      </c>
      <c r="I271" s="209">
        <f>ROUND(F271,0)</f>
        <v>87728</v>
      </c>
      <c r="J271" s="209">
        <f t="shared" si="72"/>
        <v>0</v>
      </c>
      <c r="K271" s="41"/>
      <c r="L271" s="209">
        <f t="shared" si="91"/>
        <v>87728</v>
      </c>
      <c r="M271" s="209">
        <f t="shared" si="73"/>
        <v>0</v>
      </c>
      <c r="N271" s="41"/>
      <c r="O271" s="209">
        <f t="shared" si="93"/>
        <v>87728</v>
      </c>
      <c r="P271" s="209">
        <f t="shared" si="74"/>
        <v>0</v>
      </c>
      <c r="Q271" s="41"/>
    </row>
    <row r="272" spans="2:17" s="309" customFormat="1" ht="56.45" customHeight="1" x14ac:dyDescent="0.25">
      <c r="B272" s="216" t="s">
        <v>660</v>
      </c>
      <c r="C272" s="276" t="s">
        <v>675</v>
      </c>
      <c r="D272" s="256" t="s">
        <v>327</v>
      </c>
      <c r="E272" s="25">
        <v>870000</v>
      </c>
      <c r="F272" s="25">
        <f>ROUND(E272,0)</f>
        <v>870000</v>
      </c>
      <c r="G272" s="209">
        <f>F272-E272</f>
        <v>0</v>
      </c>
      <c r="H272" s="40"/>
      <c r="I272" s="209">
        <f>ROUND(F272,0)</f>
        <v>870000</v>
      </c>
      <c r="J272" s="209">
        <f>I272-F272</f>
        <v>0</v>
      </c>
      <c r="K272" s="41"/>
      <c r="L272" s="209">
        <f t="shared" si="91"/>
        <v>870000</v>
      </c>
      <c r="M272" s="209">
        <f t="shared" si="73"/>
        <v>0</v>
      </c>
      <c r="N272" s="41"/>
      <c r="O272" s="209">
        <f t="shared" si="93"/>
        <v>870000</v>
      </c>
      <c r="P272" s="209">
        <f t="shared" si="74"/>
        <v>0</v>
      </c>
      <c r="Q272" s="41"/>
    </row>
    <row r="273" spans="2:17" s="309" customFormat="1" ht="18" customHeight="1" x14ac:dyDescent="0.25">
      <c r="B273" s="310" t="s">
        <v>676</v>
      </c>
      <c r="C273" s="276" t="s">
        <v>677</v>
      </c>
      <c r="D273" s="256" t="s">
        <v>678</v>
      </c>
      <c r="E273" s="25">
        <v>1006133.6654766668</v>
      </c>
      <c r="F273" s="25">
        <f>ROUND(E273,0)-197877-65904</f>
        <v>742353</v>
      </c>
      <c r="G273" s="209">
        <f t="shared" si="90"/>
        <v>-263780.66547666676</v>
      </c>
      <c r="H273" s="41" t="s">
        <v>679</v>
      </c>
      <c r="I273" s="209">
        <f>ROUND(F273,0)-58159</f>
        <v>684194</v>
      </c>
      <c r="J273" s="209">
        <f t="shared" si="72"/>
        <v>-58159</v>
      </c>
      <c r="K273" s="41" t="s">
        <v>680</v>
      </c>
      <c r="L273" s="209">
        <f t="shared" si="91"/>
        <v>684194</v>
      </c>
      <c r="M273" s="209">
        <f t="shared" si="73"/>
        <v>0</v>
      </c>
      <c r="N273" s="41"/>
      <c r="O273" s="209">
        <f t="shared" si="93"/>
        <v>684194</v>
      </c>
      <c r="P273" s="209">
        <f t="shared" si="74"/>
        <v>0</v>
      </c>
      <c r="Q273" s="41"/>
    </row>
    <row r="274" spans="2:17" s="309" customFormat="1" ht="18" customHeight="1" x14ac:dyDescent="0.25">
      <c r="B274" s="310"/>
      <c r="C274" s="276" t="s">
        <v>681</v>
      </c>
      <c r="D274" s="256" t="s">
        <v>682</v>
      </c>
      <c r="E274" s="25"/>
      <c r="F274" s="25">
        <v>197877</v>
      </c>
      <c r="G274" s="209">
        <f t="shared" si="90"/>
        <v>197877</v>
      </c>
      <c r="H274" s="41"/>
      <c r="I274" s="209">
        <f>ROUND(F274,0)+19453+58159</f>
        <v>275489</v>
      </c>
      <c r="J274" s="209">
        <f>I274-F274</f>
        <v>77612</v>
      </c>
      <c r="K274" s="41" t="s">
        <v>683</v>
      </c>
      <c r="L274" s="209">
        <f t="shared" si="91"/>
        <v>275489</v>
      </c>
      <c r="M274" s="209">
        <f t="shared" si="73"/>
        <v>0</v>
      </c>
      <c r="N274" s="41"/>
      <c r="O274" s="209">
        <f t="shared" si="93"/>
        <v>275489</v>
      </c>
      <c r="P274" s="209">
        <f t="shared" si="74"/>
        <v>0</v>
      </c>
      <c r="Q274" s="41"/>
    </row>
    <row r="275" spans="2:17" s="309" customFormat="1" ht="15" customHeight="1" x14ac:dyDescent="0.25">
      <c r="B275" s="216" t="s">
        <v>322</v>
      </c>
      <c r="C275" s="276" t="s">
        <v>684</v>
      </c>
      <c r="D275" s="256" t="s">
        <v>685</v>
      </c>
      <c r="E275" s="25">
        <v>166307</v>
      </c>
      <c r="F275" s="25">
        <f>ROUND(E275,0)+69974</f>
        <v>236281</v>
      </c>
      <c r="G275" s="209">
        <f t="shared" si="90"/>
        <v>69974</v>
      </c>
      <c r="H275" s="41" t="s">
        <v>577</v>
      </c>
      <c r="I275" s="209">
        <f t="shared" ref="I275" si="94">ROUND(F275,0)</f>
        <v>236281</v>
      </c>
      <c r="J275" s="209">
        <f t="shared" si="72"/>
        <v>0</v>
      </c>
      <c r="K275" s="27"/>
      <c r="L275" s="209">
        <f t="shared" si="91"/>
        <v>236281</v>
      </c>
      <c r="M275" s="209">
        <f t="shared" si="73"/>
        <v>0</v>
      </c>
      <c r="N275" s="27"/>
      <c r="O275" s="209">
        <f t="shared" si="93"/>
        <v>236281</v>
      </c>
      <c r="P275" s="209">
        <f t="shared" si="74"/>
        <v>0</v>
      </c>
      <c r="Q275" s="27"/>
    </row>
    <row r="276" spans="2:17" s="315" customFormat="1" ht="13.9" customHeight="1" x14ac:dyDescent="0.25">
      <c r="B276" s="310"/>
      <c r="C276" s="311" t="s">
        <v>686</v>
      </c>
      <c r="D276" s="312" t="s">
        <v>687</v>
      </c>
      <c r="E276" s="115">
        <v>508569.2170532</v>
      </c>
      <c r="F276" s="115">
        <f t="shared" ref="F276" si="95">F277+F278+F279</f>
        <v>508799</v>
      </c>
      <c r="G276" s="313">
        <f t="shared" si="90"/>
        <v>229.78294679999817</v>
      </c>
      <c r="H276" s="314"/>
      <c r="I276" s="313">
        <f>I277+I278+I279</f>
        <v>517972</v>
      </c>
      <c r="J276" s="313">
        <f t="shared" si="72"/>
        <v>9173</v>
      </c>
      <c r="K276" s="313"/>
      <c r="L276" s="313">
        <f>L277+L278+L279</f>
        <v>517972</v>
      </c>
      <c r="M276" s="313">
        <f t="shared" si="73"/>
        <v>0</v>
      </c>
      <c r="N276" s="313"/>
      <c r="O276" s="313">
        <f>O277+O278+O279</f>
        <v>514822</v>
      </c>
      <c r="P276" s="313">
        <f t="shared" si="74"/>
        <v>-3150</v>
      </c>
      <c r="Q276" s="313"/>
    </row>
    <row r="277" spans="2:17" s="309" customFormat="1" ht="12" customHeight="1" x14ac:dyDescent="0.25">
      <c r="B277" s="231" t="s">
        <v>688</v>
      </c>
      <c r="C277" s="316" t="s">
        <v>689</v>
      </c>
      <c r="D277" s="256" t="s">
        <v>690</v>
      </c>
      <c r="E277" s="25">
        <v>138119</v>
      </c>
      <c r="F277" s="25">
        <f>ROUND(E277,0)-46+276</f>
        <v>138349</v>
      </c>
      <c r="G277" s="209">
        <f t="shared" si="90"/>
        <v>230</v>
      </c>
      <c r="H277" s="41" t="s">
        <v>577</v>
      </c>
      <c r="I277" s="209">
        <f>ROUND(F277,0)+2468</f>
        <v>140817</v>
      </c>
      <c r="J277" s="209">
        <f t="shared" si="72"/>
        <v>2468</v>
      </c>
      <c r="K277" s="41" t="s">
        <v>599</v>
      </c>
      <c r="L277" s="209">
        <f>ROUND(I277,0)</f>
        <v>140817</v>
      </c>
      <c r="M277" s="209">
        <f t="shared" si="73"/>
        <v>0</v>
      </c>
      <c r="N277" s="41"/>
      <c r="O277" s="209">
        <f>ROUND(L277,0)</f>
        <v>140817</v>
      </c>
      <c r="P277" s="209">
        <f t="shared" si="74"/>
        <v>0</v>
      </c>
      <c r="Q277" s="41"/>
    </row>
    <row r="278" spans="2:17" s="266" customFormat="1" ht="45" customHeight="1" x14ac:dyDescent="0.25">
      <c r="B278" s="310" t="s">
        <v>691</v>
      </c>
      <c r="C278" s="316" t="s">
        <v>692</v>
      </c>
      <c r="D278" s="256" t="s">
        <v>693</v>
      </c>
      <c r="E278" s="25">
        <v>370450.2170532</v>
      </c>
      <c r="F278" s="25">
        <f>ROUND(E278,0)-14058</f>
        <v>356392</v>
      </c>
      <c r="G278" s="209">
        <f t="shared" si="90"/>
        <v>-14058.217053200002</v>
      </c>
      <c r="H278" s="27"/>
      <c r="I278" s="209">
        <f>ROUND(F278,0)-6000</f>
        <v>350392</v>
      </c>
      <c r="J278" s="209">
        <f t="shared" si="72"/>
        <v>-6000</v>
      </c>
      <c r="K278" s="27" t="s">
        <v>665</v>
      </c>
      <c r="L278" s="209">
        <f>ROUND(I278,0)</f>
        <v>350392</v>
      </c>
      <c r="M278" s="209">
        <f t="shared" si="73"/>
        <v>0</v>
      </c>
      <c r="N278" s="27"/>
      <c r="O278" s="209">
        <f>ROUND(L278,0)-3150</f>
        <v>347242</v>
      </c>
      <c r="P278" s="209">
        <f t="shared" si="74"/>
        <v>-3150</v>
      </c>
      <c r="Q278" s="41" t="s">
        <v>1158</v>
      </c>
    </row>
    <row r="279" spans="2:17" s="266" customFormat="1" ht="19.149999999999999" customHeight="1" x14ac:dyDescent="0.25">
      <c r="B279" s="310"/>
      <c r="C279" s="316" t="s">
        <v>694</v>
      </c>
      <c r="D279" s="256" t="s">
        <v>514</v>
      </c>
      <c r="E279" s="25"/>
      <c r="F279" s="25">
        <v>14058</v>
      </c>
      <c r="G279" s="209">
        <f t="shared" si="90"/>
        <v>14058</v>
      </c>
      <c r="H279" s="27" t="s">
        <v>509</v>
      </c>
      <c r="I279" s="209">
        <f>ROUND(F279,0)+6705+6000</f>
        <v>26763</v>
      </c>
      <c r="J279" s="209">
        <f>I279-F279</f>
        <v>12705</v>
      </c>
      <c r="K279" s="41" t="s">
        <v>695</v>
      </c>
      <c r="L279" s="209">
        <f>ROUND(I279,0)</f>
        <v>26763</v>
      </c>
      <c r="M279" s="209">
        <f t="shared" si="73"/>
        <v>0</v>
      </c>
      <c r="N279" s="27"/>
      <c r="O279" s="209">
        <f>ROUND(L279,0)</f>
        <v>26763</v>
      </c>
      <c r="P279" s="209">
        <f t="shared" si="74"/>
        <v>0</v>
      </c>
      <c r="Q279" s="27"/>
    </row>
    <row r="280" spans="2:17" ht="18" customHeight="1" x14ac:dyDescent="0.25">
      <c r="C280" s="302" t="s">
        <v>696</v>
      </c>
      <c r="D280" s="278" t="s">
        <v>697</v>
      </c>
      <c r="E280" s="88">
        <v>1647206</v>
      </c>
      <c r="F280" s="88">
        <f t="shared" ref="F280" si="96">F281+F282</f>
        <v>1852644</v>
      </c>
      <c r="G280" s="279">
        <f t="shared" si="90"/>
        <v>205438</v>
      </c>
      <c r="H280" s="280"/>
      <c r="I280" s="279">
        <f>I281+I282</f>
        <v>1852644</v>
      </c>
      <c r="J280" s="279">
        <f t="shared" si="72"/>
        <v>0</v>
      </c>
      <c r="K280" s="279"/>
      <c r="L280" s="279">
        <f>L281+L282</f>
        <v>1856644</v>
      </c>
      <c r="M280" s="279">
        <f t="shared" si="73"/>
        <v>4000</v>
      </c>
      <c r="N280" s="279"/>
      <c r="O280" s="279">
        <f>O281+O282</f>
        <v>1856644</v>
      </c>
      <c r="P280" s="279">
        <f t="shared" si="74"/>
        <v>0</v>
      </c>
      <c r="Q280" s="279"/>
    </row>
    <row r="281" spans="2:17" ht="13.5" customHeight="1" x14ac:dyDescent="0.25">
      <c r="C281" s="276" t="s">
        <v>698</v>
      </c>
      <c r="D281" s="256" t="s">
        <v>699</v>
      </c>
      <c r="E281" s="25">
        <v>651116</v>
      </c>
      <c r="F281" s="25">
        <f>ROUND(E281,0)+1832+142597</f>
        <v>795545</v>
      </c>
      <c r="G281" s="209">
        <f t="shared" si="90"/>
        <v>144429</v>
      </c>
      <c r="H281" s="41" t="s">
        <v>700</v>
      </c>
      <c r="I281" s="209">
        <f>ROUND(F281,0)</f>
        <v>795545</v>
      </c>
      <c r="J281" s="209">
        <f t="shared" si="72"/>
        <v>0</v>
      </c>
      <c r="K281" s="41"/>
      <c r="L281" s="209">
        <f>ROUND(I281,0)</f>
        <v>795545</v>
      </c>
      <c r="M281" s="209">
        <f t="shared" si="73"/>
        <v>0</v>
      </c>
      <c r="N281" s="41"/>
      <c r="O281" s="209">
        <f>ROUND(L281,0)</f>
        <v>795545</v>
      </c>
      <c r="P281" s="209">
        <f t="shared" si="74"/>
        <v>0</v>
      </c>
      <c r="Q281" s="41"/>
    </row>
    <row r="282" spans="2:17" ht="16.149999999999999" customHeight="1" x14ac:dyDescent="0.25">
      <c r="C282" s="276" t="s">
        <v>701</v>
      </c>
      <c r="D282" s="256" t="s">
        <v>581</v>
      </c>
      <c r="E282" s="25">
        <v>996090</v>
      </c>
      <c r="F282" s="25">
        <f>ROUND(E282,0)+61009</f>
        <v>1057099</v>
      </c>
      <c r="G282" s="209">
        <f t="shared" si="90"/>
        <v>61009</v>
      </c>
      <c r="H282" s="116" t="s">
        <v>702</v>
      </c>
      <c r="I282" s="209">
        <f>ROUND(F282,0)</f>
        <v>1057099</v>
      </c>
      <c r="J282" s="209">
        <f t="shared" ref="J282:J301" si="97">I282-F282</f>
        <v>0</v>
      </c>
      <c r="K282" s="116"/>
      <c r="L282" s="209">
        <f>ROUND(I282,0)+4000</f>
        <v>1061099</v>
      </c>
      <c r="M282" s="209">
        <f t="shared" ref="M282:M301" si="98">L282-I282</f>
        <v>4000</v>
      </c>
      <c r="N282" s="100" t="s">
        <v>703</v>
      </c>
      <c r="O282" s="209">
        <f>ROUND(L282,0)</f>
        <v>1061099</v>
      </c>
      <c r="P282" s="209">
        <f t="shared" ref="P282:P301" si="99">O282-L282</f>
        <v>0</v>
      </c>
      <c r="Q282" s="116"/>
    </row>
    <row r="283" spans="2:17" ht="16.149999999999999" customHeight="1" x14ac:dyDescent="0.25">
      <c r="C283" s="317" t="s">
        <v>704</v>
      </c>
      <c r="D283" s="278" t="s">
        <v>705</v>
      </c>
      <c r="E283" s="88">
        <v>706577.70189168002</v>
      </c>
      <c r="F283" s="88">
        <f>F284+F285</f>
        <v>706619</v>
      </c>
      <c r="G283" s="279">
        <f t="shared" si="90"/>
        <v>41.298108319984749</v>
      </c>
      <c r="H283" s="93"/>
      <c r="I283" s="279">
        <f>I284+I285</f>
        <v>740716</v>
      </c>
      <c r="J283" s="279">
        <f t="shared" si="97"/>
        <v>34097</v>
      </c>
      <c r="K283" s="94" t="s">
        <v>706</v>
      </c>
      <c r="L283" s="279">
        <f>L284+L285</f>
        <v>740716</v>
      </c>
      <c r="M283" s="279">
        <f t="shared" si="98"/>
        <v>0</v>
      </c>
      <c r="N283" s="94"/>
      <c r="O283" s="279">
        <f>O284+O285</f>
        <v>740716</v>
      </c>
      <c r="P283" s="279">
        <f t="shared" si="99"/>
        <v>0</v>
      </c>
      <c r="Q283" s="94"/>
    </row>
    <row r="284" spans="2:17" ht="16.5" customHeight="1" x14ac:dyDescent="0.25">
      <c r="B284" s="231" t="s">
        <v>707</v>
      </c>
      <c r="C284" s="276" t="s">
        <v>708</v>
      </c>
      <c r="D284" s="256" t="s">
        <v>699</v>
      </c>
      <c r="E284" s="25">
        <v>314605.76040000003</v>
      </c>
      <c r="F284" s="25">
        <f>ROUND(E284,0)+41</f>
        <v>314647</v>
      </c>
      <c r="G284" s="209">
        <f t="shared" si="90"/>
        <v>41.239599999971688</v>
      </c>
      <c r="H284" s="27" t="s">
        <v>1</v>
      </c>
      <c r="I284" s="209">
        <f>ROUND(F284,0)-22981</f>
        <v>291666</v>
      </c>
      <c r="J284" s="209">
        <f t="shared" si="97"/>
        <v>-22981</v>
      </c>
      <c r="K284" s="27"/>
      <c r="L284" s="209">
        <f t="shared" ref="L284:L291" si="100">ROUND(I284,0)</f>
        <v>291666</v>
      </c>
      <c r="M284" s="209">
        <f t="shared" si="98"/>
        <v>0</v>
      </c>
      <c r="N284" s="27"/>
      <c r="O284" s="209">
        <f t="shared" ref="O284:O291" si="101">ROUND(L284,0)</f>
        <v>291666</v>
      </c>
      <c r="P284" s="209">
        <f t="shared" si="99"/>
        <v>0</v>
      </c>
      <c r="Q284" s="27"/>
    </row>
    <row r="285" spans="2:17" ht="16.5" customHeight="1" x14ac:dyDescent="0.25">
      <c r="B285" s="231" t="s">
        <v>709</v>
      </c>
      <c r="C285" s="276" t="s">
        <v>710</v>
      </c>
      <c r="D285" s="256" t="s">
        <v>711</v>
      </c>
      <c r="E285" s="25">
        <v>391971.94149168005</v>
      </c>
      <c r="F285" s="25">
        <f t="shared" ref="F285:F290" si="102">ROUND(E285,0)</f>
        <v>391972</v>
      </c>
      <c r="G285" s="209">
        <f t="shared" si="90"/>
        <v>5.8508319954853505E-2</v>
      </c>
      <c r="H285" s="40"/>
      <c r="I285" s="209">
        <f>ROUND(F285,0)+57078</f>
        <v>449050</v>
      </c>
      <c r="J285" s="209">
        <f t="shared" si="97"/>
        <v>57078</v>
      </c>
      <c r="K285" s="41"/>
      <c r="L285" s="209">
        <f t="shared" si="100"/>
        <v>449050</v>
      </c>
      <c r="M285" s="209">
        <f t="shared" si="98"/>
        <v>0</v>
      </c>
      <c r="N285" s="41"/>
      <c r="O285" s="209">
        <f t="shared" si="101"/>
        <v>449050</v>
      </c>
      <c r="P285" s="209">
        <f t="shared" si="99"/>
        <v>0</v>
      </c>
      <c r="Q285" s="41"/>
    </row>
    <row r="286" spans="2:17" ht="19.899999999999999" customHeight="1" x14ac:dyDescent="0.25">
      <c r="B286" s="231" t="s">
        <v>712</v>
      </c>
      <c r="C286" s="317" t="s">
        <v>713</v>
      </c>
      <c r="D286" s="278" t="s">
        <v>714</v>
      </c>
      <c r="E286" s="54">
        <v>482391.24160460004</v>
      </c>
      <c r="F286" s="54">
        <f t="shared" si="102"/>
        <v>482391</v>
      </c>
      <c r="G286" s="234">
        <f t="shared" si="90"/>
        <v>-0.2416046000435017</v>
      </c>
      <c r="H286" s="55"/>
      <c r="I286" s="234">
        <f t="shared" ref="I286:I291" si="103">ROUND(F286,0)</f>
        <v>482391</v>
      </c>
      <c r="J286" s="234">
        <f t="shared" si="97"/>
        <v>0</v>
      </c>
      <c r="K286" s="56"/>
      <c r="L286" s="234">
        <f t="shared" si="100"/>
        <v>482391</v>
      </c>
      <c r="M286" s="234">
        <f t="shared" si="98"/>
        <v>0</v>
      </c>
      <c r="N286" s="56"/>
      <c r="O286" s="234">
        <f>ROUND(L286,0)</f>
        <v>482391</v>
      </c>
      <c r="P286" s="234">
        <f t="shared" si="99"/>
        <v>0</v>
      </c>
      <c r="Q286" s="56"/>
    </row>
    <row r="287" spans="2:17" ht="18" customHeight="1" x14ac:dyDescent="0.25">
      <c r="B287" s="231"/>
      <c r="C287" s="317" t="s">
        <v>715</v>
      </c>
      <c r="D287" s="278" t="s">
        <v>716</v>
      </c>
      <c r="E287" s="54">
        <v>3000</v>
      </c>
      <c r="F287" s="54">
        <f t="shared" si="102"/>
        <v>3000</v>
      </c>
      <c r="G287" s="234">
        <f t="shared" si="90"/>
        <v>0</v>
      </c>
      <c r="H287" s="55"/>
      <c r="I287" s="234">
        <f t="shared" si="103"/>
        <v>3000</v>
      </c>
      <c r="J287" s="234">
        <f t="shared" si="97"/>
        <v>0</v>
      </c>
      <c r="K287" s="56"/>
      <c r="L287" s="234">
        <f t="shared" si="100"/>
        <v>3000</v>
      </c>
      <c r="M287" s="234">
        <f t="shared" si="98"/>
        <v>0</v>
      </c>
      <c r="N287" s="56"/>
      <c r="O287" s="234">
        <f t="shared" si="101"/>
        <v>3000</v>
      </c>
      <c r="P287" s="234">
        <f t="shared" si="99"/>
        <v>0</v>
      </c>
      <c r="Q287" s="56"/>
    </row>
    <row r="288" spans="2:17" ht="31.9" customHeight="1" x14ac:dyDescent="0.25">
      <c r="B288" s="231" t="s">
        <v>717</v>
      </c>
      <c r="C288" s="317" t="s">
        <v>718</v>
      </c>
      <c r="D288" s="278" t="s">
        <v>719</v>
      </c>
      <c r="E288" s="54">
        <v>17962</v>
      </c>
      <c r="F288" s="54">
        <f>ROUND(E288,0)-1841</f>
        <v>16121</v>
      </c>
      <c r="G288" s="234">
        <f t="shared" si="90"/>
        <v>-1841</v>
      </c>
      <c r="H288" s="56" t="s">
        <v>1</v>
      </c>
      <c r="I288" s="234">
        <f t="shared" si="103"/>
        <v>16121</v>
      </c>
      <c r="J288" s="234">
        <f t="shared" si="97"/>
        <v>0</v>
      </c>
      <c r="K288" s="56"/>
      <c r="L288" s="234">
        <f t="shared" si="100"/>
        <v>16121</v>
      </c>
      <c r="M288" s="234">
        <f t="shared" si="98"/>
        <v>0</v>
      </c>
      <c r="N288" s="56"/>
      <c r="O288" s="234">
        <f t="shared" si="101"/>
        <v>16121</v>
      </c>
      <c r="P288" s="234">
        <f t="shared" si="99"/>
        <v>0</v>
      </c>
      <c r="Q288" s="56"/>
    </row>
    <row r="289" spans="2:17" ht="27" customHeight="1" x14ac:dyDescent="0.25">
      <c r="B289" s="231" t="s">
        <v>720</v>
      </c>
      <c r="C289" s="317" t="s">
        <v>721</v>
      </c>
      <c r="D289" s="278" t="s">
        <v>722</v>
      </c>
      <c r="E289" s="54">
        <v>1049</v>
      </c>
      <c r="F289" s="54">
        <f t="shared" si="102"/>
        <v>1049</v>
      </c>
      <c r="G289" s="234">
        <f t="shared" si="90"/>
        <v>0</v>
      </c>
      <c r="H289" s="55"/>
      <c r="I289" s="234">
        <f t="shared" si="103"/>
        <v>1049</v>
      </c>
      <c r="J289" s="234">
        <f t="shared" si="97"/>
        <v>0</v>
      </c>
      <c r="K289" s="56"/>
      <c r="L289" s="234">
        <f t="shared" si="100"/>
        <v>1049</v>
      </c>
      <c r="M289" s="234">
        <f t="shared" si="98"/>
        <v>0</v>
      </c>
      <c r="N289" s="56"/>
      <c r="O289" s="234">
        <f t="shared" si="101"/>
        <v>1049</v>
      </c>
      <c r="P289" s="234">
        <f t="shared" si="99"/>
        <v>0</v>
      </c>
      <c r="Q289" s="56"/>
    </row>
    <row r="290" spans="2:17" ht="57.6" customHeight="1" x14ac:dyDescent="0.25">
      <c r="B290" s="231" t="s">
        <v>723</v>
      </c>
      <c r="C290" s="317" t="s">
        <v>724</v>
      </c>
      <c r="D290" s="278" t="s">
        <v>725</v>
      </c>
      <c r="E290" s="54">
        <v>765</v>
      </c>
      <c r="F290" s="54">
        <f t="shared" si="102"/>
        <v>765</v>
      </c>
      <c r="G290" s="234">
        <f t="shared" si="90"/>
        <v>0</v>
      </c>
      <c r="H290" s="55"/>
      <c r="I290" s="234">
        <f t="shared" si="103"/>
        <v>765</v>
      </c>
      <c r="J290" s="234">
        <f t="shared" si="97"/>
        <v>0</v>
      </c>
      <c r="K290" s="56"/>
      <c r="L290" s="234">
        <f t="shared" si="100"/>
        <v>765</v>
      </c>
      <c r="M290" s="234">
        <f t="shared" si="98"/>
        <v>0</v>
      </c>
      <c r="N290" s="56"/>
      <c r="O290" s="234">
        <f t="shared" si="101"/>
        <v>765</v>
      </c>
      <c r="P290" s="234">
        <f t="shared" si="99"/>
        <v>0</v>
      </c>
      <c r="Q290" s="56"/>
    </row>
    <row r="291" spans="2:17" ht="30.6" customHeight="1" x14ac:dyDescent="0.25">
      <c r="B291" s="231" t="s">
        <v>726</v>
      </c>
      <c r="C291" s="302" t="s">
        <v>727</v>
      </c>
      <c r="D291" s="278" t="s">
        <v>728</v>
      </c>
      <c r="E291" s="54">
        <v>637343</v>
      </c>
      <c r="F291" s="54">
        <f>ROUND(E291,0)</f>
        <v>637343</v>
      </c>
      <c r="G291" s="234">
        <f>F291-E291</f>
        <v>0</v>
      </c>
      <c r="H291" s="55"/>
      <c r="I291" s="234">
        <f t="shared" si="103"/>
        <v>637343</v>
      </c>
      <c r="J291" s="234">
        <f>I291-F291</f>
        <v>0</v>
      </c>
      <c r="K291" s="56"/>
      <c r="L291" s="234">
        <f t="shared" si="100"/>
        <v>637343</v>
      </c>
      <c r="M291" s="234">
        <f t="shared" si="98"/>
        <v>0</v>
      </c>
      <c r="N291" s="56"/>
      <c r="O291" s="234">
        <f t="shared" si="101"/>
        <v>637343</v>
      </c>
      <c r="P291" s="234">
        <f t="shared" si="99"/>
        <v>0</v>
      </c>
      <c r="Q291" s="56"/>
    </row>
    <row r="292" spans="2:17" ht="27" customHeight="1" x14ac:dyDescent="0.25">
      <c r="C292" s="302" t="s">
        <v>729</v>
      </c>
      <c r="D292" s="278" t="s">
        <v>221</v>
      </c>
      <c r="E292" s="42">
        <v>15746</v>
      </c>
      <c r="F292" s="42">
        <f>F293+F294</f>
        <v>16496</v>
      </c>
      <c r="G292" s="234">
        <f t="shared" si="90"/>
        <v>750</v>
      </c>
      <c r="H292" s="55"/>
      <c r="I292" s="222">
        <f>I293+I294</f>
        <v>16496</v>
      </c>
      <c r="J292" s="234">
        <f t="shared" si="97"/>
        <v>0</v>
      </c>
      <c r="K292" s="56"/>
      <c r="L292" s="222">
        <f>L293+L294</f>
        <v>16496</v>
      </c>
      <c r="M292" s="234">
        <f t="shared" si="98"/>
        <v>0</v>
      </c>
      <c r="N292" s="56"/>
      <c r="O292" s="222">
        <f>O293+O294</f>
        <v>16496</v>
      </c>
      <c r="P292" s="234">
        <f t="shared" si="99"/>
        <v>0</v>
      </c>
      <c r="Q292" s="56"/>
    </row>
    <row r="293" spans="2:17" ht="14.45" customHeight="1" x14ac:dyDescent="0.25">
      <c r="B293" s="231" t="s">
        <v>730</v>
      </c>
      <c r="C293" s="276" t="s">
        <v>731</v>
      </c>
      <c r="D293" s="256" t="s">
        <v>732</v>
      </c>
      <c r="E293" s="25">
        <v>15746</v>
      </c>
      <c r="F293" s="25">
        <f>ROUND(E293,0)+750</f>
        <v>16496</v>
      </c>
      <c r="G293" s="209">
        <f t="shared" si="90"/>
        <v>750</v>
      </c>
      <c r="H293" s="41" t="s">
        <v>1</v>
      </c>
      <c r="I293" s="209">
        <f>ROUND(F293,0)</f>
        <v>16496</v>
      </c>
      <c r="J293" s="209">
        <f t="shared" si="97"/>
        <v>0</v>
      </c>
      <c r="K293" s="41"/>
      <c r="L293" s="209">
        <f>ROUND(I293,0)</f>
        <v>16496</v>
      </c>
      <c r="M293" s="209">
        <f t="shared" si="98"/>
        <v>0</v>
      </c>
      <c r="N293" s="41"/>
      <c r="O293" s="209">
        <f>ROUND(L293,0)</f>
        <v>16496</v>
      </c>
      <c r="P293" s="209">
        <f t="shared" si="99"/>
        <v>0</v>
      </c>
      <c r="Q293" s="41"/>
    </row>
    <row r="294" spans="2:17" s="266" customFormat="1" ht="15" customHeight="1" x14ac:dyDescent="0.25">
      <c r="B294" s="231" t="s">
        <v>733</v>
      </c>
      <c r="C294" s="276" t="s">
        <v>734</v>
      </c>
      <c r="D294" s="256" t="s">
        <v>735</v>
      </c>
      <c r="E294" s="25">
        <v>0</v>
      </c>
      <c r="F294" s="25">
        <f>ROUND(E294,0)</f>
        <v>0</v>
      </c>
      <c r="G294" s="209">
        <f t="shared" si="90"/>
        <v>0</v>
      </c>
      <c r="H294" s="40"/>
      <c r="I294" s="209">
        <f>ROUND(F294,0)</f>
        <v>0</v>
      </c>
      <c r="J294" s="209">
        <f t="shared" si="97"/>
        <v>0</v>
      </c>
      <c r="K294" s="41"/>
      <c r="L294" s="209">
        <f>ROUND(I294,0)</f>
        <v>0</v>
      </c>
      <c r="M294" s="209">
        <f t="shared" si="98"/>
        <v>0</v>
      </c>
      <c r="N294" s="41"/>
      <c r="O294" s="209">
        <f>ROUND(L294,0)</f>
        <v>0</v>
      </c>
      <c r="P294" s="209">
        <f t="shared" si="99"/>
        <v>0</v>
      </c>
      <c r="Q294" s="41"/>
    </row>
    <row r="295" spans="2:17" s="266" customFormat="1" ht="17.45" customHeight="1" outlineLevel="1" x14ac:dyDescent="0.2">
      <c r="C295" s="272" t="s">
        <v>736</v>
      </c>
      <c r="D295" s="273" t="s">
        <v>737</v>
      </c>
      <c r="E295" s="28">
        <v>0</v>
      </c>
      <c r="F295" s="28">
        <f>SUM(F296:F297)</f>
        <v>0</v>
      </c>
      <c r="G295" s="212">
        <f t="shared" si="90"/>
        <v>0</v>
      </c>
      <c r="H295" s="29"/>
      <c r="I295" s="212">
        <f>SUM(I296:I297)</f>
        <v>0</v>
      </c>
      <c r="J295" s="212">
        <f t="shared" si="97"/>
        <v>0</v>
      </c>
      <c r="K295" s="30"/>
      <c r="L295" s="212">
        <f>SUM(L296:L297)</f>
        <v>0</v>
      </c>
      <c r="M295" s="212">
        <f t="shared" si="98"/>
        <v>0</v>
      </c>
      <c r="N295" s="30"/>
      <c r="O295" s="212">
        <f>SUM(O296:O297)</f>
        <v>0</v>
      </c>
      <c r="P295" s="212">
        <f t="shared" si="99"/>
        <v>0</v>
      </c>
      <c r="Q295" s="30"/>
    </row>
    <row r="296" spans="2:17" ht="17.25" customHeight="1" outlineLevel="1" x14ac:dyDescent="0.25">
      <c r="C296" s="270" t="s">
        <v>123</v>
      </c>
      <c r="D296" s="271" t="s">
        <v>738</v>
      </c>
      <c r="E296" s="54"/>
      <c r="F296" s="54"/>
      <c r="G296" s="234">
        <f t="shared" si="90"/>
        <v>0</v>
      </c>
      <c r="H296" s="55"/>
      <c r="I296" s="234"/>
      <c r="J296" s="234">
        <f t="shared" si="97"/>
        <v>0</v>
      </c>
      <c r="K296" s="56"/>
      <c r="L296" s="234"/>
      <c r="M296" s="234">
        <f t="shared" si="98"/>
        <v>0</v>
      </c>
      <c r="N296" s="56"/>
      <c r="O296" s="234">
        <f t="shared" ref="O296:O297" si="104">ROUND(L296,0)</f>
        <v>0</v>
      </c>
      <c r="P296" s="234">
        <f t="shared" si="99"/>
        <v>0</v>
      </c>
      <c r="Q296" s="56"/>
    </row>
    <row r="297" spans="2:17" ht="15.75" outlineLevel="1" thickBot="1" x14ac:dyDescent="0.3">
      <c r="C297" s="270" t="s">
        <v>190</v>
      </c>
      <c r="D297" s="271" t="s">
        <v>739</v>
      </c>
      <c r="E297" s="54"/>
      <c r="F297" s="54"/>
      <c r="G297" s="234">
        <f t="shared" si="90"/>
        <v>0</v>
      </c>
      <c r="H297" s="55"/>
      <c r="I297" s="234"/>
      <c r="J297" s="234">
        <f t="shared" si="97"/>
        <v>0</v>
      </c>
      <c r="K297" s="56"/>
      <c r="L297" s="234"/>
      <c r="M297" s="234">
        <f t="shared" si="98"/>
        <v>0</v>
      </c>
      <c r="N297" s="56"/>
      <c r="O297" s="234">
        <f t="shared" si="104"/>
        <v>0</v>
      </c>
      <c r="P297" s="234">
        <f t="shared" si="99"/>
        <v>0</v>
      </c>
      <c r="Q297" s="56"/>
    </row>
    <row r="298" spans="2:17" s="266" customFormat="1" ht="30" customHeight="1" thickBot="1" x14ac:dyDescent="0.25">
      <c r="C298" s="318"/>
      <c r="D298" s="319" t="s">
        <v>740</v>
      </c>
      <c r="E298" s="117">
        <v>58317822.384578399</v>
      </c>
      <c r="F298" s="117">
        <f>F130+F140+F142+F143+F148+F150+F191+F206+F228+F295</f>
        <v>59128575</v>
      </c>
      <c r="G298" s="117">
        <f>G130+G140+G142+G143+G148+G150+G191+G206+G228+G295</f>
        <v>810752.62895110343</v>
      </c>
      <c r="H298" s="117" t="e">
        <f>H130+H140+H142+H143+H148+H150+H191+H206+H228+H295</f>
        <v>#VALUE!</v>
      </c>
      <c r="I298" s="117">
        <f>I130+I140+I142+I143+I148+I150+I191+I206+I228+I295</f>
        <v>59750919</v>
      </c>
      <c r="J298" s="320">
        <f t="shared" si="97"/>
        <v>622344</v>
      </c>
      <c r="K298" s="118"/>
      <c r="L298" s="320">
        <f>L130+L140+L142+L143+L148+L150+L191+L206+L228+L295</f>
        <v>59829557</v>
      </c>
      <c r="M298" s="320">
        <f t="shared" si="98"/>
        <v>78638</v>
      </c>
      <c r="N298" s="118"/>
      <c r="O298" s="320">
        <f>O130+O140+O142+O143+O148+O150+O191+O206+O228+O295</f>
        <v>60559269</v>
      </c>
      <c r="P298" s="320">
        <f t="shared" si="99"/>
        <v>729712</v>
      </c>
      <c r="Q298" s="118"/>
    </row>
    <row r="299" spans="2:17" s="206" customFormat="1" ht="21.6" customHeight="1" thickBot="1" x14ac:dyDescent="0.3">
      <c r="C299" s="272" t="s">
        <v>246</v>
      </c>
      <c r="D299" s="273" t="s">
        <v>741</v>
      </c>
      <c r="E299" s="28">
        <v>3486155</v>
      </c>
      <c r="F299" s="28">
        <f>ROUND(E299,0)+37335+(133641+67)</f>
        <v>3657198</v>
      </c>
      <c r="G299" s="212">
        <f t="shared" si="90"/>
        <v>171043</v>
      </c>
      <c r="H299" s="119" t="s">
        <v>742</v>
      </c>
      <c r="I299" s="212">
        <f>ROUND(F299,0)</f>
        <v>3657198</v>
      </c>
      <c r="J299" s="212">
        <f t="shared" si="97"/>
        <v>0</v>
      </c>
      <c r="K299" s="39"/>
      <c r="L299" s="212">
        <f>ROUND(I299,0)</f>
        <v>3657198</v>
      </c>
      <c r="M299" s="212">
        <f t="shared" si="98"/>
        <v>0</v>
      </c>
      <c r="N299" s="39"/>
      <c r="O299" s="212">
        <f>ROUND(L299,0)</f>
        <v>3657198</v>
      </c>
      <c r="P299" s="212">
        <f t="shared" si="99"/>
        <v>0</v>
      </c>
      <c r="Q299" s="39"/>
    </row>
    <row r="300" spans="2:17" ht="15.75" thickBot="1" x14ac:dyDescent="0.3">
      <c r="C300" s="318"/>
      <c r="D300" s="319" t="s">
        <v>743</v>
      </c>
      <c r="E300" s="120">
        <v>61803977.384578399</v>
      </c>
      <c r="F300" s="120">
        <f>F298+F299</f>
        <v>62785773</v>
      </c>
      <c r="G300" s="321">
        <f t="shared" si="90"/>
        <v>981795.61542160064</v>
      </c>
      <c r="H300" s="121"/>
      <c r="I300" s="321">
        <f>I298+I299</f>
        <v>63408117</v>
      </c>
      <c r="J300" s="321">
        <f t="shared" si="97"/>
        <v>622344</v>
      </c>
      <c r="K300" s="121"/>
      <c r="L300" s="321">
        <f>L298+L299</f>
        <v>63486755</v>
      </c>
      <c r="M300" s="321">
        <f t="shared" si="98"/>
        <v>78638</v>
      </c>
      <c r="N300" s="121"/>
      <c r="O300" s="321">
        <f>O298+O299</f>
        <v>64216467</v>
      </c>
      <c r="P300" s="321">
        <f t="shared" si="99"/>
        <v>729712</v>
      </c>
      <c r="Q300" s="121"/>
    </row>
    <row r="301" spans="2:17" ht="16.5" thickTop="1" thickBot="1" x14ac:dyDescent="0.3">
      <c r="C301" s="322" t="s">
        <v>744</v>
      </c>
      <c r="D301" s="323" t="s">
        <v>745</v>
      </c>
      <c r="E301" s="122">
        <v>0.25542160123586655</v>
      </c>
      <c r="F301" s="122">
        <f>F124-F300-0.2</f>
        <v>80542.8</v>
      </c>
      <c r="G301" s="324">
        <f t="shared" si="90"/>
        <v>80542.544578398767</v>
      </c>
      <c r="H301" s="123"/>
      <c r="I301" s="324">
        <f>I124-I300-0.2</f>
        <v>50316.800000000003</v>
      </c>
      <c r="J301" s="324">
        <f t="shared" si="97"/>
        <v>-30226</v>
      </c>
      <c r="K301" s="123"/>
      <c r="L301" s="324">
        <f>L124-L300-0.2</f>
        <v>54863.8</v>
      </c>
      <c r="M301" s="324">
        <f t="shared" si="98"/>
        <v>4547</v>
      </c>
      <c r="N301" s="123"/>
      <c r="O301" s="324">
        <f>O124-O300-0.2</f>
        <v>54863.8</v>
      </c>
      <c r="P301" s="324">
        <f t="shared" si="99"/>
        <v>0</v>
      </c>
      <c r="Q301" s="123"/>
    </row>
  </sheetData>
  <mergeCells count="6">
    <mergeCell ref="K145:K146"/>
    <mergeCell ref="H240:H241"/>
    <mergeCell ref="C2:D2"/>
    <mergeCell ref="C3:D3"/>
    <mergeCell ref="C127:D127"/>
    <mergeCell ref="C128:D128"/>
  </mergeCells>
  <conditionalFormatting sqref="E301:G301">
    <cfRule type="cellIs" dxfId="3" priority="4" operator="lessThan">
      <formula>0</formula>
    </cfRule>
  </conditionalFormatting>
  <conditionalFormatting sqref="I301:J301">
    <cfRule type="cellIs" dxfId="2" priority="3" operator="lessThan">
      <formula>0</formula>
    </cfRule>
  </conditionalFormatting>
  <conditionalFormatting sqref="L301:M301">
    <cfRule type="cellIs" dxfId="1" priority="2" operator="lessThan">
      <formula>0</formula>
    </cfRule>
  </conditionalFormatting>
  <conditionalFormatting sqref="O301:P301">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56"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739F-8A94-4195-8D8F-06BE146E9EE8}">
  <sheetPr>
    <tabColor rgb="FF7030A0"/>
    <pageSetUpPr fitToPage="1"/>
  </sheetPr>
  <dimension ref="A1:BG174"/>
  <sheetViews>
    <sheetView zoomScaleNormal="100" workbookViewId="0">
      <pane xSplit="3" topLeftCell="D1" activePane="topRight" state="frozen"/>
      <selection activeCell="C1" sqref="C1"/>
      <selection pane="topRight" activeCell="C1" sqref="C1"/>
    </sheetView>
  </sheetViews>
  <sheetFormatPr defaultColWidth="10" defaultRowHeight="15" outlineLevelRow="1" outlineLevelCol="1" x14ac:dyDescent="0.25"/>
  <cols>
    <col min="1" max="1" width="5.5703125" style="124" hidden="1" customWidth="1" outlineLevel="1"/>
    <col min="2" max="2" width="4" style="124" hidden="1" customWidth="1" outlineLevel="1"/>
    <col min="3" max="3" width="4.85546875" style="124" customWidth="1" collapsed="1"/>
    <col min="4" max="4" width="35.85546875" style="124" customWidth="1"/>
    <col min="5" max="5" width="13.85546875" style="124" customWidth="1"/>
    <col min="6" max="6" width="13" style="124" customWidth="1"/>
    <col min="7" max="8" width="12.42578125" style="124" customWidth="1"/>
    <col min="9" max="9" width="7.28515625" style="124" hidden="1" customWidth="1" outlineLevel="1"/>
    <col min="10" max="10" width="13.42578125" style="124" customWidth="1" collapsed="1"/>
    <col min="11" max="12" width="15" style="124" hidden="1" customWidth="1" outlineLevel="1"/>
    <col min="13" max="13" width="6.7109375" style="124" hidden="1" customWidth="1" outlineLevel="1"/>
    <col min="14" max="16" width="15" style="124" hidden="1" customWidth="1" outlineLevel="1"/>
    <col min="17" max="17" width="16.28515625" style="124" customWidth="1" collapsed="1"/>
    <col min="18" max="19" width="13.140625" style="124" hidden="1" customWidth="1" outlineLevel="1"/>
    <col min="20" max="21" width="13.85546875" style="124" hidden="1" customWidth="1" outlineLevel="1"/>
    <col min="22" max="22" width="11.5703125" style="124" customWidth="1" collapsed="1"/>
    <col min="23" max="28" width="11.5703125" style="124" customWidth="1"/>
    <col min="29" max="51" width="11.5703125" style="124" customWidth="1" outlineLevel="1"/>
    <col min="52" max="52" width="12.7109375" style="124" customWidth="1" outlineLevel="1"/>
    <col min="53" max="53" width="11.5703125" style="124" customWidth="1" outlineLevel="1"/>
    <col min="54" max="54" width="13.85546875" style="124" customWidth="1"/>
    <col min="55" max="55" width="13" style="124" customWidth="1" collapsed="1"/>
    <col min="56" max="56" width="10" style="124"/>
    <col min="57" max="57" width="10.140625" style="124" bestFit="1" customWidth="1"/>
    <col min="58" max="58" width="12" style="124" customWidth="1"/>
    <col min="59" max="59" width="13.85546875" style="124" bestFit="1" customWidth="1"/>
    <col min="60" max="16384" width="10" style="124"/>
  </cols>
  <sheetData>
    <row r="1" spans="1:58" ht="18.75" x14ac:dyDescent="0.3">
      <c r="C1" s="325" t="s">
        <v>746</v>
      </c>
      <c r="K1" s="159"/>
      <c r="L1" s="159"/>
      <c r="M1" s="159"/>
      <c r="N1" s="159"/>
      <c r="O1" s="159"/>
      <c r="Q1" s="326"/>
      <c r="R1" s="326"/>
    </row>
    <row r="2" spans="1:58" ht="18.75" x14ac:dyDescent="0.3">
      <c r="C2" s="325"/>
      <c r="K2" s="326"/>
      <c r="L2" s="326"/>
      <c r="M2" s="326"/>
      <c r="N2" s="326"/>
      <c r="O2" s="326"/>
      <c r="Q2" s="326"/>
      <c r="R2" s="326"/>
      <c r="S2" s="326"/>
      <c r="T2" s="326"/>
      <c r="U2" s="326"/>
      <c r="X2" s="175"/>
    </row>
    <row r="3" spans="1:58" ht="15.75" x14ac:dyDescent="0.25">
      <c r="C3" s="125" t="s">
        <v>747</v>
      </c>
      <c r="K3" s="159"/>
      <c r="L3" s="159"/>
      <c r="M3" s="159"/>
      <c r="N3" s="159"/>
      <c r="O3" s="159"/>
      <c r="P3" s="159"/>
      <c r="Q3" s="326"/>
      <c r="R3" s="326"/>
      <c r="S3" s="326"/>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row>
    <row r="4" spans="1:58" hidden="1" outlineLevel="1" x14ac:dyDescent="0.25">
      <c r="C4" s="126"/>
      <c r="K4" s="326"/>
      <c r="L4" s="326"/>
      <c r="M4" s="326"/>
      <c r="N4" s="326"/>
      <c r="O4" s="326"/>
      <c r="P4" s="127">
        <v>0</v>
      </c>
      <c r="Q4" s="326"/>
      <c r="R4" s="326"/>
      <c r="S4" s="326"/>
      <c r="T4" s="326"/>
      <c r="U4" s="326"/>
      <c r="W4" s="328"/>
      <c r="X4" s="328"/>
      <c r="Y4" s="328"/>
      <c r="Z4" s="328"/>
      <c r="AA4" s="328"/>
      <c r="AB4" s="328"/>
      <c r="AC4" s="328"/>
      <c r="AD4" s="328"/>
      <c r="AE4" s="328"/>
    </row>
    <row r="5" spans="1:58" s="329" customFormat="1" ht="60" collapsed="1" x14ac:dyDescent="0.2">
      <c r="B5" s="330" t="s">
        <v>748</v>
      </c>
      <c r="C5" s="128" t="s">
        <v>749</v>
      </c>
      <c r="D5" s="331" t="s">
        <v>750</v>
      </c>
      <c r="E5" s="128" t="s">
        <v>751</v>
      </c>
      <c r="F5" s="128" t="s">
        <v>752</v>
      </c>
      <c r="G5" s="128" t="s">
        <v>753</v>
      </c>
      <c r="H5" s="128" t="s">
        <v>754</v>
      </c>
      <c r="I5" s="128" t="s">
        <v>755</v>
      </c>
      <c r="J5" s="128" t="s">
        <v>756</v>
      </c>
      <c r="K5" s="128" t="s">
        <v>757</v>
      </c>
      <c r="L5" s="128" t="s">
        <v>758</v>
      </c>
      <c r="M5" s="128" t="s">
        <v>759</v>
      </c>
      <c r="N5" s="128" t="s">
        <v>760</v>
      </c>
      <c r="O5" s="128" t="s">
        <v>761</v>
      </c>
      <c r="P5" s="128" t="s">
        <v>762</v>
      </c>
      <c r="Q5" s="129" t="s">
        <v>763</v>
      </c>
      <c r="R5" s="129" t="s">
        <v>1159</v>
      </c>
      <c r="S5" s="128" t="s">
        <v>1160</v>
      </c>
      <c r="T5" s="128">
        <v>2024</v>
      </c>
      <c r="U5" s="128"/>
      <c r="V5" s="331">
        <v>2024</v>
      </c>
      <c r="W5" s="331">
        <v>2025</v>
      </c>
      <c r="X5" s="331">
        <v>2026</v>
      </c>
      <c r="Y5" s="331">
        <v>2027</v>
      </c>
      <c r="Z5" s="331">
        <v>2028</v>
      </c>
      <c r="AA5" s="331">
        <v>2029</v>
      </c>
      <c r="AB5" s="331">
        <v>2030</v>
      </c>
      <c r="AC5" s="331">
        <v>2031</v>
      </c>
      <c r="AD5" s="331">
        <v>2032</v>
      </c>
      <c r="AE5" s="331">
        <v>2033</v>
      </c>
      <c r="AF5" s="331">
        <v>2034</v>
      </c>
      <c r="AG5" s="331">
        <v>2035</v>
      </c>
      <c r="AH5" s="331">
        <v>2036</v>
      </c>
      <c r="AI5" s="331">
        <v>2037</v>
      </c>
      <c r="AJ5" s="331">
        <v>2038</v>
      </c>
      <c r="AK5" s="331">
        <v>2039</v>
      </c>
      <c r="AL5" s="331">
        <v>2040</v>
      </c>
      <c r="AM5" s="331">
        <v>2041</v>
      </c>
      <c r="AN5" s="331">
        <v>2042</v>
      </c>
      <c r="AO5" s="331">
        <v>2043</v>
      </c>
      <c r="AP5" s="331">
        <v>2044</v>
      </c>
      <c r="AQ5" s="331">
        <v>2045</v>
      </c>
      <c r="AR5" s="331">
        <v>2046</v>
      </c>
      <c r="AS5" s="331">
        <v>2047</v>
      </c>
      <c r="AT5" s="331">
        <v>2048</v>
      </c>
      <c r="AU5" s="331">
        <v>2049</v>
      </c>
      <c r="AV5" s="331">
        <v>2050</v>
      </c>
      <c r="AW5" s="331">
        <v>2051</v>
      </c>
      <c r="AX5" s="331">
        <v>2052</v>
      </c>
      <c r="AY5" s="331">
        <v>2053</v>
      </c>
      <c r="AZ5" s="128" t="s">
        <v>764</v>
      </c>
      <c r="BA5" s="332"/>
      <c r="BB5" s="330" t="s">
        <v>765</v>
      </c>
      <c r="BC5" s="128" t="s">
        <v>766</v>
      </c>
    </row>
    <row r="6" spans="1:58" s="159" customFormat="1" outlineLevel="1" x14ac:dyDescent="0.25">
      <c r="B6" s="154" t="s">
        <v>767</v>
      </c>
      <c r="C6" s="155">
        <v>1</v>
      </c>
      <c r="D6" s="156" t="s">
        <v>768</v>
      </c>
      <c r="E6" s="130" t="s">
        <v>769</v>
      </c>
      <c r="F6" s="130" t="s">
        <v>770</v>
      </c>
      <c r="G6" s="130" t="s">
        <v>771</v>
      </c>
      <c r="H6" s="130" t="s">
        <v>772</v>
      </c>
      <c r="I6" s="130" t="s">
        <v>773</v>
      </c>
      <c r="J6" s="131">
        <v>2099988.0499999998</v>
      </c>
      <c r="K6" s="132">
        <v>1343825.59</v>
      </c>
      <c r="L6" s="132"/>
      <c r="M6" s="132"/>
      <c r="N6" s="156"/>
      <c r="O6" s="156"/>
      <c r="P6" s="156"/>
      <c r="Q6" s="133" t="s">
        <v>774</v>
      </c>
      <c r="R6" s="134">
        <v>24486</v>
      </c>
      <c r="S6" s="134">
        <v>73458.600000000006</v>
      </c>
      <c r="T6" s="134">
        <f>SUM(R6:S6)</f>
        <v>97944.6</v>
      </c>
      <c r="U6" s="333">
        <f>V6-T6</f>
        <v>0.19999999999708962</v>
      </c>
      <c r="V6" s="134">
        <v>97944.8</v>
      </c>
      <c r="W6" s="134">
        <v>97944.8</v>
      </c>
      <c r="X6" s="134">
        <v>97944.8</v>
      </c>
      <c r="Y6" s="134">
        <v>97944.8</v>
      </c>
      <c r="Z6" s="134">
        <v>97944.8</v>
      </c>
      <c r="AA6" s="134">
        <v>97944.8</v>
      </c>
      <c r="AB6" s="134">
        <v>97944.8</v>
      </c>
      <c r="AC6" s="134">
        <v>97944.8</v>
      </c>
      <c r="AD6" s="134">
        <v>97944.8</v>
      </c>
      <c r="AE6" s="134">
        <v>113829.75999999999</v>
      </c>
      <c r="AF6" s="134">
        <v>113829.75999999999</v>
      </c>
      <c r="AG6" s="134">
        <v>113829.75999999999</v>
      </c>
      <c r="AH6" s="134">
        <v>71860.709999999992</v>
      </c>
      <c r="AI6" s="134">
        <v>0</v>
      </c>
      <c r="AJ6" s="134">
        <v>0</v>
      </c>
      <c r="AK6" s="134">
        <v>0</v>
      </c>
      <c r="AL6" s="134">
        <v>0</v>
      </c>
      <c r="AM6" s="134">
        <v>0</v>
      </c>
      <c r="AN6" s="134">
        <v>0</v>
      </c>
      <c r="AO6" s="134">
        <v>0</v>
      </c>
      <c r="AP6" s="134">
        <v>0</v>
      </c>
      <c r="AQ6" s="134">
        <v>0</v>
      </c>
      <c r="AR6" s="134">
        <v>0</v>
      </c>
      <c r="AS6" s="134">
        <v>0</v>
      </c>
      <c r="AT6" s="134">
        <v>0</v>
      </c>
      <c r="AU6" s="134">
        <v>0</v>
      </c>
      <c r="AV6" s="134">
        <v>0</v>
      </c>
      <c r="AW6" s="134">
        <v>0</v>
      </c>
      <c r="AX6" s="134"/>
      <c r="AY6" s="134"/>
      <c r="AZ6" s="136">
        <f>SUM(V6:AY6)</f>
        <v>1294853.1900000002</v>
      </c>
      <c r="BA6" s="334">
        <f>AZ6-SUM(V6:AY6)</f>
        <v>0</v>
      </c>
      <c r="BB6" s="135">
        <f>SUM(AC6:AY6)</f>
        <v>609239.59</v>
      </c>
      <c r="BC6" s="136">
        <f>SUM(V6:AB6,BB6)</f>
        <v>1294853.19</v>
      </c>
      <c r="BE6" s="159" t="b">
        <f>AZ6=BC6</f>
        <v>1</v>
      </c>
      <c r="BF6" s="160"/>
    </row>
    <row r="7" spans="1:58" outlineLevel="1" x14ac:dyDescent="0.25">
      <c r="B7" s="161" t="s">
        <v>767</v>
      </c>
      <c r="C7" s="162"/>
      <c r="D7" s="163" t="s">
        <v>775</v>
      </c>
      <c r="E7" s="137"/>
      <c r="F7" s="137"/>
      <c r="G7" s="137"/>
      <c r="H7" s="137"/>
      <c r="I7" s="137"/>
      <c r="J7" s="138"/>
      <c r="K7" s="138"/>
      <c r="L7" s="138" t="s">
        <v>776</v>
      </c>
      <c r="M7" s="138"/>
      <c r="N7" s="139">
        <f>SUM(O7:P7)</f>
        <v>3.8879999999999999</v>
      </c>
      <c r="O7" s="139">
        <v>3.8879999999999999</v>
      </c>
      <c r="P7" s="139">
        <f>$P$4</f>
        <v>0</v>
      </c>
      <c r="Q7" s="139" t="s">
        <v>777</v>
      </c>
      <c r="R7" s="140">
        <v>24114.21</v>
      </c>
      <c r="S7" s="140">
        <v>24049.89</v>
      </c>
      <c r="T7" s="140">
        <f>SUM(R7:S7)</f>
        <v>48164.1</v>
      </c>
      <c r="U7" s="335">
        <f t="shared" ref="U7:U70" si="0">V7-T7</f>
        <v>0.79202720000466798</v>
      </c>
      <c r="V7" s="140">
        <f>SUM(V6:$AW6)*$N7/100-2179</f>
        <v>48164.892027200003</v>
      </c>
      <c r="W7" s="140">
        <f>SUM(W6:$AW6)*$N7/100</f>
        <v>46535.7982032</v>
      </c>
      <c r="X7" s="140">
        <f>SUM(X6:$AW6)*$N7/100</f>
        <v>42727.704379200004</v>
      </c>
      <c r="Y7" s="140">
        <f>SUM(Y6:$AW6)*$N7/100</f>
        <v>38919.610555200001</v>
      </c>
      <c r="Z7" s="140">
        <f>SUM(Z6:$AW6)*$N7/100</f>
        <v>35111.516731199998</v>
      </c>
      <c r="AA7" s="140">
        <f>SUM(AA6:$AW6)*$N7/100</f>
        <v>31303.422907199998</v>
      </c>
      <c r="AB7" s="140">
        <f>SUM(AB6:$AW6)*$N7/100</f>
        <v>27495.329083199998</v>
      </c>
      <c r="AC7" s="140">
        <f>SUM(AC6:$AW6)*$N7/100</f>
        <v>23687.235259199999</v>
      </c>
      <c r="AD7" s="140">
        <f>SUM(AD6:$AW6)*$N7/100</f>
        <v>19879.141435200003</v>
      </c>
      <c r="AE7" s="140">
        <f>SUM(AE6:$AW6)*$N7/100</f>
        <v>16071.0476112</v>
      </c>
      <c r="AF7" s="140">
        <f>SUM(AF6:$AW6)*$N7/100</f>
        <v>11645.346542399999</v>
      </c>
      <c r="AG7" s="140">
        <f>SUM(AG6:$AW6)*$N7/100</f>
        <v>7219.6454735999987</v>
      </c>
      <c r="AH7" s="140">
        <f>SUM(AH6:$AW6)*$N7/100</f>
        <v>2793.9444048</v>
      </c>
      <c r="AI7" s="140">
        <v>0</v>
      </c>
      <c r="AJ7" s="140">
        <v>0</v>
      </c>
      <c r="AK7" s="140">
        <v>0</v>
      </c>
      <c r="AL7" s="140">
        <v>0</v>
      </c>
      <c r="AM7" s="140">
        <v>0</v>
      </c>
      <c r="AN7" s="140">
        <v>0</v>
      </c>
      <c r="AO7" s="140">
        <v>0</v>
      </c>
      <c r="AP7" s="140">
        <v>0</v>
      </c>
      <c r="AQ7" s="140">
        <v>0</v>
      </c>
      <c r="AR7" s="140">
        <v>0</v>
      </c>
      <c r="AS7" s="140">
        <v>0</v>
      </c>
      <c r="AT7" s="140">
        <v>0</v>
      </c>
      <c r="AU7" s="140">
        <v>0</v>
      </c>
      <c r="AV7" s="140">
        <v>0</v>
      </c>
      <c r="AW7" s="140">
        <v>0</v>
      </c>
      <c r="AX7" s="140"/>
      <c r="AY7" s="140"/>
      <c r="AZ7" s="142">
        <f>SUM(V7:AY7)</f>
        <v>351554.63461280009</v>
      </c>
      <c r="BA7" s="334">
        <f t="shared" ref="BA7:BA72" si="1">AZ7-SUM(V7:AY7)</f>
        <v>0</v>
      </c>
      <c r="BB7" s="141">
        <f>SUM(AC7:AY7)</f>
        <v>81296.360726400002</v>
      </c>
      <c r="BC7" s="142">
        <f>SUM(V7:AB7,BB7)</f>
        <v>351554.63461280003</v>
      </c>
      <c r="BE7" s="159" t="b">
        <f t="shared" ref="BE7:BE72" si="2">AZ7=BC7</f>
        <v>1</v>
      </c>
    </row>
    <row r="8" spans="1:58" s="159" customFormat="1" outlineLevel="1" x14ac:dyDescent="0.25">
      <c r="B8" s="154" t="s">
        <v>767</v>
      </c>
      <c r="C8" s="155">
        <v>2</v>
      </c>
      <c r="D8" s="156" t="s">
        <v>768</v>
      </c>
      <c r="E8" s="130" t="s">
        <v>778</v>
      </c>
      <c r="F8" s="130" t="s">
        <v>779</v>
      </c>
      <c r="G8" s="130" t="s">
        <v>780</v>
      </c>
      <c r="H8" s="130" t="s">
        <v>781</v>
      </c>
      <c r="I8" s="130" t="s">
        <v>773</v>
      </c>
      <c r="J8" s="131">
        <v>6628759.9400000004</v>
      </c>
      <c r="K8" s="132">
        <v>3337088.24</v>
      </c>
      <c r="L8" s="132"/>
      <c r="M8" s="132"/>
      <c r="N8" s="133"/>
      <c r="O8" s="133">
        <v>2.3380000000000001</v>
      </c>
      <c r="P8" s="133"/>
      <c r="Q8" s="133" t="s">
        <v>774</v>
      </c>
      <c r="R8" s="134">
        <v>98150</v>
      </c>
      <c r="S8" s="134">
        <v>294449.09999999998</v>
      </c>
      <c r="T8" s="134">
        <f t="shared" ref="T8:T71" si="3">SUM(R8:S8)</f>
        <v>392599.1</v>
      </c>
      <c r="U8" s="333">
        <f t="shared" si="0"/>
        <v>-0.29999999998835847</v>
      </c>
      <c r="V8" s="134">
        <v>392598.8</v>
      </c>
      <c r="W8" s="134">
        <v>392598.8</v>
      </c>
      <c r="X8" s="134">
        <v>392598.8</v>
      </c>
      <c r="Y8" s="134">
        <v>392598.8</v>
      </c>
      <c r="Z8" s="134">
        <v>392598.8</v>
      </c>
      <c r="AA8" s="134">
        <v>392598.8</v>
      </c>
      <c r="AB8" s="134">
        <v>392598.8</v>
      </c>
      <c r="AC8" s="134">
        <v>392597.24</v>
      </c>
      <c r="AD8" s="134">
        <v>0</v>
      </c>
      <c r="AE8" s="134">
        <v>0</v>
      </c>
      <c r="AF8" s="134">
        <v>0</v>
      </c>
      <c r="AG8" s="134">
        <v>0</v>
      </c>
      <c r="AH8" s="134">
        <v>0</v>
      </c>
      <c r="AI8" s="134">
        <v>0</v>
      </c>
      <c r="AJ8" s="134">
        <v>0</v>
      </c>
      <c r="AK8" s="134">
        <v>0</v>
      </c>
      <c r="AL8" s="134">
        <v>0</v>
      </c>
      <c r="AM8" s="134">
        <v>0</v>
      </c>
      <c r="AN8" s="134">
        <v>0</v>
      </c>
      <c r="AO8" s="134">
        <v>0</v>
      </c>
      <c r="AP8" s="134">
        <v>0</v>
      </c>
      <c r="AQ8" s="134">
        <v>0</v>
      </c>
      <c r="AR8" s="134">
        <v>0</v>
      </c>
      <c r="AS8" s="134">
        <v>0</v>
      </c>
      <c r="AT8" s="134">
        <v>0</v>
      </c>
      <c r="AU8" s="134">
        <v>0</v>
      </c>
      <c r="AV8" s="134">
        <v>0</v>
      </c>
      <c r="AW8" s="134">
        <v>0</v>
      </c>
      <c r="AX8" s="134"/>
      <c r="AY8" s="134"/>
      <c r="AZ8" s="136">
        <f t="shared" ref="AZ8:AZ71" si="4">SUM(V8:AY8)</f>
        <v>3140788.84</v>
      </c>
      <c r="BA8" s="334">
        <f t="shared" si="1"/>
        <v>0</v>
      </c>
      <c r="BB8" s="135">
        <f t="shared" ref="BB8:BB71" si="5">SUM(AC8:AY8)</f>
        <v>392597.24</v>
      </c>
      <c r="BC8" s="136">
        <f t="shared" ref="BC8:BC73" si="6">SUM(V8:AB8,BB8)</f>
        <v>3140788.84</v>
      </c>
      <c r="BE8" s="159" t="b">
        <f t="shared" si="2"/>
        <v>1</v>
      </c>
      <c r="BF8" s="160"/>
    </row>
    <row r="9" spans="1:58" outlineLevel="1" x14ac:dyDescent="0.25">
      <c r="B9" s="161" t="s">
        <v>767</v>
      </c>
      <c r="C9" s="162"/>
      <c r="D9" s="163" t="s">
        <v>782</v>
      </c>
      <c r="E9" s="137"/>
      <c r="F9" s="137"/>
      <c r="G9" s="137"/>
      <c r="H9" s="137"/>
      <c r="I9" s="137"/>
      <c r="J9" s="138"/>
      <c r="K9" s="138"/>
      <c r="L9" s="143" t="s">
        <v>783</v>
      </c>
      <c r="M9" s="143"/>
      <c r="N9" s="139">
        <f t="shared" ref="N9:N71" si="7">SUM(O9:P9)</f>
        <v>4.1500000000000004</v>
      </c>
      <c r="O9" s="144">
        <v>4.1500000000000004</v>
      </c>
      <c r="P9" s="139">
        <f>$P$4</f>
        <v>0</v>
      </c>
      <c r="Q9" s="139" t="s">
        <v>777</v>
      </c>
      <c r="R9" s="140">
        <v>68327.950000000012</v>
      </c>
      <c r="S9" s="140">
        <v>63765.93</v>
      </c>
      <c r="T9" s="140">
        <f t="shared" si="3"/>
        <v>132093.88</v>
      </c>
      <c r="U9" s="336">
        <f t="shared" si="0"/>
        <v>5000.8568599999999</v>
      </c>
      <c r="V9" s="140">
        <f>SUM(V8:$AW8)*$N9/100+1752+5000</f>
        <v>137094.73686</v>
      </c>
      <c r="W9" s="140">
        <f>SUM(W8:$AW8)*$N9/100</f>
        <v>114049.88666000002</v>
      </c>
      <c r="X9" s="140">
        <f>SUM(X8:$AW8)*$N9/100</f>
        <v>97757.036460000018</v>
      </c>
      <c r="Y9" s="140">
        <f>SUM(Y8:$AW8)*$N9/100</f>
        <v>81464.186260000002</v>
      </c>
      <c r="Z9" s="140">
        <f>SUM(Z8:$AW8)*$N9/100</f>
        <v>65171.336059999994</v>
      </c>
      <c r="AA9" s="140">
        <f>SUM(AA8:$AW8)*$N9/100</f>
        <v>48878.485860000001</v>
      </c>
      <c r="AB9" s="140">
        <f>SUM(AB8:$AW8)*$N9/100</f>
        <v>32585.635660000007</v>
      </c>
      <c r="AC9" s="140">
        <f>SUM(AC8:$AW8)*$N9/100</f>
        <v>16292.785460000001</v>
      </c>
      <c r="AD9" s="140">
        <f>SUM(AD8:$AW8)*$N9/100</f>
        <v>0</v>
      </c>
      <c r="AE9" s="140">
        <v>0</v>
      </c>
      <c r="AF9" s="140">
        <v>0</v>
      </c>
      <c r="AG9" s="140">
        <v>0</v>
      </c>
      <c r="AH9" s="140">
        <v>0</v>
      </c>
      <c r="AI9" s="140">
        <v>0</v>
      </c>
      <c r="AJ9" s="140">
        <v>0</v>
      </c>
      <c r="AK9" s="140">
        <v>0</v>
      </c>
      <c r="AL9" s="140">
        <v>0</v>
      </c>
      <c r="AM9" s="140">
        <v>0</v>
      </c>
      <c r="AN9" s="140">
        <v>0</v>
      </c>
      <c r="AO9" s="140">
        <v>0</v>
      </c>
      <c r="AP9" s="140">
        <v>0</v>
      </c>
      <c r="AQ9" s="140">
        <v>0</v>
      </c>
      <c r="AR9" s="140">
        <v>0</v>
      </c>
      <c r="AS9" s="140">
        <v>0</v>
      </c>
      <c r="AT9" s="140">
        <v>0</v>
      </c>
      <c r="AU9" s="140">
        <v>0</v>
      </c>
      <c r="AV9" s="140">
        <v>0</v>
      </c>
      <c r="AW9" s="140">
        <v>0</v>
      </c>
      <c r="AX9" s="140"/>
      <c r="AY9" s="140"/>
      <c r="AZ9" s="142">
        <f t="shared" si="4"/>
        <v>593294.08928000007</v>
      </c>
      <c r="BA9" s="334">
        <f t="shared" si="1"/>
        <v>0</v>
      </c>
      <c r="BB9" s="141">
        <f t="shared" si="5"/>
        <v>16292.785460000001</v>
      </c>
      <c r="BC9" s="142">
        <f t="shared" si="6"/>
        <v>593294.08928000007</v>
      </c>
      <c r="BE9" s="159" t="b">
        <f t="shared" si="2"/>
        <v>1</v>
      </c>
    </row>
    <row r="10" spans="1:58" s="159" customFormat="1" outlineLevel="1" x14ac:dyDescent="0.25">
      <c r="A10" s="159" t="s">
        <v>784</v>
      </c>
      <c r="B10" s="154" t="s">
        <v>767</v>
      </c>
      <c r="C10" s="155">
        <v>3</v>
      </c>
      <c r="D10" s="156" t="s">
        <v>785</v>
      </c>
      <c r="E10" s="130" t="s">
        <v>786</v>
      </c>
      <c r="F10" s="130" t="s">
        <v>787</v>
      </c>
      <c r="G10" s="130" t="s">
        <v>788</v>
      </c>
      <c r="H10" s="130" t="s">
        <v>789</v>
      </c>
      <c r="I10" s="130" t="s">
        <v>773</v>
      </c>
      <c r="J10" s="131">
        <v>871076.43</v>
      </c>
      <c r="K10" s="132">
        <v>453250.01</v>
      </c>
      <c r="L10" s="132"/>
      <c r="M10" s="132"/>
      <c r="N10" s="133"/>
      <c r="O10" s="133">
        <v>1.1990000000000001</v>
      </c>
      <c r="P10" s="133"/>
      <c r="Q10" s="133" t="s">
        <v>774</v>
      </c>
      <c r="R10" s="134">
        <v>13331</v>
      </c>
      <c r="S10" s="134">
        <v>39992.67</v>
      </c>
      <c r="T10" s="134">
        <f t="shared" si="3"/>
        <v>53323.67</v>
      </c>
      <c r="U10" s="333">
        <f t="shared" si="0"/>
        <v>-0.11000000000058208</v>
      </c>
      <c r="V10" s="134">
        <v>53323.56</v>
      </c>
      <c r="W10" s="134">
        <v>53323.56</v>
      </c>
      <c r="X10" s="134">
        <v>53323.56</v>
      </c>
      <c r="Y10" s="134">
        <v>53323.56</v>
      </c>
      <c r="Z10" s="134">
        <v>53323.56</v>
      </c>
      <c r="AA10" s="134">
        <v>53323.56</v>
      </c>
      <c r="AB10" s="134">
        <v>53323.56</v>
      </c>
      <c r="AC10" s="134">
        <v>51223.4</v>
      </c>
      <c r="AD10" s="134">
        <v>2099.91</v>
      </c>
      <c r="AE10" s="134">
        <v>0</v>
      </c>
      <c r="AF10" s="134">
        <v>0</v>
      </c>
      <c r="AG10" s="134">
        <v>0</v>
      </c>
      <c r="AH10" s="134">
        <v>0</v>
      </c>
      <c r="AI10" s="134">
        <v>0</v>
      </c>
      <c r="AJ10" s="134">
        <v>0</v>
      </c>
      <c r="AK10" s="134">
        <v>0</v>
      </c>
      <c r="AL10" s="134">
        <v>0</v>
      </c>
      <c r="AM10" s="134">
        <v>0</v>
      </c>
      <c r="AN10" s="134">
        <v>0</v>
      </c>
      <c r="AO10" s="134">
        <v>0</v>
      </c>
      <c r="AP10" s="134">
        <v>0</v>
      </c>
      <c r="AQ10" s="134">
        <v>0</v>
      </c>
      <c r="AR10" s="134">
        <v>0</v>
      </c>
      <c r="AS10" s="134">
        <v>0</v>
      </c>
      <c r="AT10" s="134">
        <v>0</v>
      </c>
      <c r="AU10" s="134">
        <v>0</v>
      </c>
      <c r="AV10" s="134">
        <v>0</v>
      </c>
      <c r="AW10" s="134">
        <v>0</v>
      </c>
      <c r="AX10" s="134"/>
      <c r="AY10" s="134"/>
      <c r="AZ10" s="136">
        <f t="shared" si="4"/>
        <v>426588.23</v>
      </c>
      <c r="BA10" s="334">
        <f t="shared" si="1"/>
        <v>0</v>
      </c>
      <c r="BB10" s="135">
        <f t="shared" si="5"/>
        <v>53323.31</v>
      </c>
      <c r="BC10" s="136">
        <f t="shared" si="6"/>
        <v>426588.23</v>
      </c>
      <c r="BE10" s="159" t="b">
        <f t="shared" si="2"/>
        <v>1</v>
      </c>
      <c r="BF10" s="160"/>
    </row>
    <row r="11" spans="1:58" outlineLevel="1" x14ac:dyDescent="0.25">
      <c r="A11" s="159" t="s">
        <v>784</v>
      </c>
      <c r="B11" s="161" t="s">
        <v>767</v>
      </c>
      <c r="C11" s="162"/>
      <c r="D11" s="163" t="s">
        <v>790</v>
      </c>
      <c r="E11" s="137"/>
      <c r="F11" s="137"/>
      <c r="G11" s="137"/>
      <c r="H11" s="137"/>
      <c r="I11" s="137"/>
      <c r="J11" s="138"/>
      <c r="K11" s="138"/>
      <c r="L11" s="138" t="s">
        <v>791</v>
      </c>
      <c r="M11" s="138"/>
      <c r="N11" s="139">
        <f t="shared" si="7"/>
        <v>4.1500000000000004</v>
      </c>
      <c r="O11" s="144">
        <v>4.1500000000000004</v>
      </c>
      <c r="P11" s="139">
        <f>$P$4</f>
        <v>0</v>
      </c>
      <c r="Q11" s="139" t="s">
        <v>777</v>
      </c>
      <c r="R11" s="140">
        <v>9054.02</v>
      </c>
      <c r="S11" s="140">
        <v>8141.34</v>
      </c>
      <c r="T11" s="140">
        <f t="shared" si="3"/>
        <v>17195.36</v>
      </c>
      <c r="U11" s="336">
        <f t="shared" si="0"/>
        <v>1000.0515450000021</v>
      </c>
      <c r="V11" s="140">
        <f>SUM(V10:$AW10)*$N11/100-508+1000</f>
        <v>18195.411545000003</v>
      </c>
      <c r="W11" s="140">
        <v>15376.41</v>
      </c>
      <c r="X11" s="140">
        <v>13137.43</v>
      </c>
      <c r="Y11" s="140">
        <v>10896.919999999998</v>
      </c>
      <c r="Z11" s="140">
        <v>8679.44</v>
      </c>
      <c r="AA11" s="140">
        <v>6409.7699999999995</v>
      </c>
      <c r="AB11" s="140">
        <v>4166.21</v>
      </c>
      <c r="AC11" s="140">
        <v>1941.92</v>
      </c>
      <c r="AD11" s="140">
        <v>173.87</v>
      </c>
      <c r="AE11" s="140">
        <v>0</v>
      </c>
      <c r="AF11" s="140">
        <v>0</v>
      </c>
      <c r="AG11" s="140">
        <v>0</v>
      </c>
      <c r="AH11" s="140">
        <v>0</v>
      </c>
      <c r="AI11" s="140">
        <v>0</v>
      </c>
      <c r="AJ11" s="140">
        <v>0</v>
      </c>
      <c r="AK11" s="140">
        <v>0</v>
      </c>
      <c r="AL11" s="140">
        <v>0</v>
      </c>
      <c r="AM11" s="140">
        <v>0</v>
      </c>
      <c r="AN11" s="140">
        <v>0</v>
      </c>
      <c r="AO11" s="140">
        <v>0</v>
      </c>
      <c r="AP11" s="140">
        <v>0</v>
      </c>
      <c r="AQ11" s="140">
        <v>0</v>
      </c>
      <c r="AR11" s="140">
        <v>0</v>
      </c>
      <c r="AS11" s="140">
        <v>0</v>
      </c>
      <c r="AT11" s="140">
        <v>0</v>
      </c>
      <c r="AU11" s="140">
        <v>0</v>
      </c>
      <c r="AV11" s="140">
        <v>0</v>
      </c>
      <c r="AW11" s="140">
        <v>0</v>
      </c>
      <c r="AX11" s="140"/>
      <c r="AY11" s="140"/>
      <c r="AZ11" s="142">
        <f t="shared" si="4"/>
        <v>78977.381544999997</v>
      </c>
      <c r="BA11" s="334">
        <f t="shared" si="1"/>
        <v>0</v>
      </c>
      <c r="BB11" s="141">
        <f t="shared" si="5"/>
        <v>2115.79</v>
      </c>
      <c r="BC11" s="142">
        <f t="shared" si="6"/>
        <v>78977.381544999997</v>
      </c>
      <c r="BE11" s="159" t="b">
        <f t="shared" si="2"/>
        <v>1</v>
      </c>
    </row>
    <row r="12" spans="1:58" s="159" customFormat="1" outlineLevel="1" x14ac:dyDescent="0.25">
      <c r="A12" s="159" t="s">
        <v>784</v>
      </c>
      <c r="B12" s="154" t="s">
        <v>767</v>
      </c>
      <c r="C12" s="155">
        <v>4</v>
      </c>
      <c r="D12" s="156" t="s">
        <v>768</v>
      </c>
      <c r="E12" s="130" t="s">
        <v>792</v>
      </c>
      <c r="F12" s="130" t="s">
        <v>793</v>
      </c>
      <c r="G12" s="130" t="s">
        <v>794</v>
      </c>
      <c r="H12" s="130" t="s">
        <v>795</v>
      </c>
      <c r="I12" s="130" t="s">
        <v>773</v>
      </c>
      <c r="J12" s="131">
        <v>520921.91</v>
      </c>
      <c r="K12" s="132">
        <v>28941.09</v>
      </c>
      <c r="L12" s="132"/>
      <c r="M12" s="132"/>
      <c r="N12" s="133"/>
      <c r="O12" s="133"/>
      <c r="P12" s="133"/>
      <c r="Q12" s="133" t="s">
        <v>774</v>
      </c>
      <c r="R12" s="134">
        <v>0</v>
      </c>
      <c r="S12" s="134">
        <v>0</v>
      </c>
      <c r="T12" s="134">
        <f t="shared" si="3"/>
        <v>0</v>
      </c>
      <c r="U12" s="333">
        <f t="shared" si="0"/>
        <v>67.680000000000007</v>
      </c>
      <c r="V12" s="134">
        <v>67.680000000000007</v>
      </c>
      <c r="W12" s="134">
        <v>0</v>
      </c>
      <c r="X12" s="134">
        <v>0</v>
      </c>
      <c r="Y12" s="134">
        <v>0</v>
      </c>
      <c r="Z12" s="134">
        <v>0</v>
      </c>
      <c r="AA12" s="134">
        <v>0</v>
      </c>
      <c r="AB12" s="134">
        <v>0</v>
      </c>
      <c r="AC12" s="134">
        <v>0</v>
      </c>
      <c r="AD12" s="134">
        <v>0</v>
      </c>
      <c r="AE12" s="134">
        <v>0</v>
      </c>
      <c r="AF12" s="134">
        <v>0</v>
      </c>
      <c r="AG12" s="134">
        <v>0</v>
      </c>
      <c r="AH12" s="134">
        <v>0</v>
      </c>
      <c r="AI12" s="134">
        <v>0</v>
      </c>
      <c r="AJ12" s="134">
        <v>0</v>
      </c>
      <c r="AK12" s="134">
        <v>0</v>
      </c>
      <c r="AL12" s="134">
        <v>0</v>
      </c>
      <c r="AM12" s="134">
        <v>0</v>
      </c>
      <c r="AN12" s="134">
        <v>0</v>
      </c>
      <c r="AO12" s="134">
        <v>0</v>
      </c>
      <c r="AP12" s="134">
        <v>0</v>
      </c>
      <c r="AQ12" s="134">
        <v>0</v>
      </c>
      <c r="AR12" s="134">
        <v>0</v>
      </c>
      <c r="AS12" s="134">
        <v>0</v>
      </c>
      <c r="AT12" s="134">
        <v>0</v>
      </c>
      <c r="AU12" s="134">
        <v>0</v>
      </c>
      <c r="AV12" s="134">
        <v>0</v>
      </c>
      <c r="AW12" s="134">
        <v>0</v>
      </c>
      <c r="AX12" s="134"/>
      <c r="AY12" s="134"/>
      <c r="AZ12" s="136">
        <f t="shared" si="4"/>
        <v>67.680000000000007</v>
      </c>
      <c r="BA12" s="334">
        <f t="shared" si="1"/>
        <v>0</v>
      </c>
      <c r="BB12" s="135">
        <f t="shared" ref="BB12:BB13" si="8">SUM(AB12:AY12)</f>
        <v>0</v>
      </c>
      <c r="BC12" s="136">
        <f>SUM(V12:AA12,BB12)</f>
        <v>67.680000000000007</v>
      </c>
      <c r="BE12" s="159" t="b">
        <f t="shared" si="2"/>
        <v>1</v>
      </c>
      <c r="BF12" s="160"/>
    </row>
    <row r="13" spans="1:58" outlineLevel="1" x14ac:dyDescent="0.25">
      <c r="A13" s="159" t="s">
        <v>784</v>
      </c>
      <c r="B13" s="161" t="s">
        <v>767</v>
      </c>
      <c r="C13" s="162"/>
      <c r="D13" s="163" t="s">
        <v>796</v>
      </c>
      <c r="E13" s="137"/>
      <c r="F13" s="137"/>
      <c r="G13" s="137"/>
      <c r="H13" s="137"/>
      <c r="I13" s="137"/>
      <c r="J13" s="138"/>
      <c r="K13" s="138"/>
      <c r="L13" s="138" t="s">
        <v>797</v>
      </c>
      <c r="M13" s="138"/>
      <c r="N13" s="139">
        <f t="shared" ref="N13" si="9">SUM(O13:P13)</f>
        <v>3.0870000000000002</v>
      </c>
      <c r="O13" s="144">
        <v>3.0870000000000002</v>
      </c>
      <c r="P13" s="139">
        <f>$P$4</f>
        <v>0</v>
      </c>
      <c r="Q13" s="139" t="s">
        <v>777</v>
      </c>
      <c r="R13" s="140">
        <v>67.680000000000007</v>
      </c>
      <c r="S13" s="140">
        <v>0</v>
      </c>
      <c r="T13" s="140">
        <f t="shared" si="3"/>
        <v>67.680000000000007</v>
      </c>
      <c r="U13" s="335">
        <f t="shared" si="0"/>
        <v>0.31999999999999318</v>
      </c>
      <c r="V13" s="140">
        <v>68</v>
      </c>
      <c r="W13" s="140">
        <v>0</v>
      </c>
      <c r="X13" s="140">
        <v>0</v>
      </c>
      <c r="Y13" s="140">
        <v>0</v>
      </c>
      <c r="Z13" s="140">
        <v>0</v>
      </c>
      <c r="AA13" s="140">
        <v>0</v>
      </c>
      <c r="AB13" s="140">
        <v>0</v>
      </c>
      <c r="AC13" s="140">
        <v>0</v>
      </c>
      <c r="AD13" s="140">
        <v>0</v>
      </c>
      <c r="AE13" s="140">
        <v>0</v>
      </c>
      <c r="AF13" s="140">
        <v>0</v>
      </c>
      <c r="AG13" s="140">
        <v>0</v>
      </c>
      <c r="AH13" s="140">
        <v>0</v>
      </c>
      <c r="AI13" s="140">
        <v>0</v>
      </c>
      <c r="AJ13" s="140">
        <v>0</v>
      </c>
      <c r="AK13" s="140">
        <v>0</v>
      </c>
      <c r="AL13" s="140">
        <v>0</v>
      </c>
      <c r="AM13" s="140">
        <v>0</v>
      </c>
      <c r="AN13" s="140">
        <v>0</v>
      </c>
      <c r="AO13" s="140">
        <v>0</v>
      </c>
      <c r="AP13" s="140">
        <v>0</v>
      </c>
      <c r="AQ13" s="140">
        <v>0</v>
      </c>
      <c r="AR13" s="140">
        <v>0</v>
      </c>
      <c r="AS13" s="140">
        <v>0</v>
      </c>
      <c r="AT13" s="140">
        <v>0</v>
      </c>
      <c r="AU13" s="140">
        <v>0</v>
      </c>
      <c r="AV13" s="140">
        <v>0</v>
      </c>
      <c r="AW13" s="140">
        <v>0</v>
      </c>
      <c r="AX13" s="140"/>
      <c r="AY13" s="140"/>
      <c r="AZ13" s="142">
        <f t="shared" si="4"/>
        <v>68</v>
      </c>
      <c r="BA13" s="334">
        <f t="shared" si="1"/>
        <v>0</v>
      </c>
      <c r="BB13" s="141">
        <f t="shared" si="8"/>
        <v>0</v>
      </c>
      <c r="BC13" s="142">
        <f>SUM(V13:AA13,BB13)</f>
        <v>68</v>
      </c>
      <c r="BE13" s="159" t="b">
        <f t="shared" si="2"/>
        <v>1</v>
      </c>
    </row>
    <row r="14" spans="1:58" s="159" customFormat="1" outlineLevel="1" x14ac:dyDescent="0.25">
      <c r="B14" s="154" t="s">
        <v>767</v>
      </c>
      <c r="C14" s="155">
        <v>5</v>
      </c>
      <c r="D14" s="156" t="s">
        <v>798</v>
      </c>
      <c r="E14" s="130" t="s">
        <v>799</v>
      </c>
      <c r="F14" s="130" t="s">
        <v>800</v>
      </c>
      <c r="G14" s="130" t="s">
        <v>801</v>
      </c>
      <c r="H14" s="130" t="s">
        <v>802</v>
      </c>
      <c r="I14" s="130" t="s">
        <v>773</v>
      </c>
      <c r="J14" s="131">
        <v>1925611</v>
      </c>
      <c r="K14" s="132">
        <v>1195236</v>
      </c>
      <c r="L14" s="132"/>
      <c r="M14" s="132"/>
      <c r="N14" s="133"/>
      <c r="O14" s="133"/>
      <c r="P14" s="133"/>
      <c r="Q14" s="133" t="s">
        <v>774</v>
      </c>
      <c r="R14" s="134">
        <v>33201</v>
      </c>
      <c r="S14" s="134">
        <v>99603</v>
      </c>
      <c r="T14" s="134">
        <f t="shared" si="3"/>
        <v>132804</v>
      </c>
      <c r="U14" s="333">
        <f t="shared" si="0"/>
        <v>0</v>
      </c>
      <c r="V14" s="134">
        <v>132804</v>
      </c>
      <c r="W14" s="134">
        <v>132804</v>
      </c>
      <c r="X14" s="134">
        <v>132804</v>
      </c>
      <c r="Y14" s="134">
        <v>132804</v>
      </c>
      <c r="Z14" s="134">
        <v>132804</v>
      </c>
      <c r="AA14" s="134">
        <v>132804</v>
      </c>
      <c r="AB14" s="134">
        <v>132804</v>
      </c>
      <c r="AC14" s="134">
        <v>132804</v>
      </c>
      <c r="AD14" s="134">
        <v>66402</v>
      </c>
      <c r="AE14" s="134">
        <v>0</v>
      </c>
      <c r="AF14" s="134">
        <v>0</v>
      </c>
      <c r="AG14" s="134">
        <v>0</v>
      </c>
      <c r="AH14" s="134">
        <v>0</v>
      </c>
      <c r="AI14" s="134">
        <v>0</v>
      </c>
      <c r="AJ14" s="134">
        <v>0</v>
      </c>
      <c r="AK14" s="134">
        <v>0</v>
      </c>
      <c r="AL14" s="134">
        <v>0</v>
      </c>
      <c r="AM14" s="134">
        <v>0</v>
      </c>
      <c r="AN14" s="134">
        <v>0</v>
      </c>
      <c r="AO14" s="134">
        <v>0</v>
      </c>
      <c r="AP14" s="134">
        <v>0</v>
      </c>
      <c r="AQ14" s="134">
        <v>0</v>
      </c>
      <c r="AR14" s="134">
        <v>0</v>
      </c>
      <c r="AS14" s="134">
        <v>0</v>
      </c>
      <c r="AT14" s="134">
        <v>0</v>
      </c>
      <c r="AU14" s="134">
        <v>0</v>
      </c>
      <c r="AV14" s="134">
        <v>0</v>
      </c>
      <c r="AW14" s="134">
        <v>0</v>
      </c>
      <c r="AX14" s="134"/>
      <c r="AY14" s="134"/>
      <c r="AZ14" s="136">
        <f t="shared" si="4"/>
        <v>1128834</v>
      </c>
      <c r="BA14" s="334">
        <f t="shared" si="1"/>
        <v>0</v>
      </c>
      <c r="BB14" s="135">
        <f t="shared" si="5"/>
        <v>199206</v>
      </c>
      <c r="BC14" s="136">
        <f t="shared" si="6"/>
        <v>1128834</v>
      </c>
      <c r="BE14" s="159" t="b">
        <f t="shared" si="2"/>
        <v>1</v>
      </c>
      <c r="BF14" s="124"/>
    </row>
    <row r="15" spans="1:58" outlineLevel="1" x14ac:dyDescent="0.25">
      <c r="B15" s="161" t="s">
        <v>767</v>
      </c>
      <c r="C15" s="162"/>
      <c r="D15" s="163" t="s">
        <v>803</v>
      </c>
      <c r="E15" s="137"/>
      <c r="F15" s="137"/>
      <c r="G15" s="137"/>
      <c r="H15" s="137"/>
      <c r="I15" s="137"/>
      <c r="J15" s="138"/>
      <c r="K15" s="138"/>
      <c r="L15" s="138" t="s">
        <v>804</v>
      </c>
      <c r="M15" s="138"/>
      <c r="N15" s="139">
        <f t="shared" si="7"/>
        <v>4.0579999999999998</v>
      </c>
      <c r="O15" s="139">
        <v>4.0579999999999998</v>
      </c>
      <c r="P15" s="139">
        <f>$P$4</f>
        <v>0</v>
      </c>
      <c r="Q15" s="139" t="s">
        <v>777</v>
      </c>
      <c r="R15" s="140">
        <v>22090.03</v>
      </c>
      <c r="S15" s="140">
        <v>20465.29</v>
      </c>
      <c r="T15" s="140">
        <f t="shared" si="3"/>
        <v>42555.32</v>
      </c>
      <c r="U15" s="335">
        <f t="shared" si="0"/>
        <v>0.76371999999537366</v>
      </c>
      <c r="V15" s="140">
        <f>SUM(V14:$AW14)*$N15/100-3252</f>
        <v>42556.083719999995</v>
      </c>
      <c r="W15" s="140">
        <f>SUM(W14:$AW14)*$N15/100</f>
        <v>40418.897399999994</v>
      </c>
      <c r="X15" s="140">
        <f>SUM(X14:$AW14)*$N15/100</f>
        <v>35029.711080000001</v>
      </c>
      <c r="Y15" s="140">
        <f>SUM(Y14:$AW14)*$N15/100</f>
        <v>29640.524759999997</v>
      </c>
      <c r="Z15" s="140">
        <f>SUM(Z14:$AW14)*$N15/100</f>
        <v>24251.33844</v>
      </c>
      <c r="AA15" s="140">
        <f>SUM(AA14:$AW14)*$N15/100</f>
        <v>18862.152119999999</v>
      </c>
      <c r="AB15" s="140">
        <f>SUM(AB14:$AW14)*$N15/100</f>
        <v>13472.965799999998</v>
      </c>
      <c r="AC15" s="140">
        <f>SUM(AC14:$AW14)*$N15/100</f>
        <v>8083.7794800000001</v>
      </c>
      <c r="AD15" s="140">
        <f>SUM(AD14:$AW14)*$N15/100</f>
        <v>2694.5931599999999</v>
      </c>
      <c r="AE15" s="140">
        <v>0</v>
      </c>
      <c r="AF15" s="140">
        <v>0</v>
      </c>
      <c r="AG15" s="140">
        <v>0</v>
      </c>
      <c r="AH15" s="140">
        <v>0</v>
      </c>
      <c r="AI15" s="140">
        <v>0</v>
      </c>
      <c r="AJ15" s="140">
        <v>0</v>
      </c>
      <c r="AK15" s="140">
        <v>0</v>
      </c>
      <c r="AL15" s="140">
        <v>0</v>
      </c>
      <c r="AM15" s="140">
        <v>0</v>
      </c>
      <c r="AN15" s="140">
        <v>0</v>
      </c>
      <c r="AO15" s="140">
        <v>0</v>
      </c>
      <c r="AP15" s="140">
        <v>0</v>
      </c>
      <c r="AQ15" s="140">
        <v>0</v>
      </c>
      <c r="AR15" s="140">
        <v>0</v>
      </c>
      <c r="AS15" s="140">
        <v>0</v>
      </c>
      <c r="AT15" s="140">
        <v>0</v>
      </c>
      <c r="AU15" s="140">
        <v>0</v>
      </c>
      <c r="AV15" s="140">
        <v>0</v>
      </c>
      <c r="AW15" s="140">
        <v>0</v>
      </c>
      <c r="AX15" s="140"/>
      <c r="AY15" s="140"/>
      <c r="AZ15" s="142">
        <f t="shared" si="4"/>
        <v>215010.04595999999</v>
      </c>
      <c r="BA15" s="334">
        <f t="shared" si="1"/>
        <v>0</v>
      </c>
      <c r="BB15" s="141">
        <f t="shared" si="5"/>
        <v>10778.37264</v>
      </c>
      <c r="BC15" s="142">
        <f t="shared" si="6"/>
        <v>215010.04595999999</v>
      </c>
      <c r="BE15" s="159" t="b">
        <f t="shared" si="2"/>
        <v>1</v>
      </c>
    </row>
    <row r="16" spans="1:58" s="159" customFormat="1" outlineLevel="1" x14ac:dyDescent="0.25">
      <c r="B16" s="154" t="s">
        <v>767</v>
      </c>
      <c r="C16" s="155">
        <v>6</v>
      </c>
      <c r="D16" s="156" t="s">
        <v>798</v>
      </c>
      <c r="E16" s="130" t="s">
        <v>805</v>
      </c>
      <c r="F16" s="130" t="s">
        <v>806</v>
      </c>
      <c r="G16" s="130" t="s">
        <v>807</v>
      </c>
      <c r="H16" s="130" t="s">
        <v>808</v>
      </c>
      <c r="I16" s="130" t="s">
        <v>773</v>
      </c>
      <c r="J16" s="131">
        <v>154450.12</v>
      </c>
      <c r="K16" s="132">
        <v>96866</v>
      </c>
      <c r="L16" s="132"/>
      <c r="M16" s="132"/>
      <c r="N16" s="133"/>
      <c r="O16" s="133"/>
      <c r="P16" s="133"/>
      <c r="Q16" s="133" t="s">
        <v>774</v>
      </c>
      <c r="R16" s="134">
        <v>2618</v>
      </c>
      <c r="S16" s="134">
        <v>7854</v>
      </c>
      <c r="T16" s="134">
        <f t="shared" si="3"/>
        <v>10472</v>
      </c>
      <c r="U16" s="333">
        <f t="shared" si="0"/>
        <v>0</v>
      </c>
      <c r="V16" s="134">
        <v>10472</v>
      </c>
      <c r="W16" s="134">
        <v>10472</v>
      </c>
      <c r="X16" s="134">
        <v>10472</v>
      </c>
      <c r="Y16" s="134">
        <v>10472</v>
      </c>
      <c r="Z16" s="134">
        <v>10472</v>
      </c>
      <c r="AA16" s="134">
        <v>10472</v>
      </c>
      <c r="AB16" s="134">
        <v>10472</v>
      </c>
      <c r="AC16" s="134">
        <v>10472</v>
      </c>
      <c r="AD16" s="134">
        <v>7854</v>
      </c>
      <c r="AE16" s="134">
        <v>0</v>
      </c>
      <c r="AF16" s="134">
        <v>0</v>
      </c>
      <c r="AG16" s="134">
        <v>0</v>
      </c>
      <c r="AH16" s="134">
        <v>0</v>
      </c>
      <c r="AI16" s="134">
        <v>0</v>
      </c>
      <c r="AJ16" s="134">
        <v>0</v>
      </c>
      <c r="AK16" s="134">
        <v>0</v>
      </c>
      <c r="AL16" s="134">
        <v>0</v>
      </c>
      <c r="AM16" s="134">
        <v>0</v>
      </c>
      <c r="AN16" s="134">
        <v>0</v>
      </c>
      <c r="AO16" s="134">
        <v>0</v>
      </c>
      <c r="AP16" s="134">
        <v>0</v>
      </c>
      <c r="AQ16" s="134">
        <v>0</v>
      </c>
      <c r="AR16" s="134">
        <v>0</v>
      </c>
      <c r="AS16" s="134">
        <v>0</v>
      </c>
      <c r="AT16" s="134">
        <v>0</v>
      </c>
      <c r="AU16" s="134">
        <v>0</v>
      </c>
      <c r="AV16" s="134">
        <v>0</v>
      </c>
      <c r="AW16" s="134">
        <v>0</v>
      </c>
      <c r="AX16" s="134"/>
      <c r="AY16" s="134"/>
      <c r="AZ16" s="136">
        <f t="shared" si="4"/>
        <v>91630</v>
      </c>
      <c r="BA16" s="334">
        <f t="shared" si="1"/>
        <v>0</v>
      </c>
      <c r="BB16" s="135">
        <f t="shared" si="5"/>
        <v>18326</v>
      </c>
      <c r="BC16" s="136">
        <f t="shared" si="6"/>
        <v>91630</v>
      </c>
      <c r="BE16" s="159" t="b">
        <f t="shared" si="2"/>
        <v>1</v>
      </c>
      <c r="BF16" s="160"/>
    </row>
    <row r="17" spans="2:58" outlineLevel="1" x14ac:dyDescent="0.25">
      <c r="B17" s="161" t="s">
        <v>767</v>
      </c>
      <c r="C17" s="162"/>
      <c r="D17" s="163" t="s">
        <v>809</v>
      </c>
      <c r="E17" s="137"/>
      <c r="F17" s="137"/>
      <c r="G17" s="137"/>
      <c r="H17" s="137"/>
      <c r="I17" s="137"/>
      <c r="J17" s="138"/>
      <c r="K17" s="138"/>
      <c r="L17" s="138" t="s">
        <v>810</v>
      </c>
      <c r="M17" s="138"/>
      <c r="N17" s="139">
        <f t="shared" si="7"/>
        <v>4.3659999999999997</v>
      </c>
      <c r="O17" s="139">
        <v>4.3659999999999997</v>
      </c>
      <c r="P17" s="139">
        <f>$P$4</f>
        <v>0</v>
      </c>
      <c r="Q17" s="139" t="s">
        <v>777</v>
      </c>
      <c r="R17" s="140">
        <v>1937.53</v>
      </c>
      <c r="S17" s="140">
        <v>1790.23</v>
      </c>
      <c r="T17" s="140">
        <f t="shared" si="3"/>
        <v>3727.76</v>
      </c>
      <c r="U17" s="335">
        <f t="shared" si="0"/>
        <v>0.80579999999918073</v>
      </c>
      <c r="V17" s="140">
        <f>SUM(V16:$AW16)*$N17/100-272</f>
        <v>3728.5657999999994</v>
      </c>
      <c r="W17" s="140">
        <f>SUM(W16:$AW16)*$N17/100</f>
        <v>3543.3582799999999</v>
      </c>
      <c r="X17" s="140">
        <f>SUM(X16:$AW16)*$N17/100</f>
        <v>3086.15076</v>
      </c>
      <c r="Y17" s="140">
        <f>SUM(Y16:$AW16)*$N17/100</f>
        <v>2628.9432399999996</v>
      </c>
      <c r="Z17" s="140">
        <f>SUM(Z16:$AW16)*$N17/100</f>
        <v>2171.7357199999997</v>
      </c>
      <c r="AA17" s="140">
        <f>SUM(AA16:$AW16)*$N17/100</f>
        <v>1714.5281999999997</v>
      </c>
      <c r="AB17" s="140">
        <f>SUM(AB16:$AW16)*$N17/100</f>
        <v>1257.3206799999998</v>
      </c>
      <c r="AC17" s="140">
        <f>SUM(AC16:$AW16)*$N17/100</f>
        <v>800.11315999999988</v>
      </c>
      <c r="AD17" s="140">
        <f>SUM(AD16:$AW16)*$N17/100</f>
        <v>342.90564000000001</v>
      </c>
      <c r="AE17" s="140">
        <v>0</v>
      </c>
      <c r="AF17" s="140">
        <v>0</v>
      </c>
      <c r="AG17" s="140">
        <v>0</v>
      </c>
      <c r="AH17" s="140">
        <v>0</v>
      </c>
      <c r="AI17" s="140">
        <v>0</v>
      </c>
      <c r="AJ17" s="140">
        <v>0</v>
      </c>
      <c r="AK17" s="140">
        <v>0</v>
      </c>
      <c r="AL17" s="140">
        <v>0</v>
      </c>
      <c r="AM17" s="140">
        <v>0</v>
      </c>
      <c r="AN17" s="140">
        <v>0</v>
      </c>
      <c r="AO17" s="140">
        <v>0</v>
      </c>
      <c r="AP17" s="140">
        <v>0</v>
      </c>
      <c r="AQ17" s="140">
        <v>0</v>
      </c>
      <c r="AR17" s="140">
        <v>0</v>
      </c>
      <c r="AS17" s="140">
        <v>0</v>
      </c>
      <c r="AT17" s="140">
        <v>0</v>
      </c>
      <c r="AU17" s="140">
        <v>0</v>
      </c>
      <c r="AV17" s="140">
        <v>0</v>
      </c>
      <c r="AW17" s="140">
        <v>0</v>
      </c>
      <c r="AX17" s="140"/>
      <c r="AY17" s="140"/>
      <c r="AZ17" s="142">
        <f t="shared" si="4"/>
        <v>19273.621480000002</v>
      </c>
      <c r="BA17" s="334">
        <f t="shared" si="1"/>
        <v>0</v>
      </c>
      <c r="BB17" s="141">
        <f t="shared" si="5"/>
        <v>1143.0187999999998</v>
      </c>
      <c r="BC17" s="142">
        <f t="shared" si="6"/>
        <v>19273.621480000002</v>
      </c>
      <c r="BE17" s="159" t="b">
        <f t="shared" si="2"/>
        <v>1</v>
      </c>
    </row>
    <row r="18" spans="2:58" s="159" customFormat="1" outlineLevel="1" x14ac:dyDescent="0.25">
      <c r="B18" s="154" t="s">
        <v>767</v>
      </c>
      <c r="C18" s="155">
        <v>7</v>
      </c>
      <c r="D18" s="156" t="s">
        <v>811</v>
      </c>
      <c r="E18" s="130" t="s">
        <v>812</v>
      </c>
      <c r="F18" s="130" t="s">
        <v>813</v>
      </c>
      <c r="G18" s="130" t="s">
        <v>814</v>
      </c>
      <c r="H18" s="130" t="s">
        <v>815</v>
      </c>
      <c r="I18" s="130" t="s">
        <v>773</v>
      </c>
      <c r="J18" s="131">
        <v>11123368</v>
      </c>
      <c r="K18" s="132">
        <v>9499600</v>
      </c>
      <c r="L18" s="132"/>
      <c r="M18" s="132"/>
      <c r="N18" s="133"/>
      <c r="O18" s="133"/>
      <c r="P18" s="133"/>
      <c r="Q18" s="133" t="s">
        <v>774</v>
      </c>
      <c r="R18" s="134">
        <v>94996</v>
      </c>
      <c r="S18" s="134">
        <v>284988</v>
      </c>
      <c r="T18" s="134">
        <f t="shared" si="3"/>
        <v>379984</v>
      </c>
      <c r="U18" s="333">
        <f t="shared" si="0"/>
        <v>0</v>
      </c>
      <c r="V18" s="134">
        <v>379984</v>
      </c>
      <c r="W18" s="134">
        <v>379984</v>
      </c>
      <c r="X18" s="134">
        <v>379984</v>
      </c>
      <c r="Y18" s="134">
        <v>379984</v>
      </c>
      <c r="Z18" s="134">
        <v>379984</v>
      </c>
      <c r="AA18" s="134">
        <v>379984</v>
      </c>
      <c r="AB18" s="134">
        <v>379984</v>
      </c>
      <c r="AC18" s="134">
        <v>379984</v>
      </c>
      <c r="AD18" s="134">
        <v>379984</v>
      </c>
      <c r="AE18" s="134">
        <v>379984</v>
      </c>
      <c r="AF18" s="134">
        <v>379984</v>
      </c>
      <c r="AG18" s="134">
        <v>379984</v>
      </c>
      <c r="AH18" s="134">
        <v>379984</v>
      </c>
      <c r="AI18" s="134">
        <v>379984</v>
      </c>
      <c r="AJ18" s="134">
        <v>379984</v>
      </c>
      <c r="AK18" s="134">
        <v>379984</v>
      </c>
      <c r="AL18" s="134">
        <v>379984</v>
      </c>
      <c r="AM18" s="134">
        <v>379984</v>
      </c>
      <c r="AN18" s="134">
        <v>379984</v>
      </c>
      <c r="AO18" s="134">
        <v>379984</v>
      </c>
      <c r="AP18" s="134">
        <v>379984</v>
      </c>
      <c r="AQ18" s="134">
        <v>379984</v>
      </c>
      <c r="AR18" s="134">
        <v>379984</v>
      </c>
      <c r="AS18" s="134">
        <v>379984</v>
      </c>
      <c r="AT18" s="134">
        <v>189992</v>
      </c>
      <c r="AU18" s="134">
        <v>0</v>
      </c>
      <c r="AV18" s="134">
        <v>0</v>
      </c>
      <c r="AW18" s="134">
        <v>0</v>
      </c>
      <c r="AX18" s="134"/>
      <c r="AY18" s="134"/>
      <c r="AZ18" s="136">
        <f t="shared" si="4"/>
        <v>9309608</v>
      </c>
      <c r="BA18" s="334">
        <f t="shared" si="1"/>
        <v>0</v>
      </c>
      <c r="BB18" s="135">
        <f t="shared" si="5"/>
        <v>6649720</v>
      </c>
      <c r="BC18" s="136">
        <f t="shared" si="6"/>
        <v>9309608</v>
      </c>
      <c r="BE18" s="159" t="b">
        <f t="shared" si="2"/>
        <v>1</v>
      </c>
      <c r="BF18" s="160"/>
    </row>
    <row r="19" spans="2:58" outlineLevel="1" x14ac:dyDescent="0.25">
      <c r="B19" s="161" t="s">
        <v>767</v>
      </c>
      <c r="C19" s="162"/>
      <c r="D19" s="163" t="s">
        <v>816</v>
      </c>
      <c r="E19" s="137"/>
      <c r="F19" s="137"/>
      <c r="G19" s="137"/>
      <c r="H19" s="137"/>
      <c r="I19" s="137"/>
      <c r="J19" s="138"/>
      <c r="K19" s="138"/>
      <c r="L19" s="138" t="s">
        <v>817</v>
      </c>
      <c r="M19" s="138"/>
      <c r="N19" s="139">
        <f t="shared" si="7"/>
        <v>3.8719999999999999</v>
      </c>
      <c r="O19" s="139">
        <v>3.8719999999999999</v>
      </c>
      <c r="P19" s="139">
        <f>$P$4</f>
        <v>0</v>
      </c>
      <c r="Q19" s="139" t="s">
        <v>777</v>
      </c>
      <c r="R19" s="140">
        <v>172225.8</v>
      </c>
      <c r="S19" s="140">
        <v>178807.15</v>
      </c>
      <c r="T19" s="140">
        <f t="shared" si="3"/>
        <v>351032.94999999995</v>
      </c>
      <c r="U19" s="335">
        <f t="shared" si="0"/>
        <v>7.1760000020731241E-2</v>
      </c>
      <c r="V19" s="140">
        <f>SUM(V18:$AW18)*$N19/100-9435</f>
        <v>351033.02175999997</v>
      </c>
      <c r="W19" s="140">
        <f>SUM(W18:$AW18)*$N19/100</f>
        <v>345755.04128</v>
      </c>
      <c r="X19" s="140">
        <f>SUM(X18:$AW18)*$N19/100</f>
        <v>331042.06079999998</v>
      </c>
      <c r="Y19" s="140">
        <f>SUM(Y18:$AW18)*$N19/100</f>
        <v>316329.08031999995</v>
      </c>
      <c r="Z19" s="140">
        <f>SUM(Z18:$AW18)*$N19/100</f>
        <v>301616.09983999998</v>
      </c>
      <c r="AA19" s="140">
        <f>SUM(AA18:$AW18)*$N19/100</f>
        <v>286903.11936000001</v>
      </c>
      <c r="AB19" s="140">
        <f>SUM(AB18:$AW18)*$N19/100</f>
        <v>272190.13887999998</v>
      </c>
      <c r="AC19" s="140">
        <f>SUM(AC18:$AW18)*$N19/100</f>
        <v>257477.15839999999</v>
      </c>
      <c r="AD19" s="140">
        <f>SUM(AD18:$AW18)*$N19/100</f>
        <v>242764.17791999999</v>
      </c>
      <c r="AE19" s="140">
        <f>SUM(AE18:$AW18)*$N19/100</f>
        <v>228051.19743999999</v>
      </c>
      <c r="AF19" s="140">
        <f>SUM(AF18:$AW18)*$N19/100</f>
        <v>213338.21695999999</v>
      </c>
      <c r="AG19" s="140">
        <f>SUM(AG18:$AW18)*$N19/100</f>
        <v>198625.23647999999</v>
      </c>
      <c r="AH19" s="140">
        <f>SUM(AH18:$AW18)*$N19/100</f>
        <v>183912.25599999996</v>
      </c>
      <c r="AI19" s="140">
        <f>SUM(AI18:$AW18)*$N19/100</f>
        <v>169199.27552000002</v>
      </c>
      <c r="AJ19" s="140">
        <f>SUM(AJ18:$AW18)*$N19/100</f>
        <v>154486.29504</v>
      </c>
      <c r="AK19" s="140">
        <f>SUM(AK18:$AW18)*$N19/100</f>
        <v>139773.31456</v>
      </c>
      <c r="AL19" s="140">
        <f>SUM(AL18:$AW18)*$N19/100</f>
        <v>125060.33408</v>
      </c>
      <c r="AM19" s="140">
        <f>SUM(AM18:$AW18)*$N19/100</f>
        <v>110347.35359999999</v>
      </c>
      <c r="AN19" s="140">
        <f>SUM(AN18:$AW18)*$N19/100</f>
        <v>95634.373119999989</v>
      </c>
      <c r="AO19" s="140">
        <f>SUM(AO18:$AW18)*$N19/100</f>
        <v>80921.392639999991</v>
      </c>
      <c r="AP19" s="140">
        <f>SUM(AP18:$AW18)*$N19/100</f>
        <v>66208.412160000007</v>
      </c>
      <c r="AQ19" s="140">
        <f>SUM(AQ18:$AW18)*$N19/100</f>
        <v>51495.431679999994</v>
      </c>
      <c r="AR19" s="140">
        <f>SUM(AR18:$AW18)*$N19/100</f>
        <v>36782.451200000003</v>
      </c>
      <c r="AS19" s="140">
        <f>SUM(AS18:$AW18)*$N19/100</f>
        <v>22069.470720000001</v>
      </c>
      <c r="AT19" s="140">
        <f>SUM(AT18:$AW18)*$N19/100</f>
        <v>7356.4902400000001</v>
      </c>
      <c r="AU19" s="140">
        <v>0</v>
      </c>
      <c r="AV19" s="140">
        <v>0</v>
      </c>
      <c r="AW19" s="140">
        <v>0</v>
      </c>
      <c r="AX19" s="140"/>
      <c r="AY19" s="140"/>
      <c r="AZ19" s="142">
        <f t="shared" si="4"/>
        <v>4588371.3999999994</v>
      </c>
      <c r="BA19" s="334">
        <f t="shared" si="1"/>
        <v>0</v>
      </c>
      <c r="BB19" s="141">
        <f t="shared" si="5"/>
        <v>2383502.8377600005</v>
      </c>
      <c r="BC19" s="142">
        <f t="shared" si="6"/>
        <v>4588371.4000000004</v>
      </c>
      <c r="BE19" s="159" t="b">
        <f t="shared" si="2"/>
        <v>1</v>
      </c>
    </row>
    <row r="20" spans="2:58" s="159" customFormat="1" outlineLevel="1" x14ac:dyDescent="0.25">
      <c r="B20" s="154" t="s">
        <v>818</v>
      </c>
      <c r="C20" s="155">
        <v>8</v>
      </c>
      <c r="D20" s="156" t="s">
        <v>819</v>
      </c>
      <c r="E20" s="130" t="s">
        <v>820</v>
      </c>
      <c r="F20" s="130" t="s">
        <v>821</v>
      </c>
      <c r="G20" s="130" t="s">
        <v>822</v>
      </c>
      <c r="H20" s="130" t="s">
        <v>823</v>
      </c>
      <c r="I20" s="130" t="s">
        <v>773</v>
      </c>
      <c r="J20" s="131">
        <v>484935.32</v>
      </c>
      <c r="K20" s="132">
        <v>299602</v>
      </c>
      <c r="L20" s="132"/>
      <c r="M20" s="132"/>
      <c r="N20" s="133"/>
      <c r="O20" s="133"/>
      <c r="P20" s="133"/>
      <c r="Q20" s="133" t="s">
        <v>774</v>
      </c>
      <c r="R20" s="134">
        <v>5078</v>
      </c>
      <c r="S20" s="134">
        <v>15234</v>
      </c>
      <c r="T20" s="134">
        <f t="shared" si="3"/>
        <v>20312</v>
      </c>
      <c r="U20" s="333">
        <f t="shared" si="0"/>
        <v>0</v>
      </c>
      <c r="V20" s="134">
        <v>20312</v>
      </c>
      <c r="W20" s="134">
        <v>20312</v>
      </c>
      <c r="X20" s="134">
        <v>20312</v>
      </c>
      <c r="Y20" s="134">
        <v>20312</v>
      </c>
      <c r="Z20" s="134">
        <v>20312</v>
      </c>
      <c r="AA20" s="134">
        <v>20312</v>
      </c>
      <c r="AB20" s="134">
        <v>20312</v>
      </c>
      <c r="AC20" s="134">
        <v>20312</v>
      </c>
      <c r="AD20" s="134">
        <v>20312</v>
      </c>
      <c r="AE20" s="134">
        <v>20312</v>
      </c>
      <c r="AF20" s="134">
        <v>20312</v>
      </c>
      <c r="AG20" s="134">
        <v>20312</v>
      </c>
      <c r="AH20" s="134">
        <v>20312</v>
      </c>
      <c r="AI20" s="134">
        <v>20312</v>
      </c>
      <c r="AJ20" s="134">
        <v>5078</v>
      </c>
      <c r="AK20" s="134">
        <v>0</v>
      </c>
      <c r="AL20" s="134">
        <v>0</v>
      </c>
      <c r="AM20" s="134">
        <v>0</v>
      </c>
      <c r="AN20" s="134">
        <v>0</v>
      </c>
      <c r="AO20" s="134">
        <v>0</v>
      </c>
      <c r="AP20" s="134">
        <v>0</v>
      </c>
      <c r="AQ20" s="134">
        <v>0</v>
      </c>
      <c r="AR20" s="134">
        <v>0</v>
      </c>
      <c r="AS20" s="134">
        <v>0</v>
      </c>
      <c r="AT20" s="134">
        <v>0</v>
      </c>
      <c r="AU20" s="134">
        <v>0</v>
      </c>
      <c r="AV20" s="134">
        <v>0</v>
      </c>
      <c r="AW20" s="134">
        <v>0</v>
      </c>
      <c r="AX20" s="134"/>
      <c r="AY20" s="134"/>
      <c r="AZ20" s="136">
        <f t="shared" si="4"/>
        <v>289446</v>
      </c>
      <c r="BA20" s="334">
        <f t="shared" si="1"/>
        <v>0</v>
      </c>
      <c r="BB20" s="135">
        <f t="shared" si="5"/>
        <v>147262</v>
      </c>
      <c r="BC20" s="136">
        <f t="shared" si="6"/>
        <v>289446</v>
      </c>
      <c r="BE20" s="159" t="b">
        <f t="shared" si="2"/>
        <v>1</v>
      </c>
      <c r="BF20" s="160"/>
    </row>
    <row r="21" spans="2:58" outlineLevel="1" x14ac:dyDescent="0.25">
      <c r="B21" s="161" t="s">
        <v>818</v>
      </c>
      <c r="C21" s="162"/>
      <c r="D21" s="163" t="s">
        <v>824</v>
      </c>
      <c r="E21" s="137"/>
      <c r="F21" s="137"/>
      <c r="G21" s="137"/>
      <c r="H21" s="137"/>
      <c r="I21" s="137"/>
      <c r="J21" s="138"/>
      <c r="K21" s="138"/>
      <c r="L21" s="138" t="s">
        <v>825</v>
      </c>
      <c r="M21" s="138"/>
      <c r="N21" s="139">
        <f t="shared" si="7"/>
        <v>3.613</v>
      </c>
      <c r="O21" s="139">
        <v>3.613</v>
      </c>
      <c r="P21" s="139">
        <f>$P$4</f>
        <v>0</v>
      </c>
      <c r="Q21" s="139" t="s">
        <v>777</v>
      </c>
      <c r="R21" s="140">
        <v>5171.1900000000005</v>
      </c>
      <c r="S21" s="140">
        <v>5356.17</v>
      </c>
      <c r="T21" s="140">
        <f t="shared" si="3"/>
        <v>10527.36</v>
      </c>
      <c r="U21" s="335">
        <f t="shared" si="0"/>
        <v>0.32397999999921012</v>
      </c>
      <c r="V21" s="140">
        <f>SUM(V20:$AW20)*$N21/100+70</f>
        <v>10527.68398</v>
      </c>
      <c r="W21" s="140">
        <f>SUM(W20:$AW20)*$N21/100</f>
        <v>9723.81142</v>
      </c>
      <c r="X21" s="140">
        <f>SUM(X20:$AW20)*$N21/100</f>
        <v>8989.9388600000002</v>
      </c>
      <c r="Y21" s="140">
        <f>SUM(Y20:$AW20)*$N21/100</f>
        <v>8256.0663000000004</v>
      </c>
      <c r="Z21" s="140">
        <f>SUM(Z20:$AW20)*$N21/100</f>
        <v>7522.1937399999997</v>
      </c>
      <c r="AA21" s="140">
        <f>SUM(AA20:$AW20)*$N21/100</f>
        <v>6788.3211799999999</v>
      </c>
      <c r="AB21" s="140">
        <f>SUM(AB20:$AW20)*$N21/100</f>
        <v>6054.4486199999992</v>
      </c>
      <c r="AC21" s="140">
        <f>SUM(AC20:$AW20)*$N21/100</f>
        <v>5320.5760600000003</v>
      </c>
      <c r="AD21" s="140">
        <f>SUM(AD20:$AW20)*$N21/100</f>
        <v>4586.7034999999996</v>
      </c>
      <c r="AE21" s="140">
        <f>SUM(AE20:$AW20)*$N21/100</f>
        <v>3852.8309399999998</v>
      </c>
      <c r="AF21" s="140">
        <f>SUM(AF20:$AW20)*$N21/100</f>
        <v>3118.95838</v>
      </c>
      <c r="AG21" s="140">
        <f>SUM(AG20:$AW20)*$N21/100</f>
        <v>2385.0858199999998</v>
      </c>
      <c r="AH21" s="140">
        <f>SUM(AH20:$AW20)*$N21/100</f>
        <v>1651.21326</v>
      </c>
      <c r="AI21" s="140">
        <f>SUM(AI20:$AW20)*$N21/100</f>
        <v>917.34070000000008</v>
      </c>
      <c r="AJ21" s="140">
        <f>SUM(AJ20:$AW20)*$N21/100</f>
        <v>183.46813999999998</v>
      </c>
      <c r="AK21" s="140">
        <v>0</v>
      </c>
      <c r="AL21" s="140">
        <v>0</v>
      </c>
      <c r="AM21" s="140">
        <v>0</v>
      </c>
      <c r="AN21" s="140">
        <v>0</v>
      </c>
      <c r="AO21" s="140">
        <v>0</v>
      </c>
      <c r="AP21" s="140">
        <v>0</v>
      </c>
      <c r="AQ21" s="140">
        <v>0</v>
      </c>
      <c r="AR21" s="140">
        <v>0</v>
      </c>
      <c r="AS21" s="140">
        <v>0</v>
      </c>
      <c r="AT21" s="140">
        <v>0</v>
      </c>
      <c r="AU21" s="140">
        <v>0</v>
      </c>
      <c r="AV21" s="140">
        <v>0</v>
      </c>
      <c r="AW21" s="140">
        <v>0</v>
      </c>
      <c r="AX21" s="140"/>
      <c r="AY21" s="140"/>
      <c r="AZ21" s="142">
        <f t="shared" si="4"/>
        <v>79878.640899999984</v>
      </c>
      <c r="BA21" s="334">
        <f t="shared" si="1"/>
        <v>0</v>
      </c>
      <c r="BB21" s="141">
        <f t="shared" si="5"/>
        <v>22016.176800000001</v>
      </c>
      <c r="BC21" s="142">
        <f t="shared" si="6"/>
        <v>79878.640899999999</v>
      </c>
      <c r="BE21" s="159" t="b">
        <f t="shared" si="2"/>
        <v>1</v>
      </c>
    </row>
    <row r="22" spans="2:58" s="159" customFormat="1" outlineLevel="1" x14ac:dyDescent="0.25">
      <c r="B22" s="154" t="s">
        <v>818</v>
      </c>
      <c r="C22" s="155">
        <v>9</v>
      </c>
      <c r="D22" s="156" t="s">
        <v>826</v>
      </c>
      <c r="E22" s="130" t="s">
        <v>827</v>
      </c>
      <c r="F22" s="130" t="s">
        <v>828</v>
      </c>
      <c r="G22" s="130" t="s">
        <v>829</v>
      </c>
      <c r="H22" s="130" t="s">
        <v>830</v>
      </c>
      <c r="I22" s="130" t="s">
        <v>773</v>
      </c>
      <c r="J22" s="131">
        <v>278611.39</v>
      </c>
      <c r="K22" s="132">
        <v>217140</v>
      </c>
      <c r="L22" s="132"/>
      <c r="M22" s="132"/>
      <c r="N22" s="133"/>
      <c r="O22" s="133"/>
      <c r="P22" s="133"/>
      <c r="Q22" s="133" t="s">
        <v>774</v>
      </c>
      <c r="R22" s="134">
        <v>3619</v>
      </c>
      <c r="S22" s="134">
        <v>10857</v>
      </c>
      <c r="T22" s="134">
        <f t="shared" si="3"/>
        <v>14476</v>
      </c>
      <c r="U22" s="333">
        <f t="shared" si="0"/>
        <v>0</v>
      </c>
      <c r="V22" s="134">
        <v>14476</v>
      </c>
      <c r="W22" s="134">
        <v>14476</v>
      </c>
      <c r="X22" s="134">
        <v>14476</v>
      </c>
      <c r="Y22" s="134">
        <v>14476</v>
      </c>
      <c r="Z22" s="134">
        <v>14476</v>
      </c>
      <c r="AA22" s="134">
        <v>14476</v>
      </c>
      <c r="AB22" s="134">
        <v>14476</v>
      </c>
      <c r="AC22" s="134">
        <v>14476</v>
      </c>
      <c r="AD22" s="134">
        <v>14476</v>
      </c>
      <c r="AE22" s="134">
        <v>14476</v>
      </c>
      <c r="AF22" s="134">
        <v>14476</v>
      </c>
      <c r="AG22" s="134">
        <v>14476</v>
      </c>
      <c r="AH22" s="134">
        <v>14476</v>
      </c>
      <c r="AI22" s="134">
        <v>14476</v>
      </c>
      <c r="AJ22" s="134">
        <v>7238</v>
      </c>
      <c r="AK22" s="134">
        <v>0</v>
      </c>
      <c r="AL22" s="134">
        <v>0</v>
      </c>
      <c r="AM22" s="134">
        <v>0</v>
      </c>
      <c r="AN22" s="134">
        <v>0</v>
      </c>
      <c r="AO22" s="134">
        <v>0</v>
      </c>
      <c r="AP22" s="134">
        <v>0</v>
      </c>
      <c r="AQ22" s="134">
        <v>0</v>
      </c>
      <c r="AR22" s="134">
        <v>0</v>
      </c>
      <c r="AS22" s="134">
        <v>0</v>
      </c>
      <c r="AT22" s="134">
        <v>0</v>
      </c>
      <c r="AU22" s="134">
        <v>0</v>
      </c>
      <c r="AV22" s="134">
        <v>0</v>
      </c>
      <c r="AW22" s="134">
        <v>0</v>
      </c>
      <c r="AX22" s="134"/>
      <c r="AY22" s="134"/>
      <c r="AZ22" s="136">
        <f t="shared" si="4"/>
        <v>209902</v>
      </c>
      <c r="BA22" s="334">
        <f t="shared" si="1"/>
        <v>0</v>
      </c>
      <c r="BB22" s="135">
        <f t="shared" si="5"/>
        <v>108570</v>
      </c>
      <c r="BC22" s="136">
        <f t="shared" si="6"/>
        <v>209902</v>
      </c>
      <c r="BE22" s="159" t="b">
        <f t="shared" si="2"/>
        <v>1</v>
      </c>
      <c r="BF22" s="160"/>
    </row>
    <row r="23" spans="2:58" outlineLevel="1" x14ac:dyDescent="0.25">
      <c r="B23" s="161" t="s">
        <v>818</v>
      </c>
      <c r="C23" s="162"/>
      <c r="D23" s="163" t="s">
        <v>831</v>
      </c>
      <c r="E23" s="137"/>
      <c r="F23" s="137"/>
      <c r="G23" s="137"/>
      <c r="H23" s="137"/>
      <c r="I23" s="137"/>
      <c r="J23" s="138"/>
      <c r="K23" s="138"/>
      <c r="L23" s="138" t="s">
        <v>832</v>
      </c>
      <c r="M23" s="138"/>
      <c r="N23" s="139">
        <f t="shared" si="7"/>
        <v>4.0570000000000004</v>
      </c>
      <c r="O23" s="139">
        <v>4.0570000000000004</v>
      </c>
      <c r="P23" s="139">
        <f>$P$4</f>
        <v>0</v>
      </c>
      <c r="Q23" s="139" t="s">
        <v>777</v>
      </c>
      <c r="R23" s="140">
        <v>4088.1000000000004</v>
      </c>
      <c r="S23" s="140">
        <v>3917.6</v>
      </c>
      <c r="T23" s="140">
        <f t="shared" si="3"/>
        <v>8005.7000000000007</v>
      </c>
      <c r="U23" s="335">
        <f t="shared" si="0"/>
        <v>2.4139999999533757E-2</v>
      </c>
      <c r="V23" s="140">
        <f>SUM(V22:$AW22)*$N23/100-510</f>
        <v>8005.7241400000003</v>
      </c>
      <c r="W23" s="140">
        <f>SUM(W22:$AW22)*$N23/100</f>
        <v>7928.4328200000009</v>
      </c>
      <c r="X23" s="140">
        <f>SUM(X22:$AW22)*$N23/100</f>
        <v>7341.1415000000006</v>
      </c>
      <c r="Y23" s="140">
        <f>SUM(Y22:$AW22)*$N23/100</f>
        <v>6753.8501800000004</v>
      </c>
      <c r="Z23" s="140">
        <f>SUM(Z22:$AW22)*$N23/100</f>
        <v>6166.558860000001</v>
      </c>
      <c r="AA23" s="140">
        <f>SUM(AA22:$AW22)*$N23/100</f>
        <v>5579.2675400000007</v>
      </c>
      <c r="AB23" s="140">
        <f>SUM(AB22:$AW22)*$N23/100</f>
        <v>4991.9762200000005</v>
      </c>
      <c r="AC23" s="140">
        <f>SUM(AC22:$AW22)*$N23/100</f>
        <v>4404.6849000000002</v>
      </c>
      <c r="AD23" s="140">
        <f>SUM(AD22:$AW22)*$N23/100</f>
        <v>3817.3935799999999</v>
      </c>
      <c r="AE23" s="140">
        <f>SUM(AE22:$AW22)*$N23/100</f>
        <v>3230.1022600000001</v>
      </c>
      <c r="AF23" s="140">
        <f>SUM(AF22:$AW22)*$N23/100</f>
        <v>2642.8109400000003</v>
      </c>
      <c r="AG23" s="140">
        <f>SUM(AG22:$AW22)*$N23/100</f>
        <v>2055.5196200000005</v>
      </c>
      <c r="AH23" s="140">
        <f>SUM(AH22:$AW22)*$N23/100</f>
        <v>1468.2283000000002</v>
      </c>
      <c r="AI23" s="140">
        <f>SUM(AI22:$AW22)*$N23/100</f>
        <v>880.93698000000006</v>
      </c>
      <c r="AJ23" s="140">
        <f>SUM(AJ22:$AW22)*$N23/100</f>
        <v>293.64566000000002</v>
      </c>
      <c r="AK23" s="140">
        <v>0</v>
      </c>
      <c r="AL23" s="140">
        <v>0</v>
      </c>
      <c r="AM23" s="140">
        <v>0</v>
      </c>
      <c r="AN23" s="140">
        <v>0</v>
      </c>
      <c r="AO23" s="140">
        <v>0</v>
      </c>
      <c r="AP23" s="140">
        <v>0</v>
      </c>
      <c r="AQ23" s="140">
        <v>0</v>
      </c>
      <c r="AR23" s="140">
        <v>0</v>
      </c>
      <c r="AS23" s="140">
        <v>0</v>
      </c>
      <c r="AT23" s="140">
        <v>0</v>
      </c>
      <c r="AU23" s="140">
        <v>0</v>
      </c>
      <c r="AV23" s="140">
        <v>0</v>
      </c>
      <c r="AW23" s="140">
        <v>0</v>
      </c>
      <c r="AX23" s="140"/>
      <c r="AY23" s="140"/>
      <c r="AZ23" s="142">
        <f t="shared" si="4"/>
        <v>65560.273499999996</v>
      </c>
      <c r="BA23" s="334">
        <f t="shared" si="1"/>
        <v>0</v>
      </c>
      <c r="BB23" s="141">
        <f t="shared" si="5"/>
        <v>18793.322239999998</v>
      </c>
      <c r="BC23" s="142">
        <f t="shared" si="6"/>
        <v>65560.273499999996</v>
      </c>
      <c r="BE23" s="159" t="b">
        <f t="shared" si="2"/>
        <v>1</v>
      </c>
    </row>
    <row r="24" spans="2:58" s="159" customFormat="1" outlineLevel="1" x14ac:dyDescent="0.25">
      <c r="B24" s="154" t="s">
        <v>818</v>
      </c>
      <c r="C24" s="155">
        <v>10</v>
      </c>
      <c r="D24" s="156" t="s">
        <v>833</v>
      </c>
      <c r="E24" s="130" t="s">
        <v>834</v>
      </c>
      <c r="F24" s="130" t="s">
        <v>835</v>
      </c>
      <c r="G24" s="130" t="s">
        <v>829</v>
      </c>
      <c r="H24" s="130" t="s">
        <v>836</v>
      </c>
      <c r="I24" s="130" t="s">
        <v>773</v>
      </c>
      <c r="J24" s="131">
        <v>55899</v>
      </c>
      <c r="K24" s="132">
        <v>17888</v>
      </c>
      <c r="L24" s="132"/>
      <c r="M24" s="132"/>
      <c r="N24" s="133"/>
      <c r="O24" s="133"/>
      <c r="P24" s="133"/>
      <c r="Q24" s="133" t="s">
        <v>774</v>
      </c>
      <c r="R24" s="134">
        <v>2236</v>
      </c>
      <c r="S24" s="134">
        <v>6708</v>
      </c>
      <c r="T24" s="134">
        <f t="shared" si="3"/>
        <v>8944</v>
      </c>
      <c r="U24" s="333">
        <f t="shared" si="0"/>
        <v>0</v>
      </c>
      <c r="V24" s="134">
        <v>8944</v>
      </c>
      <c r="W24" s="134">
        <v>4472</v>
      </c>
      <c r="X24" s="134">
        <v>0</v>
      </c>
      <c r="Y24" s="134">
        <v>0</v>
      </c>
      <c r="Z24" s="134">
        <v>0</v>
      </c>
      <c r="AA24" s="134">
        <v>0</v>
      </c>
      <c r="AB24" s="134">
        <v>0</v>
      </c>
      <c r="AC24" s="134">
        <v>0</v>
      </c>
      <c r="AD24" s="134">
        <v>0</v>
      </c>
      <c r="AE24" s="134">
        <v>0</v>
      </c>
      <c r="AF24" s="134">
        <v>0</v>
      </c>
      <c r="AG24" s="134">
        <v>0</v>
      </c>
      <c r="AH24" s="134">
        <v>0</v>
      </c>
      <c r="AI24" s="134">
        <v>0</v>
      </c>
      <c r="AJ24" s="134">
        <v>0</v>
      </c>
      <c r="AK24" s="134">
        <v>0</v>
      </c>
      <c r="AL24" s="134">
        <v>0</v>
      </c>
      <c r="AM24" s="134">
        <v>0</v>
      </c>
      <c r="AN24" s="134">
        <v>0</v>
      </c>
      <c r="AO24" s="134">
        <v>0</v>
      </c>
      <c r="AP24" s="134">
        <v>0</v>
      </c>
      <c r="AQ24" s="134">
        <v>0</v>
      </c>
      <c r="AR24" s="134">
        <v>0</v>
      </c>
      <c r="AS24" s="134">
        <v>0</v>
      </c>
      <c r="AT24" s="134">
        <v>0</v>
      </c>
      <c r="AU24" s="134">
        <v>0</v>
      </c>
      <c r="AV24" s="134">
        <v>0</v>
      </c>
      <c r="AW24" s="134">
        <v>0</v>
      </c>
      <c r="AX24" s="134"/>
      <c r="AY24" s="134"/>
      <c r="AZ24" s="136">
        <f t="shared" si="4"/>
        <v>13416</v>
      </c>
      <c r="BA24" s="334">
        <f t="shared" si="1"/>
        <v>0</v>
      </c>
      <c r="BB24" s="135">
        <f t="shared" si="5"/>
        <v>0</v>
      </c>
      <c r="BC24" s="136">
        <f t="shared" si="6"/>
        <v>13416</v>
      </c>
      <c r="BE24" s="159" t="b">
        <f t="shared" si="2"/>
        <v>1</v>
      </c>
      <c r="BF24" s="160"/>
    </row>
    <row r="25" spans="2:58" outlineLevel="1" x14ac:dyDescent="0.25">
      <c r="B25" s="161" t="s">
        <v>818</v>
      </c>
      <c r="C25" s="162"/>
      <c r="D25" s="163" t="s">
        <v>837</v>
      </c>
      <c r="E25" s="137"/>
      <c r="F25" s="137"/>
      <c r="G25" s="137"/>
      <c r="H25" s="137"/>
      <c r="I25" s="137"/>
      <c r="J25" s="138"/>
      <c r="K25" s="138"/>
      <c r="L25" s="138" t="s">
        <v>832</v>
      </c>
      <c r="M25" s="138"/>
      <c r="N25" s="139">
        <f t="shared" si="7"/>
        <v>4.0570000000000004</v>
      </c>
      <c r="O25" s="139">
        <v>4.0570000000000004</v>
      </c>
      <c r="P25" s="139">
        <f>$P$4</f>
        <v>0</v>
      </c>
      <c r="Q25" s="139" t="s">
        <v>777</v>
      </c>
      <c r="R25" s="140">
        <v>275.70999999999998</v>
      </c>
      <c r="S25" s="140">
        <v>188.01</v>
      </c>
      <c r="T25" s="140">
        <f t="shared" si="3"/>
        <v>463.71999999999997</v>
      </c>
      <c r="U25" s="335">
        <f t="shared" si="0"/>
        <v>0.56712000000010221</v>
      </c>
      <c r="V25" s="140">
        <f>SUM(V24:$AW24)*$N25/100-80</f>
        <v>464.28712000000007</v>
      </c>
      <c r="W25" s="140">
        <f>SUM(W24:$AW24)*$N25/100</f>
        <v>181.42904000000001</v>
      </c>
      <c r="X25" s="140">
        <v>0</v>
      </c>
      <c r="Y25" s="140">
        <v>0</v>
      </c>
      <c r="Z25" s="140">
        <v>0</v>
      </c>
      <c r="AA25" s="140">
        <v>0</v>
      </c>
      <c r="AB25" s="140">
        <v>0</v>
      </c>
      <c r="AC25" s="140">
        <v>0</v>
      </c>
      <c r="AD25" s="140">
        <v>0</v>
      </c>
      <c r="AE25" s="140">
        <v>0</v>
      </c>
      <c r="AF25" s="140">
        <v>0</v>
      </c>
      <c r="AG25" s="140">
        <v>0</v>
      </c>
      <c r="AH25" s="140">
        <v>0</v>
      </c>
      <c r="AI25" s="140">
        <v>0</v>
      </c>
      <c r="AJ25" s="140">
        <v>0</v>
      </c>
      <c r="AK25" s="140">
        <v>0</v>
      </c>
      <c r="AL25" s="140">
        <v>0</v>
      </c>
      <c r="AM25" s="140">
        <v>0</v>
      </c>
      <c r="AN25" s="140">
        <v>0</v>
      </c>
      <c r="AO25" s="140">
        <v>0</v>
      </c>
      <c r="AP25" s="140">
        <v>0</v>
      </c>
      <c r="AQ25" s="140">
        <v>0</v>
      </c>
      <c r="AR25" s="140">
        <v>0</v>
      </c>
      <c r="AS25" s="140">
        <v>0</v>
      </c>
      <c r="AT25" s="140">
        <v>0</v>
      </c>
      <c r="AU25" s="140">
        <v>0</v>
      </c>
      <c r="AV25" s="140">
        <v>0</v>
      </c>
      <c r="AW25" s="140">
        <v>0</v>
      </c>
      <c r="AX25" s="140"/>
      <c r="AY25" s="140"/>
      <c r="AZ25" s="142">
        <f t="shared" si="4"/>
        <v>645.71616000000006</v>
      </c>
      <c r="BA25" s="334">
        <f t="shared" si="1"/>
        <v>0</v>
      </c>
      <c r="BB25" s="141">
        <f t="shared" si="5"/>
        <v>0</v>
      </c>
      <c r="BC25" s="142">
        <f t="shared" si="6"/>
        <v>645.71616000000006</v>
      </c>
      <c r="BE25" s="159" t="b">
        <f t="shared" si="2"/>
        <v>1</v>
      </c>
    </row>
    <row r="26" spans="2:58" s="159" customFormat="1" outlineLevel="1" x14ac:dyDescent="0.25">
      <c r="B26" s="154" t="s">
        <v>818</v>
      </c>
      <c r="C26" s="155">
        <v>11</v>
      </c>
      <c r="D26" s="156" t="s">
        <v>838</v>
      </c>
      <c r="E26" s="130" t="s">
        <v>839</v>
      </c>
      <c r="F26" s="130" t="s">
        <v>840</v>
      </c>
      <c r="G26" s="130" t="s">
        <v>829</v>
      </c>
      <c r="H26" s="130" t="s">
        <v>841</v>
      </c>
      <c r="I26" s="130" t="s">
        <v>773</v>
      </c>
      <c r="J26" s="131">
        <v>49472</v>
      </c>
      <c r="K26" s="132">
        <v>14800</v>
      </c>
      <c r="L26" s="132"/>
      <c r="M26" s="132"/>
      <c r="N26" s="133"/>
      <c r="O26" s="133"/>
      <c r="P26" s="133"/>
      <c r="Q26" s="133" t="s">
        <v>774</v>
      </c>
      <c r="R26" s="134">
        <v>370</v>
      </c>
      <c r="S26" s="134">
        <v>1110</v>
      </c>
      <c r="T26" s="134">
        <f t="shared" si="3"/>
        <v>1480</v>
      </c>
      <c r="U26" s="333">
        <f t="shared" si="0"/>
        <v>0</v>
      </c>
      <c r="V26" s="134">
        <v>1480</v>
      </c>
      <c r="W26" s="134">
        <v>1480</v>
      </c>
      <c r="X26" s="134">
        <v>1480</v>
      </c>
      <c r="Y26" s="134">
        <v>1480</v>
      </c>
      <c r="Z26" s="134">
        <v>1480</v>
      </c>
      <c r="AA26" s="134">
        <v>1480</v>
      </c>
      <c r="AB26" s="134">
        <v>1480</v>
      </c>
      <c r="AC26" s="134">
        <v>1480</v>
      </c>
      <c r="AD26" s="134">
        <v>1480</v>
      </c>
      <c r="AE26" s="134">
        <v>740</v>
      </c>
      <c r="AF26" s="134">
        <v>0</v>
      </c>
      <c r="AG26" s="134">
        <v>0</v>
      </c>
      <c r="AH26" s="134">
        <v>0</v>
      </c>
      <c r="AI26" s="134">
        <v>0</v>
      </c>
      <c r="AJ26" s="134">
        <v>0</v>
      </c>
      <c r="AK26" s="134">
        <v>0</v>
      </c>
      <c r="AL26" s="134">
        <v>0</v>
      </c>
      <c r="AM26" s="134">
        <v>0</v>
      </c>
      <c r="AN26" s="134">
        <v>0</v>
      </c>
      <c r="AO26" s="134">
        <v>0</v>
      </c>
      <c r="AP26" s="134">
        <v>0</v>
      </c>
      <c r="AQ26" s="134">
        <v>0</v>
      </c>
      <c r="AR26" s="134">
        <v>0</v>
      </c>
      <c r="AS26" s="134">
        <v>0</v>
      </c>
      <c r="AT26" s="134">
        <v>0</v>
      </c>
      <c r="AU26" s="134">
        <v>0</v>
      </c>
      <c r="AV26" s="134">
        <v>0</v>
      </c>
      <c r="AW26" s="134">
        <v>0</v>
      </c>
      <c r="AX26" s="134"/>
      <c r="AY26" s="134"/>
      <c r="AZ26" s="136">
        <f t="shared" si="4"/>
        <v>14060</v>
      </c>
      <c r="BA26" s="334">
        <f t="shared" si="1"/>
        <v>0</v>
      </c>
      <c r="BB26" s="135">
        <f t="shared" si="5"/>
        <v>3700</v>
      </c>
      <c r="BC26" s="136">
        <f t="shared" si="6"/>
        <v>14060</v>
      </c>
      <c r="BE26" s="159" t="b">
        <f t="shared" si="2"/>
        <v>1</v>
      </c>
      <c r="BF26" s="160"/>
    </row>
    <row r="27" spans="2:58" outlineLevel="1" x14ac:dyDescent="0.25">
      <c r="B27" s="161" t="s">
        <v>818</v>
      </c>
      <c r="C27" s="162"/>
      <c r="D27" s="163" t="s">
        <v>842</v>
      </c>
      <c r="E27" s="137"/>
      <c r="F27" s="137"/>
      <c r="G27" s="137"/>
      <c r="H27" s="137"/>
      <c r="I27" s="137"/>
      <c r="J27" s="138"/>
      <c r="K27" s="138"/>
      <c r="L27" s="138" t="s">
        <v>832</v>
      </c>
      <c r="M27" s="138"/>
      <c r="N27" s="139">
        <f t="shared" si="7"/>
        <v>4.0570000000000004</v>
      </c>
      <c r="O27" s="139">
        <v>4.0570000000000004</v>
      </c>
      <c r="P27" s="139">
        <f>$P$4</f>
        <v>0</v>
      </c>
      <c r="Q27" s="139" t="s">
        <v>777</v>
      </c>
      <c r="R27" s="140">
        <v>274.75</v>
      </c>
      <c r="S27" s="140">
        <v>258.45</v>
      </c>
      <c r="T27" s="140">
        <f t="shared" si="3"/>
        <v>533.20000000000005</v>
      </c>
      <c r="U27" s="335">
        <f t="shared" si="0"/>
        <v>0.21420000000000528</v>
      </c>
      <c r="V27" s="140">
        <f>SUM(V26:$AW26)*$N27/100-37</f>
        <v>533.41420000000005</v>
      </c>
      <c r="W27" s="140">
        <f>SUM(W26:$AW26)*$N27/100</f>
        <v>510.37060000000002</v>
      </c>
      <c r="X27" s="140">
        <f>SUM(X26:$AW26)*$N27/100</f>
        <v>450.32700000000006</v>
      </c>
      <c r="Y27" s="140">
        <f>SUM(Y26:$AW26)*$N27/100</f>
        <v>390.28340000000003</v>
      </c>
      <c r="Z27" s="140">
        <f>SUM(Z26:$AW26)*$N27/100</f>
        <v>330.23980000000006</v>
      </c>
      <c r="AA27" s="140">
        <f>SUM(AA26:$AW26)*$N27/100</f>
        <v>270.19620000000003</v>
      </c>
      <c r="AB27" s="140">
        <f>SUM(AB26:$AW26)*$N27/100</f>
        <v>210.15260000000001</v>
      </c>
      <c r="AC27" s="140">
        <f>SUM(AC26:$AW26)*$N27/100</f>
        <v>150.10900000000001</v>
      </c>
      <c r="AD27" s="140">
        <f>SUM(AD26:$AW26)*$N27/100</f>
        <v>90.065400000000011</v>
      </c>
      <c r="AE27" s="140">
        <f>SUM(AE26:$AW26)*$N27/100</f>
        <v>30.021800000000002</v>
      </c>
      <c r="AF27" s="140">
        <v>0</v>
      </c>
      <c r="AG27" s="140">
        <v>0</v>
      </c>
      <c r="AH27" s="140">
        <v>0</v>
      </c>
      <c r="AI27" s="140">
        <v>0</v>
      </c>
      <c r="AJ27" s="140">
        <v>0</v>
      </c>
      <c r="AK27" s="140">
        <v>0</v>
      </c>
      <c r="AL27" s="140">
        <v>0</v>
      </c>
      <c r="AM27" s="140">
        <v>0</v>
      </c>
      <c r="AN27" s="140">
        <v>0</v>
      </c>
      <c r="AO27" s="140">
        <v>0</v>
      </c>
      <c r="AP27" s="140">
        <v>0</v>
      </c>
      <c r="AQ27" s="140">
        <v>0</v>
      </c>
      <c r="AR27" s="140">
        <v>0</v>
      </c>
      <c r="AS27" s="140">
        <v>0</v>
      </c>
      <c r="AT27" s="140">
        <v>0</v>
      </c>
      <c r="AU27" s="140">
        <v>0</v>
      </c>
      <c r="AV27" s="140">
        <v>0</v>
      </c>
      <c r="AW27" s="140">
        <v>0</v>
      </c>
      <c r="AX27" s="140"/>
      <c r="AY27" s="140"/>
      <c r="AZ27" s="142">
        <f t="shared" si="4"/>
        <v>2965.18</v>
      </c>
      <c r="BA27" s="334">
        <f t="shared" si="1"/>
        <v>0</v>
      </c>
      <c r="BB27" s="141">
        <f t="shared" si="5"/>
        <v>270.19620000000003</v>
      </c>
      <c r="BC27" s="142">
        <f t="shared" si="6"/>
        <v>2965.18</v>
      </c>
      <c r="BE27" s="159" t="b">
        <f t="shared" si="2"/>
        <v>1</v>
      </c>
    </row>
    <row r="28" spans="2:58" s="159" customFormat="1" outlineLevel="1" x14ac:dyDescent="0.25">
      <c r="B28" s="154" t="s">
        <v>818</v>
      </c>
      <c r="C28" s="155">
        <v>12</v>
      </c>
      <c r="D28" s="156" t="s">
        <v>843</v>
      </c>
      <c r="E28" s="130" t="s">
        <v>844</v>
      </c>
      <c r="F28" s="130" t="s">
        <v>845</v>
      </c>
      <c r="G28" s="130" t="s">
        <v>829</v>
      </c>
      <c r="H28" s="130" t="s">
        <v>830</v>
      </c>
      <c r="I28" s="130" t="s">
        <v>773</v>
      </c>
      <c r="J28" s="131">
        <v>238897.15</v>
      </c>
      <c r="K28" s="132">
        <v>159000</v>
      </c>
      <c r="L28" s="132"/>
      <c r="M28" s="132"/>
      <c r="N28" s="133"/>
      <c r="O28" s="133"/>
      <c r="P28" s="133"/>
      <c r="Q28" s="133" t="s">
        <v>774</v>
      </c>
      <c r="R28" s="134">
        <v>2650</v>
      </c>
      <c r="S28" s="134">
        <v>7950</v>
      </c>
      <c r="T28" s="134">
        <f t="shared" si="3"/>
        <v>10600</v>
      </c>
      <c r="U28" s="333">
        <f t="shared" si="0"/>
        <v>0</v>
      </c>
      <c r="V28" s="134">
        <v>10600</v>
      </c>
      <c r="W28" s="134">
        <v>10600</v>
      </c>
      <c r="X28" s="134">
        <v>10600</v>
      </c>
      <c r="Y28" s="134">
        <v>10600</v>
      </c>
      <c r="Z28" s="134">
        <v>10600</v>
      </c>
      <c r="AA28" s="134">
        <v>10600</v>
      </c>
      <c r="AB28" s="134">
        <v>10600</v>
      </c>
      <c r="AC28" s="134">
        <v>10600</v>
      </c>
      <c r="AD28" s="134">
        <v>10600</v>
      </c>
      <c r="AE28" s="134">
        <v>10600</v>
      </c>
      <c r="AF28" s="134">
        <v>10600</v>
      </c>
      <c r="AG28" s="134">
        <v>10600</v>
      </c>
      <c r="AH28" s="134">
        <v>10600</v>
      </c>
      <c r="AI28" s="134">
        <v>10600</v>
      </c>
      <c r="AJ28" s="134">
        <v>5300</v>
      </c>
      <c r="AK28" s="134">
        <v>0</v>
      </c>
      <c r="AL28" s="134">
        <v>0</v>
      </c>
      <c r="AM28" s="134">
        <v>0</v>
      </c>
      <c r="AN28" s="134">
        <v>0</v>
      </c>
      <c r="AO28" s="134">
        <v>0</v>
      </c>
      <c r="AP28" s="134">
        <v>0</v>
      </c>
      <c r="AQ28" s="134">
        <v>0</v>
      </c>
      <c r="AR28" s="134">
        <v>0</v>
      </c>
      <c r="AS28" s="134">
        <v>0</v>
      </c>
      <c r="AT28" s="134">
        <v>0</v>
      </c>
      <c r="AU28" s="134">
        <v>0</v>
      </c>
      <c r="AV28" s="134">
        <v>0</v>
      </c>
      <c r="AW28" s="134">
        <v>0</v>
      </c>
      <c r="AX28" s="134"/>
      <c r="AY28" s="134"/>
      <c r="AZ28" s="136">
        <f t="shared" si="4"/>
        <v>153700</v>
      </c>
      <c r="BA28" s="334">
        <f t="shared" si="1"/>
        <v>0</v>
      </c>
      <c r="BB28" s="135">
        <f t="shared" si="5"/>
        <v>79500</v>
      </c>
      <c r="BC28" s="136">
        <f t="shared" si="6"/>
        <v>153700</v>
      </c>
      <c r="BE28" s="159" t="b">
        <f t="shared" si="2"/>
        <v>1</v>
      </c>
      <c r="BF28" s="160"/>
    </row>
    <row r="29" spans="2:58" outlineLevel="1" x14ac:dyDescent="0.25">
      <c r="B29" s="161" t="s">
        <v>818</v>
      </c>
      <c r="C29" s="162"/>
      <c r="D29" s="163" t="s">
        <v>846</v>
      </c>
      <c r="E29" s="137"/>
      <c r="F29" s="137"/>
      <c r="G29" s="137"/>
      <c r="H29" s="137"/>
      <c r="I29" s="137"/>
      <c r="J29" s="138"/>
      <c r="K29" s="138"/>
      <c r="L29" s="138" t="s">
        <v>832</v>
      </c>
      <c r="M29" s="138"/>
      <c r="N29" s="139">
        <f t="shared" si="7"/>
        <v>4.0570000000000004</v>
      </c>
      <c r="O29" s="139">
        <v>4.0570000000000004</v>
      </c>
      <c r="P29" s="139">
        <f>$P$4</f>
        <v>0</v>
      </c>
      <c r="Q29" s="139" t="s">
        <v>777</v>
      </c>
      <c r="R29" s="140">
        <v>2993.5</v>
      </c>
      <c r="S29" s="140">
        <v>2868.6499999999996</v>
      </c>
      <c r="T29" s="140">
        <f t="shared" si="3"/>
        <v>5862.15</v>
      </c>
      <c r="U29" s="335">
        <f t="shared" si="0"/>
        <v>0.45900000000074215</v>
      </c>
      <c r="V29" s="140">
        <f>SUM(V28:$AW28)*$N29/100-373</f>
        <v>5862.6090000000004</v>
      </c>
      <c r="W29" s="140">
        <f>SUM(W28:$AW28)*$N29/100</f>
        <v>5805.5670000000009</v>
      </c>
      <c r="X29" s="140">
        <f>SUM(X28:$AW28)*$N29/100</f>
        <v>5375.5249999999996</v>
      </c>
      <c r="Y29" s="140">
        <f>SUM(Y28:$AW28)*$N29/100</f>
        <v>4945.4830000000002</v>
      </c>
      <c r="Z29" s="140">
        <f>SUM(Z28:$AW28)*$N29/100</f>
        <v>4515.4410000000007</v>
      </c>
      <c r="AA29" s="140">
        <f>SUM(AA28:$AW28)*$N29/100</f>
        <v>4085.3990000000003</v>
      </c>
      <c r="AB29" s="140">
        <f>SUM(AB28:$AW28)*$N29/100</f>
        <v>3655.357</v>
      </c>
      <c r="AC29" s="140">
        <f>SUM(AC28:$AW28)*$N29/100</f>
        <v>3225.3150000000005</v>
      </c>
      <c r="AD29" s="140">
        <f>SUM(AD28:$AW28)*$N29/100</f>
        <v>2795.2730000000006</v>
      </c>
      <c r="AE29" s="140">
        <f>SUM(AE28:$AW28)*$N29/100</f>
        <v>2365.2310000000002</v>
      </c>
      <c r="AF29" s="140">
        <f>SUM(AF28:$AW28)*$N29/100</f>
        <v>1935.1890000000003</v>
      </c>
      <c r="AG29" s="140">
        <f>SUM(AG28:$AW28)*$N29/100</f>
        <v>1505.1470000000002</v>
      </c>
      <c r="AH29" s="140">
        <f>SUM(AH28:$AW28)*$N29/100</f>
        <v>1075.1050000000002</v>
      </c>
      <c r="AI29" s="140">
        <f>SUM(AI28:$AW28)*$N29/100</f>
        <v>645.06299999999999</v>
      </c>
      <c r="AJ29" s="140">
        <f>SUM(AJ28:$AW28)*$N29/100</f>
        <v>215.02100000000002</v>
      </c>
      <c r="AK29" s="140">
        <v>0</v>
      </c>
      <c r="AL29" s="140">
        <v>0</v>
      </c>
      <c r="AM29" s="140">
        <v>0</v>
      </c>
      <c r="AN29" s="140">
        <v>0</v>
      </c>
      <c r="AO29" s="140">
        <v>0</v>
      </c>
      <c r="AP29" s="140">
        <v>0</v>
      </c>
      <c r="AQ29" s="140">
        <v>0</v>
      </c>
      <c r="AR29" s="140">
        <v>0</v>
      </c>
      <c r="AS29" s="140">
        <v>0</v>
      </c>
      <c r="AT29" s="140">
        <v>0</v>
      </c>
      <c r="AU29" s="140">
        <v>0</v>
      </c>
      <c r="AV29" s="140">
        <v>0</v>
      </c>
      <c r="AW29" s="140">
        <v>0</v>
      </c>
      <c r="AX29" s="140"/>
      <c r="AY29" s="140"/>
      <c r="AZ29" s="142">
        <f t="shared" si="4"/>
        <v>48006.725000000006</v>
      </c>
      <c r="BA29" s="334">
        <f t="shared" si="1"/>
        <v>0</v>
      </c>
      <c r="BB29" s="141">
        <f t="shared" si="5"/>
        <v>13761.344000000003</v>
      </c>
      <c r="BC29" s="142">
        <f t="shared" si="6"/>
        <v>48006.725000000006</v>
      </c>
      <c r="BE29" s="159" t="b">
        <f t="shared" si="2"/>
        <v>1</v>
      </c>
    </row>
    <row r="30" spans="2:58" s="159" customFormat="1" outlineLevel="1" x14ac:dyDescent="0.25">
      <c r="B30" s="154" t="s">
        <v>818</v>
      </c>
      <c r="C30" s="155">
        <v>13</v>
      </c>
      <c r="D30" s="156" t="s">
        <v>847</v>
      </c>
      <c r="E30" s="130" t="s">
        <v>848</v>
      </c>
      <c r="F30" s="130" t="s">
        <v>849</v>
      </c>
      <c r="G30" s="130" t="s">
        <v>850</v>
      </c>
      <c r="H30" s="130" t="s">
        <v>851</v>
      </c>
      <c r="I30" s="130" t="s">
        <v>773</v>
      </c>
      <c r="J30" s="131">
        <v>34291</v>
      </c>
      <c r="K30" s="132">
        <v>17740</v>
      </c>
      <c r="L30" s="132"/>
      <c r="M30" s="132"/>
      <c r="N30" s="133"/>
      <c r="O30" s="133"/>
      <c r="P30" s="133"/>
      <c r="Q30" s="133" t="s">
        <v>774</v>
      </c>
      <c r="R30" s="134">
        <v>887</v>
      </c>
      <c r="S30" s="134">
        <v>2661</v>
      </c>
      <c r="T30" s="134">
        <f t="shared" si="3"/>
        <v>3548</v>
      </c>
      <c r="U30" s="333">
        <f t="shared" si="0"/>
        <v>0</v>
      </c>
      <c r="V30" s="134">
        <v>3548</v>
      </c>
      <c r="W30" s="134">
        <v>3548</v>
      </c>
      <c r="X30" s="134">
        <v>3548</v>
      </c>
      <c r="Y30" s="134">
        <v>3548</v>
      </c>
      <c r="Z30" s="134">
        <v>1774</v>
      </c>
      <c r="AA30" s="134">
        <v>0</v>
      </c>
      <c r="AB30" s="134">
        <v>0</v>
      </c>
      <c r="AC30" s="134">
        <v>0</v>
      </c>
      <c r="AD30" s="134">
        <v>0</v>
      </c>
      <c r="AE30" s="134">
        <v>0</v>
      </c>
      <c r="AF30" s="134">
        <v>0</v>
      </c>
      <c r="AG30" s="134">
        <v>0</v>
      </c>
      <c r="AH30" s="134">
        <v>0</v>
      </c>
      <c r="AI30" s="134">
        <v>0</v>
      </c>
      <c r="AJ30" s="134">
        <v>0</v>
      </c>
      <c r="AK30" s="134">
        <v>0</v>
      </c>
      <c r="AL30" s="134">
        <v>0</v>
      </c>
      <c r="AM30" s="134">
        <v>0</v>
      </c>
      <c r="AN30" s="134">
        <v>0</v>
      </c>
      <c r="AO30" s="134">
        <v>0</v>
      </c>
      <c r="AP30" s="134">
        <v>0</v>
      </c>
      <c r="AQ30" s="134">
        <v>0</v>
      </c>
      <c r="AR30" s="134">
        <v>0</v>
      </c>
      <c r="AS30" s="134">
        <v>0</v>
      </c>
      <c r="AT30" s="134">
        <v>0</v>
      </c>
      <c r="AU30" s="134">
        <v>0</v>
      </c>
      <c r="AV30" s="134">
        <v>0</v>
      </c>
      <c r="AW30" s="134">
        <v>0</v>
      </c>
      <c r="AX30" s="134"/>
      <c r="AY30" s="134"/>
      <c r="AZ30" s="136">
        <f t="shared" si="4"/>
        <v>15966</v>
      </c>
      <c r="BA30" s="334">
        <f t="shared" si="1"/>
        <v>0</v>
      </c>
      <c r="BB30" s="135">
        <f t="shared" si="5"/>
        <v>0</v>
      </c>
      <c r="BC30" s="136">
        <f t="shared" si="6"/>
        <v>15966</v>
      </c>
      <c r="BE30" s="159" t="b">
        <f t="shared" si="2"/>
        <v>1</v>
      </c>
      <c r="BF30" s="160"/>
    </row>
    <row r="31" spans="2:58" outlineLevel="1" x14ac:dyDescent="0.25">
      <c r="B31" s="161" t="s">
        <v>818</v>
      </c>
      <c r="C31" s="162"/>
      <c r="D31" s="163" t="s">
        <v>852</v>
      </c>
      <c r="E31" s="137"/>
      <c r="F31" s="137"/>
      <c r="G31" s="137"/>
      <c r="H31" s="137"/>
      <c r="I31" s="137"/>
      <c r="J31" s="138"/>
      <c r="K31" s="138"/>
      <c r="L31" s="138" t="s">
        <v>853</v>
      </c>
      <c r="M31" s="138"/>
      <c r="N31" s="139">
        <f t="shared" si="7"/>
        <v>4.415</v>
      </c>
      <c r="O31" s="139">
        <v>4.415</v>
      </c>
      <c r="P31" s="139">
        <f>$P$4</f>
        <v>0</v>
      </c>
      <c r="Q31" s="139" t="s">
        <v>777</v>
      </c>
      <c r="R31" s="140">
        <v>345.01</v>
      </c>
      <c r="S31" s="140">
        <v>294.35000000000002</v>
      </c>
      <c r="T31" s="140">
        <f t="shared" si="3"/>
        <v>639.36</v>
      </c>
      <c r="U31" s="335">
        <f t="shared" si="0"/>
        <v>0.53890000000001237</v>
      </c>
      <c r="V31" s="140">
        <f>SUM(V30:$AW30)*$N31/100-65</f>
        <v>639.89890000000003</v>
      </c>
      <c r="W31" s="140">
        <f>SUM(W30:$AW30)*$N31/100</f>
        <v>548.25469999999996</v>
      </c>
      <c r="X31" s="140">
        <f>SUM(X30:$AW30)*$N31/100</f>
        <v>391.6105</v>
      </c>
      <c r="Y31" s="140">
        <f>SUM(Y30:$AW30)*$N31/100</f>
        <v>234.96630000000002</v>
      </c>
      <c r="Z31" s="140">
        <f>SUM(Z30:$AW30)*$N31/100</f>
        <v>78.322100000000006</v>
      </c>
      <c r="AA31" s="140">
        <v>0</v>
      </c>
      <c r="AB31" s="140">
        <v>0</v>
      </c>
      <c r="AC31" s="140">
        <v>0</v>
      </c>
      <c r="AD31" s="140">
        <v>0</v>
      </c>
      <c r="AE31" s="140">
        <v>0</v>
      </c>
      <c r="AF31" s="140">
        <v>0</v>
      </c>
      <c r="AG31" s="140">
        <v>0</v>
      </c>
      <c r="AH31" s="140">
        <v>0</v>
      </c>
      <c r="AI31" s="140">
        <v>0</v>
      </c>
      <c r="AJ31" s="140">
        <v>0</v>
      </c>
      <c r="AK31" s="140">
        <v>0</v>
      </c>
      <c r="AL31" s="140">
        <v>0</v>
      </c>
      <c r="AM31" s="140">
        <v>0</v>
      </c>
      <c r="AN31" s="140">
        <v>0</v>
      </c>
      <c r="AO31" s="140">
        <v>0</v>
      </c>
      <c r="AP31" s="140">
        <v>0</v>
      </c>
      <c r="AQ31" s="140">
        <v>0</v>
      </c>
      <c r="AR31" s="140">
        <v>0</v>
      </c>
      <c r="AS31" s="140">
        <v>0</v>
      </c>
      <c r="AT31" s="140">
        <v>0</v>
      </c>
      <c r="AU31" s="140">
        <v>0</v>
      </c>
      <c r="AV31" s="140">
        <v>0</v>
      </c>
      <c r="AW31" s="140">
        <v>0</v>
      </c>
      <c r="AX31" s="140"/>
      <c r="AY31" s="140"/>
      <c r="AZ31" s="142">
        <f t="shared" si="4"/>
        <v>1893.0525000000002</v>
      </c>
      <c r="BA31" s="334">
        <f t="shared" si="1"/>
        <v>0</v>
      </c>
      <c r="BB31" s="141">
        <f t="shared" si="5"/>
        <v>0</v>
      </c>
      <c r="BC31" s="142">
        <f t="shared" si="6"/>
        <v>1893.0525000000002</v>
      </c>
      <c r="BE31" s="159" t="b">
        <f t="shared" si="2"/>
        <v>1</v>
      </c>
    </row>
    <row r="32" spans="2:58" s="159" customFormat="1" outlineLevel="1" x14ac:dyDescent="0.25">
      <c r="B32" s="154" t="s">
        <v>818</v>
      </c>
      <c r="C32" s="155">
        <v>14</v>
      </c>
      <c r="D32" s="156" t="s">
        <v>854</v>
      </c>
      <c r="E32" s="130" t="s">
        <v>855</v>
      </c>
      <c r="F32" s="130" t="s">
        <v>856</v>
      </c>
      <c r="G32" s="130" t="s">
        <v>857</v>
      </c>
      <c r="H32" s="130" t="s">
        <v>858</v>
      </c>
      <c r="I32" s="130" t="s">
        <v>773</v>
      </c>
      <c r="J32" s="131">
        <v>2609698.31</v>
      </c>
      <c r="K32" s="132">
        <v>2374239.31</v>
      </c>
      <c r="L32" s="132"/>
      <c r="M32" s="132"/>
      <c r="N32" s="133"/>
      <c r="O32" s="133"/>
      <c r="P32" s="133"/>
      <c r="Q32" s="133" t="s">
        <v>774</v>
      </c>
      <c r="R32" s="134">
        <v>23550</v>
      </c>
      <c r="S32" s="134">
        <v>70650</v>
      </c>
      <c r="T32" s="134">
        <f t="shared" si="3"/>
        <v>94200</v>
      </c>
      <c r="U32" s="333">
        <f t="shared" si="0"/>
        <v>0</v>
      </c>
      <c r="V32" s="134">
        <v>94200</v>
      </c>
      <c r="W32" s="134">
        <v>94200</v>
      </c>
      <c r="X32" s="134">
        <v>94200</v>
      </c>
      <c r="Y32" s="134">
        <v>94200</v>
      </c>
      <c r="Z32" s="134">
        <v>94200</v>
      </c>
      <c r="AA32" s="134">
        <v>94200</v>
      </c>
      <c r="AB32" s="134">
        <v>94200</v>
      </c>
      <c r="AC32" s="134">
        <v>94200</v>
      </c>
      <c r="AD32" s="134">
        <v>94200</v>
      </c>
      <c r="AE32" s="134">
        <v>94200</v>
      </c>
      <c r="AF32" s="134">
        <v>94200</v>
      </c>
      <c r="AG32" s="134">
        <v>94200</v>
      </c>
      <c r="AH32" s="134">
        <v>94200</v>
      </c>
      <c r="AI32" s="134">
        <v>94200</v>
      </c>
      <c r="AJ32" s="134">
        <v>94200</v>
      </c>
      <c r="AK32" s="134">
        <v>94200</v>
      </c>
      <c r="AL32" s="134">
        <v>94200</v>
      </c>
      <c r="AM32" s="134">
        <v>94200</v>
      </c>
      <c r="AN32" s="134">
        <v>94200</v>
      </c>
      <c r="AO32" s="134">
        <v>94200</v>
      </c>
      <c r="AP32" s="134">
        <v>94200</v>
      </c>
      <c r="AQ32" s="134">
        <v>94200</v>
      </c>
      <c r="AR32" s="134">
        <v>94200</v>
      </c>
      <c r="AS32" s="134">
        <v>94200</v>
      </c>
      <c r="AT32" s="134">
        <v>66339.31</v>
      </c>
      <c r="AU32" s="134">
        <v>0</v>
      </c>
      <c r="AV32" s="134">
        <v>0</v>
      </c>
      <c r="AW32" s="134">
        <v>0</v>
      </c>
      <c r="AX32" s="134"/>
      <c r="AY32" s="134"/>
      <c r="AZ32" s="136">
        <f t="shared" si="4"/>
        <v>2327139.31</v>
      </c>
      <c r="BA32" s="334">
        <f t="shared" si="1"/>
        <v>0</v>
      </c>
      <c r="BB32" s="135">
        <f t="shared" si="5"/>
        <v>1667739.31</v>
      </c>
      <c r="BC32" s="136">
        <f t="shared" si="6"/>
        <v>2327139.31</v>
      </c>
      <c r="BE32" s="159" t="b">
        <f t="shared" si="2"/>
        <v>1</v>
      </c>
      <c r="BF32" s="160"/>
    </row>
    <row r="33" spans="2:58" outlineLevel="1" x14ac:dyDescent="0.25">
      <c r="B33" s="161" t="s">
        <v>818</v>
      </c>
      <c r="C33" s="162"/>
      <c r="D33" s="163" t="s">
        <v>859</v>
      </c>
      <c r="E33" s="137"/>
      <c r="F33" s="137"/>
      <c r="G33" s="137"/>
      <c r="H33" s="137"/>
      <c r="I33" s="137"/>
      <c r="J33" s="138"/>
      <c r="K33" s="138"/>
      <c r="L33" s="138" t="s">
        <v>860</v>
      </c>
      <c r="M33" s="138"/>
      <c r="N33" s="139">
        <f t="shared" si="7"/>
        <v>4.3639999999999999</v>
      </c>
      <c r="O33" s="139">
        <v>4.3639999999999999</v>
      </c>
      <c r="P33" s="139">
        <f>$P$4</f>
        <v>0</v>
      </c>
      <c r="Q33" s="139" t="s">
        <v>777</v>
      </c>
      <c r="R33" s="140">
        <v>48850.07</v>
      </c>
      <c r="S33" s="140">
        <v>46475.69</v>
      </c>
      <c r="T33" s="140">
        <f t="shared" si="3"/>
        <v>95325.760000000009</v>
      </c>
      <c r="U33" s="336">
        <f t="shared" si="0"/>
        <v>7000.5994883999811</v>
      </c>
      <c r="V33" s="140">
        <f>SUM(V32:$AW32)*$N33/100-6230+7000</f>
        <v>102326.35948839999</v>
      </c>
      <c r="W33" s="140">
        <f>SUM(W32:$AW32)*$N33/100</f>
        <v>97445.471488400013</v>
      </c>
      <c r="X33" s="140">
        <f>SUM(X32:$AW32)*$N33/100</f>
        <v>93334.583488400007</v>
      </c>
      <c r="Y33" s="140">
        <f>SUM(Y32:$AW32)*$N33/100</f>
        <v>89223.695488400001</v>
      </c>
      <c r="Z33" s="140">
        <f>SUM(Z32:$AW32)*$N33/100</f>
        <v>85112.807488400009</v>
      </c>
      <c r="AA33" s="140">
        <f>SUM(AA32:$AW32)*$N33/100</f>
        <v>81001.919488400003</v>
      </c>
      <c r="AB33" s="140">
        <f>SUM(AB32:$AW32)*$N33/100</f>
        <v>76891.031488399996</v>
      </c>
      <c r="AC33" s="140">
        <f>SUM(AC32:$AW32)*$N33/100</f>
        <v>72780.143488400005</v>
      </c>
      <c r="AD33" s="140">
        <f>SUM(AD32:$AW32)*$N33/100</f>
        <v>68669.255488399998</v>
      </c>
      <c r="AE33" s="140">
        <f>SUM(AE32:$AW32)*$N33/100</f>
        <v>64558.367488400007</v>
      </c>
      <c r="AF33" s="140">
        <f>SUM(AF32:$AW32)*$N33/100</f>
        <v>60447.4794884</v>
      </c>
      <c r="AG33" s="140">
        <f>SUM(AG32:$AW32)*$N33/100</f>
        <v>56336.591488400001</v>
      </c>
      <c r="AH33" s="140">
        <f>SUM(AH32:$AW32)*$N33/100</f>
        <v>52225.703488400002</v>
      </c>
      <c r="AI33" s="140">
        <f>SUM(AI32:$AW32)*$N33/100</f>
        <v>48114.815488400003</v>
      </c>
      <c r="AJ33" s="140">
        <f>SUM(AJ32:$AW32)*$N33/100</f>
        <v>44003.927488400004</v>
      </c>
      <c r="AK33" s="140">
        <f>SUM(AK32:$AW32)*$N33/100</f>
        <v>39893.039488400005</v>
      </c>
      <c r="AL33" s="140">
        <f>SUM(AL32:$AW32)*$N33/100</f>
        <v>35782.151488399999</v>
      </c>
      <c r="AM33" s="140">
        <f>SUM(AM32:$AW32)*$N33/100</f>
        <v>31671.2634884</v>
      </c>
      <c r="AN33" s="140">
        <f>SUM(AN32:$AW32)*$N33/100</f>
        <v>27560.375488400005</v>
      </c>
      <c r="AO33" s="140">
        <f>SUM(AO32:$AW32)*$N33/100</f>
        <v>23449.487488400002</v>
      </c>
      <c r="AP33" s="140">
        <f>SUM(AP32:$AW32)*$N33/100</f>
        <v>19338.599488399999</v>
      </c>
      <c r="AQ33" s="140">
        <f>SUM(AQ32:$AW32)*$N33/100</f>
        <v>15227.711488399998</v>
      </c>
      <c r="AR33" s="140">
        <f>SUM(AR32:$AW32)*$N33/100</f>
        <v>11116.823488399999</v>
      </c>
      <c r="AS33" s="140">
        <f>SUM(AS32:$AW32)*$N33/100</f>
        <v>7005.9354883999995</v>
      </c>
      <c r="AT33" s="140">
        <f>SUM(AT32:$AW32)*$N33/100</f>
        <v>2895.0474883999996</v>
      </c>
      <c r="AU33" s="140">
        <v>0</v>
      </c>
      <c r="AV33" s="140">
        <v>0</v>
      </c>
      <c r="AW33" s="140">
        <v>0</v>
      </c>
      <c r="AX33" s="140"/>
      <c r="AY33" s="140"/>
      <c r="AZ33" s="142">
        <f t="shared" si="4"/>
        <v>1306412.5872100003</v>
      </c>
      <c r="BA33" s="334">
        <f t="shared" si="1"/>
        <v>0</v>
      </c>
      <c r="BB33" s="141">
        <f t="shared" si="5"/>
        <v>681076.71879120008</v>
      </c>
      <c r="BC33" s="142">
        <f t="shared" si="6"/>
        <v>1306412.58721</v>
      </c>
      <c r="BE33" s="159" t="b">
        <f t="shared" si="2"/>
        <v>1</v>
      </c>
    </row>
    <row r="34" spans="2:58" s="159" customFormat="1" outlineLevel="1" x14ac:dyDescent="0.25">
      <c r="B34" s="154" t="s">
        <v>818</v>
      </c>
      <c r="C34" s="155">
        <v>15</v>
      </c>
      <c r="D34" s="156" t="s">
        <v>861</v>
      </c>
      <c r="E34" s="130" t="s">
        <v>862</v>
      </c>
      <c r="F34" s="130" t="s">
        <v>863</v>
      </c>
      <c r="G34" s="130" t="s">
        <v>857</v>
      </c>
      <c r="H34" s="130" t="s">
        <v>858</v>
      </c>
      <c r="I34" s="130" t="s">
        <v>773</v>
      </c>
      <c r="J34" s="131">
        <v>3496295</v>
      </c>
      <c r="K34" s="132">
        <v>3181399</v>
      </c>
      <c r="L34" s="132"/>
      <c r="M34" s="132"/>
      <c r="N34" s="133"/>
      <c r="O34" s="133"/>
      <c r="P34" s="133"/>
      <c r="Q34" s="133" t="s">
        <v>774</v>
      </c>
      <c r="R34" s="134">
        <v>31499</v>
      </c>
      <c r="S34" s="134">
        <v>94497</v>
      </c>
      <c r="T34" s="134">
        <f t="shared" si="3"/>
        <v>125996</v>
      </c>
      <c r="U34" s="333">
        <f t="shared" si="0"/>
        <v>0</v>
      </c>
      <c r="V34" s="134">
        <v>125996</v>
      </c>
      <c r="W34" s="134">
        <v>125996</v>
      </c>
      <c r="X34" s="134">
        <v>125996</v>
      </c>
      <c r="Y34" s="134">
        <v>125996</v>
      </c>
      <c r="Z34" s="134">
        <v>125996</v>
      </c>
      <c r="AA34" s="134">
        <v>125996</v>
      </c>
      <c r="AB34" s="134">
        <v>125996</v>
      </c>
      <c r="AC34" s="134">
        <v>125996</v>
      </c>
      <c r="AD34" s="134">
        <v>125996</v>
      </c>
      <c r="AE34" s="134">
        <v>125996</v>
      </c>
      <c r="AF34" s="134">
        <v>125996</v>
      </c>
      <c r="AG34" s="134">
        <v>125996</v>
      </c>
      <c r="AH34" s="134">
        <v>125996</v>
      </c>
      <c r="AI34" s="134">
        <v>125996</v>
      </c>
      <c r="AJ34" s="134">
        <v>125996</v>
      </c>
      <c r="AK34" s="134">
        <v>125996</v>
      </c>
      <c r="AL34" s="134">
        <v>125996</v>
      </c>
      <c r="AM34" s="134">
        <v>125996</v>
      </c>
      <c r="AN34" s="134">
        <v>125996</v>
      </c>
      <c r="AO34" s="134">
        <v>125996</v>
      </c>
      <c r="AP34" s="134">
        <v>125996</v>
      </c>
      <c r="AQ34" s="134">
        <v>125996</v>
      </c>
      <c r="AR34" s="134">
        <v>125996</v>
      </c>
      <c r="AS34" s="134">
        <v>125996</v>
      </c>
      <c r="AT34" s="134">
        <v>94497</v>
      </c>
      <c r="AU34" s="134">
        <v>0</v>
      </c>
      <c r="AV34" s="134">
        <v>0</v>
      </c>
      <c r="AW34" s="134">
        <v>0</v>
      </c>
      <c r="AX34" s="134"/>
      <c r="AY34" s="134"/>
      <c r="AZ34" s="136">
        <f t="shared" si="4"/>
        <v>3118401</v>
      </c>
      <c r="BA34" s="334">
        <f t="shared" si="1"/>
        <v>0</v>
      </c>
      <c r="BB34" s="135">
        <f t="shared" si="5"/>
        <v>2236429</v>
      </c>
      <c r="BC34" s="136">
        <f t="shared" si="6"/>
        <v>3118401</v>
      </c>
      <c r="BE34" s="159" t="b">
        <f t="shared" si="2"/>
        <v>1</v>
      </c>
      <c r="BF34" s="160"/>
    </row>
    <row r="35" spans="2:58" outlineLevel="1" x14ac:dyDescent="0.25">
      <c r="B35" s="161" t="s">
        <v>818</v>
      </c>
      <c r="C35" s="162"/>
      <c r="D35" s="163" t="s">
        <v>864</v>
      </c>
      <c r="E35" s="137"/>
      <c r="F35" s="137"/>
      <c r="G35" s="137"/>
      <c r="H35" s="137"/>
      <c r="I35" s="137"/>
      <c r="J35" s="138"/>
      <c r="K35" s="138"/>
      <c r="L35" s="138" t="s">
        <v>860</v>
      </c>
      <c r="M35" s="138"/>
      <c r="N35" s="139">
        <f t="shared" si="7"/>
        <v>4.3639999999999999</v>
      </c>
      <c r="O35" s="139">
        <v>4.3639999999999999</v>
      </c>
      <c r="P35" s="139">
        <f>$P$4</f>
        <v>0</v>
      </c>
      <c r="Q35" s="139" t="s">
        <v>777</v>
      </c>
      <c r="R35" s="140">
        <v>65459.38</v>
      </c>
      <c r="S35" s="140">
        <v>62280</v>
      </c>
      <c r="T35" s="140">
        <f t="shared" si="3"/>
        <v>127739.38</v>
      </c>
      <c r="U35" s="336">
        <f t="shared" si="0"/>
        <v>9000.6396399999794</v>
      </c>
      <c r="V35" s="140">
        <f>SUM(V34:$AW34)*$N35/100-8347+9000</f>
        <v>136740.01963999998</v>
      </c>
      <c r="W35" s="140">
        <f>SUM(W34:$AW34)*$N35/100</f>
        <v>130588.5542</v>
      </c>
      <c r="X35" s="140">
        <f>SUM(X34:$AW34)*$N35/100</f>
        <v>125090.08876</v>
      </c>
      <c r="Y35" s="140">
        <f>SUM(Y34:$AW34)*$N35/100</f>
        <v>119591.62332</v>
      </c>
      <c r="Z35" s="140">
        <f>SUM(Z34:$AW34)*$N35/100</f>
        <v>114093.15787999998</v>
      </c>
      <c r="AA35" s="140">
        <f>SUM(AA34:$AW34)*$N35/100</f>
        <v>108594.69243999998</v>
      </c>
      <c r="AB35" s="140">
        <f>SUM(AB34:$AW34)*$N35/100</f>
        <v>103096.227</v>
      </c>
      <c r="AC35" s="140">
        <f>SUM(AC34:$AW34)*$N35/100</f>
        <v>97597.761559999999</v>
      </c>
      <c r="AD35" s="140">
        <f>SUM(AD34:$AW34)*$N35/100</f>
        <v>92099.296119999999</v>
      </c>
      <c r="AE35" s="140">
        <f>SUM(AE34:$AW34)*$N35/100</f>
        <v>86600.830679999999</v>
      </c>
      <c r="AF35" s="140">
        <f>SUM(AF34:$AW34)*$N35/100</f>
        <v>81102.365239999999</v>
      </c>
      <c r="AG35" s="140">
        <f>SUM(AG34:$AW34)*$N35/100</f>
        <v>75603.899799999999</v>
      </c>
      <c r="AH35" s="140">
        <f>SUM(AH34:$AW34)*$N35/100</f>
        <v>70105.434359999999</v>
      </c>
      <c r="AI35" s="140">
        <f>SUM(AI34:$AW34)*$N35/100</f>
        <v>64606.968919999999</v>
      </c>
      <c r="AJ35" s="140">
        <f>SUM(AJ34:$AW34)*$N35/100</f>
        <v>59108.503479999999</v>
      </c>
      <c r="AK35" s="140">
        <f>SUM(AK34:$AW34)*$N35/100</f>
        <v>53610.038039999992</v>
      </c>
      <c r="AL35" s="140">
        <f>SUM(AL34:$AW34)*$N35/100</f>
        <v>48111.5726</v>
      </c>
      <c r="AM35" s="140">
        <f>SUM(AM34:$AW34)*$N35/100</f>
        <v>42613.10716</v>
      </c>
      <c r="AN35" s="140">
        <f>SUM(AN34:$AW34)*$N35/100</f>
        <v>37114.64172</v>
      </c>
      <c r="AO35" s="140">
        <f>SUM(AO34:$AW34)*$N35/100</f>
        <v>31616.17628</v>
      </c>
      <c r="AP35" s="140">
        <f>SUM(AP34:$AW34)*$N35/100</f>
        <v>26117.71084</v>
      </c>
      <c r="AQ35" s="140">
        <f>SUM(AQ34:$AW34)*$N35/100</f>
        <v>20619.2454</v>
      </c>
      <c r="AR35" s="140">
        <f>SUM(AR34:$AW34)*$N35/100</f>
        <v>15120.77996</v>
      </c>
      <c r="AS35" s="140">
        <f>SUM(AS34:$AW34)*$N35/100</f>
        <v>9622.3145199999999</v>
      </c>
      <c r="AT35" s="140">
        <f>SUM(AT34:$AW34)*$N35/100</f>
        <v>4123.84908</v>
      </c>
      <c r="AU35" s="140">
        <v>0</v>
      </c>
      <c r="AV35" s="140">
        <v>0</v>
      </c>
      <c r="AW35" s="140">
        <v>0</v>
      </c>
      <c r="AX35" s="140"/>
      <c r="AY35" s="140"/>
      <c r="AZ35" s="142">
        <f t="shared" si="4"/>
        <v>1753288.8589999997</v>
      </c>
      <c r="BA35" s="334">
        <f t="shared" si="1"/>
        <v>0</v>
      </c>
      <c r="BB35" s="141">
        <f t="shared" si="5"/>
        <v>915494.49575999985</v>
      </c>
      <c r="BC35" s="142">
        <f t="shared" si="6"/>
        <v>1753288.8589999997</v>
      </c>
      <c r="BE35" s="159" t="b">
        <f t="shared" si="2"/>
        <v>1</v>
      </c>
    </row>
    <row r="36" spans="2:58" s="159" customFormat="1" outlineLevel="1" x14ac:dyDescent="0.25">
      <c r="B36" s="154" t="s">
        <v>818</v>
      </c>
      <c r="C36" s="155">
        <v>16</v>
      </c>
      <c r="D36" s="156" t="s">
        <v>826</v>
      </c>
      <c r="E36" s="130" t="s">
        <v>865</v>
      </c>
      <c r="F36" s="130" t="s">
        <v>866</v>
      </c>
      <c r="G36" s="130" t="s">
        <v>867</v>
      </c>
      <c r="H36" s="130" t="s">
        <v>868</v>
      </c>
      <c r="I36" s="130" t="s">
        <v>773</v>
      </c>
      <c r="J36" s="131">
        <v>190122</v>
      </c>
      <c r="K36" s="132">
        <v>148712</v>
      </c>
      <c r="L36" s="132"/>
      <c r="M36" s="132"/>
      <c r="N36" s="133"/>
      <c r="O36" s="133">
        <v>1.482</v>
      </c>
      <c r="P36" s="133"/>
      <c r="Q36" s="133" t="s">
        <v>774</v>
      </c>
      <c r="R36" s="134">
        <v>2438</v>
      </c>
      <c r="S36" s="134">
        <v>7314</v>
      </c>
      <c r="T36" s="134">
        <f t="shared" si="3"/>
        <v>9752</v>
      </c>
      <c r="U36" s="333">
        <f t="shared" si="0"/>
        <v>0</v>
      </c>
      <c r="V36" s="134">
        <v>9752</v>
      </c>
      <c r="W36" s="134">
        <v>9752</v>
      </c>
      <c r="X36" s="134">
        <v>9752</v>
      </c>
      <c r="Y36" s="134">
        <v>9752</v>
      </c>
      <c r="Z36" s="134">
        <v>9752</v>
      </c>
      <c r="AA36" s="134">
        <v>9752</v>
      </c>
      <c r="AB36" s="134">
        <v>9752</v>
      </c>
      <c r="AC36" s="134">
        <v>9752</v>
      </c>
      <c r="AD36" s="134">
        <v>9752</v>
      </c>
      <c r="AE36" s="134">
        <v>9752</v>
      </c>
      <c r="AF36" s="134">
        <v>9752</v>
      </c>
      <c r="AG36" s="134">
        <v>9752</v>
      </c>
      <c r="AH36" s="134">
        <v>9752</v>
      </c>
      <c r="AI36" s="134">
        <v>9752</v>
      </c>
      <c r="AJ36" s="134">
        <v>7308</v>
      </c>
      <c r="AK36" s="134">
        <v>0</v>
      </c>
      <c r="AL36" s="134">
        <v>0</v>
      </c>
      <c r="AM36" s="134">
        <v>0</v>
      </c>
      <c r="AN36" s="134">
        <v>0</v>
      </c>
      <c r="AO36" s="134">
        <v>0</v>
      </c>
      <c r="AP36" s="134">
        <v>0</v>
      </c>
      <c r="AQ36" s="134">
        <v>0</v>
      </c>
      <c r="AR36" s="134">
        <v>0</v>
      </c>
      <c r="AS36" s="134">
        <v>0</v>
      </c>
      <c r="AT36" s="134">
        <v>0</v>
      </c>
      <c r="AU36" s="134">
        <v>0</v>
      </c>
      <c r="AV36" s="134">
        <v>0</v>
      </c>
      <c r="AW36" s="134">
        <v>0</v>
      </c>
      <c r="AX36" s="134"/>
      <c r="AY36" s="134"/>
      <c r="AZ36" s="136">
        <f t="shared" si="4"/>
        <v>143836</v>
      </c>
      <c r="BA36" s="334">
        <f t="shared" si="1"/>
        <v>0</v>
      </c>
      <c r="BB36" s="135">
        <f t="shared" si="5"/>
        <v>75572</v>
      </c>
      <c r="BC36" s="136">
        <f t="shared" si="6"/>
        <v>143836</v>
      </c>
      <c r="BE36" s="159" t="b">
        <f t="shared" si="2"/>
        <v>1</v>
      </c>
      <c r="BF36" s="160"/>
    </row>
    <row r="37" spans="2:58" outlineLevel="1" x14ac:dyDescent="0.25">
      <c r="B37" s="161" t="s">
        <v>818</v>
      </c>
      <c r="C37" s="162"/>
      <c r="D37" s="163" t="s">
        <v>869</v>
      </c>
      <c r="E37" s="137"/>
      <c r="F37" s="137"/>
      <c r="G37" s="137"/>
      <c r="H37" s="137"/>
      <c r="I37" s="137"/>
      <c r="J37" s="138"/>
      <c r="K37" s="138"/>
      <c r="L37" s="138" t="s">
        <v>870</v>
      </c>
      <c r="M37" s="138"/>
      <c r="N37" s="139">
        <f t="shared" si="7"/>
        <v>4.1500000000000004</v>
      </c>
      <c r="O37" s="144">
        <v>4.1500000000000004</v>
      </c>
      <c r="P37" s="139">
        <f>$P$4</f>
        <v>0</v>
      </c>
      <c r="Q37" s="139" t="s">
        <v>777</v>
      </c>
      <c r="R37" s="140">
        <v>3030.6400000000003</v>
      </c>
      <c r="S37" s="140">
        <v>2883.8900000000003</v>
      </c>
      <c r="T37" s="140">
        <f t="shared" si="3"/>
        <v>5914.5300000000007</v>
      </c>
      <c r="U37" s="335">
        <f t="shared" si="0"/>
        <v>0.66399999999975989</v>
      </c>
      <c r="V37" s="140">
        <f>SUM(V36:$AW36)*$N37/100-54</f>
        <v>5915.1940000000004</v>
      </c>
      <c r="W37" s="140">
        <f>SUM(W36:$AW36)*$N37/100</f>
        <v>5564.4860000000008</v>
      </c>
      <c r="X37" s="140">
        <f>SUM(X36:$AW36)*$N37/100</f>
        <v>5159.7780000000002</v>
      </c>
      <c r="Y37" s="140">
        <f>SUM(Y36:$AW36)*$N37/100</f>
        <v>4755.0700000000006</v>
      </c>
      <c r="Z37" s="140">
        <f>SUM(Z36:$AW36)*$N37/100</f>
        <v>4350.3620000000001</v>
      </c>
      <c r="AA37" s="140">
        <f>SUM(AA36:$AW36)*$N37/100</f>
        <v>3945.6540000000005</v>
      </c>
      <c r="AB37" s="140">
        <f>SUM(AB36:$AW36)*$N37/100</f>
        <v>3540.9460000000004</v>
      </c>
      <c r="AC37" s="140">
        <f>SUM(AC36:$AW36)*$N37/100</f>
        <v>3136.2380000000003</v>
      </c>
      <c r="AD37" s="140">
        <f>SUM(AD36:$AW36)*$N37/100</f>
        <v>2731.53</v>
      </c>
      <c r="AE37" s="140">
        <f>SUM(AE36:$AW36)*$N37/100</f>
        <v>2326.8220000000001</v>
      </c>
      <c r="AF37" s="140">
        <f>SUM(AF36:$AW36)*$N37/100</f>
        <v>1922.1140000000003</v>
      </c>
      <c r="AG37" s="140">
        <f>SUM(AG36:$AW36)*$N37/100</f>
        <v>1517.4059999999999</v>
      </c>
      <c r="AH37" s="140">
        <f>SUM(AH36:$AW36)*$N37/100</f>
        <v>1112.6980000000001</v>
      </c>
      <c r="AI37" s="140">
        <f>SUM(AI36:$AW36)*$N37/100</f>
        <v>707.99</v>
      </c>
      <c r="AJ37" s="140">
        <f>SUM(AJ36:$AW36)*$N37/100</f>
        <v>303.28200000000004</v>
      </c>
      <c r="AK37" s="140">
        <v>0</v>
      </c>
      <c r="AL37" s="140">
        <v>0</v>
      </c>
      <c r="AM37" s="140">
        <v>0</v>
      </c>
      <c r="AN37" s="140">
        <v>0</v>
      </c>
      <c r="AO37" s="140">
        <v>0</v>
      </c>
      <c r="AP37" s="140">
        <v>0</v>
      </c>
      <c r="AQ37" s="140">
        <v>0</v>
      </c>
      <c r="AR37" s="140">
        <v>0</v>
      </c>
      <c r="AS37" s="140">
        <v>0</v>
      </c>
      <c r="AT37" s="140">
        <v>0</v>
      </c>
      <c r="AU37" s="140">
        <v>0</v>
      </c>
      <c r="AV37" s="140">
        <v>0</v>
      </c>
      <c r="AW37" s="140">
        <v>0</v>
      </c>
      <c r="AX37" s="140"/>
      <c r="AY37" s="140"/>
      <c r="AZ37" s="142">
        <f t="shared" si="4"/>
        <v>46989.57</v>
      </c>
      <c r="BA37" s="334">
        <f t="shared" si="1"/>
        <v>0</v>
      </c>
      <c r="BB37" s="141">
        <f t="shared" si="5"/>
        <v>13758.08</v>
      </c>
      <c r="BC37" s="142">
        <f t="shared" si="6"/>
        <v>46989.570000000007</v>
      </c>
      <c r="BE37" s="159" t="b">
        <f t="shared" si="2"/>
        <v>1</v>
      </c>
    </row>
    <row r="38" spans="2:58" s="159" customFormat="1" outlineLevel="1" collapsed="1" x14ac:dyDescent="0.25">
      <c r="B38" s="154" t="s">
        <v>818</v>
      </c>
      <c r="C38" s="155">
        <v>17</v>
      </c>
      <c r="D38" s="156" t="s">
        <v>871</v>
      </c>
      <c r="E38" s="130" t="s">
        <v>872</v>
      </c>
      <c r="F38" s="130" t="s">
        <v>873</v>
      </c>
      <c r="G38" s="130" t="s">
        <v>874</v>
      </c>
      <c r="H38" s="130" t="s">
        <v>868</v>
      </c>
      <c r="I38" s="130" t="s">
        <v>773</v>
      </c>
      <c r="J38" s="131">
        <v>177076.43</v>
      </c>
      <c r="K38" s="132">
        <v>140300</v>
      </c>
      <c r="L38" s="132"/>
      <c r="M38" s="132"/>
      <c r="N38" s="133"/>
      <c r="O38" s="133">
        <v>1.903</v>
      </c>
      <c r="P38" s="133"/>
      <c r="Q38" s="133" t="s">
        <v>774</v>
      </c>
      <c r="R38" s="134">
        <v>2300</v>
      </c>
      <c r="S38" s="134">
        <v>6900</v>
      </c>
      <c r="T38" s="134">
        <f t="shared" si="3"/>
        <v>9200</v>
      </c>
      <c r="U38" s="333">
        <f t="shared" si="0"/>
        <v>0</v>
      </c>
      <c r="V38" s="134">
        <v>9200</v>
      </c>
      <c r="W38" s="134">
        <v>9200</v>
      </c>
      <c r="X38" s="134">
        <v>9200</v>
      </c>
      <c r="Y38" s="134">
        <v>9200</v>
      </c>
      <c r="Z38" s="134">
        <v>9200</v>
      </c>
      <c r="AA38" s="134">
        <v>9200</v>
      </c>
      <c r="AB38" s="134">
        <v>9200</v>
      </c>
      <c r="AC38" s="134">
        <v>9200</v>
      </c>
      <c r="AD38" s="134">
        <v>9200</v>
      </c>
      <c r="AE38" s="134">
        <v>9200</v>
      </c>
      <c r="AF38" s="134">
        <v>9200</v>
      </c>
      <c r="AG38" s="134">
        <v>9200</v>
      </c>
      <c r="AH38" s="134">
        <v>9200</v>
      </c>
      <c r="AI38" s="134">
        <v>9200</v>
      </c>
      <c r="AJ38" s="134">
        <v>6900</v>
      </c>
      <c r="AK38" s="134">
        <v>0</v>
      </c>
      <c r="AL38" s="134">
        <v>0</v>
      </c>
      <c r="AM38" s="134">
        <v>0</v>
      </c>
      <c r="AN38" s="134">
        <v>0</v>
      </c>
      <c r="AO38" s="134">
        <v>0</v>
      </c>
      <c r="AP38" s="134">
        <v>0</v>
      </c>
      <c r="AQ38" s="134">
        <v>0</v>
      </c>
      <c r="AR38" s="134">
        <v>0</v>
      </c>
      <c r="AS38" s="134">
        <v>0</v>
      </c>
      <c r="AT38" s="134">
        <v>0</v>
      </c>
      <c r="AU38" s="134">
        <v>0</v>
      </c>
      <c r="AV38" s="134">
        <v>0</v>
      </c>
      <c r="AW38" s="134">
        <v>0</v>
      </c>
      <c r="AX38" s="134"/>
      <c r="AY38" s="134"/>
      <c r="AZ38" s="136">
        <f t="shared" si="4"/>
        <v>135700</v>
      </c>
      <c r="BA38" s="334">
        <f t="shared" si="1"/>
        <v>0</v>
      </c>
      <c r="BB38" s="135">
        <f t="shared" si="5"/>
        <v>71300</v>
      </c>
      <c r="BC38" s="136">
        <f t="shared" si="6"/>
        <v>135700</v>
      </c>
      <c r="BE38" s="159" t="b">
        <f t="shared" si="2"/>
        <v>1</v>
      </c>
      <c r="BF38" s="160"/>
    </row>
    <row r="39" spans="2:58" outlineLevel="1" x14ac:dyDescent="0.25">
      <c r="B39" s="161" t="s">
        <v>818</v>
      </c>
      <c r="C39" s="162"/>
      <c r="D39" s="163" t="s">
        <v>875</v>
      </c>
      <c r="E39" s="137"/>
      <c r="F39" s="137"/>
      <c r="G39" s="137"/>
      <c r="H39" s="137"/>
      <c r="I39" s="137"/>
      <c r="J39" s="138"/>
      <c r="K39" s="138"/>
      <c r="L39" s="138" t="s">
        <v>876</v>
      </c>
      <c r="M39" s="138"/>
      <c r="N39" s="139">
        <f t="shared" si="7"/>
        <v>4.1500000000000004</v>
      </c>
      <c r="O39" s="144">
        <v>4.1500000000000004</v>
      </c>
      <c r="P39" s="139">
        <f>$P$4</f>
        <v>0</v>
      </c>
      <c r="Q39" s="139" t="s">
        <v>777</v>
      </c>
      <c r="R39" s="140">
        <v>2851.59</v>
      </c>
      <c r="S39" s="140">
        <v>2730.17</v>
      </c>
      <c r="T39" s="140">
        <f t="shared" si="3"/>
        <v>5581.76</v>
      </c>
      <c r="U39" s="335">
        <f t="shared" si="0"/>
        <v>0.78999999999996362</v>
      </c>
      <c r="V39" s="140">
        <f>SUM(V38:$AW38)*$N39/100-49</f>
        <v>5582.55</v>
      </c>
      <c r="W39" s="140">
        <f>SUM(W38:$AW38)*$N39/100</f>
        <v>5249.75</v>
      </c>
      <c r="X39" s="140">
        <f>SUM(X38:$AW38)*$N39/100</f>
        <v>4867.9500000000007</v>
      </c>
      <c r="Y39" s="140">
        <f>SUM(Y38:$AW38)*$N39/100</f>
        <v>4486.1500000000005</v>
      </c>
      <c r="Z39" s="140">
        <f>SUM(Z38:$AW38)*$N39/100</f>
        <v>4104.3500000000004</v>
      </c>
      <c r="AA39" s="140">
        <f>SUM(AA38:$AW38)*$N39/100</f>
        <v>3722.5500000000006</v>
      </c>
      <c r="AB39" s="140">
        <f>SUM(AB38:$AW38)*$N39/100</f>
        <v>3340.75</v>
      </c>
      <c r="AC39" s="140">
        <f>SUM(AC38:$AW38)*$N39/100</f>
        <v>2958.95</v>
      </c>
      <c r="AD39" s="140">
        <f>SUM(AD38:$AW38)*$N39/100</f>
        <v>2577.15</v>
      </c>
      <c r="AE39" s="140">
        <f>SUM(AE38:$AW38)*$N39/100</f>
        <v>2195.3500000000004</v>
      </c>
      <c r="AF39" s="140">
        <f>SUM(AF38:$AW38)*$N39/100</f>
        <v>1813.5500000000002</v>
      </c>
      <c r="AG39" s="140">
        <f>SUM(AG38:$AW38)*$N39/100</f>
        <v>1431.75</v>
      </c>
      <c r="AH39" s="140">
        <f>SUM(AH38:$AW38)*$N39/100</f>
        <v>1049.95</v>
      </c>
      <c r="AI39" s="140">
        <f>SUM(AI38:$AW38)*$N39/100</f>
        <v>668.15</v>
      </c>
      <c r="AJ39" s="140">
        <f>SUM(AJ38:$AW38)*$N39/100</f>
        <v>286.35000000000002</v>
      </c>
      <c r="AK39" s="140">
        <v>0</v>
      </c>
      <c r="AL39" s="140">
        <v>0</v>
      </c>
      <c r="AM39" s="140">
        <v>0</v>
      </c>
      <c r="AN39" s="140">
        <v>0</v>
      </c>
      <c r="AO39" s="140">
        <v>0</v>
      </c>
      <c r="AP39" s="140">
        <v>0</v>
      </c>
      <c r="AQ39" s="140">
        <v>0</v>
      </c>
      <c r="AR39" s="140">
        <v>0</v>
      </c>
      <c r="AS39" s="140">
        <v>0</v>
      </c>
      <c r="AT39" s="140">
        <v>0</v>
      </c>
      <c r="AU39" s="140">
        <v>0</v>
      </c>
      <c r="AV39" s="140">
        <v>0</v>
      </c>
      <c r="AW39" s="140">
        <v>0</v>
      </c>
      <c r="AX39" s="140"/>
      <c r="AY39" s="140"/>
      <c r="AZ39" s="142">
        <f t="shared" si="4"/>
        <v>44335.25</v>
      </c>
      <c r="BA39" s="334">
        <f t="shared" si="1"/>
        <v>0</v>
      </c>
      <c r="BB39" s="141">
        <f t="shared" si="5"/>
        <v>12981.2</v>
      </c>
      <c r="BC39" s="142">
        <f t="shared" si="6"/>
        <v>44335.25</v>
      </c>
      <c r="BE39" s="159" t="b">
        <f t="shared" si="2"/>
        <v>1</v>
      </c>
    </row>
    <row r="40" spans="2:58" s="159" customFormat="1" outlineLevel="1" collapsed="1" x14ac:dyDescent="0.25">
      <c r="B40" s="154" t="s">
        <v>767</v>
      </c>
      <c r="C40" s="155">
        <v>18</v>
      </c>
      <c r="D40" s="156" t="s">
        <v>877</v>
      </c>
      <c r="E40" s="130" t="s">
        <v>878</v>
      </c>
      <c r="F40" s="130" t="s">
        <v>879</v>
      </c>
      <c r="G40" s="130" t="s">
        <v>874</v>
      </c>
      <c r="H40" s="130" t="s">
        <v>880</v>
      </c>
      <c r="I40" s="130" t="s">
        <v>773</v>
      </c>
      <c r="J40" s="131">
        <v>1174139.99</v>
      </c>
      <c r="K40" s="132">
        <v>830003.99</v>
      </c>
      <c r="L40" s="132"/>
      <c r="M40" s="132"/>
      <c r="N40" s="133"/>
      <c r="O40" s="133">
        <v>1.903</v>
      </c>
      <c r="P40" s="133"/>
      <c r="Q40" s="133" t="s">
        <v>774</v>
      </c>
      <c r="R40" s="134">
        <v>20244</v>
      </c>
      <c r="S40" s="134">
        <v>60732</v>
      </c>
      <c r="T40" s="134">
        <f t="shared" si="3"/>
        <v>80976</v>
      </c>
      <c r="U40" s="333">
        <f t="shared" si="0"/>
        <v>0</v>
      </c>
      <c r="V40" s="134">
        <v>80976</v>
      </c>
      <c r="W40" s="134">
        <v>80976</v>
      </c>
      <c r="X40" s="134">
        <v>80976</v>
      </c>
      <c r="Y40" s="134">
        <v>80976</v>
      </c>
      <c r="Z40" s="134">
        <v>80976</v>
      </c>
      <c r="AA40" s="134">
        <v>80976</v>
      </c>
      <c r="AB40" s="134">
        <v>80976</v>
      </c>
      <c r="AC40" s="134">
        <v>80976</v>
      </c>
      <c r="AD40" s="134">
        <v>80976</v>
      </c>
      <c r="AE40" s="134">
        <v>60731.990000000005</v>
      </c>
      <c r="AF40" s="134">
        <v>0</v>
      </c>
      <c r="AG40" s="134">
        <v>0</v>
      </c>
      <c r="AH40" s="134">
        <v>0</v>
      </c>
      <c r="AI40" s="134">
        <v>0</v>
      </c>
      <c r="AJ40" s="134">
        <v>0</v>
      </c>
      <c r="AK40" s="134">
        <v>0</v>
      </c>
      <c r="AL40" s="134">
        <v>0</v>
      </c>
      <c r="AM40" s="134">
        <v>0</v>
      </c>
      <c r="AN40" s="134">
        <v>0</v>
      </c>
      <c r="AO40" s="134">
        <v>0</v>
      </c>
      <c r="AP40" s="134">
        <v>0</v>
      </c>
      <c r="AQ40" s="134">
        <v>0</v>
      </c>
      <c r="AR40" s="134">
        <v>0</v>
      </c>
      <c r="AS40" s="134">
        <v>0</v>
      </c>
      <c r="AT40" s="134">
        <v>0</v>
      </c>
      <c r="AU40" s="134">
        <v>0</v>
      </c>
      <c r="AV40" s="134">
        <v>0</v>
      </c>
      <c r="AW40" s="134">
        <v>0</v>
      </c>
      <c r="AX40" s="134"/>
      <c r="AY40" s="134"/>
      <c r="AZ40" s="136">
        <f t="shared" si="4"/>
        <v>789515.99</v>
      </c>
      <c r="BA40" s="334">
        <f t="shared" si="1"/>
        <v>0</v>
      </c>
      <c r="BB40" s="135">
        <f t="shared" si="5"/>
        <v>222683.99</v>
      </c>
      <c r="BC40" s="136">
        <f t="shared" si="6"/>
        <v>789515.99</v>
      </c>
      <c r="BE40" s="159" t="b">
        <f t="shared" si="2"/>
        <v>1</v>
      </c>
      <c r="BF40" s="160"/>
    </row>
    <row r="41" spans="2:58" outlineLevel="1" x14ac:dyDescent="0.25">
      <c r="B41" s="161" t="s">
        <v>767</v>
      </c>
      <c r="C41" s="162"/>
      <c r="D41" s="163"/>
      <c r="E41" s="137"/>
      <c r="F41" s="137"/>
      <c r="G41" s="137"/>
      <c r="H41" s="137"/>
      <c r="I41" s="137"/>
      <c r="J41" s="138"/>
      <c r="K41" s="138"/>
      <c r="L41" s="138" t="s">
        <v>881</v>
      </c>
      <c r="M41" s="138"/>
      <c r="N41" s="139">
        <f t="shared" si="7"/>
        <v>4.1500000000000004</v>
      </c>
      <c r="O41" s="144">
        <v>4.1500000000000004</v>
      </c>
      <c r="P41" s="139">
        <f>$P$4</f>
        <v>0</v>
      </c>
      <c r="Q41" s="139" t="s">
        <v>777</v>
      </c>
      <c r="R41" s="140">
        <v>16644.02</v>
      </c>
      <c r="S41" s="140">
        <v>15662.71</v>
      </c>
      <c r="T41" s="140">
        <f t="shared" si="3"/>
        <v>32306.73</v>
      </c>
      <c r="U41" s="336">
        <f t="shared" si="0"/>
        <v>1000.1835850000025</v>
      </c>
      <c r="V41" s="140">
        <f>SUM(V40:$AW40)*$N41/100-458+1000</f>
        <v>33306.913585000002</v>
      </c>
      <c r="W41" s="140">
        <f>SUM(W40:$AW40)*$N41/100</f>
        <v>29404.409585000001</v>
      </c>
      <c r="X41" s="140">
        <f>SUM(X40:$AW40)*$N41/100</f>
        <v>26043.905585000004</v>
      </c>
      <c r="Y41" s="140">
        <f>SUM(Y40:$AW40)*$N41/100</f>
        <v>22683.401585000003</v>
      </c>
      <c r="Z41" s="140">
        <f>SUM(Z40:$AW40)*$N41/100</f>
        <v>19322.897585000002</v>
      </c>
      <c r="AA41" s="140">
        <f>SUM(AA40:$AW40)*$N41/100</f>
        <v>15962.393585000002</v>
      </c>
      <c r="AB41" s="140">
        <f>SUM(AB40:$AW40)*$N41/100</f>
        <v>12601.889585000003</v>
      </c>
      <c r="AC41" s="140">
        <f>SUM(AC40:$AW40)*$N41/100</f>
        <v>9241.385585</v>
      </c>
      <c r="AD41" s="140">
        <f>SUM(AD40:$AW40)*$N41/100</f>
        <v>5880.8815850000001</v>
      </c>
      <c r="AE41" s="140">
        <f>SUM(AE40:$AW40)*$N41/100</f>
        <v>2520.3775850000006</v>
      </c>
      <c r="AF41" s="140">
        <v>0</v>
      </c>
      <c r="AG41" s="140">
        <v>0</v>
      </c>
      <c r="AH41" s="140">
        <v>0</v>
      </c>
      <c r="AI41" s="140">
        <v>0</v>
      </c>
      <c r="AJ41" s="140">
        <v>0</v>
      </c>
      <c r="AK41" s="140">
        <v>0</v>
      </c>
      <c r="AL41" s="140">
        <v>0</v>
      </c>
      <c r="AM41" s="140">
        <v>0</v>
      </c>
      <c r="AN41" s="140">
        <v>0</v>
      </c>
      <c r="AO41" s="140">
        <v>0</v>
      </c>
      <c r="AP41" s="140">
        <v>0</v>
      </c>
      <c r="AQ41" s="140">
        <v>0</v>
      </c>
      <c r="AR41" s="140">
        <v>0</v>
      </c>
      <c r="AS41" s="140">
        <v>0</v>
      </c>
      <c r="AT41" s="140">
        <v>0</v>
      </c>
      <c r="AU41" s="140">
        <v>0</v>
      </c>
      <c r="AV41" s="140">
        <v>0</v>
      </c>
      <c r="AW41" s="140">
        <v>0</v>
      </c>
      <c r="AX41" s="140"/>
      <c r="AY41" s="140"/>
      <c r="AZ41" s="142">
        <f t="shared" si="4"/>
        <v>176968.45585000003</v>
      </c>
      <c r="BA41" s="334">
        <f t="shared" si="1"/>
        <v>0</v>
      </c>
      <c r="BB41" s="141">
        <f t="shared" si="5"/>
        <v>17642.644755000001</v>
      </c>
      <c r="BC41" s="142">
        <f t="shared" si="6"/>
        <v>176968.45585000003</v>
      </c>
      <c r="BE41" s="159" t="b">
        <f t="shared" si="2"/>
        <v>1</v>
      </c>
    </row>
    <row r="42" spans="2:58" s="159" customFormat="1" outlineLevel="1" collapsed="1" x14ac:dyDescent="0.25">
      <c r="B42" s="154" t="s">
        <v>767</v>
      </c>
      <c r="C42" s="155">
        <v>19</v>
      </c>
      <c r="D42" s="156" t="s">
        <v>882</v>
      </c>
      <c r="E42" s="130" t="s">
        <v>883</v>
      </c>
      <c r="F42" s="130" t="s">
        <v>884</v>
      </c>
      <c r="G42" s="130" t="s">
        <v>885</v>
      </c>
      <c r="H42" s="130" t="s">
        <v>886</v>
      </c>
      <c r="I42" s="130" t="s">
        <v>773</v>
      </c>
      <c r="J42" s="131">
        <v>388132.51</v>
      </c>
      <c r="K42" s="132">
        <v>204582</v>
      </c>
      <c r="L42" s="132"/>
      <c r="M42" s="132"/>
      <c r="N42" s="133"/>
      <c r="O42" s="133">
        <v>2.621</v>
      </c>
      <c r="P42" s="133"/>
      <c r="Q42" s="133" t="s">
        <v>774</v>
      </c>
      <c r="R42" s="134">
        <v>9742</v>
      </c>
      <c r="S42" s="134">
        <v>29226</v>
      </c>
      <c r="T42" s="134">
        <f t="shared" si="3"/>
        <v>38968</v>
      </c>
      <c r="U42" s="333">
        <f t="shared" si="0"/>
        <v>0</v>
      </c>
      <c r="V42" s="134">
        <v>38968</v>
      </c>
      <c r="W42" s="134">
        <v>38968</v>
      </c>
      <c r="X42" s="134">
        <v>38968</v>
      </c>
      <c r="Y42" s="134">
        <v>38968</v>
      </c>
      <c r="Z42" s="134">
        <v>29226</v>
      </c>
      <c r="AA42" s="134">
        <v>0</v>
      </c>
      <c r="AB42" s="134">
        <v>0</v>
      </c>
      <c r="AC42" s="134">
        <v>0</v>
      </c>
      <c r="AD42" s="134">
        <v>0</v>
      </c>
      <c r="AE42" s="134">
        <v>0</v>
      </c>
      <c r="AF42" s="134">
        <v>0</v>
      </c>
      <c r="AG42" s="134">
        <v>0</v>
      </c>
      <c r="AH42" s="134">
        <v>0</v>
      </c>
      <c r="AI42" s="134">
        <v>0</v>
      </c>
      <c r="AJ42" s="134">
        <v>0</v>
      </c>
      <c r="AK42" s="134">
        <v>0</v>
      </c>
      <c r="AL42" s="134">
        <v>0</v>
      </c>
      <c r="AM42" s="134">
        <v>0</v>
      </c>
      <c r="AN42" s="134">
        <v>0</v>
      </c>
      <c r="AO42" s="134">
        <v>0</v>
      </c>
      <c r="AP42" s="134">
        <v>0</v>
      </c>
      <c r="AQ42" s="134">
        <v>0</v>
      </c>
      <c r="AR42" s="134">
        <v>0</v>
      </c>
      <c r="AS42" s="134">
        <v>0</v>
      </c>
      <c r="AT42" s="134">
        <v>0</v>
      </c>
      <c r="AU42" s="134">
        <v>0</v>
      </c>
      <c r="AV42" s="134">
        <v>0</v>
      </c>
      <c r="AW42" s="134">
        <v>0</v>
      </c>
      <c r="AX42" s="134"/>
      <c r="AY42" s="134"/>
      <c r="AZ42" s="136">
        <f t="shared" si="4"/>
        <v>185098</v>
      </c>
      <c r="BA42" s="334">
        <f t="shared" si="1"/>
        <v>0</v>
      </c>
      <c r="BB42" s="135">
        <f t="shared" si="5"/>
        <v>0</v>
      </c>
      <c r="BC42" s="136">
        <f t="shared" si="6"/>
        <v>185098</v>
      </c>
      <c r="BE42" s="159" t="b">
        <f t="shared" si="2"/>
        <v>1</v>
      </c>
      <c r="BF42" s="160"/>
    </row>
    <row r="43" spans="2:58" outlineLevel="1" x14ac:dyDescent="0.25">
      <c r="B43" s="161" t="s">
        <v>767</v>
      </c>
      <c r="C43" s="162"/>
      <c r="D43" s="163"/>
      <c r="E43" s="137"/>
      <c r="F43" s="137"/>
      <c r="G43" s="137"/>
      <c r="H43" s="137"/>
      <c r="I43" s="137"/>
      <c r="J43" s="138"/>
      <c r="K43" s="138"/>
      <c r="L43" s="138" t="s">
        <v>887</v>
      </c>
      <c r="M43" s="138"/>
      <c r="N43" s="139">
        <f t="shared" si="7"/>
        <v>4.1500000000000004</v>
      </c>
      <c r="O43" s="144">
        <v>4.1500000000000004</v>
      </c>
      <c r="P43" s="139">
        <f>$P$4</f>
        <v>0</v>
      </c>
      <c r="Q43" s="139" t="s">
        <v>777</v>
      </c>
      <c r="R43" s="140">
        <v>4012.04</v>
      </c>
      <c r="S43" s="140">
        <v>3614.29</v>
      </c>
      <c r="T43" s="140">
        <f t="shared" si="3"/>
        <v>7626.33</v>
      </c>
      <c r="U43" s="335">
        <f t="shared" si="0"/>
        <v>0.23700000000098953</v>
      </c>
      <c r="V43" s="140">
        <f>SUM(V42:$AW42)*$N43/100-55</f>
        <v>7626.5670000000009</v>
      </c>
      <c r="W43" s="140">
        <f>SUM(W42:$AW42)*$N43/100</f>
        <v>6064.3950000000004</v>
      </c>
      <c r="X43" s="140">
        <f>SUM(X42:$AW42)*$N43/100</f>
        <v>4447.2230000000009</v>
      </c>
      <c r="Y43" s="140">
        <f>SUM(Y42:$AW42)*$N43/100</f>
        <v>2830.0510000000004</v>
      </c>
      <c r="Z43" s="140">
        <f>SUM(Z42:$AW42)*$N43/100</f>
        <v>1212.8790000000001</v>
      </c>
      <c r="AA43" s="140">
        <v>0</v>
      </c>
      <c r="AB43" s="140">
        <v>0</v>
      </c>
      <c r="AC43" s="140">
        <v>0</v>
      </c>
      <c r="AD43" s="140">
        <v>0</v>
      </c>
      <c r="AE43" s="140">
        <v>0</v>
      </c>
      <c r="AF43" s="140">
        <v>0</v>
      </c>
      <c r="AG43" s="140">
        <v>0</v>
      </c>
      <c r="AH43" s="140">
        <v>0</v>
      </c>
      <c r="AI43" s="140">
        <v>0</v>
      </c>
      <c r="AJ43" s="140">
        <v>0</v>
      </c>
      <c r="AK43" s="140">
        <v>0</v>
      </c>
      <c r="AL43" s="140">
        <v>0</v>
      </c>
      <c r="AM43" s="140">
        <v>0</v>
      </c>
      <c r="AN43" s="140">
        <v>0</v>
      </c>
      <c r="AO43" s="140">
        <v>0</v>
      </c>
      <c r="AP43" s="140">
        <v>0</v>
      </c>
      <c r="AQ43" s="140">
        <v>0</v>
      </c>
      <c r="AR43" s="140">
        <v>0</v>
      </c>
      <c r="AS43" s="140">
        <v>0</v>
      </c>
      <c r="AT43" s="140">
        <v>0</v>
      </c>
      <c r="AU43" s="140">
        <v>0</v>
      </c>
      <c r="AV43" s="140">
        <v>0</v>
      </c>
      <c r="AW43" s="140">
        <v>0</v>
      </c>
      <c r="AX43" s="140"/>
      <c r="AY43" s="140"/>
      <c r="AZ43" s="142">
        <f t="shared" si="4"/>
        <v>22181.115000000002</v>
      </c>
      <c r="BA43" s="334">
        <f t="shared" si="1"/>
        <v>0</v>
      </c>
      <c r="BB43" s="141">
        <f t="shared" si="5"/>
        <v>0</v>
      </c>
      <c r="BC43" s="142">
        <f t="shared" si="6"/>
        <v>22181.115000000002</v>
      </c>
      <c r="BE43" s="159" t="b">
        <f t="shared" si="2"/>
        <v>1</v>
      </c>
    </row>
    <row r="44" spans="2:58" s="159" customFormat="1" outlineLevel="1" x14ac:dyDescent="0.25">
      <c r="B44" s="154" t="s">
        <v>818</v>
      </c>
      <c r="C44" s="155">
        <v>20</v>
      </c>
      <c r="D44" s="156" t="s">
        <v>826</v>
      </c>
      <c r="E44" s="130" t="s">
        <v>888</v>
      </c>
      <c r="F44" s="130" t="s">
        <v>889</v>
      </c>
      <c r="G44" s="130" t="s">
        <v>890</v>
      </c>
      <c r="H44" s="130" t="s">
        <v>891</v>
      </c>
      <c r="I44" s="130" t="s">
        <v>773</v>
      </c>
      <c r="J44" s="131">
        <v>160577.24</v>
      </c>
      <c r="K44" s="132">
        <v>127658</v>
      </c>
      <c r="L44" s="132"/>
      <c r="M44" s="132"/>
      <c r="N44" s="133"/>
      <c r="O44" s="133">
        <v>2.964</v>
      </c>
      <c r="P44" s="133"/>
      <c r="Q44" s="133" t="s">
        <v>774</v>
      </c>
      <c r="R44" s="134">
        <v>2059</v>
      </c>
      <c r="S44" s="134">
        <v>6177</v>
      </c>
      <c r="T44" s="134">
        <f t="shared" si="3"/>
        <v>8236</v>
      </c>
      <c r="U44" s="333">
        <f t="shared" si="0"/>
        <v>0</v>
      </c>
      <c r="V44" s="134">
        <v>8236</v>
      </c>
      <c r="W44" s="134">
        <v>8236</v>
      </c>
      <c r="X44" s="134">
        <v>8236</v>
      </c>
      <c r="Y44" s="134">
        <v>8236</v>
      </c>
      <c r="Z44" s="134">
        <v>8236</v>
      </c>
      <c r="AA44" s="134">
        <v>8236</v>
      </c>
      <c r="AB44" s="134">
        <v>8236</v>
      </c>
      <c r="AC44" s="134">
        <v>8236</v>
      </c>
      <c r="AD44" s="134">
        <v>8236</v>
      </c>
      <c r="AE44" s="134">
        <v>8236</v>
      </c>
      <c r="AF44" s="134">
        <v>8236</v>
      </c>
      <c r="AG44" s="134">
        <v>8236</v>
      </c>
      <c r="AH44" s="134">
        <v>8236</v>
      </c>
      <c r="AI44" s="134">
        <v>8236</v>
      </c>
      <c r="AJ44" s="134">
        <v>8236</v>
      </c>
      <c r="AK44" s="134">
        <v>0</v>
      </c>
      <c r="AL44" s="134">
        <v>0</v>
      </c>
      <c r="AM44" s="134">
        <v>0</v>
      </c>
      <c r="AN44" s="134">
        <v>0</v>
      </c>
      <c r="AO44" s="134">
        <v>0</v>
      </c>
      <c r="AP44" s="134">
        <v>0</v>
      </c>
      <c r="AQ44" s="134">
        <v>0</v>
      </c>
      <c r="AR44" s="134">
        <v>0</v>
      </c>
      <c r="AS44" s="134">
        <v>0</v>
      </c>
      <c r="AT44" s="134">
        <v>0</v>
      </c>
      <c r="AU44" s="134">
        <v>0</v>
      </c>
      <c r="AV44" s="134">
        <v>0</v>
      </c>
      <c r="AW44" s="134">
        <v>0</v>
      </c>
      <c r="AX44" s="134"/>
      <c r="AY44" s="134"/>
      <c r="AZ44" s="136">
        <f t="shared" si="4"/>
        <v>123540</v>
      </c>
      <c r="BA44" s="334">
        <f t="shared" si="1"/>
        <v>0</v>
      </c>
      <c r="BB44" s="135">
        <f t="shared" si="5"/>
        <v>65888</v>
      </c>
      <c r="BC44" s="136">
        <f t="shared" si="6"/>
        <v>123540</v>
      </c>
      <c r="BE44" s="159" t="b">
        <f t="shared" si="2"/>
        <v>1</v>
      </c>
      <c r="BF44" s="160"/>
    </row>
    <row r="45" spans="2:58" outlineLevel="1" x14ac:dyDescent="0.25">
      <c r="B45" s="161" t="s">
        <v>818</v>
      </c>
      <c r="C45" s="162"/>
      <c r="D45" s="163" t="s">
        <v>892</v>
      </c>
      <c r="E45" s="137"/>
      <c r="F45" s="137"/>
      <c r="G45" s="137"/>
      <c r="H45" s="137"/>
      <c r="I45" s="137"/>
      <c r="J45" s="138"/>
      <c r="K45" s="138"/>
      <c r="L45" s="138" t="s">
        <v>893</v>
      </c>
      <c r="M45" s="138"/>
      <c r="N45" s="139">
        <f t="shared" si="7"/>
        <v>4.1500000000000004</v>
      </c>
      <c r="O45" s="144">
        <v>4.1500000000000004</v>
      </c>
      <c r="P45" s="139">
        <f>$P$4</f>
        <v>0</v>
      </c>
      <c r="Q45" s="139" t="s">
        <v>777</v>
      </c>
      <c r="R45" s="140">
        <v>2466.08</v>
      </c>
      <c r="S45" s="140">
        <v>2536.8999999999996</v>
      </c>
      <c r="T45" s="140">
        <f t="shared" si="3"/>
        <v>5002.9799999999996</v>
      </c>
      <c r="U45" s="335">
        <f t="shared" si="0"/>
        <v>0.93000000000120053</v>
      </c>
      <c r="V45" s="140">
        <f>SUM(V44:$AW44)*$N45/100-123</f>
        <v>5003.9100000000008</v>
      </c>
      <c r="W45" s="140">
        <f>SUM(W44:$AW44)*$N45/100</f>
        <v>4785.116</v>
      </c>
      <c r="X45" s="140">
        <f>SUM(X44:$AW44)*$N45/100</f>
        <v>4443.3220000000001</v>
      </c>
      <c r="Y45" s="140">
        <f>SUM(Y44:$AW44)*$N45/100</f>
        <v>4101.5280000000002</v>
      </c>
      <c r="Z45" s="140">
        <f>SUM(Z44:$AW44)*$N45/100</f>
        <v>3759.7340000000004</v>
      </c>
      <c r="AA45" s="140">
        <f>SUM(AA44:$AW44)*$N45/100</f>
        <v>3417.9400000000005</v>
      </c>
      <c r="AB45" s="140">
        <f>SUM(AB44:$AW44)*$N45/100</f>
        <v>3076.1460000000002</v>
      </c>
      <c r="AC45" s="140">
        <f>SUM(AC44:$AW44)*$N45/100</f>
        <v>2734.3520000000003</v>
      </c>
      <c r="AD45" s="140">
        <f>SUM(AD44:$AW44)*$N45/100</f>
        <v>2392.558</v>
      </c>
      <c r="AE45" s="140">
        <f>SUM(AE44:$AW44)*$N45/100</f>
        <v>2050.7640000000001</v>
      </c>
      <c r="AF45" s="140">
        <f>SUM(AF44:$AW44)*$N45/100</f>
        <v>1708.9700000000003</v>
      </c>
      <c r="AG45" s="140">
        <f>SUM(AG44:$AW44)*$N45/100</f>
        <v>1367.1760000000002</v>
      </c>
      <c r="AH45" s="140">
        <f>SUM(AH44:$AW44)*$N45/100</f>
        <v>1025.3820000000001</v>
      </c>
      <c r="AI45" s="140">
        <f>SUM(AI44:$AW44)*$N45/100</f>
        <v>683.58800000000008</v>
      </c>
      <c r="AJ45" s="140">
        <f>SUM(AJ44:$AW44)*$N45/100</f>
        <v>341.79400000000004</v>
      </c>
      <c r="AK45" s="140">
        <v>0</v>
      </c>
      <c r="AL45" s="140">
        <v>0</v>
      </c>
      <c r="AM45" s="140">
        <v>0</v>
      </c>
      <c r="AN45" s="140">
        <v>0</v>
      </c>
      <c r="AO45" s="140">
        <v>0</v>
      </c>
      <c r="AP45" s="140">
        <v>0</v>
      </c>
      <c r="AQ45" s="140">
        <v>0</v>
      </c>
      <c r="AR45" s="140">
        <v>0</v>
      </c>
      <c r="AS45" s="140">
        <v>0</v>
      </c>
      <c r="AT45" s="140">
        <v>0</v>
      </c>
      <c r="AU45" s="140">
        <v>0</v>
      </c>
      <c r="AV45" s="140">
        <v>0</v>
      </c>
      <c r="AW45" s="140">
        <v>0</v>
      </c>
      <c r="AX45" s="140"/>
      <c r="AY45" s="140"/>
      <c r="AZ45" s="142">
        <f t="shared" si="4"/>
        <v>40892.280000000006</v>
      </c>
      <c r="BA45" s="334">
        <f t="shared" si="1"/>
        <v>0</v>
      </c>
      <c r="BB45" s="141">
        <f t="shared" si="5"/>
        <v>12304.583999999999</v>
      </c>
      <c r="BC45" s="142">
        <f t="shared" si="6"/>
        <v>40892.28</v>
      </c>
      <c r="BE45" s="159" t="b">
        <f t="shared" si="2"/>
        <v>1</v>
      </c>
    </row>
    <row r="46" spans="2:58" s="159" customFormat="1" outlineLevel="1" x14ac:dyDescent="0.25">
      <c r="B46" s="154" t="s">
        <v>818</v>
      </c>
      <c r="C46" s="155">
        <v>21</v>
      </c>
      <c r="D46" s="156" t="s">
        <v>894</v>
      </c>
      <c r="E46" s="130" t="s">
        <v>895</v>
      </c>
      <c r="F46" s="130" t="s">
        <v>896</v>
      </c>
      <c r="G46" s="130" t="s">
        <v>897</v>
      </c>
      <c r="H46" s="130" t="s">
        <v>898</v>
      </c>
      <c r="I46" s="130" t="s">
        <v>773</v>
      </c>
      <c r="J46" s="131">
        <v>131127</v>
      </c>
      <c r="K46" s="132">
        <v>104284</v>
      </c>
      <c r="L46" s="132"/>
      <c r="M46" s="132"/>
      <c r="N46" s="133"/>
      <c r="O46" s="133">
        <v>2.9870000000000001</v>
      </c>
      <c r="P46" s="133"/>
      <c r="Q46" s="133" t="s">
        <v>774</v>
      </c>
      <c r="R46" s="134">
        <v>1682</v>
      </c>
      <c r="S46" s="134">
        <v>5046</v>
      </c>
      <c r="T46" s="134">
        <f t="shared" si="3"/>
        <v>6728</v>
      </c>
      <c r="U46" s="333">
        <f t="shared" si="0"/>
        <v>0</v>
      </c>
      <c r="V46" s="134">
        <v>6728</v>
      </c>
      <c r="W46" s="134">
        <v>6728</v>
      </c>
      <c r="X46" s="134">
        <v>6728</v>
      </c>
      <c r="Y46" s="134">
        <v>6728</v>
      </c>
      <c r="Z46" s="134">
        <v>6728</v>
      </c>
      <c r="AA46" s="134">
        <v>6728</v>
      </c>
      <c r="AB46" s="134">
        <v>6728</v>
      </c>
      <c r="AC46" s="134">
        <v>6728</v>
      </c>
      <c r="AD46" s="134">
        <v>6728</v>
      </c>
      <c r="AE46" s="134">
        <v>6728</v>
      </c>
      <c r="AF46" s="134">
        <v>6728</v>
      </c>
      <c r="AG46" s="134">
        <v>6728</v>
      </c>
      <c r="AH46" s="134">
        <v>6728</v>
      </c>
      <c r="AI46" s="134">
        <v>6728</v>
      </c>
      <c r="AJ46" s="134">
        <v>6728</v>
      </c>
      <c r="AK46" s="134">
        <v>0</v>
      </c>
      <c r="AL46" s="134">
        <v>0</v>
      </c>
      <c r="AM46" s="134">
        <v>0</v>
      </c>
      <c r="AN46" s="134">
        <v>0</v>
      </c>
      <c r="AO46" s="134">
        <v>0</v>
      </c>
      <c r="AP46" s="134">
        <v>0</v>
      </c>
      <c r="AQ46" s="134">
        <v>0</v>
      </c>
      <c r="AR46" s="134">
        <v>0</v>
      </c>
      <c r="AS46" s="134">
        <v>0</v>
      </c>
      <c r="AT46" s="134">
        <v>0</v>
      </c>
      <c r="AU46" s="134">
        <v>0</v>
      </c>
      <c r="AV46" s="134">
        <v>0</v>
      </c>
      <c r="AW46" s="134">
        <v>0</v>
      </c>
      <c r="AX46" s="134"/>
      <c r="AY46" s="134"/>
      <c r="AZ46" s="136">
        <f t="shared" si="4"/>
        <v>100920</v>
      </c>
      <c r="BA46" s="334">
        <f t="shared" si="1"/>
        <v>0</v>
      </c>
      <c r="BB46" s="135">
        <f t="shared" si="5"/>
        <v>53824</v>
      </c>
      <c r="BC46" s="136">
        <f t="shared" si="6"/>
        <v>100920</v>
      </c>
      <c r="BE46" s="159" t="b">
        <f t="shared" si="2"/>
        <v>1</v>
      </c>
      <c r="BF46" s="160"/>
    </row>
    <row r="47" spans="2:58" outlineLevel="1" x14ac:dyDescent="0.25">
      <c r="B47" s="161" t="s">
        <v>818</v>
      </c>
      <c r="C47" s="162"/>
      <c r="D47" s="163" t="s">
        <v>899</v>
      </c>
      <c r="E47" s="137"/>
      <c r="F47" s="137"/>
      <c r="G47" s="137"/>
      <c r="H47" s="137"/>
      <c r="I47" s="137"/>
      <c r="J47" s="138"/>
      <c r="K47" s="138"/>
      <c r="L47" s="138" t="s">
        <v>900</v>
      </c>
      <c r="M47" s="138"/>
      <c r="N47" s="139">
        <f t="shared" si="7"/>
        <v>4.1500000000000004</v>
      </c>
      <c r="O47" s="144">
        <v>4.1500000000000004</v>
      </c>
      <c r="P47" s="139">
        <f>$P$4</f>
        <v>0</v>
      </c>
      <c r="Q47" s="139" t="s">
        <v>777</v>
      </c>
      <c r="R47" s="140">
        <v>1999.8600000000001</v>
      </c>
      <c r="S47" s="140">
        <v>2075.8900000000003</v>
      </c>
      <c r="T47" s="140">
        <f t="shared" si="3"/>
        <v>4075.7500000000005</v>
      </c>
      <c r="U47" s="335">
        <f t="shared" si="0"/>
        <v>0.42999999999983629</v>
      </c>
      <c r="V47" s="140">
        <f>SUM(V46:$AW46)*$N47/100-112</f>
        <v>4076.1800000000003</v>
      </c>
      <c r="W47" s="140">
        <f>SUM(W46:$AW46)*$N47/100</f>
        <v>3908.9680000000003</v>
      </c>
      <c r="X47" s="140">
        <f>SUM(X46:$AW46)*$N47/100</f>
        <v>3629.7560000000003</v>
      </c>
      <c r="Y47" s="140">
        <f>SUM(Y46:$AW46)*$N47/100</f>
        <v>3350.5440000000003</v>
      </c>
      <c r="Z47" s="140">
        <f>SUM(Z46:$AW46)*$N47/100</f>
        <v>3071.3320000000003</v>
      </c>
      <c r="AA47" s="140">
        <f>SUM(AA46:$AW46)*$N47/100</f>
        <v>2792.12</v>
      </c>
      <c r="AB47" s="140">
        <f>SUM(AB46:$AW46)*$N47/100</f>
        <v>2512.9080000000004</v>
      </c>
      <c r="AC47" s="140">
        <f>SUM(AC46:$AW46)*$N47/100</f>
        <v>2233.6959999999999</v>
      </c>
      <c r="AD47" s="140">
        <f>SUM(AD46:$AW46)*$N47/100</f>
        <v>1954.4840000000002</v>
      </c>
      <c r="AE47" s="140">
        <f>SUM(AE46:$AW46)*$N47/100</f>
        <v>1675.2720000000002</v>
      </c>
      <c r="AF47" s="140">
        <f>SUM(AF46:$AW46)*$N47/100</f>
        <v>1396.06</v>
      </c>
      <c r="AG47" s="140">
        <f>SUM(AG46:$AW46)*$N47/100</f>
        <v>1116.848</v>
      </c>
      <c r="AH47" s="140">
        <f>SUM(AH46:$AW46)*$N47/100</f>
        <v>837.63600000000008</v>
      </c>
      <c r="AI47" s="140">
        <f>SUM(AI46:$AW46)*$N47/100</f>
        <v>558.42399999999998</v>
      </c>
      <c r="AJ47" s="140">
        <f>SUM(AJ46:$AW46)*$N47/100</f>
        <v>279.21199999999999</v>
      </c>
      <c r="AK47" s="140">
        <v>0</v>
      </c>
      <c r="AL47" s="140">
        <v>0</v>
      </c>
      <c r="AM47" s="140">
        <v>0</v>
      </c>
      <c r="AN47" s="140">
        <v>0</v>
      </c>
      <c r="AO47" s="140">
        <v>0</v>
      </c>
      <c r="AP47" s="140">
        <v>0</v>
      </c>
      <c r="AQ47" s="140">
        <v>0</v>
      </c>
      <c r="AR47" s="140">
        <v>0</v>
      </c>
      <c r="AS47" s="140">
        <v>0</v>
      </c>
      <c r="AT47" s="140">
        <v>0</v>
      </c>
      <c r="AU47" s="140">
        <v>0</v>
      </c>
      <c r="AV47" s="140">
        <v>0</v>
      </c>
      <c r="AW47" s="140">
        <v>0</v>
      </c>
      <c r="AX47" s="140"/>
      <c r="AY47" s="140"/>
      <c r="AZ47" s="142">
        <f t="shared" si="4"/>
        <v>33393.440000000002</v>
      </c>
      <c r="BA47" s="334">
        <f t="shared" si="1"/>
        <v>0</v>
      </c>
      <c r="BB47" s="141">
        <f t="shared" si="5"/>
        <v>10051.632000000001</v>
      </c>
      <c r="BC47" s="142">
        <f t="shared" si="6"/>
        <v>33393.440000000002</v>
      </c>
      <c r="BE47" s="159" t="b">
        <f t="shared" si="2"/>
        <v>1</v>
      </c>
    </row>
    <row r="48" spans="2:58" s="159" customFormat="1" outlineLevel="1" x14ac:dyDescent="0.25">
      <c r="B48" s="154" t="s">
        <v>818</v>
      </c>
      <c r="C48" s="155">
        <v>22</v>
      </c>
      <c r="D48" s="156" t="s">
        <v>901</v>
      </c>
      <c r="E48" s="130" t="s">
        <v>902</v>
      </c>
      <c r="F48" s="130" t="s">
        <v>903</v>
      </c>
      <c r="G48" s="130" t="s">
        <v>904</v>
      </c>
      <c r="H48" s="130" t="s">
        <v>905</v>
      </c>
      <c r="I48" s="130" t="s">
        <v>773</v>
      </c>
      <c r="J48" s="131">
        <v>5678344.2000000002</v>
      </c>
      <c r="K48" s="132">
        <v>3249664</v>
      </c>
      <c r="L48" s="132"/>
      <c r="M48" s="132"/>
      <c r="N48" s="133"/>
      <c r="O48" s="133"/>
      <c r="P48" s="133"/>
      <c r="Q48" s="133" t="s">
        <v>774</v>
      </c>
      <c r="R48" s="134">
        <v>98829</v>
      </c>
      <c r="S48" s="134">
        <v>296487</v>
      </c>
      <c r="T48" s="134">
        <f t="shared" si="3"/>
        <v>395316</v>
      </c>
      <c r="U48" s="333">
        <f t="shared" si="0"/>
        <v>0</v>
      </c>
      <c r="V48" s="134">
        <v>395316</v>
      </c>
      <c r="W48" s="134">
        <v>363420</v>
      </c>
      <c r="X48" s="134">
        <v>344336</v>
      </c>
      <c r="Y48" s="134">
        <v>314856</v>
      </c>
      <c r="Z48" s="134">
        <v>305080</v>
      </c>
      <c r="AA48" s="134">
        <v>279984</v>
      </c>
      <c r="AB48" s="134">
        <v>252100</v>
      </c>
      <c r="AC48" s="134">
        <v>243352</v>
      </c>
      <c r="AD48" s="134">
        <v>243352</v>
      </c>
      <c r="AE48" s="134">
        <v>243352</v>
      </c>
      <c r="AF48" s="134">
        <v>33356</v>
      </c>
      <c r="AG48" s="134">
        <v>13680</v>
      </c>
      <c r="AH48" s="134">
        <v>0</v>
      </c>
      <c r="AI48" s="134">
        <v>0</v>
      </c>
      <c r="AJ48" s="134">
        <v>0</v>
      </c>
      <c r="AK48" s="134">
        <v>0</v>
      </c>
      <c r="AL48" s="134">
        <v>0</v>
      </c>
      <c r="AM48" s="134">
        <v>0</v>
      </c>
      <c r="AN48" s="134">
        <v>0</v>
      </c>
      <c r="AO48" s="134">
        <v>0</v>
      </c>
      <c r="AP48" s="134">
        <v>0</v>
      </c>
      <c r="AQ48" s="134">
        <v>0</v>
      </c>
      <c r="AR48" s="134">
        <v>0</v>
      </c>
      <c r="AS48" s="134">
        <v>0</v>
      </c>
      <c r="AT48" s="134">
        <v>0</v>
      </c>
      <c r="AU48" s="134">
        <v>0</v>
      </c>
      <c r="AV48" s="134">
        <v>0</v>
      </c>
      <c r="AW48" s="134">
        <v>0</v>
      </c>
      <c r="AX48" s="134"/>
      <c r="AY48" s="134"/>
      <c r="AZ48" s="136">
        <f t="shared" si="4"/>
        <v>3032184</v>
      </c>
      <c r="BA48" s="334">
        <f t="shared" si="1"/>
        <v>0</v>
      </c>
      <c r="BB48" s="135">
        <f t="shared" si="5"/>
        <v>777092</v>
      </c>
      <c r="BC48" s="136">
        <f t="shared" si="6"/>
        <v>3032184</v>
      </c>
      <c r="BE48" s="159" t="b">
        <f t="shared" si="2"/>
        <v>1</v>
      </c>
      <c r="BF48" s="160"/>
    </row>
    <row r="49" spans="1:58" outlineLevel="1" x14ac:dyDescent="0.25">
      <c r="B49" s="161" t="s">
        <v>818</v>
      </c>
      <c r="C49" s="162"/>
      <c r="D49" s="163" t="s">
        <v>906</v>
      </c>
      <c r="E49" s="137"/>
      <c r="F49" s="137"/>
      <c r="G49" s="137"/>
      <c r="H49" s="137"/>
      <c r="I49" s="137"/>
      <c r="J49" s="138"/>
      <c r="K49" s="138"/>
      <c r="L49" s="138" t="s">
        <v>907</v>
      </c>
      <c r="M49" s="138"/>
      <c r="N49" s="139">
        <f t="shared" si="7"/>
        <v>3.875</v>
      </c>
      <c r="O49" s="139">
        <v>3.875</v>
      </c>
      <c r="P49" s="139">
        <f>$P$4</f>
        <v>0</v>
      </c>
      <c r="Q49" s="139" t="s">
        <v>777</v>
      </c>
      <c r="R49" s="140">
        <v>57164.31</v>
      </c>
      <c r="S49" s="140">
        <v>55590.19</v>
      </c>
      <c r="T49" s="140">
        <f t="shared" si="3"/>
        <v>112754.5</v>
      </c>
      <c r="U49" s="337">
        <f t="shared" si="0"/>
        <v>0.63000000000465661</v>
      </c>
      <c r="V49" s="140">
        <f>SUM(V48:$AW48)*$N49/100-4742</f>
        <v>112755.13</v>
      </c>
      <c r="W49" s="140">
        <f>SUM(W48:$AW48)*$N49/100</f>
        <v>102178.63499999999</v>
      </c>
      <c r="X49" s="140">
        <f>SUM(X48:$AW48)*$N49/100</f>
        <v>88096.11</v>
      </c>
      <c r="Y49" s="140">
        <f>SUM(Y48:$AW48)*$N49/100</f>
        <v>74753.09</v>
      </c>
      <c r="Z49" s="140">
        <f>SUM(Z48:$AW48)*$N49/100</f>
        <v>62552.42</v>
      </c>
      <c r="AA49" s="140">
        <f>SUM(AA48:$AW48)*$N49/100</f>
        <v>50730.57</v>
      </c>
      <c r="AB49" s="140">
        <f>SUM(AB48:$AW48)*$N49/100</f>
        <v>39881.19</v>
      </c>
      <c r="AC49" s="140">
        <f>SUM(AC48:$AW48)*$N49/100</f>
        <v>30112.314999999999</v>
      </c>
      <c r="AD49" s="140">
        <f>SUM(AD48:$AW48)*$N49/100</f>
        <v>20682.424999999999</v>
      </c>
      <c r="AE49" s="140">
        <f>SUM(AE48:$AW48)*$N49/100</f>
        <v>11252.535</v>
      </c>
      <c r="AF49" s="140">
        <f>SUM(AF48:$AW48)*$N49/100</f>
        <v>1822.645</v>
      </c>
      <c r="AG49" s="140">
        <f>SUM(AG48:$AW48)*$N49/100</f>
        <v>530.1</v>
      </c>
      <c r="AH49" s="140">
        <v>0</v>
      </c>
      <c r="AI49" s="140">
        <v>0</v>
      </c>
      <c r="AJ49" s="140">
        <v>0</v>
      </c>
      <c r="AK49" s="140">
        <v>0</v>
      </c>
      <c r="AL49" s="140">
        <v>0</v>
      </c>
      <c r="AM49" s="140">
        <v>0</v>
      </c>
      <c r="AN49" s="140">
        <v>0</v>
      </c>
      <c r="AO49" s="140">
        <v>0</v>
      </c>
      <c r="AP49" s="140">
        <v>0</v>
      </c>
      <c r="AQ49" s="140">
        <v>0</v>
      </c>
      <c r="AR49" s="140">
        <v>0</v>
      </c>
      <c r="AS49" s="140">
        <v>0</v>
      </c>
      <c r="AT49" s="140">
        <v>0</v>
      </c>
      <c r="AU49" s="140">
        <v>0</v>
      </c>
      <c r="AV49" s="140">
        <v>0</v>
      </c>
      <c r="AW49" s="140">
        <v>0</v>
      </c>
      <c r="AX49" s="140"/>
      <c r="AY49" s="140"/>
      <c r="AZ49" s="142">
        <f t="shared" si="4"/>
        <v>595347.16500000004</v>
      </c>
      <c r="BA49" s="334">
        <f t="shared" si="1"/>
        <v>0</v>
      </c>
      <c r="BB49" s="141">
        <f t="shared" si="5"/>
        <v>64400.01999999999</v>
      </c>
      <c r="BC49" s="142">
        <f t="shared" si="6"/>
        <v>595347.16500000004</v>
      </c>
      <c r="BE49" s="159" t="b">
        <f t="shared" si="2"/>
        <v>1</v>
      </c>
    </row>
    <row r="50" spans="1:58" s="159" customFormat="1" outlineLevel="1" x14ac:dyDescent="0.25">
      <c r="B50" s="154" t="s">
        <v>818</v>
      </c>
      <c r="C50" s="155">
        <v>23</v>
      </c>
      <c r="D50" s="156" t="s">
        <v>908</v>
      </c>
      <c r="E50" s="130" t="s">
        <v>909</v>
      </c>
      <c r="F50" s="130" t="s">
        <v>910</v>
      </c>
      <c r="G50" s="130" t="s">
        <v>911</v>
      </c>
      <c r="H50" s="130" t="s">
        <v>912</v>
      </c>
      <c r="I50" s="130" t="s">
        <v>773</v>
      </c>
      <c r="J50" s="131">
        <v>117517</v>
      </c>
      <c r="K50" s="132">
        <v>11109</v>
      </c>
      <c r="L50" s="132"/>
      <c r="M50" s="132"/>
      <c r="N50" s="133"/>
      <c r="O50" s="133"/>
      <c r="P50" s="133"/>
      <c r="Q50" s="133" t="s">
        <v>774</v>
      </c>
      <c r="R50" s="134">
        <v>483</v>
      </c>
      <c r="S50" s="134">
        <v>1449</v>
      </c>
      <c r="T50" s="134">
        <f t="shared" si="3"/>
        <v>1932</v>
      </c>
      <c r="U50" s="338">
        <f t="shared" si="0"/>
        <v>0</v>
      </c>
      <c r="V50" s="134">
        <v>1932</v>
      </c>
      <c r="W50" s="134">
        <v>1932</v>
      </c>
      <c r="X50" s="134">
        <v>1932</v>
      </c>
      <c r="Y50" s="134">
        <v>1932</v>
      </c>
      <c r="Z50" s="134">
        <v>1932</v>
      </c>
      <c r="AA50" s="134">
        <v>483</v>
      </c>
      <c r="AB50" s="134">
        <v>0</v>
      </c>
      <c r="AC50" s="134">
        <v>0</v>
      </c>
      <c r="AD50" s="134">
        <v>0</v>
      </c>
      <c r="AE50" s="134">
        <v>0</v>
      </c>
      <c r="AF50" s="134">
        <v>0</v>
      </c>
      <c r="AG50" s="134">
        <v>0</v>
      </c>
      <c r="AH50" s="134">
        <v>0</v>
      </c>
      <c r="AI50" s="134">
        <v>0</v>
      </c>
      <c r="AJ50" s="134">
        <v>0</v>
      </c>
      <c r="AK50" s="134">
        <v>0</v>
      </c>
      <c r="AL50" s="134">
        <v>0</v>
      </c>
      <c r="AM50" s="134">
        <v>0</v>
      </c>
      <c r="AN50" s="134">
        <v>0</v>
      </c>
      <c r="AO50" s="134">
        <v>0</v>
      </c>
      <c r="AP50" s="134">
        <v>0</v>
      </c>
      <c r="AQ50" s="134">
        <v>0</v>
      </c>
      <c r="AR50" s="134">
        <v>0</v>
      </c>
      <c r="AS50" s="134">
        <v>0</v>
      </c>
      <c r="AT50" s="134">
        <v>0</v>
      </c>
      <c r="AU50" s="134">
        <v>0</v>
      </c>
      <c r="AV50" s="134">
        <v>0</v>
      </c>
      <c r="AW50" s="134">
        <v>0</v>
      </c>
      <c r="AX50" s="134"/>
      <c r="AY50" s="134"/>
      <c r="AZ50" s="136">
        <f t="shared" si="4"/>
        <v>10143</v>
      </c>
      <c r="BA50" s="334">
        <f t="shared" si="1"/>
        <v>0</v>
      </c>
      <c r="BB50" s="135">
        <f t="shared" si="5"/>
        <v>0</v>
      </c>
      <c r="BC50" s="136">
        <f t="shared" si="6"/>
        <v>10143</v>
      </c>
      <c r="BE50" s="159" t="b">
        <f t="shared" si="2"/>
        <v>1</v>
      </c>
      <c r="BF50" s="160"/>
    </row>
    <row r="51" spans="1:58" outlineLevel="1" x14ac:dyDescent="0.25">
      <c r="B51" s="161" t="s">
        <v>818</v>
      </c>
      <c r="C51" s="162"/>
      <c r="D51" s="163" t="s">
        <v>913</v>
      </c>
      <c r="E51" s="137"/>
      <c r="F51" s="137"/>
      <c r="G51" s="137"/>
      <c r="H51" s="137"/>
      <c r="I51" s="137"/>
      <c r="J51" s="138"/>
      <c r="K51" s="138"/>
      <c r="L51" s="138" t="s">
        <v>914</v>
      </c>
      <c r="M51" s="138"/>
      <c r="N51" s="139">
        <f t="shared" si="7"/>
        <v>4.0709999999999997</v>
      </c>
      <c r="O51" s="139">
        <v>4.0709999999999997</v>
      </c>
      <c r="P51" s="139">
        <f>$P$4</f>
        <v>0</v>
      </c>
      <c r="Q51" s="139" t="s">
        <v>777</v>
      </c>
      <c r="R51" s="140">
        <v>200.39</v>
      </c>
      <c r="S51" s="140">
        <v>181.03</v>
      </c>
      <c r="T51" s="140">
        <f t="shared" si="3"/>
        <v>381.41999999999996</v>
      </c>
      <c r="U51" s="337">
        <f t="shared" si="0"/>
        <v>0.50153000000000247</v>
      </c>
      <c r="V51" s="140">
        <f>SUM(V50:$AW50)*$N51/100-31</f>
        <v>381.92152999999996</v>
      </c>
      <c r="W51" s="140">
        <f>SUM(W50:$AW50)*$N51/100</f>
        <v>334.26981000000001</v>
      </c>
      <c r="X51" s="140">
        <f>SUM(X50:$AW50)*$N51/100</f>
        <v>255.61808999999997</v>
      </c>
      <c r="Y51" s="140">
        <f>SUM(Y50:$AW50)*$N51/100</f>
        <v>176.96636999999998</v>
      </c>
      <c r="Z51" s="140">
        <f>SUM(Z50:$AW50)*$N51/100</f>
        <v>98.31465</v>
      </c>
      <c r="AA51" s="140">
        <f>SUM(AA50:$AW50)*$N51/100</f>
        <v>19.662929999999999</v>
      </c>
      <c r="AB51" s="140">
        <v>0</v>
      </c>
      <c r="AC51" s="140">
        <v>0</v>
      </c>
      <c r="AD51" s="140">
        <v>0</v>
      </c>
      <c r="AE51" s="140">
        <v>0</v>
      </c>
      <c r="AF51" s="140">
        <v>0</v>
      </c>
      <c r="AG51" s="140">
        <v>0</v>
      </c>
      <c r="AH51" s="140">
        <v>0</v>
      </c>
      <c r="AI51" s="140">
        <v>0</v>
      </c>
      <c r="AJ51" s="140">
        <v>0</v>
      </c>
      <c r="AK51" s="140">
        <v>0</v>
      </c>
      <c r="AL51" s="140">
        <v>0</v>
      </c>
      <c r="AM51" s="140">
        <v>0</v>
      </c>
      <c r="AN51" s="140">
        <v>0</v>
      </c>
      <c r="AO51" s="140">
        <v>0</v>
      </c>
      <c r="AP51" s="140">
        <v>0</v>
      </c>
      <c r="AQ51" s="140">
        <v>0</v>
      </c>
      <c r="AR51" s="140">
        <v>0</v>
      </c>
      <c r="AS51" s="140">
        <v>0</v>
      </c>
      <c r="AT51" s="140">
        <v>0</v>
      </c>
      <c r="AU51" s="140">
        <v>0</v>
      </c>
      <c r="AV51" s="140">
        <v>0</v>
      </c>
      <c r="AW51" s="140">
        <v>0</v>
      </c>
      <c r="AX51" s="140"/>
      <c r="AY51" s="140"/>
      <c r="AZ51" s="142">
        <f t="shared" si="4"/>
        <v>1266.7533799999999</v>
      </c>
      <c r="BA51" s="334">
        <f t="shared" si="1"/>
        <v>0</v>
      </c>
      <c r="BB51" s="141">
        <f t="shared" si="5"/>
        <v>0</v>
      </c>
      <c r="BC51" s="142">
        <f t="shared" si="6"/>
        <v>1266.7533799999999</v>
      </c>
      <c r="BE51" s="159" t="b">
        <f t="shared" si="2"/>
        <v>1</v>
      </c>
    </row>
    <row r="52" spans="1:58" s="159" customFormat="1" outlineLevel="1" x14ac:dyDescent="0.25">
      <c r="B52" s="154" t="s">
        <v>818</v>
      </c>
      <c r="C52" s="155">
        <v>24</v>
      </c>
      <c r="D52" s="156" t="s">
        <v>915</v>
      </c>
      <c r="E52" s="130" t="s">
        <v>916</v>
      </c>
      <c r="F52" s="130" t="s">
        <v>917</v>
      </c>
      <c r="G52" s="130" t="s">
        <v>918</v>
      </c>
      <c r="H52" s="130" t="s">
        <v>919</v>
      </c>
      <c r="I52" s="130" t="s">
        <v>773</v>
      </c>
      <c r="J52" s="131">
        <v>2227434</v>
      </c>
      <c r="K52" s="132">
        <v>1831440</v>
      </c>
      <c r="L52" s="132"/>
      <c r="M52" s="132"/>
      <c r="N52" s="133"/>
      <c r="O52" s="133"/>
      <c r="P52" s="133"/>
      <c r="Q52" s="133" t="s">
        <v>774</v>
      </c>
      <c r="R52" s="134">
        <v>17610</v>
      </c>
      <c r="S52" s="134">
        <v>52830</v>
      </c>
      <c r="T52" s="134">
        <f t="shared" si="3"/>
        <v>70440</v>
      </c>
      <c r="U52" s="338">
        <f t="shared" si="0"/>
        <v>0</v>
      </c>
      <c r="V52" s="134">
        <v>70440</v>
      </c>
      <c r="W52" s="134">
        <v>70440</v>
      </c>
      <c r="X52" s="134">
        <v>70440</v>
      </c>
      <c r="Y52" s="134">
        <v>70440</v>
      </c>
      <c r="Z52" s="134">
        <v>70440</v>
      </c>
      <c r="AA52" s="134">
        <v>70440</v>
      </c>
      <c r="AB52" s="134">
        <v>70440</v>
      </c>
      <c r="AC52" s="134">
        <v>70440</v>
      </c>
      <c r="AD52" s="134">
        <v>70440</v>
      </c>
      <c r="AE52" s="134">
        <v>70440</v>
      </c>
      <c r="AF52" s="134">
        <v>70440</v>
      </c>
      <c r="AG52" s="134">
        <v>70440</v>
      </c>
      <c r="AH52" s="134">
        <v>70440</v>
      </c>
      <c r="AI52" s="134">
        <v>70440</v>
      </c>
      <c r="AJ52" s="134">
        <v>70440</v>
      </c>
      <c r="AK52" s="134">
        <v>70440</v>
      </c>
      <c r="AL52" s="134">
        <v>70440</v>
      </c>
      <c r="AM52" s="134">
        <v>70440</v>
      </c>
      <c r="AN52" s="134">
        <v>70440</v>
      </c>
      <c r="AO52" s="134">
        <v>70440</v>
      </c>
      <c r="AP52" s="134">
        <v>70440</v>
      </c>
      <c r="AQ52" s="134">
        <v>70440</v>
      </c>
      <c r="AR52" s="134">
        <v>70440</v>
      </c>
      <c r="AS52" s="134">
        <v>70440</v>
      </c>
      <c r="AT52" s="134">
        <v>70440</v>
      </c>
      <c r="AU52" s="134">
        <v>35220</v>
      </c>
      <c r="AV52" s="134">
        <v>0</v>
      </c>
      <c r="AW52" s="134">
        <v>0</v>
      </c>
      <c r="AX52" s="134"/>
      <c r="AY52" s="134"/>
      <c r="AZ52" s="136">
        <f t="shared" si="4"/>
        <v>1796220</v>
      </c>
      <c r="BA52" s="334">
        <f t="shared" si="1"/>
        <v>0</v>
      </c>
      <c r="BB52" s="135">
        <f t="shared" si="5"/>
        <v>1303140</v>
      </c>
      <c r="BC52" s="136">
        <f t="shared" si="6"/>
        <v>1796220</v>
      </c>
      <c r="BE52" s="159" t="b">
        <f t="shared" si="2"/>
        <v>1</v>
      </c>
      <c r="BF52" s="160"/>
    </row>
    <row r="53" spans="1:58" outlineLevel="1" x14ac:dyDescent="0.25">
      <c r="B53" s="161" t="s">
        <v>818</v>
      </c>
      <c r="C53" s="162"/>
      <c r="D53" s="163" t="s">
        <v>920</v>
      </c>
      <c r="E53" s="137"/>
      <c r="F53" s="137"/>
      <c r="G53" s="137"/>
      <c r="H53" s="137"/>
      <c r="I53" s="137"/>
      <c r="J53" s="138"/>
      <c r="K53" s="138"/>
      <c r="L53" s="138" t="s">
        <v>921</v>
      </c>
      <c r="M53" s="138"/>
      <c r="N53" s="139">
        <f t="shared" si="7"/>
        <v>4.1890000000000001</v>
      </c>
      <c r="O53" s="139">
        <v>4.1890000000000001</v>
      </c>
      <c r="P53" s="139">
        <f>$P$4</f>
        <v>0</v>
      </c>
      <c r="Q53" s="139" t="s">
        <v>777</v>
      </c>
      <c r="R53" s="140">
        <v>36097.19</v>
      </c>
      <c r="S53" s="140">
        <v>34248.94</v>
      </c>
      <c r="T53" s="140">
        <f t="shared" si="3"/>
        <v>70346.13</v>
      </c>
      <c r="U53" s="337">
        <f t="shared" si="0"/>
        <v>0.52580000000307336</v>
      </c>
      <c r="V53" s="140">
        <f>SUM(V52:$AW52)*$N53/100-4897</f>
        <v>70346.655800000008</v>
      </c>
      <c r="W53" s="140">
        <f>SUM(W52:$AW52)*$N53/100</f>
        <v>72292.924199999994</v>
      </c>
      <c r="X53" s="140">
        <f>SUM(X52:$AW52)*$N53/100</f>
        <v>69342.192599999995</v>
      </c>
      <c r="Y53" s="140">
        <f>SUM(Y52:$AW52)*$N53/100</f>
        <v>66391.460999999996</v>
      </c>
      <c r="Z53" s="140">
        <f>SUM(Z52:$AW52)*$N53/100</f>
        <v>63440.729400000004</v>
      </c>
      <c r="AA53" s="140">
        <f>SUM(AA52:$AW52)*$N53/100</f>
        <v>60489.997800000005</v>
      </c>
      <c r="AB53" s="140">
        <f>SUM(AB52:$AW52)*$N53/100</f>
        <v>57539.266199999998</v>
      </c>
      <c r="AC53" s="140">
        <f>SUM(AC52:$AW52)*$N53/100</f>
        <v>54588.534599999999</v>
      </c>
      <c r="AD53" s="140">
        <f>SUM(AD52:$AW52)*$N53/100</f>
        <v>51637.803</v>
      </c>
      <c r="AE53" s="140">
        <f>SUM(AE52:$AW52)*$N53/100</f>
        <v>48687.071399999993</v>
      </c>
      <c r="AF53" s="140">
        <f>SUM(AF52:$AW52)*$N53/100</f>
        <v>45736.339800000002</v>
      </c>
      <c r="AG53" s="140">
        <f>SUM(AG52:$AW52)*$N53/100</f>
        <v>42785.608200000002</v>
      </c>
      <c r="AH53" s="140">
        <f>SUM(AH52:$AW52)*$N53/100</f>
        <v>39834.876600000003</v>
      </c>
      <c r="AI53" s="140">
        <f>SUM(AI52:$AW52)*$N53/100</f>
        <v>36884.144999999997</v>
      </c>
      <c r="AJ53" s="140">
        <f>SUM(AJ52:$AW52)*$N53/100</f>
        <v>33933.413399999998</v>
      </c>
      <c r="AK53" s="140">
        <f>SUM(AK52:$AW52)*$N53/100</f>
        <v>30982.681800000002</v>
      </c>
      <c r="AL53" s="140">
        <f>SUM(AL52:$AW52)*$N53/100</f>
        <v>28031.950199999999</v>
      </c>
      <c r="AM53" s="140">
        <f>SUM(AM52:$AW52)*$N53/100</f>
        <v>25081.2186</v>
      </c>
      <c r="AN53" s="140">
        <f>SUM(AN52:$AW52)*$N53/100</f>
        <v>22130.487000000001</v>
      </c>
      <c r="AO53" s="140">
        <f>SUM(AO52:$AW52)*$N53/100</f>
        <v>19179.755400000002</v>
      </c>
      <c r="AP53" s="140">
        <f>SUM(AP52:$AW52)*$N53/100</f>
        <v>16229.023800000001</v>
      </c>
      <c r="AQ53" s="140">
        <f>SUM(AQ52:$AW52)*$N53/100</f>
        <v>13278.2922</v>
      </c>
      <c r="AR53" s="140">
        <f>SUM(AR52:$AW52)*$N53/100</f>
        <v>10327.560600000001</v>
      </c>
      <c r="AS53" s="140">
        <f>SUM(AS52:$AW52)*$N53/100</f>
        <v>7376.8290000000006</v>
      </c>
      <c r="AT53" s="140">
        <f>SUM(AT52:$AW52)*$N53/100</f>
        <v>4426.0973999999997</v>
      </c>
      <c r="AU53" s="140">
        <f>SUM(AU52:$AW52)*$N53/100</f>
        <v>1475.3658000000003</v>
      </c>
      <c r="AV53" s="140">
        <v>0</v>
      </c>
      <c r="AW53" s="140">
        <v>0</v>
      </c>
      <c r="AX53" s="140"/>
      <c r="AY53" s="140"/>
      <c r="AZ53" s="142">
        <f t="shared" si="4"/>
        <v>992450.28079999995</v>
      </c>
      <c r="BA53" s="334">
        <f t="shared" si="1"/>
        <v>0</v>
      </c>
      <c r="BB53" s="141">
        <f t="shared" si="5"/>
        <v>532607.05380000023</v>
      </c>
      <c r="BC53" s="142">
        <f t="shared" si="6"/>
        <v>992450.2808000003</v>
      </c>
      <c r="BE53" s="159" t="b">
        <f t="shared" si="2"/>
        <v>1</v>
      </c>
    </row>
    <row r="54" spans="1:58" s="159" customFormat="1" outlineLevel="1" x14ac:dyDescent="0.25">
      <c r="B54" s="154" t="s">
        <v>767</v>
      </c>
      <c r="C54" s="155">
        <v>25</v>
      </c>
      <c r="D54" s="156" t="s">
        <v>922</v>
      </c>
      <c r="E54" s="130" t="s">
        <v>923</v>
      </c>
      <c r="F54" s="130" t="s">
        <v>924</v>
      </c>
      <c r="G54" s="130" t="s">
        <v>925</v>
      </c>
      <c r="H54" s="130" t="s">
        <v>926</v>
      </c>
      <c r="I54" s="130" t="s">
        <v>773</v>
      </c>
      <c r="J54" s="131">
        <v>531484</v>
      </c>
      <c r="K54" s="132">
        <v>412380</v>
      </c>
      <c r="L54" s="132"/>
      <c r="M54" s="132"/>
      <c r="N54" s="133"/>
      <c r="O54" s="133">
        <v>2.4700000000000002</v>
      </c>
      <c r="P54" s="133"/>
      <c r="Q54" s="133" t="s">
        <v>774</v>
      </c>
      <c r="R54" s="134">
        <v>9164</v>
      </c>
      <c r="S54" s="134">
        <v>27492</v>
      </c>
      <c r="T54" s="134">
        <f t="shared" si="3"/>
        <v>36656</v>
      </c>
      <c r="U54" s="333">
        <f t="shared" si="0"/>
        <v>0</v>
      </c>
      <c r="V54" s="134">
        <v>36656</v>
      </c>
      <c r="W54" s="134">
        <v>36656</v>
      </c>
      <c r="X54" s="134">
        <v>36656</v>
      </c>
      <c r="Y54" s="134">
        <v>36656</v>
      </c>
      <c r="Z54" s="134">
        <v>36656</v>
      </c>
      <c r="AA54" s="134">
        <v>36656</v>
      </c>
      <c r="AB54" s="134">
        <v>36656</v>
      </c>
      <c r="AC54" s="134">
        <v>36656</v>
      </c>
      <c r="AD54" s="134">
        <v>36656</v>
      </c>
      <c r="AE54" s="134">
        <v>36656</v>
      </c>
      <c r="AF54" s="134">
        <v>27492</v>
      </c>
      <c r="AG54" s="134">
        <v>0</v>
      </c>
      <c r="AH54" s="134">
        <v>0</v>
      </c>
      <c r="AI54" s="134">
        <v>0</v>
      </c>
      <c r="AJ54" s="134">
        <v>0</v>
      </c>
      <c r="AK54" s="134">
        <v>0</v>
      </c>
      <c r="AL54" s="134">
        <v>0</v>
      </c>
      <c r="AM54" s="134">
        <v>0</v>
      </c>
      <c r="AN54" s="134">
        <v>0</v>
      </c>
      <c r="AO54" s="134">
        <v>0</v>
      </c>
      <c r="AP54" s="134">
        <v>0</v>
      </c>
      <c r="AQ54" s="134">
        <v>0</v>
      </c>
      <c r="AR54" s="134">
        <v>0</v>
      </c>
      <c r="AS54" s="134">
        <v>0</v>
      </c>
      <c r="AT54" s="134">
        <v>0</v>
      </c>
      <c r="AU54" s="134">
        <v>0</v>
      </c>
      <c r="AV54" s="134">
        <v>0</v>
      </c>
      <c r="AW54" s="134">
        <v>0</v>
      </c>
      <c r="AX54" s="134"/>
      <c r="AY54" s="134"/>
      <c r="AZ54" s="136">
        <f t="shared" si="4"/>
        <v>394052</v>
      </c>
      <c r="BA54" s="334">
        <f t="shared" si="1"/>
        <v>0</v>
      </c>
      <c r="BB54" s="135">
        <f t="shared" si="5"/>
        <v>137460</v>
      </c>
      <c r="BC54" s="136">
        <f t="shared" si="6"/>
        <v>394052</v>
      </c>
      <c r="BE54" s="159" t="b">
        <f t="shared" si="2"/>
        <v>1</v>
      </c>
      <c r="BF54" s="160"/>
    </row>
    <row r="55" spans="1:58" outlineLevel="1" x14ac:dyDescent="0.25">
      <c r="B55" s="161" t="s">
        <v>767</v>
      </c>
      <c r="C55" s="162"/>
      <c r="D55" s="163"/>
      <c r="E55" s="137"/>
      <c r="F55" s="137"/>
      <c r="G55" s="137"/>
      <c r="H55" s="137"/>
      <c r="I55" s="137"/>
      <c r="J55" s="138"/>
      <c r="K55" s="138"/>
      <c r="L55" s="138" t="s">
        <v>927</v>
      </c>
      <c r="M55" s="138"/>
      <c r="N55" s="139">
        <f t="shared" si="7"/>
        <v>4.1500000000000004</v>
      </c>
      <c r="O55" s="144">
        <v>4.1500000000000004</v>
      </c>
      <c r="P55" s="139">
        <f>$P$4</f>
        <v>0</v>
      </c>
      <c r="Q55" s="139" t="s">
        <v>777</v>
      </c>
      <c r="R55" s="140">
        <v>8365.61</v>
      </c>
      <c r="S55" s="140">
        <v>8110.8899999999994</v>
      </c>
      <c r="T55" s="140">
        <f t="shared" si="3"/>
        <v>16476.5</v>
      </c>
      <c r="U55" s="335">
        <f t="shared" si="0"/>
        <v>0.65800000000308501</v>
      </c>
      <c r="V55" s="140">
        <f>SUM(V54:$AW54)*$N55/100+124</f>
        <v>16477.158000000003</v>
      </c>
      <c r="W55" s="140">
        <f>SUM(W54:$AW54)*$N55/100</f>
        <v>14831.934000000001</v>
      </c>
      <c r="X55" s="140">
        <f>SUM(X54:$AW54)*$N55/100</f>
        <v>13310.71</v>
      </c>
      <c r="Y55" s="140">
        <f>SUM(Y54:$AW54)*$N55/100</f>
        <v>11789.486000000001</v>
      </c>
      <c r="Z55" s="140">
        <f>SUM(Z54:$AW54)*$N55/100</f>
        <v>10268.262000000001</v>
      </c>
      <c r="AA55" s="140">
        <f>SUM(AA54:$AW54)*$N55/100</f>
        <v>8747.0380000000005</v>
      </c>
      <c r="AB55" s="140">
        <f>SUM(AB54:$AW54)*$N55/100</f>
        <v>7225.8140000000003</v>
      </c>
      <c r="AC55" s="140">
        <f>SUM(AC54:$AW54)*$N55/100</f>
        <v>5704.59</v>
      </c>
      <c r="AD55" s="140">
        <f>SUM(AD54:$AW54)*$N55/100</f>
        <v>4183.366</v>
      </c>
      <c r="AE55" s="140">
        <f>SUM(AE54:$AW54)*$N55/100</f>
        <v>2662.1420000000003</v>
      </c>
      <c r="AF55" s="140">
        <f>SUM(AF54:$AW54)*$N55/100</f>
        <v>1140.9180000000001</v>
      </c>
      <c r="AG55" s="140">
        <v>0</v>
      </c>
      <c r="AH55" s="140">
        <v>0</v>
      </c>
      <c r="AI55" s="140">
        <v>0</v>
      </c>
      <c r="AJ55" s="140">
        <v>0</v>
      </c>
      <c r="AK55" s="140">
        <v>0</v>
      </c>
      <c r="AL55" s="140">
        <v>0</v>
      </c>
      <c r="AM55" s="140">
        <v>0</v>
      </c>
      <c r="AN55" s="140">
        <v>0</v>
      </c>
      <c r="AO55" s="140">
        <v>0</v>
      </c>
      <c r="AP55" s="140">
        <v>0</v>
      </c>
      <c r="AQ55" s="140">
        <v>0</v>
      </c>
      <c r="AR55" s="140">
        <v>0</v>
      </c>
      <c r="AS55" s="140">
        <v>0</v>
      </c>
      <c r="AT55" s="140">
        <v>0</v>
      </c>
      <c r="AU55" s="140">
        <v>0</v>
      </c>
      <c r="AV55" s="140">
        <v>0</v>
      </c>
      <c r="AW55" s="140">
        <v>0</v>
      </c>
      <c r="AX55" s="140"/>
      <c r="AY55" s="140"/>
      <c r="AZ55" s="142">
        <f t="shared" si="4"/>
        <v>96341.418000000005</v>
      </c>
      <c r="BA55" s="334">
        <f t="shared" si="1"/>
        <v>0</v>
      </c>
      <c r="BB55" s="141">
        <f t="shared" si="5"/>
        <v>13691.016</v>
      </c>
      <c r="BC55" s="142">
        <f t="shared" si="6"/>
        <v>96341.418000000005</v>
      </c>
      <c r="BE55" s="159" t="b">
        <f t="shared" si="2"/>
        <v>1</v>
      </c>
    </row>
    <row r="56" spans="1:58" s="159" customFormat="1" outlineLevel="1" x14ac:dyDescent="0.25">
      <c r="B56" s="154" t="s">
        <v>818</v>
      </c>
      <c r="C56" s="155">
        <v>26</v>
      </c>
      <c r="D56" s="156" t="s">
        <v>928</v>
      </c>
      <c r="E56" s="130" t="s">
        <v>929</v>
      </c>
      <c r="F56" s="130" t="s">
        <v>930</v>
      </c>
      <c r="G56" s="130" t="s">
        <v>931</v>
      </c>
      <c r="H56" s="130" t="s">
        <v>932</v>
      </c>
      <c r="I56" s="130" t="s">
        <v>773</v>
      </c>
      <c r="J56" s="131">
        <v>583938.46</v>
      </c>
      <c r="K56" s="132">
        <v>520872</v>
      </c>
      <c r="L56" s="132"/>
      <c r="M56" s="132"/>
      <c r="N56" s="133"/>
      <c r="O56" s="133">
        <v>2.8109999999999999</v>
      </c>
      <c r="P56" s="133"/>
      <c r="Q56" s="133" t="s">
        <v>774</v>
      </c>
      <c r="R56" s="134">
        <v>7892</v>
      </c>
      <c r="S56" s="134">
        <v>23676</v>
      </c>
      <c r="T56" s="134">
        <f t="shared" si="3"/>
        <v>31568</v>
      </c>
      <c r="U56" s="333">
        <f t="shared" si="0"/>
        <v>0</v>
      </c>
      <c r="V56" s="134">
        <v>31568</v>
      </c>
      <c r="W56" s="134">
        <v>31568</v>
      </c>
      <c r="X56" s="134">
        <v>31568</v>
      </c>
      <c r="Y56" s="134">
        <v>31568</v>
      </c>
      <c r="Z56" s="134">
        <v>31568</v>
      </c>
      <c r="AA56" s="134">
        <v>31568</v>
      </c>
      <c r="AB56" s="134">
        <v>31568</v>
      </c>
      <c r="AC56" s="134">
        <v>31568</v>
      </c>
      <c r="AD56" s="134">
        <v>31568</v>
      </c>
      <c r="AE56" s="134">
        <v>31568</v>
      </c>
      <c r="AF56" s="134">
        <v>31568</v>
      </c>
      <c r="AG56" s="134">
        <v>31568</v>
      </c>
      <c r="AH56" s="134">
        <v>31568</v>
      </c>
      <c r="AI56" s="134">
        <v>31568</v>
      </c>
      <c r="AJ56" s="134">
        <v>31568</v>
      </c>
      <c r="AK56" s="134">
        <v>31568</v>
      </c>
      <c r="AL56" s="134">
        <v>0</v>
      </c>
      <c r="AM56" s="134">
        <v>0</v>
      </c>
      <c r="AN56" s="134">
        <v>0</v>
      </c>
      <c r="AO56" s="134">
        <v>0</v>
      </c>
      <c r="AP56" s="134">
        <v>0</v>
      </c>
      <c r="AQ56" s="134">
        <v>0</v>
      </c>
      <c r="AR56" s="134">
        <v>0</v>
      </c>
      <c r="AS56" s="134">
        <v>0</v>
      </c>
      <c r="AT56" s="134">
        <v>0</v>
      </c>
      <c r="AU56" s="134">
        <v>0</v>
      </c>
      <c r="AV56" s="134">
        <v>0</v>
      </c>
      <c r="AW56" s="134">
        <v>0</v>
      </c>
      <c r="AX56" s="134"/>
      <c r="AY56" s="134"/>
      <c r="AZ56" s="136">
        <f t="shared" si="4"/>
        <v>505088</v>
      </c>
      <c r="BA56" s="334">
        <f t="shared" si="1"/>
        <v>0</v>
      </c>
      <c r="BB56" s="135">
        <f t="shared" si="5"/>
        <v>284112</v>
      </c>
      <c r="BC56" s="136">
        <f t="shared" si="6"/>
        <v>505088</v>
      </c>
      <c r="BE56" s="159" t="b">
        <f t="shared" si="2"/>
        <v>1</v>
      </c>
      <c r="BF56" s="160"/>
    </row>
    <row r="57" spans="1:58" outlineLevel="1" x14ac:dyDescent="0.25">
      <c r="B57" s="161" t="s">
        <v>818</v>
      </c>
      <c r="C57" s="162"/>
      <c r="D57" s="163"/>
      <c r="E57" s="137"/>
      <c r="F57" s="137"/>
      <c r="G57" s="137"/>
      <c r="H57" s="137"/>
      <c r="I57" s="137"/>
      <c r="J57" s="138"/>
      <c r="K57" s="138"/>
      <c r="L57" s="138" t="s">
        <v>933</v>
      </c>
      <c r="M57" s="138"/>
      <c r="N57" s="139">
        <f t="shared" si="7"/>
        <v>4.1500000000000004</v>
      </c>
      <c r="O57" s="144">
        <v>4.1500000000000004</v>
      </c>
      <c r="P57" s="139">
        <f>$P$4</f>
        <v>0</v>
      </c>
      <c r="Q57" s="139" t="s">
        <v>777</v>
      </c>
      <c r="R57" s="140">
        <v>9365.89</v>
      </c>
      <c r="S57" s="140">
        <v>10244.91</v>
      </c>
      <c r="T57" s="140">
        <f t="shared" si="3"/>
        <v>19610.8</v>
      </c>
      <c r="U57" s="336">
        <f t="shared" si="0"/>
        <v>2000.3520000000026</v>
      </c>
      <c r="V57" s="140">
        <f>SUM(V56:$AW56)*$N57/100-1350+2000</f>
        <v>21611.152000000002</v>
      </c>
      <c r="W57" s="140">
        <f>SUM(W56:$AW56)*$N57/100</f>
        <v>19651.080000000002</v>
      </c>
      <c r="X57" s="140">
        <f>SUM(X56:$AW56)*$N57/100</f>
        <v>18341.008000000002</v>
      </c>
      <c r="Y57" s="140">
        <f>SUM(Y56:$AW56)*$N57/100</f>
        <v>17030.936000000002</v>
      </c>
      <c r="Z57" s="140">
        <f>SUM(Z56:$AW56)*$N57/100</f>
        <v>15720.864000000001</v>
      </c>
      <c r="AA57" s="140">
        <f>SUM(AA56:$AW56)*$N57/100</f>
        <v>14410.792000000001</v>
      </c>
      <c r="AB57" s="140">
        <f>SUM(AB56:$AW56)*$N57/100</f>
        <v>13100.72</v>
      </c>
      <c r="AC57" s="140">
        <f>SUM(AC56:$AW56)*$N57/100</f>
        <v>11790.648000000001</v>
      </c>
      <c r="AD57" s="140">
        <f>SUM(AD56:$AW56)*$N57/100</f>
        <v>10480.576000000001</v>
      </c>
      <c r="AE57" s="140">
        <f>SUM(AE56:$AW56)*$N57/100</f>
        <v>9170.5040000000008</v>
      </c>
      <c r="AF57" s="140">
        <f>SUM(AF56:$AW56)*$N57/100</f>
        <v>7860.4320000000007</v>
      </c>
      <c r="AG57" s="140">
        <f>SUM(AG56:$AW56)*$N57/100</f>
        <v>6550.36</v>
      </c>
      <c r="AH57" s="140">
        <f>SUM(AH56:$AW56)*$N57/100</f>
        <v>5240.2880000000005</v>
      </c>
      <c r="AI57" s="140">
        <f>SUM(AI56:$AW56)*$N57/100</f>
        <v>3930.2160000000003</v>
      </c>
      <c r="AJ57" s="140">
        <f>SUM(AJ56:$AW56)*$N57/100</f>
        <v>2620.1440000000002</v>
      </c>
      <c r="AK57" s="140">
        <f>SUM(AK56:$AW56)*$N57/100</f>
        <v>1310.0720000000001</v>
      </c>
      <c r="AL57" s="140">
        <v>0</v>
      </c>
      <c r="AM57" s="140">
        <v>0</v>
      </c>
      <c r="AN57" s="140">
        <v>0</v>
      </c>
      <c r="AO57" s="140">
        <v>0</v>
      </c>
      <c r="AP57" s="140">
        <v>0</v>
      </c>
      <c r="AQ57" s="140">
        <v>0</v>
      </c>
      <c r="AR57" s="140">
        <v>0</v>
      </c>
      <c r="AS57" s="140">
        <v>0</v>
      </c>
      <c r="AT57" s="140">
        <v>0</v>
      </c>
      <c r="AU57" s="140">
        <v>0</v>
      </c>
      <c r="AV57" s="140">
        <v>0</v>
      </c>
      <c r="AW57" s="140">
        <v>0</v>
      </c>
      <c r="AX57" s="140"/>
      <c r="AY57" s="140"/>
      <c r="AZ57" s="142">
        <f t="shared" si="4"/>
        <v>178819.79200000002</v>
      </c>
      <c r="BA57" s="334">
        <f t="shared" si="1"/>
        <v>0</v>
      </c>
      <c r="BB57" s="141">
        <f t="shared" si="5"/>
        <v>58953.240000000005</v>
      </c>
      <c r="BC57" s="142">
        <f t="shared" si="6"/>
        <v>178819.79200000002</v>
      </c>
      <c r="BE57" s="159" t="b">
        <f t="shared" si="2"/>
        <v>1</v>
      </c>
    </row>
    <row r="58" spans="1:58" s="159" customFormat="1" outlineLevel="1" x14ac:dyDescent="0.25">
      <c r="B58" s="154" t="s">
        <v>767</v>
      </c>
      <c r="C58" s="155">
        <v>27</v>
      </c>
      <c r="D58" s="156" t="s">
        <v>934</v>
      </c>
      <c r="E58" s="130" t="s">
        <v>935</v>
      </c>
      <c r="F58" s="130" t="s">
        <v>936</v>
      </c>
      <c r="G58" s="130" t="s">
        <v>937</v>
      </c>
      <c r="H58" s="130" t="s">
        <v>938</v>
      </c>
      <c r="I58" s="130" t="s">
        <v>773</v>
      </c>
      <c r="J58" s="131">
        <v>2556845.52</v>
      </c>
      <c r="K58" s="132">
        <v>2388377.52</v>
      </c>
      <c r="L58" s="132"/>
      <c r="M58" s="132"/>
      <c r="N58" s="133"/>
      <c r="O58" s="133"/>
      <c r="P58" s="133"/>
      <c r="Q58" s="133" t="s">
        <v>774</v>
      </c>
      <c r="R58" s="134">
        <v>24079</v>
      </c>
      <c r="S58" s="134">
        <v>72237</v>
      </c>
      <c r="T58" s="134">
        <f>SUM(R58:S58)</f>
        <v>96316</v>
      </c>
      <c r="U58" s="333">
        <f t="shared" si="0"/>
        <v>0</v>
      </c>
      <c r="V58" s="134">
        <v>96316</v>
      </c>
      <c r="W58" s="134">
        <v>96316</v>
      </c>
      <c r="X58" s="134">
        <v>96316</v>
      </c>
      <c r="Y58" s="134">
        <v>96316</v>
      </c>
      <c r="Z58" s="134">
        <v>96316</v>
      </c>
      <c r="AA58" s="134">
        <v>96316</v>
      </c>
      <c r="AB58" s="134">
        <v>96316</v>
      </c>
      <c r="AC58" s="134">
        <v>96316</v>
      </c>
      <c r="AD58" s="134">
        <v>96316</v>
      </c>
      <c r="AE58" s="134">
        <v>96316</v>
      </c>
      <c r="AF58" s="134">
        <v>96316</v>
      </c>
      <c r="AG58" s="134">
        <v>96316</v>
      </c>
      <c r="AH58" s="134">
        <v>96316</v>
      </c>
      <c r="AI58" s="134">
        <v>96316</v>
      </c>
      <c r="AJ58" s="134">
        <v>96316</v>
      </c>
      <c r="AK58" s="134">
        <v>96316</v>
      </c>
      <c r="AL58" s="134">
        <v>96316</v>
      </c>
      <c r="AM58" s="134">
        <v>96316</v>
      </c>
      <c r="AN58" s="134">
        <v>96316</v>
      </c>
      <c r="AO58" s="134">
        <v>96316</v>
      </c>
      <c r="AP58" s="134">
        <v>96316</v>
      </c>
      <c r="AQ58" s="134">
        <v>96316</v>
      </c>
      <c r="AR58" s="134">
        <v>96316</v>
      </c>
      <c r="AS58" s="134">
        <v>96316</v>
      </c>
      <c r="AT58" s="134">
        <v>28635.52</v>
      </c>
      <c r="AU58" s="134">
        <v>0</v>
      </c>
      <c r="AV58" s="134">
        <v>0</v>
      </c>
      <c r="AW58" s="134">
        <v>0</v>
      </c>
      <c r="AX58" s="134"/>
      <c r="AY58" s="134"/>
      <c r="AZ58" s="136">
        <f t="shared" si="4"/>
        <v>2340219.52</v>
      </c>
      <c r="BA58" s="334">
        <f t="shared" si="1"/>
        <v>0</v>
      </c>
      <c r="BB58" s="135">
        <f t="shared" si="5"/>
        <v>1666007.52</v>
      </c>
      <c r="BC58" s="136">
        <f t="shared" si="6"/>
        <v>2340219.52</v>
      </c>
      <c r="BE58" s="159" t="b">
        <f t="shared" si="2"/>
        <v>1</v>
      </c>
      <c r="BF58" s="160"/>
    </row>
    <row r="59" spans="1:58" outlineLevel="1" x14ac:dyDescent="0.25">
      <c r="B59" s="161" t="s">
        <v>767</v>
      </c>
      <c r="C59" s="162"/>
      <c r="D59" s="163"/>
      <c r="E59" s="137"/>
      <c r="F59" s="137"/>
      <c r="G59" s="137"/>
      <c r="H59" s="137"/>
      <c r="I59" s="137"/>
      <c r="J59" s="138"/>
      <c r="K59" s="138"/>
      <c r="L59" s="138" t="s">
        <v>939</v>
      </c>
      <c r="M59" s="138"/>
      <c r="N59" s="139">
        <f t="shared" si="7"/>
        <v>6.0229999999999997</v>
      </c>
      <c r="O59" s="139">
        <v>6.0229999999999997</v>
      </c>
      <c r="P59" s="139">
        <f>$P$4</f>
        <v>0</v>
      </c>
      <c r="Q59" s="139" t="s">
        <v>777</v>
      </c>
      <c r="R59" s="140">
        <v>71924.25</v>
      </c>
      <c r="S59" s="140">
        <v>68910.05</v>
      </c>
      <c r="T59" s="140">
        <f t="shared" si="3"/>
        <v>140834.29999999999</v>
      </c>
      <c r="U59" s="335">
        <f t="shared" si="0"/>
        <v>0.12168959999689832</v>
      </c>
      <c r="V59" s="140">
        <f>SUM(V58:$AW58)*$N59/100-117</f>
        <v>140834.42168959999</v>
      </c>
      <c r="W59" s="140">
        <f>SUM(W58:$AW58)*$N59/100</f>
        <v>135150.30900959999</v>
      </c>
      <c r="X59" s="140">
        <f>SUM(X58:$AW58)*$N59/100</f>
        <v>129349.19632959999</v>
      </c>
      <c r="Y59" s="140">
        <f>SUM(Y58:$AW58)*$N59/100</f>
        <v>123548.0836496</v>
      </c>
      <c r="Z59" s="140">
        <f>SUM(Z58:$AW58)*$N59/100</f>
        <v>117746.97096959999</v>
      </c>
      <c r="AA59" s="140">
        <f>SUM(AA58:$AW58)*$N59/100</f>
        <v>111945.8582896</v>
      </c>
      <c r="AB59" s="140">
        <f>SUM(AB58:$AW58)*$N59/100</f>
        <v>106144.74560960001</v>
      </c>
      <c r="AC59" s="140">
        <f>SUM(AC58:$AW58)*$N59/100</f>
        <v>100343.63292959999</v>
      </c>
      <c r="AD59" s="140">
        <f>SUM(AD58:$AW58)*$N59/100</f>
        <v>94542.520249599998</v>
      </c>
      <c r="AE59" s="140">
        <f>SUM(AE58:$AW58)*$N59/100</f>
        <v>88741.407569599993</v>
      </c>
      <c r="AF59" s="140">
        <f>SUM(AF58:$AW58)*$N59/100</f>
        <v>82940.294889600002</v>
      </c>
      <c r="AG59" s="140">
        <f>SUM(AG58:$AW58)*$N59/100</f>
        <v>77139.182209599996</v>
      </c>
      <c r="AH59" s="140">
        <f>SUM(AH58:$AW58)*$N59/100</f>
        <v>71338.06952959999</v>
      </c>
      <c r="AI59" s="140">
        <f>SUM(AI58:$AW58)*$N59/100</f>
        <v>65536.956849599999</v>
      </c>
      <c r="AJ59" s="140">
        <f>SUM(AJ58:$AW58)*$N59/100</f>
        <v>59735.844169600001</v>
      </c>
      <c r="AK59" s="140">
        <f>SUM(AK58:$AW58)*$N59/100</f>
        <v>53934.731489600003</v>
      </c>
      <c r="AL59" s="140">
        <f>SUM(AL58:$AW58)*$N59/100</f>
        <v>48133.618809599997</v>
      </c>
      <c r="AM59" s="140">
        <f>SUM(AM58:$AW58)*$N59/100</f>
        <v>42332.506129599999</v>
      </c>
      <c r="AN59" s="140">
        <f>SUM(AN58:$AW58)*$N59/100</f>
        <v>36531.3934496</v>
      </c>
      <c r="AO59" s="140">
        <f>SUM(AO58:$AW58)*$N59/100</f>
        <v>30730.280769599998</v>
      </c>
      <c r="AP59" s="140">
        <f>SUM(AP58:$AW58)*$N59/100</f>
        <v>24929.1680896</v>
      </c>
      <c r="AQ59" s="140">
        <f>SUM(AQ58:$AW58)*$N59/100</f>
        <v>19128.055409599998</v>
      </c>
      <c r="AR59" s="140">
        <f>SUM(AR58:$AW58)*$N59/100</f>
        <v>13326.942729599999</v>
      </c>
      <c r="AS59" s="140">
        <f>SUM(AS58:$AW58)*$N59/100</f>
        <v>7525.8300495999993</v>
      </c>
      <c r="AT59" s="140">
        <f>SUM(AT58:$AW58)*$N59/100</f>
        <v>1724.7173695999998</v>
      </c>
      <c r="AU59" s="140">
        <v>0</v>
      </c>
      <c r="AV59" s="140">
        <v>0</v>
      </c>
      <c r="AW59" s="140">
        <v>0</v>
      </c>
      <c r="AX59" s="140"/>
      <c r="AY59" s="140"/>
      <c r="AZ59" s="142">
        <f t="shared" si="4"/>
        <v>1783334.7382399999</v>
      </c>
      <c r="BA59" s="334">
        <f t="shared" si="1"/>
        <v>0</v>
      </c>
      <c r="BB59" s="141">
        <f t="shared" si="5"/>
        <v>918615.15269280004</v>
      </c>
      <c r="BC59" s="142">
        <f t="shared" si="6"/>
        <v>1783334.7382399999</v>
      </c>
      <c r="BE59" s="159" t="b">
        <f t="shared" si="2"/>
        <v>1</v>
      </c>
    </row>
    <row r="60" spans="1:58" s="159" customFormat="1" outlineLevel="1" x14ac:dyDescent="0.25">
      <c r="B60" s="154" t="s">
        <v>767</v>
      </c>
      <c r="C60" s="155">
        <v>28</v>
      </c>
      <c r="D60" s="156" t="s">
        <v>940</v>
      </c>
      <c r="E60" s="130" t="s">
        <v>941</v>
      </c>
      <c r="F60" s="130" t="s">
        <v>942</v>
      </c>
      <c r="G60" s="130" t="s">
        <v>943</v>
      </c>
      <c r="H60" s="130" t="s">
        <v>944</v>
      </c>
      <c r="I60" s="130" t="s">
        <v>773</v>
      </c>
      <c r="J60" s="131">
        <v>1410783</v>
      </c>
      <c r="K60" s="132">
        <v>1059408</v>
      </c>
      <c r="L60" s="132"/>
      <c r="M60" s="132"/>
      <c r="N60" s="133"/>
      <c r="O60" s="133">
        <v>1.589</v>
      </c>
      <c r="P60" s="133"/>
      <c r="Q60" s="133" t="s">
        <v>774</v>
      </c>
      <c r="R60" s="134">
        <v>22071</v>
      </c>
      <c r="S60" s="134">
        <v>66213</v>
      </c>
      <c r="T60" s="134">
        <f t="shared" si="3"/>
        <v>88284</v>
      </c>
      <c r="U60" s="333">
        <f t="shared" si="0"/>
        <v>0</v>
      </c>
      <c r="V60" s="134">
        <v>88284</v>
      </c>
      <c r="W60" s="134">
        <v>88284</v>
      </c>
      <c r="X60" s="134">
        <v>88284</v>
      </c>
      <c r="Y60" s="134">
        <v>88284</v>
      </c>
      <c r="Z60" s="134">
        <v>88284</v>
      </c>
      <c r="AA60" s="134">
        <v>88284</v>
      </c>
      <c r="AB60" s="134">
        <v>88284</v>
      </c>
      <c r="AC60" s="134">
        <v>88284</v>
      </c>
      <c r="AD60" s="134">
        <v>88284</v>
      </c>
      <c r="AE60" s="134">
        <v>88284</v>
      </c>
      <c r="AF60" s="134">
        <v>88284</v>
      </c>
      <c r="AG60" s="134">
        <v>44142</v>
      </c>
      <c r="AH60" s="134">
        <v>0</v>
      </c>
      <c r="AI60" s="134">
        <v>0</v>
      </c>
      <c r="AJ60" s="134">
        <v>0</v>
      </c>
      <c r="AK60" s="134">
        <v>0</v>
      </c>
      <c r="AL60" s="134">
        <v>0</v>
      </c>
      <c r="AM60" s="134">
        <v>0</v>
      </c>
      <c r="AN60" s="134">
        <v>0</v>
      </c>
      <c r="AO60" s="134">
        <v>0</v>
      </c>
      <c r="AP60" s="134">
        <v>0</v>
      </c>
      <c r="AQ60" s="134">
        <v>0</v>
      </c>
      <c r="AR60" s="134">
        <v>0</v>
      </c>
      <c r="AS60" s="134">
        <v>0</v>
      </c>
      <c r="AT60" s="134">
        <v>0</v>
      </c>
      <c r="AU60" s="134">
        <v>0</v>
      </c>
      <c r="AV60" s="134">
        <v>0</v>
      </c>
      <c r="AW60" s="134">
        <v>0</v>
      </c>
      <c r="AX60" s="134"/>
      <c r="AY60" s="134"/>
      <c r="AZ60" s="136">
        <f t="shared" si="4"/>
        <v>1015266</v>
      </c>
      <c r="BA60" s="334">
        <f t="shared" si="1"/>
        <v>0</v>
      </c>
      <c r="BB60" s="135">
        <f t="shared" si="5"/>
        <v>397278</v>
      </c>
      <c r="BC60" s="136">
        <f t="shared" si="6"/>
        <v>1015266</v>
      </c>
      <c r="BE60" s="159" t="b">
        <f t="shared" si="2"/>
        <v>1</v>
      </c>
      <c r="BF60" s="160"/>
    </row>
    <row r="61" spans="1:58" outlineLevel="1" x14ac:dyDescent="0.25">
      <c r="B61" s="161" t="s">
        <v>767</v>
      </c>
      <c r="C61" s="162"/>
      <c r="D61" s="163"/>
      <c r="E61" s="137"/>
      <c r="F61" s="137"/>
      <c r="G61" s="137"/>
      <c r="H61" s="137"/>
      <c r="I61" s="137"/>
      <c r="J61" s="138"/>
      <c r="K61" s="138"/>
      <c r="L61" s="138" t="s">
        <v>945</v>
      </c>
      <c r="M61" s="138"/>
      <c r="N61" s="139">
        <f t="shared" si="7"/>
        <v>5</v>
      </c>
      <c r="O61" s="144">
        <v>5</v>
      </c>
      <c r="P61" s="139">
        <f>$P$4</f>
        <v>0</v>
      </c>
      <c r="Q61" s="139" t="s">
        <v>777</v>
      </c>
      <c r="R61" s="140">
        <v>25810.21</v>
      </c>
      <c r="S61" s="140">
        <v>23344.36</v>
      </c>
      <c r="T61" s="140">
        <f t="shared" si="3"/>
        <v>49154.57</v>
      </c>
      <c r="U61" s="336">
        <f t="shared" si="0"/>
        <v>2000.7300000000032</v>
      </c>
      <c r="V61" s="140">
        <f>SUM(V60:$AW60)*$N61/100-1608+2000</f>
        <v>51155.3</v>
      </c>
      <c r="W61" s="140">
        <f>SUM(W60:$AW60)*$N61/100</f>
        <v>46349.1</v>
      </c>
      <c r="X61" s="140">
        <f>SUM(X60:$AW60)*$N61/100</f>
        <v>41934.9</v>
      </c>
      <c r="Y61" s="140">
        <f>SUM(Y60:$AW60)*$N61/100</f>
        <v>37520.699999999997</v>
      </c>
      <c r="Z61" s="140">
        <f>SUM(Z60:$AW60)*$N61/100</f>
        <v>33106.5</v>
      </c>
      <c r="AA61" s="140">
        <f>SUM(AA60:$AW60)*$N61/100</f>
        <v>28692.3</v>
      </c>
      <c r="AB61" s="140">
        <f>SUM(AB60:$AW60)*$N61/100</f>
        <v>24278.1</v>
      </c>
      <c r="AC61" s="140">
        <f>SUM(AC60:$AW60)*$N61/100</f>
        <v>19863.900000000001</v>
      </c>
      <c r="AD61" s="140">
        <f>SUM(AD60:$AW60)*$N61/100</f>
        <v>15449.7</v>
      </c>
      <c r="AE61" s="140">
        <f>SUM(AE60:$AW60)*$N61/100</f>
        <v>11035.5</v>
      </c>
      <c r="AF61" s="140">
        <f>SUM(AF60:$AW60)*$N61/100</f>
        <v>6621.3</v>
      </c>
      <c r="AG61" s="140">
        <f>SUM(AG60:$AW60)*$N61/100</f>
        <v>2207.1</v>
      </c>
      <c r="AH61" s="140">
        <v>0</v>
      </c>
      <c r="AI61" s="140">
        <v>0</v>
      </c>
      <c r="AJ61" s="140">
        <v>0</v>
      </c>
      <c r="AK61" s="140">
        <v>0</v>
      </c>
      <c r="AL61" s="140">
        <v>0</v>
      </c>
      <c r="AM61" s="140">
        <v>0</v>
      </c>
      <c r="AN61" s="140">
        <v>0</v>
      </c>
      <c r="AO61" s="140">
        <v>0</v>
      </c>
      <c r="AP61" s="140">
        <v>0</v>
      </c>
      <c r="AQ61" s="140">
        <v>0</v>
      </c>
      <c r="AR61" s="140">
        <v>0</v>
      </c>
      <c r="AS61" s="140">
        <v>0</v>
      </c>
      <c r="AT61" s="140">
        <v>0</v>
      </c>
      <c r="AU61" s="140">
        <v>0</v>
      </c>
      <c r="AV61" s="140">
        <v>0</v>
      </c>
      <c r="AW61" s="140">
        <v>0</v>
      </c>
      <c r="AX61" s="140"/>
      <c r="AY61" s="140"/>
      <c r="AZ61" s="142">
        <f t="shared" si="4"/>
        <v>318214.39999999997</v>
      </c>
      <c r="BA61" s="334">
        <f t="shared" si="1"/>
        <v>0</v>
      </c>
      <c r="BB61" s="141">
        <f t="shared" si="5"/>
        <v>55177.500000000007</v>
      </c>
      <c r="BC61" s="142">
        <f t="shared" si="6"/>
        <v>318214.39999999997</v>
      </c>
      <c r="BE61" s="159" t="b">
        <f t="shared" si="2"/>
        <v>1</v>
      </c>
    </row>
    <row r="62" spans="1:58" s="159" customFormat="1" outlineLevel="1" x14ac:dyDescent="0.25">
      <c r="A62" s="159" t="s">
        <v>784</v>
      </c>
      <c r="B62" s="154" t="s">
        <v>818</v>
      </c>
      <c r="C62" s="155">
        <v>29</v>
      </c>
      <c r="D62" s="156" t="s">
        <v>946</v>
      </c>
      <c r="E62" s="130" t="s">
        <v>947</v>
      </c>
      <c r="F62" s="130" t="s">
        <v>948</v>
      </c>
      <c r="G62" s="130" t="s">
        <v>949</v>
      </c>
      <c r="H62" s="130" t="s">
        <v>950</v>
      </c>
      <c r="I62" s="130" t="s">
        <v>773</v>
      </c>
      <c r="J62" s="131">
        <v>824810</v>
      </c>
      <c r="K62" s="132">
        <v>809979</v>
      </c>
      <c r="L62" s="132"/>
      <c r="M62" s="132"/>
      <c r="N62" s="133"/>
      <c r="O62" s="133">
        <v>3.4710000000000001</v>
      </c>
      <c r="P62" s="133"/>
      <c r="Q62" s="133" t="s">
        <v>774</v>
      </c>
      <c r="R62" s="134">
        <v>7431</v>
      </c>
      <c r="S62" s="134">
        <v>22293</v>
      </c>
      <c r="T62" s="134">
        <f t="shared" si="3"/>
        <v>29724</v>
      </c>
      <c r="U62" s="333">
        <f t="shared" si="0"/>
        <v>0</v>
      </c>
      <c r="V62" s="134">
        <v>29724</v>
      </c>
      <c r="W62" s="134">
        <v>29724</v>
      </c>
      <c r="X62" s="134">
        <v>29724</v>
      </c>
      <c r="Y62" s="134">
        <v>29724</v>
      </c>
      <c r="Z62" s="134">
        <v>29724</v>
      </c>
      <c r="AA62" s="134">
        <v>29724</v>
      </c>
      <c r="AB62" s="134">
        <v>29724</v>
      </c>
      <c r="AC62" s="134">
        <v>29724</v>
      </c>
      <c r="AD62" s="134">
        <v>29724</v>
      </c>
      <c r="AE62" s="134">
        <v>29724</v>
      </c>
      <c r="AF62" s="134">
        <v>29724</v>
      </c>
      <c r="AG62" s="134">
        <v>29724</v>
      </c>
      <c r="AH62" s="134">
        <v>29724</v>
      </c>
      <c r="AI62" s="134">
        <v>29724</v>
      </c>
      <c r="AJ62" s="134">
        <v>29724</v>
      </c>
      <c r="AK62" s="134">
        <v>29724</v>
      </c>
      <c r="AL62" s="134">
        <v>29724</v>
      </c>
      <c r="AM62" s="134">
        <v>29724</v>
      </c>
      <c r="AN62" s="134">
        <v>29724</v>
      </c>
      <c r="AO62" s="134">
        <v>29724</v>
      </c>
      <c r="AP62" s="134">
        <v>29724</v>
      </c>
      <c r="AQ62" s="134">
        <v>29724</v>
      </c>
      <c r="AR62" s="134">
        <v>29724</v>
      </c>
      <c r="AS62" s="134">
        <v>29724</v>
      </c>
      <c r="AT62" s="134">
        <v>29724</v>
      </c>
      <c r="AU62" s="134">
        <v>29724</v>
      </c>
      <c r="AV62" s="134">
        <v>22293</v>
      </c>
      <c r="AW62" s="134">
        <v>0</v>
      </c>
      <c r="AX62" s="134"/>
      <c r="AY62" s="134"/>
      <c r="AZ62" s="136">
        <f t="shared" si="4"/>
        <v>795117</v>
      </c>
      <c r="BA62" s="334">
        <f t="shared" si="1"/>
        <v>0</v>
      </c>
      <c r="BB62" s="135">
        <f t="shared" si="5"/>
        <v>587049</v>
      </c>
      <c r="BC62" s="136">
        <f t="shared" si="6"/>
        <v>795117</v>
      </c>
      <c r="BE62" s="159" t="b">
        <f t="shared" si="2"/>
        <v>1</v>
      </c>
      <c r="BF62" s="160"/>
    </row>
    <row r="63" spans="1:58" outlineLevel="1" x14ac:dyDescent="0.25">
      <c r="A63" s="159" t="s">
        <v>784</v>
      </c>
      <c r="B63" s="161" t="s">
        <v>818</v>
      </c>
      <c r="C63" s="162"/>
      <c r="D63" s="163" t="s">
        <v>951</v>
      </c>
      <c r="E63" s="137"/>
      <c r="F63" s="137"/>
      <c r="G63" s="137"/>
      <c r="H63" s="137"/>
      <c r="I63" s="137"/>
      <c r="J63" s="138"/>
      <c r="K63" s="138"/>
      <c r="L63" s="138" t="s">
        <v>952</v>
      </c>
      <c r="M63" s="138"/>
      <c r="N63" s="139">
        <f t="shared" si="7"/>
        <v>5.0999999999999996</v>
      </c>
      <c r="O63" s="144">
        <v>5.0999999999999996</v>
      </c>
      <c r="P63" s="139">
        <f>$P$4</f>
        <v>0</v>
      </c>
      <c r="Q63" s="139" t="s">
        <v>777</v>
      </c>
      <c r="R63" s="140">
        <v>20859.400000000001</v>
      </c>
      <c r="S63" s="140">
        <v>20471.919999999998</v>
      </c>
      <c r="T63" s="140">
        <f t="shared" si="3"/>
        <v>41331.32</v>
      </c>
      <c r="U63" s="336">
        <f t="shared" si="0"/>
        <v>1000.6469999999972</v>
      </c>
      <c r="V63" s="140">
        <f>SUM(V62:$AW62)*$N63/100+781+1000</f>
        <v>42331.966999999997</v>
      </c>
      <c r="W63" s="140">
        <f>SUM(W62:$AW62)*$N63/100</f>
        <v>39035.042999999998</v>
      </c>
      <c r="X63" s="140">
        <f>SUM(X62:$AW62)*$N63/100</f>
        <v>37519.118999999999</v>
      </c>
      <c r="Y63" s="140">
        <f>SUM(Y62:$AW62)*$N63/100</f>
        <v>36003.194999999992</v>
      </c>
      <c r="Z63" s="140">
        <f>SUM(Z62:$AW62)*$N63/100</f>
        <v>34487.270999999993</v>
      </c>
      <c r="AA63" s="140">
        <f>SUM(AA62:$AW62)*$N63/100</f>
        <v>32971.346999999994</v>
      </c>
      <c r="AB63" s="140">
        <f>SUM(AB62:$AW62)*$N63/100</f>
        <v>31455.422999999999</v>
      </c>
      <c r="AC63" s="140">
        <f>SUM(AC62:$AW62)*$N63/100</f>
        <v>29939.499</v>
      </c>
      <c r="AD63" s="140">
        <f>SUM(AD62:$AW62)*$N63/100</f>
        <v>28423.575000000001</v>
      </c>
      <c r="AE63" s="140">
        <f>SUM(AE62:$AW62)*$N63/100</f>
        <v>26907.650999999998</v>
      </c>
      <c r="AF63" s="140">
        <f>SUM(AF62:$AW62)*$N63/100</f>
        <v>25391.726999999999</v>
      </c>
      <c r="AG63" s="140">
        <f>SUM(AG62:$AW62)*$N63/100</f>
        <v>23875.803</v>
      </c>
      <c r="AH63" s="140">
        <f>SUM(AH62:$AW62)*$N63/100</f>
        <v>22359.879000000001</v>
      </c>
      <c r="AI63" s="140">
        <f>SUM(AI62:$AW62)*$N63/100</f>
        <v>20843.954999999998</v>
      </c>
      <c r="AJ63" s="140">
        <f>SUM(AJ62:$AW62)*$N63/100</f>
        <v>19328.030999999999</v>
      </c>
      <c r="AK63" s="140">
        <f>SUM(AK62:$AW62)*$N63/100</f>
        <v>17812.107</v>
      </c>
      <c r="AL63" s="140">
        <f>SUM(AL62:$AW62)*$N63/100</f>
        <v>16296.182999999997</v>
      </c>
      <c r="AM63" s="140">
        <f>SUM(AM62:$AW62)*$N63/100</f>
        <v>14780.258999999998</v>
      </c>
      <c r="AN63" s="140">
        <f>SUM(AN62:$AW62)*$N63/100</f>
        <v>13264.334999999999</v>
      </c>
      <c r="AO63" s="140">
        <f>SUM(AO62:$AW62)*$N63/100</f>
        <v>11748.410999999998</v>
      </c>
      <c r="AP63" s="140">
        <f>SUM(AP62:$AW62)*$N63/100</f>
        <v>10232.486999999999</v>
      </c>
      <c r="AQ63" s="140">
        <f>SUM(AQ62:$AW62)*$N63/100</f>
        <v>8716.5630000000001</v>
      </c>
      <c r="AR63" s="140">
        <f>SUM(AR62:$AW62)*$N63/100</f>
        <v>7200.6389999999992</v>
      </c>
      <c r="AS63" s="140">
        <f>SUM(AS62:$AW62)*$N63/100</f>
        <v>5684.7150000000001</v>
      </c>
      <c r="AT63" s="140">
        <f>SUM(AT62:$AW62)*$N63/100</f>
        <v>4168.7910000000002</v>
      </c>
      <c r="AU63" s="140">
        <f>SUM(AU62:$AW62)*$N63/100</f>
        <v>2652.8669999999997</v>
      </c>
      <c r="AV63" s="140">
        <f>SUM(AV62:$AW62)*$N63/100</f>
        <v>1136.943</v>
      </c>
      <c r="AW63" s="140">
        <v>0</v>
      </c>
      <c r="AX63" s="140"/>
      <c r="AY63" s="140"/>
      <c r="AZ63" s="142">
        <f t="shared" si="4"/>
        <v>564567.78499999992</v>
      </c>
      <c r="BA63" s="334">
        <f t="shared" si="1"/>
        <v>0</v>
      </c>
      <c r="BB63" s="141">
        <f t="shared" si="5"/>
        <v>310764.42000000016</v>
      </c>
      <c r="BC63" s="142">
        <f t="shared" si="6"/>
        <v>564567.78500000015</v>
      </c>
      <c r="BE63" s="159" t="b">
        <f t="shared" si="2"/>
        <v>1</v>
      </c>
    </row>
    <row r="64" spans="1:58" s="159" customFormat="1" outlineLevel="1" x14ac:dyDescent="0.25">
      <c r="B64" s="154" t="s">
        <v>818</v>
      </c>
      <c r="C64" s="155">
        <v>30</v>
      </c>
      <c r="D64" s="156" t="s">
        <v>953</v>
      </c>
      <c r="E64" s="130" t="s">
        <v>954</v>
      </c>
      <c r="F64" s="130" t="s">
        <v>955</v>
      </c>
      <c r="G64" s="130" t="s">
        <v>949</v>
      </c>
      <c r="H64" s="130" t="s">
        <v>956</v>
      </c>
      <c r="I64" s="130" t="s">
        <v>773</v>
      </c>
      <c r="J64" s="131">
        <v>347420.04</v>
      </c>
      <c r="K64" s="132">
        <v>319308.03999999998</v>
      </c>
      <c r="L64" s="132"/>
      <c r="M64" s="132"/>
      <c r="N64" s="133"/>
      <c r="O64" s="133">
        <v>3.2429999999999999</v>
      </c>
      <c r="P64" s="133"/>
      <c r="Q64" s="133" t="s">
        <v>774</v>
      </c>
      <c r="R64" s="134">
        <v>4697</v>
      </c>
      <c r="S64" s="134">
        <v>14091</v>
      </c>
      <c r="T64" s="134">
        <f t="shared" si="3"/>
        <v>18788</v>
      </c>
      <c r="U64" s="333">
        <f t="shared" si="0"/>
        <v>0</v>
      </c>
      <c r="V64" s="134">
        <v>18788</v>
      </c>
      <c r="W64" s="134">
        <v>18788</v>
      </c>
      <c r="X64" s="134">
        <v>18788</v>
      </c>
      <c r="Y64" s="134">
        <v>18788</v>
      </c>
      <c r="Z64" s="134">
        <v>18788</v>
      </c>
      <c r="AA64" s="134">
        <v>18788</v>
      </c>
      <c r="AB64" s="134">
        <v>18788</v>
      </c>
      <c r="AC64" s="134">
        <v>18788</v>
      </c>
      <c r="AD64" s="134">
        <v>18788</v>
      </c>
      <c r="AE64" s="134">
        <v>18788</v>
      </c>
      <c r="AF64" s="134">
        <v>18788</v>
      </c>
      <c r="AG64" s="134">
        <v>18788</v>
      </c>
      <c r="AH64" s="134">
        <v>18788</v>
      </c>
      <c r="AI64" s="134">
        <v>18788</v>
      </c>
      <c r="AJ64" s="134">
        <v>18788</v>
      </c>
      <c r="AK64" s="134">
        <v>18788</v>
      </c>
      <c r="AL64" s="134">
        <v>9306.0400000000009</v>
      </c>
      <c r="AM64" s="134">
        <v>0</v>
      </c>
      <c r="AN64" s="134">
        <v>0</v>
      </c>
      <c r="AO64" s="134">
        <v>0</v>
      </c>
      <c r="AP64" s="134">
        <v>0</v>
      </c>
      <c r="AQ64" s="134">
        <v>0</v>
      </c>
      <c r="AR64" s="134">
        <v>0</v>
      </c>
      <c r="AS64" s="134">
        <v>0</v>
      </c>
      <c r="AT64" s="134">
        <v>0</v>
      </c>
      <c r="AU64" s="134">
        <v>0</v>
      </c>
      <c r="AV64" s="134">
        <v>0</v>
      </c>
      <c r="AW64" s="134">
        <v>0</v>
      </c>
      <c r="AX64" s="134"/>
      <c r="AY64" s="134"/>
      <c r="AZ64" s="136">
        <f t="shared" si="4"/>
        <v>309914.03999999998</v>
      </c>
      <c r="BA64" s="334">
        <f t="shared" si="1"/>
        <v>0</v>
      </c>
      <c r="BB64" s="135">
        <f t="shared" si="5"/>
        <v>178398.04</v>
      </c>
      <c r="BC64" s="136">
        <f t="shared" si="6"/>
        <v>309914.04000000004</v>
      </c>
      <c r="BE64" s="159" t="b">
        <f t="shared" si="2"/>
        <v>1</v>
      </c>
      <c r="BF64" s="160"/>
    </row>
    <row r="65" spans="2:58" outlineLevel="1" x14ac:dyDescent="0.25">
      <c r="B65" s="161" t="s">
        <v>818</v>
      </c>
      <c r="C65" s="162"/>
      <c r="D65" s="163" t="s">
        <v>957</v>
      </c>
      <c r="E65" s="137"/>
      <c r="F65" s="137"/>
      <c r="G65" s="137"/>
      <c r="H65" s="137"/>
      <c r="I65" s="137"/>
      <c r="J65" s="138"/>
      <c r="K65" s="138"/>
      <c r="L65" s="138" t="s">
        <v>952</v>
      </c>
      <c r="M65" s="138"/>
      <c r="N65" s="139">
        <f t="shared" si="7"/>
        <v>5</v>
      </c>
      <c r="O65" s="144">
        <v>5</v>
      </c>
      <c r="P65" s="139">
        <f>$P$4</f>
        <v>0</v>
      </c>
      <c r="Q65" s="139" t="s">
        <v>777</v>
      </c>
      <c r="R65" s="140">
        <v>7786.68</v>
      </c>
      <c r="S65" s="140">
        <v>7552.62</v>
      </c>
      <c r="T65" s="140">
        <f t="shared" si="3"/>
        <v>15339.3</v>
      </c>
      <c r="U65" s="335">
        <f t="shared" si="0"/>
        <v>0.40200000000004366</v>
      </c>
      <c r="V65" s="140">
        <f>SUM(V64:$AW64)*$N65/100-156</f>
        <v>15339.701999999999</v>
      </c>
      <c r="W65" s="140">
        <f>SUM(W64:$AW64)*$N65/100</f>
        <v>14556.302</v>
      </c>
      <c r="X65" s="140">
        <f>SUM(X64:$AW64)*$N65/100</f>
        <v>13616.902</v>
      </c>
      <c r="Y65" s="140">
        <f>SUM(Y64:$AW64)*$N65/100</f>
        <v>12677.502</v>
      </c>
      <c r="Z65" s="140">
        <f>SUM(Z64:$AW64)*$N65/100</f>
        <v>11738.101999999999</v>
      </c>
      <c r="AA65" s="140">
        <f>SUM(AA64:$AW64)*$N65/100</f>
        <v>10798.701999999999</v>
      </c>
      <c r="AB65" s="140">
        <f>SUM(AB64:$AW64)*$N65/100</f>
        <v>9859.3020000000015</v>
      </c>
      <c r="AC65" s="140">
        <f>SUM(AC64:$AW64)*$N65/100</f>
        <v>8919.902</v>
      </c>
      <c r="AD65" s="140">
        <f>SUM(AD64:$AW64)*$N65/100</f>
        <v>7980.5020000000004</v>
      </c>
      <c r="AE65" s="140">
        <f>SUM(AE64:$AW64)*$N65/100</f>
        <v>7041.1020000000008</v>
      </c>
      <c r="AF65" s="140">
        <f>SUM(AF64:$AW64)*$N65/100</f>
        <v>6101.7020000000011</v>
      </c>
      <c r="AG65" s="140">
        <f>SUM(AG64:$AW64)*$N65/100</f>
        <v>5162.3020000000006</v>
      </c>
      <c r="AH65" s="140">
        <f>SUM(AH64:$AW64)*$N65/100</f>
        <v>4222.902000000001</v>
      </c>
      <c r="AI65" s="140">
        <f>SUM(AI64:$AW64)*$N65/100</f>
        <v>3283.5020000000009</v>
      </c>
      <c r="AJ65" s="140">
        <f>SUM(AJ64:$AW64)*$N65/100</f>
        <v>2344.1020000000003</v>
      </c>
      <c r="AK65" s="140">
        <f>SUM(AK64:$AW64)*$N65/100</f>
        <v>1404.7020000000002</v>
      </c>
      <c r="AL65" s="140">
        <f>SUM(AL64:$AW64)*$N65/100</f>
        <v>465.30200000000002</v>
      </c>
      <c r="AM65" s="140">
        <v>0</v>
      </c>
      <c r="AN65" s="140">
        <v>0</v>
      </c>
      <c r="AO65" s="140">
        <v>0</v>
      </c>
      <c r="AP65" s="140">
        <v>0</v>
      </c>
      <c r="AQ65" s="140">
        <v>0</v>
      </c>
      <c r="AR65" s="140">
        <v>0</v>
      </c>
      <c r="AS65" s="140">
        <v>0</v>
      </c>
      <c r="AT65" s="140">
        <v>0</v>
      </c>
      <c r="AU65" s="140">
        <v>0</v>
      </c>
      <c r="AV65" s="140">
        <v>0</v>
      </c>
      <c r="AW65" s="140">
        <v>0</v>
      </c>
      <c r="AX65" s="140"/>
      <c r="AY65" s="140"/>
      <c r="AZ65" s="142">
        <f t="shared" si="4"/>
        <v>135512.53400000001</v>
      </c>
      <c r="BA65" s="334">
        <f t="shared" si="1"/>
        <v>0</v>
      </c>
      <c r="BB65" s="141">
        <f t="shared" si="5"/>
        <v>46926.020000000004</v>
      </c>
      <c r="BC65" s="142">
        <f t="shared" si="6"/>
        <v>135512.53400000001</v>
      </c>
      <c r="BE65" s="159" t="b">
        <f t="shared" si="2"/>
        <v>1</v>
      </c>
    </row>
    <row r="66" spans="2:58" s="159" customFormat="1" outlineLevel="1" x14ac:dyDescent="0.25">
      <c r="B66" s="154" t="s">
        <v>767</v>
      </c>
      <c r="C66" s="155">
        <v>31</v>
      </c>
      <c r="D66" s="156" t="s">
        <v>958</v>
      </c>
      <c r="E66" s="130" t="s">
        <v>959</v>
      </c>
      <c r="F66" s="130" t="s">
        <v>960</v>
      </c>
      <c r="G66" s="130" t="s">
        <v>961</v>
      </c>
      <c r="H66" s="130" t="s">
        <v>962</v>
      </c>
      <c r="I66" s="130" t="s">
        <v>773</v>
      </c>
      <c r="J66" s="131">
        <v>53218</v>
      </c>
      <c r="K66" s="132">
        <v>25209</v>
      </c>
      <c r="L66" s="132"/>
      <c r="M66" s="132"/>
      <c r="N66" s="133"/>
      <c r="O66" s="133"/>
      <c r="P66" s="133"/>
      <c r="Q66" s="133" t="s">
        <v>774</v>
      </c>
      <c r="R66" s="134">
        <v>2801</v>
      </c>
      <c r="S66" s="134">
        <v>8403</v>
      </c>
      <c r="T66" s="134">
        <f t="shared" si="3"/>
        <v>11204</v>
      </c>
      <c r="U66" s="333">
        <f t="shared" si="0"/>
        <v>0</v>
      </c>
      <c r="V66" s="134">
        <v>11204</v>
      </c>
      <c r="W66" s="134">
        <v>8403</v>
      </c>
      <c r="X66" s="134">
        <v>0</v>
      </c>
      <c r="Y66" s="134">
        <v>0</v>
      </c>
      <c r="Z66" s="134">
        <v>0</v>
      </c>
      <c r="AA66" s="134">
        <v>0</v>
      </c>
      <c r="AB66" s="134">
        <v>0</v>
      </c>
      <c r="AC66" s="134">
        <v>0</v>
      </c>
      <c r="AD66" s="134">
        <v>0</v>
      </c>
      <c r="AE66" s="134">
        <v>0</v>
      </c>
      <c r="AF66" s="134">
        <v>0</v>
      </c>
      <c r="AG66" s="134">
        <v>0</v>
      </c>
      <c r="AH66" s="134">
        <v>0</v>
      </c>
      <c r="AI66" s="134">
        <v>0</v>
      </c>
      <c r="AJ66" s="134">
        <v>0</v>
      </c>
      <c r="AK66" s="134">
        <v>0</v>
      </c>
      <c r="AL66" s="134">
        <v>0</v>
      </c>
      <c r="AM66" s="134">
        <v>0</v>
      </c>
      <c r="AN66" s="134">
        <v>0</v>
      </c>
      <c r="AO66" s="134">
        <v>0</v>
      </c>
      <c r="AP66" s="134">
        <v>0</v>
      </c>
      <c r="AQ66" s="134">
        <v>0</v>
      </c>
      <c r="AR66" s="134">
        <v>0</v>
      </c>
      <c r="AS66" s="134">
        <v>0</v>
      </c>
      <c r="AT66" s="134">
        <v>0</v>
      </c>
      <c r="AU66" s="134">
        <v>0</v>
      </c>
      <c r="AV66" s="134">
        <v>0</v>
      </c>
      <c r="AW66" s="134">
        <v>0</v>
      </c>
      <c r="AX66" s="134"/>
      <c r="AY66" s="134"/>
      <c r="AZ66" s="136">
        <f t="shared" si="4"/>
        <v>19607</v>
      </c>
      <c r="BA66" s="334">
        <f t="shared" si="1"/>
        <v>0</v>
      </c>
      <c r="BB66" s="135">
        <f t="shared" si="5"/>
        <v>0</v>
      </c>
      <c r="BC66" s="136">
        <f t="shared" si="6"/>
        <v>19607</v>
      </c>
      <c r="BE66" s="159" t="b">
        <f t="shared" si="2"/>
        <v>1</v>
      </c>
      <c r="BF66" s="160"/>
    </row>
    <row r="67" spans="2:58" outlineLevel="1" x14ac:dyDescent="0.25">
      <c r="B67" s="161" t="s">
        <v>767</v>
      </c>
      <c r="C67" s="162"/>
      <c r="D67" s="163"/>
      <c r="E67" s="137"/>
      <c r="F67" s="137"/>
      <c r="G67" s="137"/>
      <c r="H67" s="137"/>
      <c r="I67" s="137"/>
      <c r="J67" s="138"/>
      <c r="K67" s="138"/>
      <c r="L67" s="138">
        <v>0</v>
      </c>
      <c r="M67" s="138" t="s">
        <v>963</v>
      </c>
      <c r="N67" s="139">
        <f t="shared" si="7"/>
        <v>0.25</v>
      </c>
      <c r="O67" s="139">
        <v>0.25</v>
      </c>
      <c r="P67" s="139">
        <f>$P$4</f>
        <v>0</v>
      </c>
      <c r="Q67" s="139" t="s">
        <v>777</v>
      </c>
      <c r="R67" s="140">
        <v>26.240000000000002</v>
      </c>
      <c r="S67" s="140">
        <v>19.149999999999999</v>
      </c>
      <c r="T67" s="140">
        <f t="shared" si="3"/>
        <v>45.39</v>
      </c>
      <c r="U67" s="335">
        <f t="shared" si="0"/>
        <v>0.62749999999999773</v>
      </c>
      <c r="V67" s="140">
        <f>SUM(V66:$AW66)*$N67/100-3</f>
        <v>46.017499999999998</v>
      </c>
      <c r="W67" s="140">
        <f>SUM(W66:$AW66)*$N67/100</f>
        <v>21.0075</v>
      </c>
      <c r="X67" s="140">
        <v>0</v>
      </c>
      <c r="Y67" s="140">
        <v>0</v>
      </c>
      <c r="Z67" s="140">
        <v>0</v>
      </c>
      <c r="AA67" s="140">
        <v>0</v>
      </c>
      <c r="AB67" s="140">
        <v>0</v>
      </c>
      <c r="AC67" s="140">
        <v>0</v>
      </c>
      <c r="AD67" s="140">
        <v>0</v>
      </c>
      <c r="AE67" s="140">
        <v>0</v>
      </c>
      <c r="AF67" s="140">
        <v>0</v>
      </c>
      <c r="AG67" s="140">
        <v>0</v>
      </c>
      <c r="AH67" s="140">
        <v>0</v>
      </c>
      <c r="AI67" s="140">
        <v>0</v>
      </c>
      <c r="AJ67" s="140">
        <v>0</v>
      </c>
      <c r="AK67" s="140">
        <v>0</v>
      </c>
      <c r="AL67" s="140">
        <v>0</v>
      </c>
      <c r="AM67" s="140">
        <v>0</v>
      </c>
      <c r="AN67" s="140">
        <v>0</v>
      </c>
      <c r="AO67" s="140">
        <v>0</v>
      </c>
      <c r="AP67" s="140">
        <v>0</v>
      </c>
      <c r="AQ67" s="140">
        <v>0</v>
      </c>
      <c r="AR67" s="140">
        <v>0</v>
      </c>
      <c r="AS67" s="140">
        <v>0</v>
      </c>
      <c r="AT67" s="140">
        <v>0</v>
      </c>
      <c r="AU67" s="140">
        <v>0</v>
      </c>
      <c r="AV67" s="140">
        <v>0</v>
      </c>
      <c r="AW67" s="140">
        <v>0</v>
      </c>
      <c r="AX67" s="140"/>
      <c r="AY67" s="140"/>
      <c r="AZ67" s="142">
        <f t="shared" si="4"/>
        <v>67.025000000000006</v>
      </c>
      <c r="BA67" s="334">
        <f t="shared" si="1"/>
        <v>0</v>
      </c>
      <c r="BB67" s="141">
        <f t="shared" si="5"/>
        <v>0</v>
      </c>
      <c r="BC67" s="142">
        <f t="shared" si="6"/>
        <v>67.025000000000006</v>
      </c>
      <c r="BE67" s="159" t="b">
        <f t="shared" si="2"/>
        <v>1</v>
      </c>
    </row>
    <row r="68" spans="2:58" s="159" customFormat="1" outlineLevel="1" x14ac:dyDescent="0.25">
      <c r="B68" s="154" t="s">
        <v>767</v>
      </c>
      <c r="C68" s="155">
        <v>32</v>
      </c>
      <c r="D68" s="156" t="s">
        <v>964</v>
      </c>
      <c r="E68" s="130" t="s">
        <v>965</v>
      </c>
      <c r="F68" s="130" t="s">
        <v>966</v>
      </c>
      <c r="G68" s="130" t="s">
        <v>961</v>
      </c>
      <c r="H68" s="130" t="s">
        <v>962</v>
      </c>
      <c r="I68" s="130" t="s">
        <v>773</v>
      </c>
      <c r="J68" s="131">
        <v>46991.33</v>
      </c>
      <c r="K68" s="132">
        <v>22264.33</v>
      </c>
      <c r="L68" s="132"/>
      <c r="M68" s="132"/>
      <c r="N68" s="133"/>
      <c r="O68" s="133"/>
      <c r="P68" s="133"/>
      <c r="Q68" s="133" t="s">
        <v>774</v>
      </c>
      <c r="R68" s="134">
        <v>2474</v>
      </c>
      <c r="S68" s="134">
        <v>7422</v>
      </c>
      <c r="T68" s="134">
        <f t="shared" si="3"/>
        <v>9896</v>
      </c>
      <c r="U68" s="333">
        <f t="shared" si="0"/>
        <v>0</v>
      </c>
      <c r="V68" s="134">
        <v>9896</v>
      </c>
      <c r="W68" s="134">
        <v>7420.33</v>
      </c>
      <c r="X68" s="134">
        <v>0</v>
      </c>
      <c r="Y68" s="134">
        <v>0</v>
      </c>
      <c r="Z68" s="134">
        <v>0</v>
      </c>
      <c r="AA68" s="134">
        <v>0</v>
      </c>
      <c r="AB68" s="134">
        <v>0</v>
      </c>
      <c r="AC68" s="134">
        <v>0</v>
      </c>
      <c r="AD68" s="134">
        <v>0</v>
      </c>
      <c r="AE68" s="134">
        <v>0</v>
      </c>
      <c r="AF68" s="134">
        <v>0</v>
      </c>
      <c r="AG68" s="134">
        <v>0</v>
      </c>
      <c r="AH68" s="134">
        <v>0</v>
      </c>
      <c r="AI68" s="134">
        <v>0</v>
      </c>
      <c r="AJ68" s="134">
        <v>0</v>
      </c>
      <c r="AK68" s="134">
        <v>0</v>
      </c>
      <c r="AL68" s="134">
        <v>0</v>
      </c>
      <c r="AM68" s="134">
        <v>0</v>
      </c>
      <c r="AN68" s="134">
        <v>0</v>
      </c>
      <c r="AO68" s="134">
        <v>0</v>
      </c>
      <c r="AP68" s="134">
        <v>0</v>
      </c>
      <c r="AQ68" s="134">
        <v>0</v>
      </c>
      <c r="AR68" s="134">
        <v>0</v>
      </c>
      <c r="AS68" s="134">
        <v>0</v>
      </c>
      <c r="AT68" s="134">
        <v>0</v>
      </c>
      <c r="AU68" s="134">
        <v>0</v>
      </c>
      <c r="AV68" s="134">
        <v>0</v>
      </c>
      <c r="AW68" s="134">
        <v>0</v>
      </c>
      <c r="AX68" s="134"/>
      <c r="AY68" s="134"/>
      <c r="AZ68" s="136">
        <f t="shared" si="4"/>
        <v>17316.330000000002</v>
      </c>
      <c r="BA68" s="334">
        <f t="shared" si="1"/>
        <v>0</v>
      </c>
      <c r="BB68" s="135">
        <f t="shared" si="5"/>
        <v>0</v>
      </c>
      <c r="BC68" s="136">
        <f t="shared" si="6"/>
        <v>17316.330000000002</v>
      </c>
      <c r="BE68" s="159" t="b">
        <f t="shared" si="2"/>
        <v>1</v>
      </c>
      <c r="BF68" s="160"/>
    </row>
    <row r="69" spans="2:58" outlineLevel="1" x14ac:dyDescent="0.25">
      <c r="B69" s="161" t="s">
        <v>767</v>
      </c>
      <c r="C69" s="162"/>
      <c r="D69" s="163"/>
      <c r="E69" s="137"/>
      <c r="F69" s="137"/>
      <c r="G69" s="137"/>
      <c r="H69" s="137"/>
      <c r="I69" s="137"/>
      <c r="J69" s="138"/>
      <c r="K69" s="138"/>
      <c r="L69" s="138">
        <v>0</v>
      </c>
      <c r="M69" s="138" t="s">
        <v>963</v>
      </c>
      <c r="N69" s="139">
        <f t="shared" si="7"/>
        <v>0.25</v>
      </c>
      <c r="O69" s="139">
        <v>0.25</v>
      </c>
      <c r="P69" s="139">
        <f>$P$4</f>
        <v>0</v>
      </c>
      <c r="Q69" s="139" t="s">
        <v>777</v>
      </c>
      <c r="R69" s="140">
        <v>23.17</v>
      </c>
      <c r="S69" s="140">
        <v>16.91</v>
      </c>
      <c r="T69" s="140">
        <f t="shared" si="3"/>
        <v>40.08</v>
      </c>
      <c r="U69" s="335">
        <f t="shared" si="0"/>
        <v>0.21082500000000692</v>
      </c>
      <c r="V69" s="140">
        <f>SUM(V68:$AW68)*$N69/100-3</f>
        <v>40.290825000000005</v>
      </c>
      <c r="W69" s="140">
        <f>SUM(W68:$AW68)*$N69/100</f>
        <v>18.550825</v>
      </c>
      <c r="X69" s="140">
        <v>0</v>
      </c>
      <c r="Y69" s="140">
        <v>0</v>
      </c>
      <c r="Z69" s="140">
        <v>0</v>
      </c>
      <c r="AA69" s="140">
        <v>0</v>
      </c>
      <c r="AB69" s="140">
        <v>0</v>
      </c>
      <c r="AC69" s="140">
        <v>0</v>
      </c>
      <c r="AD69" s="140">
        <v>0</v>
      </c>
      <c r="AE69" s="140">
        <v>0</v>
      </c>
      <c r="AF69" s="140">
        <v>0</v>
      </c>
      <c r="AG69" s="140">
        <v>0</v>
      </c>
      <c r="AH69" s="140">
        <v>0</v>
      </c>
      <c r="AI69" s="140">
        <v>0</v>
      </c>
      <c r="AJ69" s="140">
        <v>0</v>
      </c>
      <c r="AK69" s="140">
        <v>0</v>
      </c>
      <c r="AL69" s="140">
        <v>0</v>
      </c>
      <c r="AM69" s="140">
        <v>0</v>
      </c>
      <c r="AN69" s="140">
        <v>0</v>
      </c>
      <c r="AO69" s="140">
        <v>0</v>
      </c>
      <c r="AP69" s="140">
        <v>0</v>
      </c>
      <c r="AQ69" s="140">
        <v>0</v>
      </c>
      <c r="AR69" s="140">
        <v>0</v>
      </c>
      <c r="AS69" s="140">
        <v>0</v>
      </c>
      <c r="AT69" s="140">
        <v>0</v>
      </c>
      <c r="AU69" s="140">
        <v>0</v>
      </c>
      <c r="AV69" s="140">
        <v>0</v>
      </c>
      <c r="AW69" s="140">
        <v>0</v>
      </c>
      <c r="AX69" s="140"/>
      <c r="AY69" s="140"/>
      <c r="AZ69" s="142">
        <f t="shared" si="4"/>
        <v>58.841650000000001</v>
      </c>
      <c r="BA69" s="334">
        <f t="shared" si="1"/>
        <v>0</v>
      </c>
      <c r="BB69" s="141">
        <f t="shared" si="5"/>
        <v>0</v>
      </c>
      <c r="BC69" s="142">
        <f t="shared" si="6"/>
        <v>58.841650000000001</v>
      </c>
      <c r="BE69" s="159" t="b">
        <f t="shared" si="2"/>
        <v>1</v>
      </c>
    </row>
    <row r="70" spans="2:58" s="159" customFormat="1" outlineLevel="1" x14ac:dyDescent="0.25">
      <c r="B70" s="154" t="s">
        <v>818</v>
      </c>
      <c r="C70" s="155">
        <v>33</v>
      </c>
      <c r="D70" s="156" t="s">
        <v>967</v>
      </c>
      <c r="E70" s="130" t="s">
        <v>968</v>
      </c>
      <c r="F70" s="130" t="s">
        <v>969</v>
      </c>
      <c r="G70" s="130" t="s">
        <v>970</v>
      </c>
      <c r="H70" s="130" t="s">
        <v>971</v>
      </c>
      <c r="I70" s="130" t="s">
        <v>773</v>
      </c>
      <c r="J70" s="131">
        <v>9703992</v>
      </c>
      <c r="K70" s="132">
        <v>9485777.9199999999</v>
      </c>
      <c r="L70" s="132"/>
      <c r="M70" s="132"/>
      <c r="N70" s="133"/>
      <c r="O70" s="133">
        <v>4.1559999999999997</v>
      </c>
      <c r="P70" s="133"/>
      <c r="Q70" s="133" t="s">
        <v>774</v>
      </c>
      <c r="R70" s="134">
        <v>85877</v>
      </c>
      <c r="S70" s="134">
        <v>257631</v>
      </c>
      <c r="T70" s="134">
        <f t="shared" si="3"/>
        <v>343508</v>
      </c>
      <c r="U70" s="333">
        <f t="shared" si="0"/>
        <v>0</v>
      </c>
      <c r="V70" s="134">
        <v>343508</v>
      </c>
      <c r="W70" s="134">
        <v>343508</v>
      </c>
      <c r="X70" s="134">
        <v>343508</v>
      </c>
      <c r="Y70" s="134">
        <v>343508</v>
      </c>
      <c r="Z70" s="134">
        <v>343508</v>
      </c>
      <c r="AA70" s="134">
        <v>343508</v>
      </c>
      <c r="AB70" s="134">
        <v>343508</v>
      </c>
      <c r="AC70" s="134">
        <v>343508</v>
      </c>
      <c r="AD70" s="134">
        <v>343508</v>
      </c>
      <c r="AE70" s="134">
        <v>343508</v>
      </c>
      <c r="AF70" s="134">
        <v>343508</v>
      </c>
      <c r="AG70" s="134">
        <v>343508</v>
      </c>
      <c r="AH70" s="134">
        <v>343508</v>
      </c>
      <c r="AI70" s="134">
        <v>343508</v>
      </c>
      <c r="AJ70" s="134">
        <v>343508</v>
      </c>
      <c r="AK70" s="134">
        <v>343508</v>
      </c>
      <c r="AL70" s="134">
        <v>343508</v>
      </c>
      <c r="AM70" s="134">
        <v>343508</v>
      </c>
      <c r="AN70" s="134">
        <v>343508</v>
      </c>
      <c r="AO70" s="134">
        <v>343508</v>
      </c>
      <c r="AP70" s="134">
        <v>343508</v>
      </c>
      <c r="AQ70" s="134">
        <v>343508</v>
      </c>
      <c r="AR70" s="134">
        <v>343508</v>
      </c>
      <c r="AS70" s="134">
        <v>343508</v>
      </c>
      <c r="AT70" s="134">
        <v>343508</v>
      </c>
      <c r="AU70" s="134">
        <v>343508</v>
      </c>
      <c r="AV70" s="134">
        <v>343508</v>
      </c>
      <c r="AW70" s="134">
        <v>39307.919999999998</v>
      </c>
      <c r="AX70" s="134"/>
      <c r="AY70" s="134"/>
      <c r="AZ70" s="136">
        <f t="shared" si="4"/>
        <v>9314023.9199999999</v>
      </c>
      <c r="BA70" s="334">
        <f t="shared" si="1"/>
        <v>0</v>
      </c>
      <c r="BB70" s="135">
        <f t="shared" si="5"/>
        <v>6909467.9199999999</v>
      </c>
      <c r="BC70" s="136">
        <f t="shared" si="6"/>
        <v>9314023.9199999999</v>
      </c>
      <c r="BE70" s="159" t="b">
        <f t="shared" si="2"/>
        <v>1</v>
      </c>
      <c r="BF70" s="160"/>
    </row>
    <row r="71" spans="2:58" outlineLevel="1" x14ac:dyDescent="0.25">
      <c r="B71" s="161" t="s">
        <v>818</v>
      </c>
      <c r="C71" s="162"/>
      <c r="D71" s="163"/>
      <c r="E71" s="137"/>
      <c r="F71" s="137"/>
      <c r="G71" s="137"/>
      <c r="H71" s="137"/>
      <c r="I71" s="137"/>
      <c r="J71" s="138"/>
      <c r="K71" s="138"/>
      <c r="L71" s="138" t="s">
        <v>972</v>
      </c>
      <c r="M71" s="138"/>
      <c r="N71" s="139">
        <f t="shared" si="7"/>
        <v>4.75</v>
      </c>
      <c r="O71" s="144">
        <v>4.75</v>
      </c>
      <c r="P71" s="139">
        <f>$P$4</f>
        <v>0</v>
      </c>
      <c r="Q71" s="139" t="s">
        <v>777</v>
      </c>
      <c r="R71" s="140">
        <v>202542.41</v>
      </c>
      <c r="S71" s="140">
        <v>207771.4</v>
      </c>
      <c r="T71" s="140">
        <f t="shared" si="3"/>
        <v>410313.81</v>
      </c>
      <c r="U71" s="337">
        <f t="shared" ref="U71:U134" si="10">V71-T71</f>
        <v>0.32619999995222315</v>
      </c>
      <c r="V71" s="140">
        <f>SUM(V70:$AW70)*$N71/100-32102</f>
        <v>410314.13619999995</v>
      </c>
      <c r="W71" s="140">
        <f>SUM(W70:$AW70)*$N71/100</f>
        <v>426099.50619999995</v>
      </c>
      <c r="X71" s="140">
        <f>SUM(X70:$AW70)*$N71/100</f>
        <v>409782.8762</v>
      </c>
      <c r="Y71" s="140">
        <f>SUM(Y70:$AW70)*$N71/100</f>
        <v>393466.24619999999</v>
      </c>
      <c r="Z71" s="140">
        <f>SUM(Z70:$AW70)*$N71/100</f>
        <v>377149.61619999999</v>
      </c>
      <c r="AA71" s="140">
        <f>SUM(AA70:$AW70)*$N71/100</f>
        <v>360832.98619999998</v>
      </c>
      <c r="AB71" s="140">
        <f>SUM(AB70:$AW70)*$N71/100</f>
        <v>344516.35619999998</v>
      </c>
      <c r="AC71" s="140">
        <f>SUM(AC70:$AW70)*$N71/100</f>
        <v>328199.72620000003</v>
      </c>
      <c r="AD71" s="140">
        <f>SUM(AD70:$AW70)*$N71/100</f>
        <v>311883.09620000003</v>
      </c>
      <c r="AE71" s="140">
        <f>SUM(AE70:$AW70)*$N71/100</f>
        <v>295566.46620000002</v>
      </c>
      <c r="AF71" s="140">
        <f>SUM(AF70:$AW70)*$N71/100</f>
        <v>279249.83620000002</v>
      </c>
      <c r="AG71" s="140">
        <f>SUM(AG70:$AW70)*$N71/100</f>
        <v>262933.20620000002</v>
      </c>
      <c r="AH71" s="140">
        <f>SUM(AH70:$AW70)*$N71/100</f>
        <v>246616.57620000001</v>
      </c>
      <c r="AI71" s="140">
        <f>SUM(AI70:$AW70)*$N71/100</f>
        <v>230299.94620000001</v>
      </c>
      <c r="AJ71" s="140">
        <f>SUM(AJ70:$AW70)*$N71/100</f>
        <v>213983.3162</v>
      </c>
      <c r="AK71" s="140">
        <f>SUM(AK70:$AW70)*$N71/100</f>
        <v>197666.6862</v>
      </c>
      <c r="AL71" s="140">
        <f>SUM(AL70:$AW70)*$N71/100</f>
        <v>181350.05620000002</v>
      </c>
      <c r="AM71" s="140">
        <f>SUM(AM70:$AW70)*$N71/100</f>
        <v>165033.42619999999</v>
      </c>
      <c r="AN71" s="140">
        <f>SUM(AN70:$AW70)*$N71/100</f>
        <v>148716.79619999998</v>
      </c>
      <c r="AO71" s="140">
        <f>SUM(AO70:$AW70)*$N71/100</f>
        <v>132400.16619999998</v>
      </c>
      <c r="AP71" s="140">
        <f>SUM(AP70:$AW70)*$N71/100</f>
        <v>116083.53619999999</v>
      </c>
      <c r="AQ71" s="140">
        <f>SUM(AQ70:$AW70)*$N71/100</f>
        <v>99766.906199999998</v>
      </c>
      <c r="AR71" s="140">
        <f>SUM(AR70:$AW70)*$N71/100</f>
        <v>83450.276199999993</v>
      </c>
      <c r="AS71" s="140">
        <f>SUM(AS70:$AW70)*$N71/100</f>
        <v>67133.646199999988</v>
      </c>
      <c r="AT71" s="140">
        <f>SUM(AT70:$AW70)*$N71/100</f>
        <v>50817.016199999991</v>
      </c>
      <c r="AU71" s="140">
        <f>SUM(AU70:$AW70)*$N71/100</f>
        <v>34500.386200000001</v>
      </c>
      <c r="AV71" s="140">
        <f>SUM(AV70:$AW70)*$N71/100</f>
        <v>18183.7562</v>
      </c>
      <c r="AW71" s="140">
        <f>SUM(AW70:$AW70)*$N71/100</f>
        <v>1867.1261999999999</v>
      </c>
      <c r="AX71" s="140"/>
      <c r="AY71" s="140"/>
      <c r="AZ71" s="142">
        <f t="shared" si="4"/>
        <v>6187863.6736000003</v>
      </c>
      <c r="BA71" s="334">
        <f t="shared" si="1"/>
        <v>0</v>
      </c>
      <c r="BB71" s="141">
        <f t="shared" si="5"/>
        <v>3465701.9502000008</v>
      </c>
      <c r="BC71" s="142">
        <f t="shared" si="6"/>
        <v>6187863.6736000003</v>
      </c>
      <c r="BE71" s="159" t="b">
        <f t="shared" si="2"/>
        <v>1</v>
      </c>
    </row>
    <row r="72" spans="2:58" s="159" customFormat="1" outlineLevel="1" x14ac:dyDescent="0.25">
      <c r="B72" s="154" t="s">
        <v>818</v>
      </c>
      <c r="C72" s="155">
        <v>34</v>
      </c>
      <c r="D72" s="156" t="s">
        <v>973</v>
      </c>
      <c r="E72" s="130" t="s">
        <v>974</v>
      </c>
      <c r="F72" s="130" t="s">
        <v>975</v>
      </c>
      <c r="G72" s="130" t="s">
        <v>970</v>
      </c>
      <c r="H72" s="130" t="s">
        <v>976</v>
      </c>
      <c r="I72" s="130" t="s">
        <v>773</v>
      </c>
      <c r="J72" s="131">
        <v>43430</v>
      </c>
      <c r="K72" s="132">
        <v>6572</v>
      </c>
      <c r="L72" s="132"/>
      <c r="M72" s="132"/>
      <c r="N72" s="133"/>
      <c r="O72" s="133"/>
      <c r="P72" s="133"/>
      <c r="Q72" s="133" t="s">
        <v>774</v>
      </c>
      <c r="R72" s="134">
        <v>212</v>
      </c>
      <c r="S72" s="134">
        <v>636</v>
      </c>
      <c r="T72" s="134">
        <f t="shared" ref="T72:T125" si="11">SUM(R72:S72)</f>
        <v>848</v>
      </c>
      <c r="U72" s="333">
        <f t="shared" si="10"/>
        <v>0</v>
      </c>
      <c r="V72" s="134">
        <v>848</v>
      </c>
      <c r="W72" s="134">
        <v>848</v>
      </c>
      <c r="X72" s="134">
        <v>848</v>
      </c>
      <c r="Y72" s="134">
        <v>848</v>
      </c>
      <c r="Z72" s="134">
        <v>848</v>
      </c>
      <c r="AA72" s="134">
        <v>848</v>
      </c>
      <c r="AB72" s="134">
        <v>848</v>
      </c>
      <c r="AC72" s="134">
        <v>212</v>
      </c>
      <c r="AD72" s="134">
        <v>0</v>
      </c>
      <c r="AE72" s="134">
        <v>0</v>
      </c>
      <c r="AF72" s="134">
        <v>0</v>
      </c>
      <c r="AG72" s="134">
        <v>0</v>
      </c>
      <c r="AH72" s="134">
        <v>0</v>
      </c>
      <c r="AI72" s="134">
        <v>0</v>
      </c>
      <c r="AJ72" s="134">
        <v>0</v>
      </c>
      <c r="AK72" s="134">
        <v>0</v>
      </c>
      <c r="AL72" s="134">
        <v>0</v>
      </c>
      <c r="AM72" s="134">
        <v>0</v>
      </c>
      <c r="AN72" s="134">
        <v>0</v>
      </c>
      <c r="AO72" s="134">
        <v>0</v>
      </c>
      <c r="AP72" s="134">
        <v>0</v>
      </c>
      <c r="AQ72" s="134">
        <v>0</v>
      </c>
      <c r="AR72" s="134">
        <v>0</v>
      </c>
      <c r="AS72" s="134">
        <v>0</v>
      </c>
      <c r="AT72" s="134">
        <v>0</v>
      </c>
      <c r="AU72" s="134">
        <v>0</v>
      </c>
      <c r="AV72" s="134">
        <v>0</v>
      </c>
      <c r="AW72" s="134">
        <v>0</v>
      </c>
      <c r="AX72" s="134"/>
      <c r="AY72" s="134"/>
      <c r="AZ72" s="136">
        <f t="shared" ref="AZ72:AZ135" si="12">SUM(V72:AY72)</f>
        <v>6148</v>
      </c>
      <c r="BA72" s="334">
        <f t="shared" si="1"/>
        <v>0</v>
      </c>
      <c r="BB72" s="135">
        <f t="shared" ref="BB72:BB135" si="13">SUM(AC72:AY72)</f>
        <v>212</v>
      </c>
      <c r="BC72" s="136">
        <f t="shared" si="6"/>
        <v>6148</v>
      </c>
      <c r="BE72" s="159" t="b">
        <f t="shared" si="2"/>
        <v>1</v>
      </c>
      <c r="BF72" s="160"/>
    </row>
    <row r="73" spans="2:58" outlineLevel="1" x14ac:dyDescent="0.25">
      <c r="B73" s="161" t="s">
        <v>818</v>
      </c>
      <c r="C73" s="162"/>
      <c r="D73" s="163"/>
      <c r="E73" s="137"/>
      <c r="F73" s="137"/>
      <c r="G73" s="137"/>
      <c r="H73" s="137"/>
      <c r="I73" s="137"/>
      <c r="J73" s="138"/>
      <c r="K73" s="138"/>
      <c r="L73" s="138">
        <v>0</v>
      </c>
      <c r="M73" s="138" t="s">
        <v>963</v>
      </c>
      <c r="N73" s="139">
        <f t="shared" ref="N73:N127" si="14">SUM(O73:P73)</f>
        <v>0.25</v>
      </c>
      <c r="O73" s="139">
        <v>0.25</v>
      </c>
      <c r="P73" s="139">
        <f>$P$4</f>
        <v>0</v>
      </c>
      <c r="Q73" s="139" t="s">
        <v>777</v>
      </c>
      <c r="R73" s="140">
        <v>7.9</v>
      </c>
      <c r="S73" s="140">
        <v>7.3800000000000008</v>
      </c>
      <c r="T73" s="140">
        <f t="shared" si="11"/>
        <v>15.280000000000001</v>
      </c>
      <c r="U73" s="335">
        <f t="shared" si="10"/>
        <v>8.9999999999998082E-2</v>
      </c>
      <c r="V73" s="140">
        <f>SUM(V72:$AW72)*$N73/100</f>
        <v>15.37</v>
      </c>
      <c r="W73" s="140">
        <f>SUM(W72:$AW72)*$N73/100</f>
        <v>13.25</v>
      </c>
      <c r="X73" s="140">
        <f>SUM(X72:$AW72)*$N73/100</f>
        <v>11.13</v>
      </c>
      <c r="Y73" s="140">
        <f>SUM(Y72:$AW72)*$N73/100</f>
        <v>9.01</v>
      </c>
      <c r="Z73" s="140">
        <f>SUM(Z72:$AW72)*$N73/100</f>
        <v>6.89</v>
      </c>
      <c r="AA73" s="140">
        <f>SUM(AA72:$AW72)*$N73/100</f>
        <v>4.7699999999999996</v>
      </c>
      <c r="AB73" s="140">
        <f>SUM(AB72:$AW72)*$N73/100</f>
        <v>2.65</v>
      </c>
      <c r="AC73" s="140">
        <f>SUM(AC72:$AW72)*$N73/100</f>
        <v>0.53</v>
      </c>
      <c r="AD73" s="140">
        <v>0</v>
      </c>
      <c r="AE73" s="140">
        <v>0</v>
      </c>
      <c r="AF73" s="140">
        <v>0</v>
      </c>
      <c r="AG73" s="140">
        <v>0</v>
      </c>
      <c r="AH73" s="140">
        <v>0</v>
      </c>
      <c r="AI73" s="140">
        <v>0</v>
      </c>
      <c r="AJ73" s="140">
        <v>0</v>
      </c>
      <c r="AK73" s="140">
        <v>0</v>
      </c>
      <c r="AL73" s="140">
        <v>0</v>
      </c>
      <c r="AM73" s="140">
        <v>0</v>
      </c>
      <c r="AN73" s="140">
        <v>0</v>
      </c>
      <c r="AO73" s="140">
        <v>0</v>
      </c>
      <c r="AP73" s="140">
        <v>0</v>
      </c>
      <c r="AQ73" s="140">
        <v>0</v>
      </c>
      <c r="AR73" s="140">
        <v>0</v>
      </c>
      <c r="AS73" s="140">
        <v>0</v>
      </c>
      <c r="AT73" s="140">
        <v>0</v>
      </c>
      <c r="AU73" s="140">
        <v>0</v>
      </c>
      <c r="AV73" s="140">
        <v>0</v>
      </c>
      <c r="AW73" s="140">
        <v>0</v>
      </c>
      <c r="AX73" s="140"/>
      <c r="AY73" s="140"/>
      <c r="AZ73" s="142">
        <f t="shared" si="12"/>
        <v>63.6</v>
      </c>
      <c r="BA73" s="334">
        <f t="shared" ref="BA73:BA138" si="15">AZ73-SUM(V73:AY73)</f>
        <v>0</v>
      </c>
      <c r="BB73" s="141">
        <f t="shared" si="13"/>
        <v>0.53</v>
      </c>
      <c r="BC73" s="142">
        <f t="shared" si="6"/>
        <v>63.6</v>
      </c>
      <c r="BE73" s="159" t="b">
        <f t="shared" ref="BE73:BE138" si="16">AZ73=BC73</f>
        <v>1</v>
      </c>
    </row>
    <row r="74" spans="2:58" s="159" customFormat="1" outlineLevel="1" x14ac:dyDescent="0.25">
      <c r="B74" s="154" t="s">
        <v>818</v>
      </c>
      <c r="C74" s="155">
        <v>35</v>
      </c>
      <c r="D74" s="156" t="s">
        <v>977</v>
      </c>
      <c r="E74" s="130" t="s">
        <v>978</v>
      </c>
      <c r="F74" s="130" t="s">
        <v>979</v>
      </c>
      <c r="G74" s="130" t="s">
        <v>980</v>
      </c>
      <c r="H74" s="130" t="s">
        <v>981</v>
      </c>
      <c r="I74" s="130" t="s">
        <v>773</v>
      </c>
      <c r="J74" s="131">
        <v>400000</v>
      </c>
      <c r="K74" s="132">
        <v>379509</v>
      </c>
      <c r="L74" s="132"/>
      <c r="M74" s="132"/>
      <c r="N74" s="133"/>
      <c r="O74" s="133">
        <v>4.242</v>
      </c>
      <c r="P74" s="133"/>
      <c r="Q74" s="133" t="s">
        <v>774</v>
      </c>
      <c r="R74" s="134">
        <v>3419</v>
      </c>
      <c r="S74" s="134">
        <v>10257</v>
      </c>
      <c r="T74" s="134">
        <f t="shared" si="11"/>
        <v>13676</v>
      </c>
      <c r="U74" s="333">
        <f t="shared" si="10"/>
        <v>0</v>
      </c>
      <c r="V74" s="134">
        <v>13676</v>
      </c>
      <c r="W74" s="134">
        <v>13676</v>
      </c>
      <c r="X74" s="134">
        <v>13676</v>
      </c>
      <c r="Y74" s="134">
        <v>13676</v>
      </c>
      <c r="Z74" s="134">
        <v>13676</v>
      </c>
      <c r="AA74" s="134">
        <v>13676</v>
      </c>
      <c r="AB74" s="134">
        <v>13676</v>
      </c>
      <c r="AC74" s="134">
        <v>13676</v>
      </c>
      <c r="AD74" s="134">
        <v>13676</v>
      </c>
      <c r="AE74" s="134">
        <v>13676</v>
      </c>
      <c r="AF74" s="134">
        <v>13676</v>
      </c>
      <c r="AG74" s="134">
        <v>13676</v>
      </c>
      <c r="AH74" s="134">
        <v>13676</v>
      </c>
      <c r="AI74" s="134">
        <v>13676</v>
      </c>
      <c r="AJ74" s="134">
        <v>13676</v>
      </c>
      <c r="AK74" s="134">
        <v>13676</v>
      </c>
      <c r="AL74" s="134">
        <v>13676</v>
      </c>
      <c r="AM74" s="134">
        <v>13676</v>
      </c>
      <c r="AN74" s="134">
        <v>13676</v>
      </c>
      <c r="AO74" s="134">
        <v>13676</v>
      </c>
      <c r="AP74" s="134">
        <v>13676</v>
      </c>
      <c r="AQ74" s="134">
        <v>13676</v>
      </c>
      <c r="AR74" s="134">
        <v>13676</v>
      </c>
      <c r="AS74" s="134">
        <v>13676</v>
      </c>
      <c r="AT74" s="134">
        <v>13676</v>
      </c>
      <c r="AU74" s="134">
        <v>13676</v>
      </c>
      <c r="AV74" s="134">
        <v>13676</v>
      </c>
      <c r="AW74" s="134">
        <v>3419</v>
      </c>
      <c r="AX74" s="134"/>
      <c r="AY74" s="134"/>
      <c r="AZ74" s="136">
        <f t="shared" si="12"/>
        <v>372671</v>
      </c>
      <c r="BA74" s="334">
        <f t="shared" si="15"/>
        <v>0</v>
      </c>
      <c r="BB74" s="135">
        <f t="shared" si="13"/>
        <v>276939</v>
      </c>
      <c r="BC74" s="136">
        <f t="shared" ref="BC74:BC135" si="17">SUM(V74:AB74,BB74)</f>
        <v>372671</v>
      </c>
      <c r="BE74" s="159" t="b">
        <f t="shared" si="16"/>
        <v>1</v>
      </c>
      <c r="BF74" s="160"/>
    </row>
    <row r="75" spans="2:58" outlineLevel="1" x14ac:dyDescent="0.25">
      <c r="B75" s="161" t="s">
        <v>818</v>
      </c>
      <c r="C75" s="162"/>
      <c r="D75" s="163" t="s">
        <v>982</v>
      </c>
      <c r="E75" s="137"/>
      <c r="F75" s="137"/>
      <c r="G75" s="137"/>
      <c r="H75" s="137"/>
      <c r="I75" s="137"/>
      <c r="J75" s="138"/>
      <c r="K75" s="138"/>
      <c r="L75" s="138" t="s">
        <v>983</v>
      </c>
      <c r="M75" s="138"/>
      <c r="N75" s="139">
        <f t="shared" si="14"/>
        <v>4.5999999999999996</v>
      </c>
      <c r="O75" s="144">
        <v>4.5999999999999996</v>
      </c>
      <c r="P75" s="139">
        <f>$P$4</f>
        <v>0</v>
      </c>
      <c r="Q75" s="139" t="s">
        <v>777</v>
      </c>
      <c r="R75" s="140">
        <v>8100.16</v>
      </c>
      <c r="S75" s="140">
        <v>8095.59</v>
      </c>
      <c r="T75" s="140">
        <f t="shared" si="11"/>
        <v>16195.75</v>
      </c>
      <c r="U75" s="335">
        <f t="shared" si="10"/>
        <v>0.11599999999816646</v>
      </c>
      <c r="V75" s="140">
        <f>SUM(V74:$AW74)*$N75/100-947</f>
        <v>16195.865999999998</v>
      </c>
      <c r="W75" s="140">
        <f>SUM(W74:$AW74)*$N75/100</f>
        <v>16513.769999999997</v>
      </c>
      <c r="X75" s="140">
        <f>SUM(X74:$AW74)*$N75/100</f>
        <v>15884.673999999999</v>
      </c>
      <c r="Y75" s="140">
        <f>SUM(Y74:$AW74)*$N75/100</f>
        <v>15255.577999999998</v>
      </c>
      <c r="Z75" s="140">
        <f>SUM(Z74:$AW74)*$N75/100</f>
        <v>14626.482</v>
      </c>
      <c r="AA75" s="140">
        <f>SUM(AA74:$AW74)*$N75/100</f>
        <v>13997.385999999999</v>
      </c>
      <c r="AB75" s="140">
        <f>SUM(AB74:$AW74)*$N75/100</f>
        <v>13368.29</v>
      </c>
      <c r="AC75" s="140">
        <f>SUM(AC74:$AW74)*$N75/100</f>
        <v>12739.194</v>
      </c>
      <c r="AD75" s="140">
        <f>SUM(AD74:$AW74)*$N75/100</f>
        <v>12110.097999999998</v>
      </c>
      <c r="AE75" s="140">
        <f>SUM(AE74:$AW74)*$N75/100</f>
        <v>11481.002</v>
      </c>
      <c r="AF75" s="140">
        <f>SUM(AF74:$AW74)*$N75/100</f>
        <v>10851.905999999999</v>
      </c>
      <c r="AG75" s="140">
        <f>SUM(AG74:$AW74)*$N75/100</f>
        <v>10222.81</v>
      </c>
      <c r="AH75" s="140">
        <f>SUM(AH74:$AW74)*$N75/100</f>
        <v>9593.7139999999999</v>
      </c>
      <c r="AI75" s="140">
        <f>SUM(AI74:$AW74)*$N75/100</f>
        <v>8964.6179999999986</v>
      </c>
      <c r="AJ75" s="140">
        <f>SUM(AJ74:$AW74)*$N75/100</f>
        <v>8335.521999999999</v>
      </c>
      <c r="AK75" s="140">
        <f>SUM(AK74:$AW74)*$N75/100</f>
        <v>7706.4259999999995</v>
      </c>
      <c r="AL75" s="140">
        <f>SUM(AL74:$AW74)*$N75/100</f>
        <v>7077.33</v>
      </c>
      <c r="AM75" s="140">
        <f>SUM(AM74:$AW74)*$N75/100</f>
        <v>6448.2339999999995</v>
      </c>
      <c r="AN75" s="140">
        <f>SUM(AN74:$AW74)*$N75/100</f>
        <v>5819.137999999999</v>
      </c>
      <c r="AO75" s="140">
        <f>SUM(AO74:$AW74)*$N75/100</f>
        <v>5190.0419999999995</v>
      </c>
      <c r="AP75" s="140">
        <f>SUM(AP74:$AW74)*$N75/100</f>
        <v>4560.9459999999999</v>
      </c>
      <c r="AQ75" s="140">
        <f>SUM(AQ74:$AW74)*$N75/100</f>
        <v>3931.8499999999995</v>
      </c>
      <c r="AR75" s="140">
        <f>SUM(AR74:$AW74)*$N75/100</f>
        <v>3302.7539999999995</v>
      </c>
      <c r="AS75" s="140">
        <f>SUM(AS74:$AW74)*$N75/100</f>
        <v>2673.6579999999999</v>
      </c>
      <c r="AT75" s="140">
        <f>SUM(AT74:$AW74)*$N75/100</f>
        <v>2044.5619999999999</v>
      </c>
      <c r="AU75" s="140">
        <f>SUM(AU74:$AW74)*$N75/100</f>
        <v>1415.4659999999997</v>
      </c>
      <c r="AV75" s="140">
        <f>SUM(AV74:$AW74)*$N75/100</f>
        <v>786.37</v>
      </c>
      <c r="AW75" s="140">
        <f>SUM(AW74:$AW74)*$N75/100</f>
        <v>157.274</v>
      </c>
      <c r="AX75" s="140"/>
      <c r="AY75" s="140"/>
      <c r="AZ75" s="142">
        <f t="shared" si="12"/>
        <v>241254.95999999993</v>
      </c>
      <c r="BA75" s="334">
        <f t="shared" si="15"/>
        <v>0</v>
      </c>
      <c r="BB75" s="141">
        <f t="shared" si="13"/>
        <v>135412.91399999996</v>
      </c>
      <c r="BC75" s="142">
        <f t="shared" si="17"/>
        <v>241254.95999999996</v>
      </c>
      <c r="BE75" s="159" t="b">
        <f t="shared" si="16"/>
        <v>1</v>
      </c>
    </row>
    <row r="76" spans="2:58" s="159" customFormat="1" outlineLevel="1" x14ac:dyDescent="0.25">
      <c r="B76" s="154" t="s">
        <v>818</v>
      </c>
      <c r="C76" s="155">
        <v>36</v>
      </c>
      <c r="D76" s="156" t="s">
        <v>984</v>
      </c>
      <c r="E76" s="130" t="s">
        <v>985</v>
      </c>
      <c r="F76" s="130" t="s">
        <v>986</v>
      </c>
      <c r="G76" s="130" t="s">
        <v>987</v>
      </c>
      <c r="H76" s="130" t="s">
        <v>988</v>
      </c>
      <c r="I76" s="130" t="s">
        <v>773</v>
      </c>
      <c r="J76" s="131">
        <v>192902.34</v>
      </c>
      <c r="K76" s="132">
        <v>62660.34</v>
      </c>
      <c r="L76" s="132"/>
      <c r="M76" s="132"/>
      <c r="N76" s="133"/>
      <c r="O76" s="133"/>
      <c r="P76" s="133"/>
      <c r="Q76" s="133" t="s">
        <v>774</v>
      </c>
      <c r="R76" s="134">
        <v>19244</v>
      </c>
      <c r="S76" s="134">
        <v>0</v>
      </c>
      <c r="T76" s="134">
        <f t="shared" si="11"/>
        <v>19244</v>
      </c>
      <c r="U76" s="333">
        <f t="shared" si="10"/>
        <v>0.34000000000014552</v>
      </c>
      <c r="V76" s="134">
        <v>19244.34</v>
      </c>
      <c r="W76" s="134">
        <v>0</v>
      </c>
      <c r="X76" s="134">
        <v>0</v>
      </c>
      <c r="Y76" s="134">
        <v>0</v>
      </c>
      <c r="Z76" s="134">
        <v>0</v>
      </c>
      <c r="AA76" s="134">
        <v>0</v>
      </c>
      <c r="AB76" s="134">
        <v>0</v>
      </c>
      <c r="AC76" s="134">
        <v>0</v>
      </c>
      <c r="AD76" s="134">
        <v>0</v>
      </c>
      <c r="AE76" s="134">
        <v>0</v>
      </c>
      <c r="AF76" s="134">
        <v>0</v>
      </c>
      <c r="AG76" s="134">
        <v>0</v>
      </c>
      <c r="AH76" s="134">
        <v>0</v>
      </c>
      <c r="AI76" s="134">
        <v>0</v>
      </c>
      <c r="AJ76" s="134">
        <v>0</v>
      </c>
      <c r="AK76" s="134">
        <v>0</v>
      </c>
      <c r="AL76" s="134">
        <v>0</v>
      </c>
      <c r="AM76" s="134">
        <v>0</v>
      </c>
      <c r="AN76" s="134">
        <v>0</v>
      </c>
      <c r="AO76" s="134">
        <v>0</v>
      </c>
      <c r="AP76" s="134">
        <v>0</v>
      </c>
      <c r="AQ76" s="134">
        <v>0</v>
      </c>
      <c r="AR76" s="134">
        <v>0</v>
      </c>
      <c r="AS76" s="134">
        <v>0</v>
      </c>
      <c r="AT76" s="134">
        <v>0</v>
      </c>
      <c r="AU76" s="134">
        <v>0</v>
      </c>
      <c r="AV76" s="134">
        <v>0</v>
      </c>
      <c r="AW76" s="134">
        <v>0</v>
      </c>
      <c r="AX76" s="134"/>
      <c r="AY76" s="134"/>
      <c r="AZ76" s="136">
        <f t="shared" si="12"/>
        <v>19244.34</v>
      </c>
      <c r="BA76" s="334">
        <f t="shared" si="15"/>
        <v>0</v>
      </c>
      <c r="BB76" s="135">
        <f t="shared" si="13"/>
        <v>0</v>
      </c>
      <c r="BC76" s="136">
        <f t="shared" si="17"/>
        <v>19244.34</v>
      </c>
      <c r="BE76" s="159" t="b">
        <f t="shared" si="16"/>
        <v>1</v>
      </c>
      <c r="BF76" s="160"/>
    </row>
    <row r="77" spans="2:58" outlineLevel="1" x14ac:dyDescent="0.25">
      <c r="B77" s="161" t="s">
        <v>818</v>
      </c>
      <c r="C77" s="162"/>
      <c r="D77" s="163" t="s">
        <v>989</v>
      </c>
      <c r="E77" s="137"/>
      <c r="F77" s="137"/>
      <c r="G77" s="137"/>
      <c r="H77" s="137"/>
      <c r="I77" s="137"/>
      <c r="J77" s="138"/>
      <c r="K77" s="138"/>
      <c r="L77" s="138">
        <v>0</v>
      </c>
      <c r="M77" s="138" t="s">
        <v>963</v>
      </c>
      <c r="N77" s="139">
        <f t="shared" si="14"/>
        <v>0.25</v>
      </c>
      <c r="O77" s="139">
        <v>0.25</v>
      </c>
      <c r="P77" s="139">
        <f>$P$4</f>
        <v>0</v>
      </c>
      <c r="Q77" s="139" t="s">
        <v>777</v>
      </c>
      <c r="R77" s="140">
        <v>34.910000000000004</v>
      </c>
      <c r="S77" s="140">
        <v>0</v>
      </c>
      <c r="T77" s="140">
        <f t="shared" si="11"/>
        <v>34.910000000000004</v>
      </c>
      <c r="U77" s="335">
        <f t="shared" si="10"/>
        <v>0.20084999999999553</v>
      </c>
      <c r="V77" s="140">
        <f>SUM(V76:$AW76)*$N77/100-13</f>
        <v>35.110849999999999</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c r="AM77" s="140">
        <v>0</v>
      </c>
      <c r="AN77" s="140">
        <v>0</v>
      </c>
      <c r="AO77" s="140">
        <v>0</v>
      </c>
      <c r="AP77" s="140">
        <v>0</v>
      </c>
      <c r="AQ77" s="140">
        <v>0</v>
      </c>
      <c r="AR77" s="140">
        <v>0</v>
      </c>
      <c r="AS77" s="140">
        <v>0</v>
      </c>
      <c r="AT77" s="140">
        <v>0</v>
      </c>
      <c r="AU77" s="140">
        <v>0</v>
      </c>
      <c r="AV77" s="140">
        <v>0</v>
      </c>
      <c r="AW77" s="140">
        <v>0</v>
      </c>
      <c r="AX77" s="140"/>
      <c r="AY77" s="140"/>
      <c r="AZ77" s="142">
        <f t="shared" si="12"/>
        <v>35.110849999999999</v>
      </c>
      <c r="BA77" s="334">
        <f t="shared" si="15"/>
        <v>0</v>
      </c>
      <c r="BB77" s="141">
        <f t="shared" si="13"/>
        <v>0</v>
      </c>
      <c r="BC77" s="142">
        <f t="shared" si="17"/>
        <v>35.110849999999999</v>
      </c>
      <c r="BE77" s="159" t="b">
        <f t="shared" si="16"/>
        <v>1</v>
      </c>
    </row>
    <row r="78" spans="2:58" s="159" customFormat="1" outlineLevel="1" collapsed="1" x14ac:dyDescent="0.25">
      <c r="B78" s="154" t="s">
        <v>818</v>
      </c>
      <c r="C78" s="155">
        <v>37</v>
      </c>
      <c r="D78" s="156" t="s">
        <v>990</v>
      </c>
      <c r="E78" s="130" t="s">
        <v>991</v>
      </c>
      <c r="F78" s="130" t="s">
        <v>992</v>
      </c>
      <c r="G78" s="130" t="s">
        <v>993</v>
      </c>
      <c r="H78" s="130" t="s">
        <v>994</v>
      </c>
      <c r="I78" s="130" t="s">
        <v>773</v>
      </c>
      <c r="J78" s="131">
        <v>279650</v>
      </c>
      <c r="K78" s="132">
        <v>265401</v>
      </c>
      <c r="L78" s="132"/>
      <c r="M78" s="132"/>
      <c r="N78" s="133"/>
      <c r="O78" s="133"/>
      <c r="P78" s="133"/>
      <c r="Q78" s="133" t="s">
        <v>774</v>
      </c>
      <c r="R78" s="134">
        <v>2391</v>
      </c>
      <c r="S78" s="134">
        <v>7173</v>
      </c>
      <c r="T78" s="134">
        <f t="shared" si="11"/>
        <v>9564</v>
      </c>
      <c r="U78" s="333">
        <f t="shared" si="10"/>
        <v>0</v>
      </c>
      <c r="V78" s="134">
        <v>9564</v>
      </c>
      <c r="W78" s="134">
        <v>9564</v>
      </c>
      <c r="X78" s="134">
        <v>9564</v>
      </c>
      <c r="Y78" s="134">
        <v>9564</v>
      </c>
      <c r="Z78" s="134">
        <v>9564</v>
      </c>
      <c r="AA78" s="134">
        <v>9564</v>
      </c>
      <c r="AB78" s="134">
        <v>9564</v>
      </c>
      <c r="AC78" s="134">
        <v>9564</v>
      </c>
      <c r="AD78" s="134">
        <v>9564</v>
      </c>
      <c r="AE78" s="134">
        <v>9564</v>
      </c>
      <c r="AF78" s="134">
        <v>9564</v>
      </c>
      <c r="AG78" s="134">
        <v>9564</v>
      </c>
      <c r="AH78" s="134">
        <v>9564</v>
      </c>
      <c r="AI78" s="134">
        <v>9564</v>
      </c>
      <c r="AJ78" s="134">
        <v>9564</v>
      </c>
      <c r="AK78" s="134">
        <v>9564</v>
      </c>
      <c r="AL78" s="134">
        <v>9564</v>
      </c>
      <c r="AM78" s="134">
        <v>9564</v>
      </c>
      <c r="AN78" s="134">
        <v>9564</v>
      </c>
      <c r="AO78" s="134">
        <v>9564</v>
      </c>
      <c r="AP78" s="134">
        <v>9564</v>
      </c>
      <c r="AQ78" s="134">
        <v>9564</v>
      </c>
      <c r="AR78" s="134">
        <v>9564</v>
      </c>
      <c r="AS78" s="134">
        <v>9564</v>
      </c>
      <c r="AT78" s="134">
        <v>9564</v>
      </c>
      <c r="AU78" s="134">
        <v>9564</v>
      </c>
      <c r="AV78" s="134">
        <v>9564</v>
      </c>
      <c r="AW78" s="134">
        <v>2391</v>
      </c>
      <c r="AX78" s="134"/>
      <c r="AY78" s="134"/>
      <c r="AZ78" s="136">
        <f t="shared" si="12"/>
        <v>260619</v>
      </c>
      <c r="BA78" s="334">
        <f t="shared" si="15"/>
        <v>0</v>
      </c>
      <c r="BB78" s="135">
        <f t="shared" si="13"/>
        <v>193671</v>
      </c>
      <c r="BC78" s="136">
        <f t="shared" si="17"/>
        <v>260619</v>
      </c>
      <c r="BE78" s="159" t="b">
        <f t="shared" si="16"/>
        <v>1</v>
      </c>
      <c r="BF78" s="160"/>
    </row>
    <row r="79" spans="2:58" outlineLevel="1" x14ac:dyDescent="0.25">
      <c r="B79" s="161" t="s">
        <v>818</v>
      </c>
      <c r="C79" s="162"/>
      <c r="D79" s="163"/>
      <c r="E79" s="137"/>
      <c r="F79" s="137"/>
      <c r="G79" s="137"/>
      <c r="H79" s="137"/>
      <c r="I79" s="137"/>
      <c r="J79" s="138"/>
      <c r="K79" s="138"/>
      <c r="L79" s="138" t="s">
        <v>995</v>
      </c>
      <c r="M79" s="138"/>
      <c r="N79" s="139">
        <f t="shared" si="14"/>
        <v>4.2030000000000003</v>
      </c>
      <c r="O79" s="139">
        <v>4.2030000000000003</v>
      </c>
      <c r="P79" s="139">
        <f>$P$4</f>
        <v>0</v>
      </c>
      <c r="Q79" s="139" t="s">
        <v>777</v>
      </c>
      <c r="R79" s="140">
        <v>5587.17</v>
      </c>
      <c r="S79" s="140">
        <v>5583.18</v>
      </c>
      <c r="T79" s="140">
        <f t="shared" si="11"/>
        <v>11170.35</v>
      </c>
      <c r="U79" s="335">
        <f t="shared" si="10"/>
        <v>0.46657000000050175</v>
      </c>
      <c r="V79" s="140">
        <f>SUM(V78:$AW78)*$N79/100+217</f>
        <v>11170.816570000001</v>
      </c>
      <c r="W79" s="140">
        <f>SUM(W78:$AW78)*$N79/100</f>
        <v>10551.84165</v>
      </c>
      <c r="X79" s="140">
        <f>SUM(X78:$AW78)*$N79/100</f>
        <v>10149.866730000002</v>
      </c>
      <c r="Y79" s="140">
        <f>SUM(Y78:$AW78)*$N79/100</f>
        <v>9747.891810000001</v>
      </c>
      <c r="Z79" s="140">
        <f>SUM(Z78:$AW78)*$N79/100</f>
        <v>9345.9168900000004</v>
      </c>
      <c r="AA79" s="140">
        <f>SUM(AA78:$AW78)*$N79/100</f>
        <v>8943.9419699999999</v>
      </c>
      <c r="AB79" s="140">
        <f>SUM(AB78:$AW78)*$N79/100</f>
        <v>8541.9670500000011</v>
      </c>
      <c r="AC79" s="140">
        <f>SUM(AC78:$AW78)*$N79/100</f>
        <v>8139.9921300000015</v>
      </c>
      <c r="AD79" s="140">
        <f>SUM(AD78:$AW78)*$N79/100</f>
        <v>7738.01721</v>
      </c>
      <c r="AE79" s="140">
        <f>SUM(AE78:$AW78)*$N79/100</f>
        <v>7336.0422900000003</v>
      </c>
      <c r="AF79" s="140">
        <f>SUM(AF78:$AW78)*$N79/100</f>
        <v>6934.0673700000007</v>
      </c>
      <c r="AG79" s="140">
        <f>SUM(AG78:$AW78)*$N79/100</f>
        <v>6532.0924500000001</v>
      </c>
      <c r="AH79" s="140">
        <f>SUM(AH78:$AW78)*$N79/100</f>
        <v>6130.1175300000004</v>
      </c>
      <c r="AI79" s="140">
        <f>SUM(AI78:$AW78)*$N79/100</f>
        <v>5728.1426100000008</v>
      </c>
      <c r="AJ79" s="140">
        <f>SUM(AJ78:$AW78)*$N79/100</f>
        <v>5326.1676900000011</v>
      </c>
      <c r="AK79" s="140">
        <f>SUM(AK78:$AW78)*$N79/100</f>
        <v>4924.1927700000006</v>
      </c>
      <c r="AL79" s="140">
        <f>SUM(AL78:$AW78)*$N79/100</f>
        <v>4522.21785</v>
      </c>
      <c r="AM79" s="140">
        <f>SUM(AM78:$AW78)*$N79/100</f>
        <v>4120.2429300000003</v>
      </c>
      <c r="AN79" s="140">
        <f>SUM(AN78:$AW78)*$N79/100</f>
        <v>3718.2680100000002</v>
      </c>
      <c r="AO79" s="140">
        <f>SUM(AO78:$AW78)*$N79/100</f>
        <v>3316.2930900000001</v>
      </c>
      <c r="AP79" s="140">
        <f>SUM(AP78:$AW78)*$N79/100</f>
        <v>2914.3181700000005</v>
      </c>
      <c r="AQ79" s="140">
        <f>SUM(AQ78:$AW78)*$N79/100</f>
        <v>2512.3432499999999</v>
      </c>
      <c r="AR79" s="140">
        <f>SUM(AR78:$AW78)*$N79/100</f>
        <v>2110.3683300000002</v>
      </c>
      <c r="AS79" s="140">
        <f>SUM(AS78:$AW78)*$N79/100</f>
        <v>1708.3934100000001</v>
      </c>
      <c r="AT79" s="140">
        <f>SUM(AT78:$AW78)*$N79/100</f>
        <v>1306.41849</v>
      </c>
      <c r="AU79" s="140">
        <f>SUM(AU78:$AW78)*$N79/100</f>
        <v>904.44357000000002</v>
      </c>
      <c r="AV79" s="140">
        <f>SUM(AV78:$AW78)*$N79/100</f>
        <v>502.46865000000003</v>
      </c>
      <c r="AW79" s="140">
        <f>SUM(AW78:$AW78)*$N79/100</f>
        <v>100.49373000000001</v>
      </c>
      <c r="AX79" s="140"/>
      <c r="AY79" s="140"/>
      <c r="AZ79" s="142">
        <f t="shared" si="12"/>
        <v>154977.34419999999</v>
      </c>
      <c r="BA79" s="334">
        <f t="shared" si="15"/>
        <v>0</v>
      </c>
      <c r="BB79" s="141">
        <f t="shared" si="13"/>
        <v>86525.101530000029</v>
      </c>
      <c r="BC79" s="142">
        <f t="shared" si="17"/>
        <v>154977.34420000005</v>
      </c>
      <c r="BE79" s="159" t="b">
        <f t="shared" si="16"/>
        <v>1</v>
      </c>
    </row>
    <row r="80" spans="2:58" s="159" customFormat="1" outlineLevel="1" x14ac:dyDescent="0.25">
      <c r="B80" s="154" t="s">
        <v>818</v>
      </c>
      <c r="C80" s="155">
        <v>38</v>
      </c>
      <c r="D80" s="156" t="s">
        <v>996</v>
      </c>
      <c r="E80" s="130" t="s">
        <v>997</v>
      </c>
      <c r="F80" s="130" t="s">
        <v>998</v>
      </c>
      <c r="G80" s="130" t="s">
        <v>999</v>
      </c>
      <c r="H80" s="130" t="s">
        <v>1000</v>
      </c>
      <c r="I80" s="130" t="s">
        <v>773</v>
      </c>
      <c r="J80" s="131">
        <v>2075409</v>
      </c>
      <c r="K80" s="132">
        <v>1486222</v>
      </c>
      <c r="L80" s="132"/>
      <c r="M80" s="132"/>
      <c r="N80" s="133"/>
      <c r="O80" s="133"/>
      <c r="P80" s="133"/>
      <c r="Q80" s="133" t="s">
        <v>774</v>
      </c>
      <c r="R80" s="134">
        <v>32063</v>
      </c>
      <c r="S80" s="134">
        <v>96189</v>
      </c>
      <c r="T80" s="134">
        <f t="shared" si="11"/>
        <v>128252</v>
      </c>
      <c r="U80" s="333">
        <f t="shared" si="10"/>
        <v>0</v>
      </c>
      <c r="V80" s="134">
        <v>128252</v>
      </c>
      <c r="W80" s="134">
        <v>123200</v>
      </c>
      <c r="X80" s="134">
        <v>121648</v>
      </c>
      <c r="Y80" s="134">
        <v>117000</v>
      </c>
      <c r="Z80" s="134">
        <v>117000</v>
      </c>
      <c r="AA80" s="134">
        <v>117000</v>
      </c>
      <c r="AB80" s="134">
        <v>117000</v>
      </c>
      <c r="AC80" s="134">
        <v>110320</v>
      </c>
      <c r="AD80" s="134">
        <v>91212</v>
      </c>
      <c r="AE80" s="134">
        <v>82616</v>
      </c>
      <c r="AF80" s="134">
        <v>82616</v>
      </c>
      <c r="AG80" s="134">
        <v>82616</v>
      </c>
      <c r="AH80" s="134">
        <v>75860</v>
      </c>
      <c r="AI80" s="134">
        <v>36908</v>
      </c>
      <c r="AJ80" s="134">
        <v>7954</v>
      </c>
      <c r="AK80" s="134">
        <v>0</v>
      </c>
      <c r="AL80" s="134">
        <v>0</v>
      </c>
      <c r="AM80" s="134">
        <v>0</v>
      </c>
      <c r="AN80" s="134">
        <v>0</v>
      </c>
      <c r="AO80" s="134">
        <v>0</v>
      </c>
      <c r="AP80" s="134">
        <v>0</v>
      </c>
      <c r="AQ80" s="134">
        <v>0</v>
      </c>
      <c r="AR80" s="134">
        <v>0</v>
      </c>
      <c r="AS80" s="134">
        <v>0</v>
      </c>
      <c r="AT80" s="134">
        <v>0</v>
      </c>
      <c r="AU80" s="134">
        <v>0</v>
      </c>
      <c r="AV80" s="134">
        <v>0</v>
      </c>
      <c r="AW80" s="134">
        <v>0</v>
      </c>
      <c r="AX80" s="134"/>
      <c r="AY80" s="134"/>
      <c r="AZ80" s="136">
        <f t="shared" si="12"/>
        <v>1411202</v>
      </c>
      <c r="BA80" s="334">
        <f t="shared" si="15"/>
        <v>0</v>
      </c>
      <c r="BB80" s="135">
        <f t="shared" si="13"/>
        <v>570102</v>
      </c>
      <c r="BC80" s="136">
        <f t="shared" si="17"/>
        <v>1411202</v>
      </c>
      <c r="BE80" s="159" t="b">
        <f t="shared" si="16"/>
        <v>1</v>
      </c>
      <c r="BF80" s="160"/>
    </row>
    <row r="81" spans="2:58" outlineLevel="1" x14ac:dyDescent="0.25">
      <c r="B81" s="161" t="s">
        <v>818</v>
      </c>
      <c r="C81" s="162"/>
      <c r="D81" s="163" t="s">
        <v>1001</v>
      </c>
      <c r="E81" s="137"/>
      <c r="F81" s="137"/>
      <c r="G81" s="137"/>
      <c r="H81" s="137"/>
      <c r="I81" s="137"/>
      <c r="J81" s="138"/>
      <c r="K81" s="138"/>
      <c r="L81" s="138" t="s">
        <v>1002</v>
      </c>
      <c r="M81" s="138"/>
      <c r="N81" s="139">
        <f t="shared" si="14"/>
        <v>4.0750000000000002</v>
      </c>
      <c r="O81" s="139">
        <v>4.0750000000000002</v>
      </c>
      <c r="P81" s="139">
        <f>$P$4</f>
        <v>0</v>
      </c>
      <c r="Q81" s="139" t="s">
        <v>777</v>
      </c>
      <c r="R81" s="140">
        <v>27717.010000000002</v>
      </c>
      <c r="S81" s="140">
        <v>26109.82</v>
      </c>
      <c r="T81" s="140">
        <f t="shared" si="11"/>
        <v>53826.83</v>
      </c>
      <c r="U81" s="335">
        <f t="shared" si="10"/>
        <v>0.65149999999994179</v>
      </c>
      <c r="V81" s="140">
        <f>SUM(V80:$AW80)*$N81/100-3679</f>
        <v>53827.481500000002</v>
      </c>
      <c r="W81" s="140">
        <f>SUM(W80:$AW80)*$N81/100</f>
        <v>52280.212500000001</v>
      </c>
      <c r="X81" s="140">
        <f>SUM(X80:$AW80)*$N81/100</f>
        <v>47259.8125</v>
      </c>
      <c r="Y81" s="140">
        <f>SUM(Y80:$AW80)*$N81/100</f>
        <v>42302.656500000005</v>
      </c>
      <c r="Z81" s="140">
        <f>SUM(Z80:$AW80)*$N81/100</f>
        <v>37534.906500000005</v>
      </c>
      <c r="AA81" s="140">
        <f>SUM(AA80:$AW80)*$N81/100</f>
        <v>32767.156500000005</v>
      </c>
      <c r="AB81" s="140">
        <f>SUM(AB80:$AW80)*$N81/100</f>
        <v>27999.406499999997</v>
      </c>
      <c r="AC81" s="140">
        <f>SUM(AC80:$AW80)*$N81/100</f>
        <v>23231.656499999997</v>
      </c>
      <c r="AD81" s="140">
        <f>SUM(AD80:$AW80)*$N81/100</f>
        <v>18736.1165</v>
      </c>
      <c r="AE81" s="140">
        <f>SUM(AE80:$AW80)*$N81/100</f>
        <v>15019.227500000001</v>
      </c>
      <c r="AF81" s="140">
        <f>SUM(AF80:$AW80)*$N81/100</f>
        <v>11652.6255</v>
      </c>
      <c r="AG81" s="140">
        <f>SUM(AG80:$AW80)*$N81/100</f>
        <v>8286.0235000000011</v>
      </c>
      <c r="AH81" s="140">
        <f>SUM(AH80:$AW80)*$N81/100</f>
        <v>4919.4215000000004</v>
      </c>
      <c r="AI81" s="140">
        <f>SUM(AI80:$AW80)*$N81/100</f>
        <v>1828.1264999999999</v>
      </c>
      <c r="AJ81" s="140">
        <f>SUM(AJ80:$AW80)*$N81/100</f>
        <v>324.12550000000005</v>
      </c>
      <c r="AK81" s="140">
        <v>0</v>
      </c>
      <c r="AL81" s="140">
        <v>0</v>
      </c>
      <c r="AM81" s="140">
        <v>0</v>
      </c>
      <c r="AN81" s="140">
        <v>0</v>
      </c>
      <c r="AO81" s="140">
        <v>0</v>
      </c>
      <c r="AP81" s="140">
        <v>0</v>
      </c>
      <c r="AQ81" s="140">
        <v>0</v>
      </c>
      <c r="AR81" s="140">
        <v>0</v>
      </c>
      <c r="AS81" s="140">
        <v>0</v>
      </c>
      <c r="AT81" s="140">
        <v>0</v>
      </c>
      <c r="AU81" s="140">
        <v>0</v>
      </c>
      <c r="AV81" s="140">
        <v>0</v>
      </c>
      <c r="AW81" s="140">
        <v>0</v>
      </c>
      <c r="AX81" s="140"/>
      <c r="AY81" s="140"/>
      <c r="AZ81" s="142">
        <f t="shared" si="12"/>
        <v>377968.95550000004</v>
      </c>
      <c r="BA81" s="334">
        <f t="shared" si="15"/>
        <v>0</v>
      </c>
      <c r="BB81" s="141">
        <f t="shared" si="13"/>
        <v>83997.322999999989</v>
      </c>
      <c r="BC81" s="142">
        <f t="shared" si="17"/>
        <v>377968.95549999998</v>
      </c>
      <c r="BE81" s="159" t="b">
        <f t="shared" si="16"/>
        <v>1</v>
      </c>
    </row>
    <row r="82" spans="2:58" s="159" customFormat="1" outlineLevel="1" x14ac:dyDescent="0.25">
      <c r="B82" s="154" t="s">
        <v>818</v>
      </c>
      <c r="C82" s="155">
        <v>39</v>
      </c>
      <c r="D82" s="156" t="s">
        <v>1003</v>
      </c>
      <c r="E82" s="130" t="s">
        <v>1004</v>
      </c>
      <c r="F82" s="130" t="s">
        <v>1005</v>
      </c>
      <c r="G82" s="130" t="s">
        <v>1006</v>
      </c>
      <c r="H82" s="130" t="s">
        <v>1007</v>
      </c>
      <c r="I82" s="130" t="s">
        <v>773</v>
      </c>
      <c r="J82" s="131">
        <v>617703</v>
      </c>
      <c r="K82" s="132">
        <v>586320</v>
      </c>
      <c r="L82" s="132"/>
      <c r="M82" s="132"/>
      <c r="N82" s="133"/>
      <c r="O82" s="133"/>
      <c r="P82" s="133"/>
      <c r="Q82" s="133" t="s">
        <v>774</v>
      </c>
      <c r="R82" s="134">
        <v>5235</v>
      </c>
      <c r="S82" s="134">
        <v>15705</v>
      </c>
      <c r="T82" s="134">
        <f t="shared" si="11"/>
        <v>20940</v>
      </c>
      <c r="U82" s="333">
        <f t="shared" si="10"/>
        <v>0</v>
      </c>
      <c r="V82" s="134">
        <v>20940</v>
      </c>
      <c r="W82" s="134">
        <v>20940</v>
      </c>
      <c r="X82" s="134">
        <v>20940</v>
      </c>
      <c r="Y82" s="134">
        <v>20940</v>
      </c>
      <c r="Z82" s="134">
        <v>20940</v>
      </c>
      <c r="AA82" s="134">
        <v>20940</v>
      </c>
      <c r="AB82" s="134">
        <v>20940</v>
      </c>
      <c r="AC82" s="134">
        <v>20940</v>
      </c>
      <c r="AD82" s="134">
        <v>20940</v>
      </c>
      <c r="AE82" s="134">
        <v>20940</v>
      </c>
      <c r="AF82" s="134">
        <v>20940</v>
      </c>
      <c r="AG82" s="134">
        <v>20940</v>
      </c>
      <c r="AH82" s="134">
        <v>20940</v>
      </c>
      <c r="AI82" s="134">
        <v>20940</v>
      </c>
      <c r="AJ82" s="134">
        <v>20940</v>
      </c>
      <c r="AK82" s="134">
        <v>20940</v>
      </c>
      <c r="AL82" s="134">
        <v>20940</v>
      </c>
      <c r="AM82" s="134">
        <v>20940</v>
      </c>
      <c r="AN82" s="134">
        <v>20940</v>
      </c>
      <c r="AO82" s="134">
        <v>20940</v>
      </c>
      <c r="AP82" s="134">
        <v>20940</v>
      </c>
      <c r="AQ82" s="134">
        <v>20940</v>
      </c>
      <c r="AR82" s="134">
        <v>20940</v>
      </c>
      <c r="AS82" s="134">
        <v>20940</v>
      </c>
      <c r="AT82" s="134">
        <v>20940</v>
      </c>
      <c r="AU82" s="134">
        <v>20940</v>
      </c>
      <c r="AV82" s="134">
        <v>20940</v>
      </c>
      <c r="AW82" s="134">
        <v>10470</v>
      </c>
      <c r="AX82" s="134"/>
      <c r="AY82" s="134"/>
      <c r="AZ82" s="136">
        <f t="shared" si="12"/>
        <v>575850</v>
      </c>
      <c r="BA82" s="334">
        <f t="shared" si="15"/>
        <v>0</v>
      </c>
      <c r="BB82" s="135">
        <f t="shared" si="13"/>
        <v>429270</v>
      </c>
      <c r="BC82" s="136">
        <f t="shared" si="17"/>
        <v>575850</v>
      </c>
      <c r="BE82" s="159" t="b">
        <f t="shared" si="16"/>
        <v>1</v>
      </c>
      <c r="BF82" s="160"/>
    </row>
    <row r="83" spans="2:58" outlineLevel="1" x14ac:dyDescent="0.25">
      <c r="B83" s="161" t="s">
        <v>818</v>
      </c>
      <c r="C83" s="162"/>
      <c r="D83" s="163"/>
      <c r="E83" s="137"/>
      <c r="F83" s="137"/>
      <c r="G83" s="137"/>
      <c r="H83" s="137"/>
      <c r="I83" s="137"/>
      <c r="J83" s="138"/>
      <c r="K83" s="138"/>
      <c r="L83" s="138" t="s">
        <v>1008</v>
      </c>
      <c r="M83" s="138"/>
      <c r="N83" s="139">
        <f t="shared" si="14"/>
        <v>4.5049999999999999</v>
      </c>
      <c r="O83" s="139">
        <v>4.5049999999999999</v>
      </c>
      <c r="P83" s="139">
        <f>$P$4</f>
        <v>0</v>
      </c>
      <c r="Q83" s="139" t="s">
        <v>777</v>
      </c>
      <c r="R83" s="140">
        <v>13231.75</v>
      </c>
      <c r="S83" s="140">
        <v>12619.29</v>
      </c>
      <c r="T83" s="140">
        <f t="shared" si="11"/>
        <v>25851.040000000001</v>
      </c>
      <c r="U83" s="335">
        <f t="shared" si="10"/>
        <v>2.4999999986903276E-3</v>
      </c>
      <c r="V83" s="140">
        <f>SUM(V82:$AW82)*$N83/100-91</f>
        <v>25851.0425</v>
      </c>
      <c r="W83" s="140">
        <f>SUM(W82:$AW82)*$N83/100</f>
        <v>24998.695499999998</v>
      </c>
      <c r="X83" s="140">
        <f>SUM(X82:$AW82)*$N83/100</f>
        <v>24055.3485</v>
      </c>
      <c r="Y83" s="140">
        <f>SUM(Y82:$AW82)*$N83/100</f>
        <v>23112.001499999998</v>
      </c>
      <c r="Z83" s="140">
        <f>SUM(Z82:$AW82)*$N83/100</f>
        <v>22168.654499999997</v>
      </c>
      <c r="AA83" s="140">
        <f>SUM(AA82:$AW82)*$N83/100</f>
        <v>21225.307499999999</v>
      </c>
      <c r="AB83" s="140">
        <f>SUM(AB82:$AW82)*$N83/100</f>
        <v>20281.960500000001</v>
      </c>
      <c r="AC83" s="140">
        <f>SUM(AC82:$AW82)*$N83/100</f>
        <v>19338.613499999999</v>
      </c>
      <c r="AD83" s="140">
        <f>SUM(AD82:$AW82)*$N83/100</f>
        <v>18395.266499999998</v>
      </c>
      <c r="AE83" s="140">
        <f>SUM(AE82:$AW82)*$N83/100</f>
        <v>17451.9195</v>
      </c>
      <c r="AF83" s="140">
        <f>SUM(AF82:$AW82)*$N83/100</f>
        <v>16508.572499999998</v>
      </c>
      <c r="AG83" s="140">
        <f>SUM(AG82:$AW82)*$N83/100</f>
        <v>15565.2255</v>
      </c>
      <c r="AH83" s="140">
        <f>SUM(AH82:$AW82)*$N83/100</f>
        <v>14621.878499999999</v>
      </c>
      <c r="AI83" s="140">
        <f>SUM(AI82:$AW82)*$N83/100</f>
        <v>13678.531499999999</v>
      </c>
      <c r="AJ83" s="140">
        <f>SUM(AJ82:$AW82)*$N83/100</f>
        <v>12735.184499999999</v>
      </c>
      <c r="AK83" s="140">
        <f>SUM(AK82:$AW82)*$N83/100</f>
        <v>11791.8375</v>
      </c>
      <c r="AL83" s="140">
        <f>SUM(AL82:$AW82)*$N83/100</f>
        <v>10848.4905</v>
      </c>
      <c r="AM83" s="140">
        <f>SUM(AM82:$AW82)*$N83/100</f>
        <v>9905.1435000000001</v>
      </c>
      <c r="AN83" s="140">
        <f>SUM(AN82:$AW82)*$N83/100</f>
        <v>8961.7965000000004</v>
      </c>
      <c r="AO83" s="140">
        <f>SUM(AO82:$AW82)*$N83/100</f>
        <v>8018.4494999999997</v>
      </c>
      <c r="AP83" s="140">
        <f>SUM(AP82:$AW82)*$N83/100</f>
        <v>7075.1025</v>
      </c>
      <c r="AQ83" s="140">
        <f>SUM(AQ82:$AW82)*$N83/100</f>
        <v>6131.7554999999993</v>
      </c>
      <c r="AR83" s="140">
        <f>SUM(AR82:$AW82)*$N83/100</f>
        <v>5188.4084999999995</v>
      </c>
      <c r="AS83" s="140">
        <f>SUM(AS82:$AW82)*$N83/100</f>
        <v>4245.0614999999998</v>
      </c>
      <c r="AT83" s="140">
        <f>SUM(AT82:$AW82)*$N83/100</f>
        <v>3301.7145</v>
      </c>
      <c r="AU83" s="140">
        <f>SUM(AU82:$AW82)*$N83/100</f>
        <v>2358.3674999999998</v>
      </c>
      <c r="AV83" s="140">
        <f>SUM(AV82:$AW82)*$N83/100</f>
        <v>1415.0204999999999</v>
      </c>
      <c r="AW83" s="140">
        <f>SUM(AW82:$AW82)*$N83/100</f>
        <v>471.67349999999999</v>
      </c>
      <c r="AX83" s="140"/>
      <c r="AY83" s="140"/>
      <c r="AZ83" s="142">
        <f t="shared" si="12"/>
        <v>369701.02399999992</v>
      </c>
      <c r="BA83" s="334">
        <f t="shared" si="15"/>
        <v>0</v>
      </c>
      <c r="BB83" s="141">
        <f t="shared" si="13"/>
        <v>208008.01350000003</v>
      </c>
      <c r="BC83" s="142">
        <f t="shared" si="17"/>
        <v>369701.02399999998</v>
      </c>
      <c r="BE83" s="159" t="b">
        <f t="shared" si="16"/>
        <v>1</v>
      </c>
    </row>
    <row r="84" spans="2:58" s="159" customFormat="1" outlineLevel="1" x14ac:dyDescent="0.25">
      <c r="B84" s="154" t="s">
        <v>818</v>
      </c>
      <c r="C84" s="155">
        <v>40</v>
      </c>
      <c r="D84" s="156" t="s">
        <v>1009</v>
      </c>
      <c r="E84" s="130" t="s">
        <v>1010</v>
      </c>
      <c r="F84" s="130" t="s">
        <v>1011</v>
      </c>
      <c r="G84" s="130" t="s">
        <v>1012</v>
      </c>
      <c r="H84" s="130" t="s">
        <v>1013</v>
      </c>
      <c r="I84" s="130" t="s">
        <v>773</v>
      </c>
      <c r="J84" s="131">
        <v>131926.07</v>
      </c>
      <c r="K84" s="132">
        <v>121795.07</v>
      </c>
      <c r="L84" s="132"/>
      <c r="M84" s="132"/>
      <c r="N84" s="133"/>
      <c r="O84" s="133"/>
      <c r="P84" s="133"/>
      <c r="Q84" s="133" t="s">
        <v>774</v>
      </c>
      <c r="R84" s="134">
        <v>1693</v>
      </c>
      <c r="S84" s="134">
        <v>5079</v>
      </c>
      <c r="T84" s="134">
        <f t="shared" si="11"/>
        <v>6772</v>
      </c>
      <c r="U84" s="333">
        <f t="shared" si="10"/>
        <v>0</v>
      </c>
      <c r="V84" s="134">
        <v>6772</v>
      </c>
      <c r="W84" s="134">
        <v>6772</v>
      </c>
      <c r="X84" s="134">
        <v>6772</v>
      </c>
      <c r="Y84" s="134">
        <v>6772</v>
      </c>
      <c r="Z84" s="134">
        <v>6772</v>
      </c>
      <c r="AA84" s="134">
        <v>6772</v>
      </c>
      <c r="AB84" s="134">
        <v>6772</v>
      </c>
      <c r="AC84" s="134">
        <v>6772</v>
      </c>
      <c r="AD84" s="134">
        <v>6772</v>
      </c>
      <c r="AE84" s="134">
        <v>6772</v>
      </c>
      <c r="AF84" s="134">
        <v>6772</v>
      </c>
      <c r="AG84" s="134">
        <v>6772</v>
      </c>
      <c r="AH84" s="134">
        <v>6772</v>
      </c>
      <c r="AI84" s="134">
        <v>6772</v>
      </c>
      <c r="AJ84" s="134">
        <v>6772</v>
      </c>
      <c r="AK84" s="134">
        <v>6772</v>
      </c>
      <c r="AL84" s="134">
        <v>6772</v>
      </c>
      <c r="AM84" s="134">
        <v>3285.0699999999997</v>
      </c>
      <c r="AN84" s="134">
        <v>0</v>
      </c>
      <c r="AO84" s="134">
        <v>0</v>
      </c>
      <c r="AP84" s="134">
        <v>0</v>
      </c>
      <c r="AQ84" s="134">
        <v>0</v>
      </c>
      <c r="AR84" s="134">
        <v>0</v>
      </c>
      <c r="AS84" s="134">
        <v>0</v>
      </c>
      <c r="AT84" s="134">
        <v>0</v>
      </c>
      <c r="AU84" s="134">
        <v>0</v>
      </c>
      <c r="AV84" s="134">
        <v>0</v>
      </c>
      <c r="AW84" s="134">
        <v>0</v>
      </c>
      <c r="AX84" s="134"/>
      <c r="AY84" s="134"/>
      <c r="AZ84" s="136">
        <f t="shared" si="12"/>
        <v>118409.07</v>
      </c>
      <c r="BA84" s="334">
        <f t="shared" si="15"/>
        <v>0</v>
      </c>
      <c r="BB84" s="135">
        <f t="shared" si="13"/>
        <v>71005.070000000007</v>
      </c>
      <c r="BC84" s="136">
        <f t="shared" si="17"/>
        <v>118409.07</v>
      </c>
      <c r="BE84" s="159" t="b">
        <f t="shared" si="16"/>
        <v>1</v>
      </c>
      <c r="BF84" s="160"/>
    </row>
    <row r="85" spans="2:58" outlineLevel="1" x14ac:dyDescent="0.25">
      <c r="B85" s="161" t="s">
        <v>818</v>
      </c>
      <c r="C85" s="162"/>
      <c r="D85" s="163"/>
      <c r="E85" s="137"/>
      <c r="F85" s="137"/>
      <c r="G85" s="137"/>
      <c r="H85" s="137"/>
      <c r="I85" s="137"/>
      <c r="J85" s="138"/>
      <c r="K85" s="138"/>
      <c r="L85" s="138" t="s">
        <v>1014</v>
      </c>
      <c r="M85" s="138"/>
      <c r="N85" s="139">
        <f t="shared" si="14"/>
        <v>4.41</v>
      </c>
      <c r="O85" s="139">
        <v>4.41</v>
      </c>
      <c r="P85" s="139">
        <f>$P$4</f>
        <v>0</v>
      </c>
      <c r="Q85" s="139" t="s">
        <v>777</v>
      </c>
      <c r="R85" s="140">
        <v>2668.5299999999997</v>
      </c>
      <c r="S85" s="140">
        <v>2501</v>
      </c>
      <c r="T85" s="140">
        <f t="shared" si="11"/>
        <v>5169.53</v>
      </c>
      <c r="U85" s="335">
        <f t="shared" si="10"/>
        <v>0.30998700000054669</v>
      </c>
      <c r="V85" s="140">
        <f>SUM(V84:$AW84)*$N85/100-52</f>
        <v>5169.8399870000003</v>
      </c>
      <c r="W85" s="140">
        <f>SUM(W84:$AW84)*$N85/100</f>
        <v>4923.1947870000004</v>
      </c>
      <c r="X85" s="140">
        <f>SUM(X84:$AW84)*$N85/100</f>
        <v>4624.5495870000004</v>
      </c>
      <c r="Y85" s="140">
        <f>SUM(Y84:$AW84)*$N85/100</f>
        <v>4325.9043870000005</v>
      </c>
      <c r="Z85" s="140">
        <f>SUM(Z84:$AW84)*$N85/100</f>
        <v>4027.2591870000006</v>
      </c>
      <c r="AA85" s="140">
        <f>SUM(AA84:$AW84)*$N85/100</f>
        <v>3728.6139870000002</v>
      </c>
      <c r="AB85" s="140">
        <f>SUM(AB84:$AW84)*$N85/100</f>
        <v>3429.9687870000007</v>
      </c>
      <c r="AC85" s="140">
        <f>SUM(AC84:$AW84)*$N85/100</f>
        <v>3131.3235870000003</v>
      </c>
      <c r="AD85" s="140">
        <f>SUM(AD84:$AW84)*$N85/100</f>
        <v>2832.6783870000004</v>
      </c>
      <c r="AE85" s="140">
        <f>SUM(AE84:$AW84)*$N85/100</f>
        <v>2534.033187</v>
      </c>
      <c r="AF85" s="140">
        <f>SUM(AF84:$AW84)*$N85/100</f>
        <v>2235.3879870000001</v>
      </c>
      <c r="AG85" s="140">
        <f>SUM(AG84:$AW84)*$N85/100</f>
        <v>1936.7427869999999</v>
      </c>
      <c r="AH85" s="140">
        <f>SUM(AH84:$AW84)*$N85/100</f>
        <v>1638.097587</v>
      </c>
      <c r="AI85" s="140">
        <f>SUM(AI84:$AW84)*$N85/100</f>
        <v>1339.4523870000003</v>
      </c>
      <c r="AJ85" s="140">
        <f>SUM(AJ84:$AW84)*$N85/100</f>
        <v>1040.8071869999999</v>
      </c>
      <c r="AK85" s="140">
        <f>SUM(AK84:$AW84)*$N85/100</f>
        <v>742.16198700000007</v>
      </c>
      <c r="AL85" s="140">
        <f>SUM(AL84:$AW84)*$N85/100</f>
        <v>443.51678699999997</v>
      </c>
      <c r="AM85" s="140">
        <f>SUM(AM84:$AW84)*$N85/100</f>
        <v>144.87158700000001</v>
      </c>
      <c r="AN85" s="140">
        <v>0</v>
      </c>
      <c r="AO85" s="140">
        <v>0</v>
      </c>
      <c r="AP85" s="140">
        <v>0</v>
      </c>
      <c r="AQ85" s="140">
        <v>0</v>
      </c>
      <c r="AR85" s="140">
        <v>0</v>
      </c>
      <c r="AS85" s="140">
        <v>0</v>
      </c>
      <c r="AT85" s="140">
        <v>0</v>
      </c>
      <c r="AU85" s="140">
        <v>0</v>
      </c>
      <c r="AV85" s="140">
        <v>0</v>
      </c>
      <c r="AW85" s="140">
        <v>0</v>
      </c>
      <c r="AX85" s="140"/>
      <c r="AY85" s="140"/>
      <c r="AZ85" s="142">
        <f t="shared" si="12"/>
        <v>48248.404166000008</v>
      </c>
      <c r="BA85" s="334">
        <f t="shared" si="15"/>
        <v>0</v>
      </c>
      <c r="BB85" s="141">
        <f t="shared" si="13"/>
        <v>18019.073456999999</v>
      </c>
      <c r="BC85" s="142">
        <f t="shared" si="17"/>
        <v>48248.404166000008</v>
      </c>
      <c r="BE85" s="159" t="b">
        <f t="shared" si="16"/>
        <v>1</v>
      </c>
    </row>
    <row r="86" spans="2:58" s="159" customFormat="1" outlineLevel="1" x14ac:dyDescent="0.25">
      <c r="B86" s="154" t="s">
        <v>818</v>
      </c>
      <c r="C86" s="155">
        <v>41</v>
      </c>
      <c r="D86" s="156" t="s">
        <v>1015</v>
      </c>
      <c r="E86" s="130" t="s">
        <v>1016</v>
      </c>
      <c r="F86" s="130" t="s">
        <v>1017</v>
      </c>
      <c r="G86" s="130" t="s">
        <v>1012</v>
      </c>
      <c r="H86" s="130" t="s">
        <v>1013</v>
      </c>
      <c r="I86" s="130" t="s">
        <v>773</v>
      </c>
      <c r="J86" s="131">
        <v>145332</v>
      </c>
      <c r="K86" s="132">
        <v>134208</v>
      </c>
      <c r="L86" s="132"/>
      <c r="M86" s="132"/>
      <c r="N86" s="133"/>
      <c r="O86" s="133"/>
      <c r="P86" s="133"/>
      <c r="Q86" s="133" t="s">
        <v>774</v>
      </c>
      <c r="R86" s="134">
        <v>1864</v>
      </c>
      <c r="S86" s="134">
        <v>5592</v>
      </c>
      <c r="T86" s="134">
        <f t="shared" si="11"/>
        <v>7456</v>
      </c>
      <c r="U86" s="333">
        <f t="shared" si="10"/>
        <v>0</v>
      </c>
      <c r="V86" s="134">
        <v>7456</v>
      </c>
      <c r="W86" s="134">
        <v>7456</v>
      </c>
      <c r="X86" s="134">
        <v>7456</v>
      </c>
      <c r="Y86" s="134">
        <v>7456</v>
      </c>
      <c r="Z86" s="134">
        <v>7456</v>
      </c>
      <c r="AA86" s="134">
        <v>7456</v>
      </c>
      <c r="AB86" s="134">
        <v>7456</v>
      </c>
      <c r="AC86" s="134">
        <v>7456</v>
      </c>
      <c r="AD86" s="134">
        <v>7456</v>
      </c>
      <c r="AE86" s="134">
        <v>7456</v>
      </c>
      <c r="AF86" s="134">
        <v>7456</v>
      </c>
      <c r="AG86" s="134">
        <v>7456</v>
      </c>
      <c r="AH86" s="134">
        <v>7456</v>
      </c>
      <c r="AI86" s="134">
        <v>7456</v>
      </c>
      <c r="AJ86" s="134">
        <v>7456</v>
      </c>
      <c r="AK86" s="134">
        <v>7456</v>
      </c>
      <c r="AL86" s="134">
        <v>7456</v>
      </c>
      <c r="AM86" s="134">
        <v>3728</v>
      </c>
      <c r="AN86" s="134">
        <v>0</v>
      </c>
      <c r="AO86" s="134">
        <v>0</v>
      </c>
      <c r="AP86" s="134">
        <v>0</v>
      </c>
      <c r="AQ86" s="134">
        <v>0</v>
      </c>
      <c r="AR86" s="134">
        <v>0</v>
      </c>
      <c r="AS86" s="134">
        <v>0</v>
      </c>
      <c r="AT86" s="134">
        <v>0</v>
      </c>
      <c r="AU86" s="134">
        <v>0</v>
      </c>
      <c r="AV86" s="134">
        <v>0</v>
      </c>
      <c r="AW86" s="134">
        <v>0</v>
      </c>
      <c r="AX86" s="134"/>
      <c r="AY86" s="134"/>
      <c r="AZ86" s="136">
        <f t="shared" si="12"/>
        <v>130480</v>
      </c>
      <c r="BA86" s="334">
        <f t="shared" si="15"/>
        <v>0</v>
      </c>
      <c r="BB86" s="135">
        <f t="shared" si="13"/>
        <v>78288</v>
      </c>
      <c r="BC86" s="136">
        <f t="shared" si="17"/>
        <v>130480</v>
      </c>
      <c r="BE86" s="159" t="b">
        <f t="shared" si="16"/>
        <v>1</v>
      </c>
      <c r="BF86" s="160"/>
    </row>
    <row r="87" spans="2:58" outlineLevel="1" x14ac:dyDescent="0.25">
      <c r="B87" s="161" t="s">
        <v>818</v>
      </c>
      <c r="C87" s="162"/>
      <c r="D87" s="163" t="s">
        <v>1018</v>
      </c>
      <c r="E87" s="137"/>
      <c r="F87" s="137"/>
      <c r="G87" s="137"/>
      <c r="H87" s="137"/>
      <c r="I87" s="137"/>
      <c r="J87" s="138"/>
      <c r="K87" s="138"/>
      <c r="L87" s="138" t="s">
        <v>1014</v>
      </c>
      <c r="M87" s="138"/>
      <c r="N87" s="139">
        <f t="shared" si="14"/>
        <v>4.41</v>
      </c>
      <c r="O87" s="139">
        <v>4.41</v>
      </c>
      <c r="P87" s="139">
        <f>$P$4</f>
        <v>0</v>
      </c>
      <c r="Q87" s="139" t="s">
        <v>777</v>
      </c>
      <c r="R87" s="140">
        <v>2940.5699999999997</v>
      </c>
      <c r="S87" s="140">
        <v>2756.01</v>
      </c>
      <c r="T87" s="140">
        <f t="shared" si="11"/>
        <v>5696.58</v>
      </c>
      <c r="U87" s="335">
        <f t="shared" si="10"/>
        <v>0.58800000000064756</v>
      </c>
      <c r="V87" s="140">
        <f>SUM(V86:$AW86)*$N87/100-57</f>
        <v>5697.1680000000006</v>
      </c>
      <c r="W87" s="140">
        <f>SUM(W86:$AW86)*$N87/100</f>
        <v>5425.3584000000001</v>
      </c>
      <c r="X87" s="140">
        <f>SUM(X86:$AW86)*$N87/100</f>
        <v>5096.5488000000005</v>
      </c>
      <c r="Y87" s="140">
        <f>SUM(Y86:$AW86)*$N87/100</f>
        <v>4767.7392</v>
      </c>
      <c r="Z87" s="140">
        <f>SUM(Z86:$AW86)*$N87/100</f>
        <v>4438.9296000000004</v>
      </c>
      <c r="AA87" s="140">
        <f>SUM(AA86:$AW86)*$N87/100</f>
        <v>4110.12</v>
      </c>
      <c r="AB87" s="140">
        <f>SUM(AB86:$AW86)*$N87/100</f>
        <v>3781.3104000000003</v>
      </c>
      <c r="AC87" s="140">
        <f>SUM(AC86:$AW86)*$N87/100</f>
        <v>3452.5008000000003</v>
      </c>
      <c r="AD87" s="140">
        <f>SUM(AD86:$AW86)*$N87/100</f>
        <v>3123.6911999999998</v>
      </c>
      <c r="AE87" s="140">
        <f>SUM(AE86:$AW86)*$N87/100</f>
        <v>2794.8816000000002</v>
      </c>
      <c r="AF87" s="140">
        <f>SUM(AF86:$AW86)*$N87/100</f>
        <v>2466.0720000000001</v>
      </c>
      <c r="AG87" s="140">
        <f>SUM(AG86:$AW86)*$N87/100</f>
        <v>2137.2624000000001</v>
      </c>
      <c r="AH87" s="140">
        <f>SUM(AH86:$AW86)*$N87/100</f>
        <v>1808.4528</v>
      </c>
      <c r="AI87" s="140">
        <f>SUM(AI86:$AW86)*$N87/100</f>
        <v>1479.6432</v>
      </c>
      <c r="AJ87" s="140">
        <f>SUM(AJ86:$AW86)*$N87/100</f>
        <v>1150.8335999999999</v>
      </c>
      <c r="AK87" s="140">
        <f>SUM(AK86:$AW86)*$N87/100</f>
        <v>822.02400000000011</v>
      </c>
      <c r="AL87" s="140">
        <f>SUM(AL86:$AW86)*$N87/100</f>
        <v>493.21440000000001</v>
      </c>
      <c r="AM87" s="140">
        <f>SUM(AM86:$AW86)*$N87/100</f>
        <v>164.40479999999999</v>
      </c>
      <c r="AN87" s="140">
        <v>0</v>
      </c>
      <c r="AO87" s="140">
        <v>0</v>
      </c>
      <c r="AP87" s="140">
        <v>0</v>
      </c>
      <c r="AQ87" s="140">
        <v>0</v>
      </c>
      <c r="AR87" s="140">
        <v>0</v>
      </c>
      <c r="AS87" s="140">
        <v>0</v>
      </c>
      <c r="AT87" s="140">
        <v>0</v>
      </c>
      <c r="AU87" s="140">
        <v>0</v>
      </c>
      <c r="AV87" s="140">
        <v>0</v>
      </c>
      <c r="AW87" s="140">
        <v>0</v>
      </c>
      <c r="AX87" s="140"/>
      <c r="AY87" s="140"/>
      <c r="AZ87" s="142">
        <f t="shared" si="12"/>
        <v>53210.155199999994</v>
      </c>
      <c r="BA87" s="334">
        <f t="shared" si="15"/>
        <v>0</v>
      </c>
      <c r="BB87" s="141">
        <f t="shared" si="13"/>
        <v>19892.980800000001</v>
      </c>
      <c r="BC87" s="142">
        <f t="shared" si="17"/>
        <v>53210.155200000008</v>
      </c>
      <c r="BE87" s="159" t="b">
        <f t="shared" si="16"/>
        <v>1</v>
      </c>
    </row>
    <row r="88" spans="2:58" s="159" customFormat="1" outlineLevel="1" x14ac:dyDescent="0.25">
      <c r="B88" s="154" t="s">
        <v>767</v>
      </c>
      <c r="C88" s="155">
        <v>42</v>
      </c>
      <c r="D88" s="156" t="s">
        <v>1019</v>
      </c>
      <c r="E88" s="130" t="s">
        <v>1020</v>
      </c>
      <c r="F88" s="130" t="s">
        <v>1021</v>
      </c>
      <c r="G88" s="130" t="s">
        <v>1022</v>
      </c>
      <c r="H88" s="130" t="s">
        <v>1023</v>
      </c>
      <c r="I88" s="130" t="s">
        <v>773</v>
      </c>
      <c r="J88" s="131">
        <v>141294</v>
      </c>
      <c r="K88" s="132">
        <v>96681</v>
      </c>
      <c r="L88" s="132"/>
      <c r="M88" s="132"/>
      <c r="N88" s="133"/>
      <c r="O88" s="133"/>
      <c r="P88" s="133"/>
      <c r="Q88" s="133" t="s">
        <v>774</v>
      </c>
      <c r="R88" s="134">
        <v>7437</v>
      </c>
      <c r="S88" s="134">
        <v>22311</v>
      </c>
      <c r="T88" s="134">
        <f t="shared" si="11"/>
        <v>29748</v>
      </c>
      <c r="U88" s="333">
        <f t="shared" si="10"/>
        <v>0</v>
      </c>
      <c r="V88" s="134">
        <v>29748</v>
      </c>
      <c r="W88" s="134">
        <v>29748</v>
      </c>
      <c r="X88" s="134">
        <v>22311</v>
      </c>
      <c r="Y88" s="134">
        <v>0</v>
      </c>
      <c r="Z88" s="134">
        <v>0</v>
      </c>
      <c r="AA88" s="134">
        <v>0</v>
      </c>
      <c r="AB88" s="134">
        <v>0</v>
      </c>
      <c r="AC88" s="134">
        <v>0</v>
      </c>
      <c r="AD88" s="134">
        <v>0</v>
      </c>
      <c r="AE88" s="134">
        <v>0</v>
      </c>
      <c r="AF88" s="134">
        <v>0</v>
      </c>
      <c r="AG88" s="134">
        <v>0</v>
      </c>
      <c r="AH88" s="134">
        <v>0</v>
      </c>
      <c r="AI88" s="134">
        <v>0</v>
      </c>
      <c r="AJ88" s="134">
        <v>0</v>
      </c>
      <c r="AK88" s="134">
        <v>0</v>
      </c>
      <c r="AL88" s="134">
        <v>0</v>
      </c>
      <c r="AM88" s="134">
        <v>0</v>
      </c>
      <c r="AN88" s="134">
        <v>0</v>
      </c>
      <c r="AO88" s="134">
        <v>0</v>
      </c>
      <c r="AP88" s="134">
        <v>0</v>
      </c>
      <c r="AQ88" s="134">
        <v>0</v>
      </c>
      <c r="AR88" s="134">
        <v>0</v>
      </c>
      <c r="AS88" s="134">
        <v>0</v>
      </c>
      <c r="AT88" s="134">
        <v>0</v>
      </c>
      <c r="AU88" s="134">
        <v>0</v>
      </c>
      <c r="AV88" s="134">
        <v>0</v>
      </c>
      <c r="AW88" s="134">
        <v>0</v>
      </c>
      <c r="AX88" s="134"/>
      <c r="AY88" s="134"/>
      <c r="AZ88" s="136">
        <f t="shared" si="12"/>
        <v>81807</v>
      </c>
      <c r="BA88" s="334">
        <f t="shared" si="15"/>
        <v>0</v>
      </c>
      <c r="BB88" s="135">
        <f t="shared" si="13"/>
        <v>0</v>
      </c>
      <c r="BC88" s="136">
        <f t="shared" si="17"/>
        <v>81807</v>
      </c>
      <c r="BE88" s="159" t="b">
        <f t="shared" si="16"/>
        <v>1</v>
      </c>
      <c r="BF88" s="160"/>
    </row>
    <row r="89" spans="2:58" outlineLevel="1" x14ac:dyDescent="0.25">
      <c r="B89" s="161" t="s">
        <v>767</v>
      </c>
      <c r="C89" s="162"/>
      <c r="D89" s="163"/>
      <c r="E89" s="137"/>
      <c r="F89" s="137"/>
      <c r="G89" s="137"/>
      <c r="H89" s="137"/>
      <c r="I89" s="137"/>
      <c r="J89" s="138"/>
      <c r="K89" s="138"/>
      <c r="L89" s="138">
        <v>0</v>
      </c>
      <c r="M89" s="138" t="s">
        <v>963</v>
      </c>
      <c r="N89" s="139">
        <f t="shared" si="14"/>
        <v>0.25</v>
      </c>
      <c r="O89" s="139">
        <v>0.25</v>
      </c>
      <c r="P89" s="139">
        <f>$P$4</f>
        <v>0</v>
      </c>
      <c r="Q89" s="139" t="s">
        <v>777</v>
      </c>
      <c r="R89" s="140">
        <v>107.47999999999999</v>
      </c>
      <c r="S89" s="140">
        <v>88.62</v>
      </c>
      <c r="T89" s="140">
        <f t="shared" si="11"/>
        <v>196.1</v>
      </c>
      <c r="U89" s="335">
        <f t="shared" si="10"/>
        <v>8.4175000000000182</v>
      </c>
      <c r="V89" s="140">
        <f>SUM(V88:$AW88)*$N89/100</f>
        <v>204.51750000000001</v>
      </c>
      <c r="W89" s="140">
        <f>SUM(W88:$AW88)*$N89/100</f>
        <v>130.14750000000001</v>
      </c>
      <c r="X89" s="140">
        <f>SUM(X88:$AW88)*$N89/100</f>
        <v>55.777500000000003</v>
      </c>
      <c r="Y89" s="140">
        <v>0</v>
      </c>
      <c r="Z89" s="140">
        <v>0</v>
      </c>
      <c r="AA89" s="140">
        <v>0</v>
      </c>
      <c r="AB89" s="140">
        <v>0</v>
      </c>
      <c r="AC89" s="140">
        <v>0</v>
      </c>
      <c r="AD89" s="140">
        <v>0</v>
      </c>
      <c r="AE89" s="140">
        <v>0</v>
      </c>
      <c r="AF89" s="140">
        <v>0</v>
      </c>
      <c r="AG89" s="140">
        <v>0</v>
      </c>
      <c r="AH89" s="140">
        <v>0</v>
      </c>
      <c r="AI89" s="140">
        <v>0</v>
      </c>
      <c r="AJ89" s="140">
        <v>0</v>
      </c>
      <c r="AK89" s="140">
        <v>0</v>
      </c>
      <c r="AL89" s="140">
        <v>0</v>
      </c>
      <c r="AM89" s="140">
        <v>0</v>
      </c>
      <c r="AN89" s="140">
        <v>0</v>
      </c>
      <c r="AO89" s="140">
        <v>0</v>
      </c>
      <c r="AP89" s="140">
        <v>0</v>
      </c>
      <c r="AQ89" s="140">
        <v>0</v>
      </c>
      <c r="AR89" s="140">
        <v>0</v>
      </c>
      <c r="AS89" s="140">
        <v>0</v>
      </c>
      <c r="AT89" s="140">
        <v>0</v>
      </c>
      <c r="AU89" s="140">
        <v>0</v>
      </c>
      <c r="AV89" s="140">
        <v>0</v>
      </c>
      <c r="AW89" s="140">
        <v>0</v>
      </c>
      <c r="AX89" s="140"/>
      <c r="AY89" s="140"/>
      <c r="AZ89" s="142">
        <f t="shared" si="12"/>
        <v>390.4425</v>
      </c>
      <c r="BA89" s="334">
        <f t="shared" si="15"/>
        <v>0</v>
      </c>
      <c r="BB89" s="141">
        <f t="shared" si="13"/>
        <v>0</v>
      </c>
      <c r="BC89" s="142">
        <f t="shared" si="17"/>
        <v>390.4425</v>
      </c>
      <c r="BE89" s="159" t="b">
        <f t="shared" si="16"/>
        <v>1</v>
      </c>
    </row>
    <row r="90" spans="2:58" s="159" customFormat="1" outlineLevel="1" x14ac:dyDescent="0.25">
      <c r="B90" s="154" t="s">
        <v>767</v>
      </c>
      <c r="C90" s="155">
        <v>43</v>
      </c>
      <c r="D90" s="156" t="s">
        <v>1024</v>
      </c>
      <c r="E90" s="130" t="s">
        <v>1025</v>
      </c>
      <c r="F90" s="130" t="s">
        <v>1026</v>
      </c>
      <c r="G90" s="130" t="s">
        <v>1027</v>
      </c>
      <c r="H90" s="130" t="s">
        <v>1028</v>
      </c>
      <c r="I90" s="130" t="s">
        <v>773</v>
      </c>
      <c r="J90" s="131">
        <v>186392</v>
      </c>
      <c r="K90" s="132">
        <v>164720</v>
      </c>
      <c r="L90" s="132"/>
      <c r="M90" s="132"/>
      <c r="N90" s="133"/>
      <c r="O90" s="133">
        <v>3.4460000000000002</v>
      </c>
      <c r="P90" s="133"/>
      <c r="Q90" s="133" t="s">
        <v>774</v>
      </c>
      <c r="R90" s="134">
        <v>4340</v>
      </c>
      <c r="S90" s="134">
        <v>13020</v>
      </c>
      <c r="T90" s="134">
        <f t="shared" si="11"/>
        <v>17360</v>
      </c>
      <c r="U90" s="333">
        <f t="shared" si="10"/>
        <v>0</v>
      </c>
      <c r="V90" s="134">
        <v>17360</v>
      </c>
      <c r="W90" s="134">
        <v>15080</v>
      </c>
      <c r="X90" s="134">
        <v>8240</v>
      </c>
      <c r="Y90" s="134">
        <v>8240</v>
      </c>
      <c r="Z90" s="134">
        <v>8240</v>
      </c>
      <c r="AA90" s="134">
        <v>8240</v>
      </c>
      <c r="AB90" s="134">
        <v>8240</v>
      </c>
      <c r="AC90" s="134">
        <v>8240</v>
      </c>
      <c r="AD90" s="134">
        <v>8240</v>
      </c>
      <c r="AE90" s="134">
        <v>8240</v>
      </c>
      <c r="AF90" s="134">
        <v>8240</v>
      </c>
      <c r="AG90" s="134">
        <v>8240</v>
      </c>
      <c r="AH90" s="134">
        <v>8240</v>
      </c>
      <c r="AI90" s="134">
        <v>8240</v>
      </c>
      <c r="AJ90" s="134">
        <v>8240</v>
      </c>
      <c r="AK90" s="134">
        <v>8240</v>
      </c>
      <c r="AL90" s="134">
        <v>8240</v>
      </c>
      <c r="AM90" s="134">
        <v>0</v>
      </c>
      <c r="AN90" s="134">
        <v>0</v>
      </c>
      <c r="AO90" s="134">
        <v>0</v>
      </c>
      <c r="AP90" s="134">
        <v>0</v>
      </c>
      <c r="AQ90" s="134">
        <v>0</v>
      </c>
      <c r="AR90" s="134">
        <v>0</v>
      </c>
      <c r="AS90" s="134">
        <v>0</v>
      </c>
      <c r="AT90" s="134">
        <v>0</v>
      </c>
      <c r="AU90" s="134">
        <v>0</v>
      </c>
      <c r="AV90" s="134">
        <v>0</v>
      </c>
      <c r="AW90" s="134">
        <v>0</v>
      </c>
      <c r="AX90" s="134"/>
      <c r="AY90" s="134"/>
      <c r="AZ90" s="136">
        <f t="shared" si="12"/>
        <v>156040</v>
      </c>
      <c r="BA90" s="334">
        <f t="shared" si="15"/>
        <v>0</v>
      </c>
      <c r="BB90" s="135">
        <f t="shared" si="13"/>
        <v>82400</v>
      </c>
      <c r="BC90" s="136">
        <f t="shared" si="17"/>
        <v>156040</v>
      </c>
      <c r="BE90" s="159" t="b">
        <f t="shared" si="16"/>
        <v>1</v>
      </c>
      <c r="BF90" s="160"/>
    </row>
    <row r="91" spans="2:58" outlineLevel="1" x14ac:dyDescent="0.25">
      <c r="B91" s="161" t="s">
        <v>767</v>
      </c>
      <c r="C91" s="162"/>
      <c r="D91" s="163" t="s">
        <v>1029</v>
      </c>
      <c r="E91" s="137"/>
      <c r="F91" s="137"/>
      <c r="G91" s="137"/>
      <c r="H91" s="137"/>
      <c r="I91" s="137"/>
      <c r="J91" s="138"/>
      <c r="K91" s="138"/>
      <c r="L91" s="138" t="s">
        <v>1030</v>
      </c>
      <c r="M91" s="138"/>
      <c r="N91" s="139">
        <f t="shared" si="14"/>
        <v>4.5999999999999996</v>
      </c>
      <c r="O91" s="144">
        <v>4.5999999999999996</v>
      </c>
      <c r="P91" s="139">
        <f>$P$4</f>
        <v>0</v>
      </c>
      <c r="Q91" s="139" t="s">
        <v>777</v>
      </c>
      <c r="R91" s="140">
        <v>3318.33</v>
      </c>
      <c r="S91" s="140">
        <v>3412.83</v>
      </c>
      <c r="T91" s="140">
        <f t="shared" si="11"/>
        <v>6731.16</v>
      </c>
      <c r="U91" s="335">
        <f t="shared" si="10"/>
        <v>0.68000000000029104</v>
      </c>
      <c r="V91" s="140">
        <f>SUM(V90:$AW90)*$N91/100-446</f>
        <v>6731.84</v>
      </c>
      <c r="W91" s="140">
        <f>SUM(W90:$AW90)*$N91/100</f>
        <v>6379.28</v>
      </c>
      <c r="X91" s="140">
        <f>SUM(X90:$AW90)*$N91/100</f>
        <v>5685.6</v>
      </c>
      <c r="Y91" s="140">
        <f>SUM(Y90:$AW90)*$N91/100</f>
        <v>5306.56</v>
      </c>
      <c r="Z91" s="140">
        <f>SUM(Z90:$AW90)*$N91/100</f>
        <v>4927.5199999999995</v>
      </c>
      <c r="AA91" s="140">
        <f>SUM(AA90:$AW90)*$N91/100</f>
        <v>4548.4799999999996</v>
      </c>
      <c r="AB91" s="140">
        <f>SUM(AB90:$AW90)*$N91/100</f>
        <v>4169.4399999999996</v>
      </c>
      <c r="AC91" s="140">
        <f>SUM(AC90:$AW90)*$N91/100</f>
        <v>3790.3999999999996</v>
      </c>
      <c r="AD91" s="140">
        <f>SUM(AD90:$AW90)*$N91/100</f>
        <v>3411.36</v>
      </c>
      <c r="AE91" s="140">
        <f>SUM(AE90:$AW90)*$N91/100</f>
        <v>3032.32</v>
      </c>
      <c r="AF91" s="140">
        <f>SUM(AF90:$AW90)*$N91/100</f>
        <v>2653.28</v>
      </c>
      <c r="AG91" s="140">
        <f>SUM(AG90:$AW90)*$N91/100</f>
        <v>2274.2399999999998</v>
      </c>
      <c r="AH91" s="140">
        <f>SUM(AH90:$AW90)*$N91/100</f>
        <v>1895.1999999999998</v>
      </c>
      <c r="AI91" s="140">
        <f>SUM(AI90:$AW90)*$N91/100</f>
        <v>1516.16</v>
      </c>
      <c r="AJ91" s="140">
        <f>SUM(AJ90:$AW90)*$N91/100</f>
        <v>1137.1199999999999</v>
      </c>
      <c r="AK91" s="140">
        <f>SUM(AK90:$AW90)*$N91/100</f>
        <v>758.08</v>
      </c>
      <c r="AL91" s="140">
        <f>SUM(AL90:$AW90)*$N91/100</f>
        <v>379.04</v>
      </c>
      <c r="AM91" s="140">
        <v>0</v>
      </c>
      <c r="AN91" s="140">
        <v>0</v>
      </c>
      <c r="AO91" s="140">
        <v>0</v>
      </c>
      <c r="AP91" s="140">
        <v>0</v>
      </c>
      <c r="AQ91" s="140">
        <v>0</v>
      </c>
      <c r="AR91" s="140">
        <v>0</v>
      </c>
      <c r="AS91" s="140">
        <v>0</v>
      </c>
      <c r="AT91" s="140">
        <v>0</v>
      </c>
      <c r="AU91" s="140">
        <v>0</v>
      </c>
      <c r="AV91" s="140">
        <v>0</v>
      </c>
      <c r="AW91" s="140">
        <v>0</v>
      </c>
      <c r="AX91" s="140"/>
      <c r="AY91" s="140"/>
      <c r="AZ91" s="142">
        <f t="shared" si="12"/>
        <v>58595.920000000006</v>
      </c>
      <c r="BA91" s="334">
        <f t="shared" si="15"/>
        <v>0</v>
      </c>
      <c r="BB91" s="141">
        <f t="shared" si="13"/>
        <v>20847.2</v>
      </c>
      <c r="BC91" s="142">
        <f t="shared" si="17"/>
        <v>58595.92</v>
      </c>
      <c r="BE91" s="159" t="b">
        <f t="shared" si="16"/>
        <v>1</v>
      </c>
    </row>
    <row r="92" spans="2:58" s="159" customFormat="1" outlineLevel="1" x14ac:dyDescent="0.25">
      <c r="B92" s="154" t="s">
        <v>767</v>
      </c>
      <c r="C92" s="155">
        <v>44</v>
      </c>
      <c r="D92" s="156" t="s">
        <v>1031</v>
      </c>
      <c r="E92" s="130" t="s">
        <v>1032</v>
      </c>
      <c r="F92" s="130" t="s">
        <v>1033</v>
      </c>
      <c r="G92" s="130" t="s">
        <v>1027</v>
      </c>
      <c r="H92" s="130" t="s">
        <v>1034</v>
      </c>
      <c r="I92" s="130" t="s">
        <v>773</v>
      </c>
      <c r="J92" s="131">
        <v>697002</v>
      </c>
      <c r="K92" s="132">
        <v>623662</v>
      </c>
      <c r="L92" s="132"/>
      <c r="M92" s="132"/>
      <c r="N92" s="133"/>
      <c r="O92" s="133">
        <v>3.302</v>
      </c>
      <c r="P92" s="133"/>
      <c r="Q92" s="133" t="s">
        <v>774</v>
      </c>
      <c r="R92" s="134">
        <v>18343</v>
      </c>
      <c r="S92" s="134">
        <v>55029</v>
      </c>
      <c r="T92" s="134">
        <f t="shared" si="11"/>
        <v>73372</v>
      </c>
      <c r="U92" s="333">
        <f t="shared" si="10"/>
        <v>0</v>
      </c>
      <c r="V92" s="134">
        <v>73372</v>
      </c>
      <c r="W92" s="134">
        <v>73372</v>
      </c>
      <c r="X92" s="134">
        <v>73372</v>
      </c>
      <c r="Y92" s="134">
        <v>73372</v>
      </c>
      <c r="Z92" s="134">
        <v>73372</v>
      </c>
      <c r="AA92" s="134">
        <v>73372</v>
      </c>
      <c r="AB92" s="134">
        <v>73372</v>
      </c>
      <c r="AC92" s="134">
        <v>73372</v>
      </c>
      <c r="AD92" s="134">
        <v>0</v>
      </c>
      <c r="AE92" s="134">
        <v>0</v>
      </c>
      <c r="AF92" s="134">
        <v>0</v>
      </c>
      <c r="AG92" s="134">
        <v>0</v>
      </c>
      <c r="AH92" s="134">
        <v>0</v>
      </c>
      <c r="AI92" s="134">
        <v>0</v>
      </c>
      <c r="AJ92" s="134">
        <v>0</v>
      </c>
      <c r="AK92" s="134">
        <v>0</v>
      </c>
      <c r="AL92" s="134">
        <v>0</v>
      </c>
      <c r="AM92" s="134">
        <v>0</v>
      </c>
      <c r="AN92" s="134">
        <v>0</v>
      </c>
      <c r="AO92" s="134">
        <v>0</v>
      </c>
      <c r="AP92" s="134">
        <v>0</v>
      </c>
      <c r="AQ92" s="134">
        <v>0</v>
      </c>
      <c r="AR92" s="134">
        <v>0</v>
      </c>
      <c r="AS92" s="134">
        <v>0</v>
      </c>
      <c r="AT92" s="134">
        <v>0</v>
      </c>
      <c r="AU92" s="134">
        <v>0</v>
      </c>
      <c r="AV92" s="134">
        <v>0</v>
      </c>
      <c r="AW92" s="134">
        <v>0</v>
      </c>
      <c r="AX92" s="134"/>
      <c r="AY92" s="134"/>
      <c r="AZ92" s="136">
        <f t="shared" si="12"/>
        <v>586976</v>
      </c>
      <c r="BA92" s="334">
        <f t="shared" si="15"/>
        <v>0</v>
      </c>
      <c r="BB92" s="135">
        <f t="shared" si="13"/>
        <v>73372</v>
      </c>
      <c r="BC92" s="136">
        <f t="shared" si="17"/>
        <v>586976</v>
      </c>
      <c r="BE92" s="159" t="b">
        <f t="shared" si="16"/>
        <v>1</v>
      </c>
      <c r="BF92" s="160"/>
    </row>
    <row r="93" spans="2:58" outlineLevel="1" x14ac:dyDescent="0.25">
      <c r="B93" s="161" t="s">
        <v>767</v>
      </c>
      <c r="C93" s="162"/>
      <c r="D93" s="163"/>
      <c r="E93" s="137"/>
      <c r="F93" s="137"/>
      <c r="G93" s="137"/>
      <c r="H93" s="137"/>
      <c r="I93" s="137"/>
      <c r="J93" s="138"/>
      <c r="K93" s="138"/>
      <c r="L93" s="138" t="s">
        <v>1030</v>
      </c>
      <c r="M93" s="138"/>
      <c r="N93" s="139">
        <f t="shared" si="14"/>
        <v>4.4000000000000004</v>
      </c>
      <c r="O93" s="144">
        <v>4.4000000000000004</v>
      </c>
      <c r="P93" s="139">
        <f>$P$4</f>
        <v>0</v>
      </c>
      <c r="Q93" s="139" t="s">
        <v>777</v>
      </c>
      <c r="R93" s="140">
        <v>12061.39</v>
      </c>
      <c r="S93" s="140">
        <v>12355.21</v>
      </c>
      <c r="T93" s="140">
        <f t="shared" si="11"/>
        <v>24416.6</v>
      </c>
      <c r="U93" s="336">
        <f t="shared" si="10"/>
        <v>2000.3440000000046</v>
      </c>
      <c r="V93" s="140">
        <f>SUM(V92:$AW92)*$N93/100-1410+2000</f>
        <v>26416.944000000003</v>
      </c>
      <c r="W93" s="140">
        <f>SUM(W92:$AW92)*$N93/100</f>
        <v>22598.576000000001</v>
      </c>
      <c r="X93" s="140">
        <f>SUM(X92:$AW92)*$N93/100</f>
        <v>19370.207999999999</v>
      </c>
      <c r="Y93" s="140">
        <f>SUM(Y92:$AW92)*$N93/100</f>
        <v>16141.840000000002</v>
      </c>
      <c r="Z93" s="140">
        <f>SUM(Z92:$AW92)*$N93/100</f>
        <v>12913.472000000002</v>
      </c>
      <c r="AA93" s="140">
        <f>SUM(AA92:$AW92)*$N93/100</f>
        <v>9685.1039999999994</v>
      </c>
      <c r="AB93" s="140">
        <f>SUM(AB92:$AW92)*$N93/100</f>
        <v>6456.7360000000008</v>
      </c>
      <c r="AC93" s="140">
        <f>SUM(AC92:$AW92)*$N93/100</f>
        <v>3228.3680000000004</v>
      </c>
      <c r="AD93" s="140">
        <v>0</v>
      </c>
      <c r="AE93" s="140">
        <v>0</v>
      </c>
      <c r="AF93" s="140">
        <v>0</v>
      </c>
      <c r="AG93" s="140">
        <v>0</v>
      </c>
      <c r="AH93" s="140">
        <v>0</v>
      </c>
      <c r="AI93" s="140">
        <v>0</v>
      </c>
      <c r="AJ93" s="140">
        <v>0</v>
      </c>
      <c r="AK93" s="140">
        <v>0</v>
      </c>
      <c r="AL93" s="140">
        <v>0</v>
      </c>
      <c r="AM93" s="140">
        <v>0</v>
      </c>
      <c r="AN93" s="140">
        <v>0</v>
      </c>
      <c r="AO93" s="140">
        <v>0</v>
      </c>
      <c r="AP93" s="140">
        <v>0</v>
      </c>
      <c r="AQ93" s="140">
        <v>0</v>
      </c>
      <c r="AR93" s="140">
        <v>0</v>
      </c>
      <c r="AS93" s="140">
        <v>0</v>
      </c>
      <c r="AT93" s="140">
        <v>0</v>
      </c>
      <c r="AU93" s="140">
        <v>0</v>
      </c>
      <c r="AV93" s="140">
        <v>0</v>
      </c>
      <c r="AW93" s="140">
        <v>0</v>
      </c>
      <c r="AX93" s="140"/>
      <c r="AY93" s="140"/>
      <c r="AZ93" s="142">
        <f t="shared" si="12"/>
        <v>116811.24800000001</v>
      </c>
      <c r="BA93" s="334">
        <f t="shared" si="15"/>
        <v>0</v>
      </c>
      <c r="BB93" s="141">
        <f t="shared" si="13"/>
        <v>3228.3680000000004</v>
      </c>
      <c r="BC93" s="142">
        <f t="shared" si="17"/>
        <v>116811.24800000001</v>
      </c>
      <c r="BE93" s="159" t="b">
        <f t="shared" si="16"/>
        <v>1</v>
      </c>
    </row>
    <row r="94" spans="2:58" s="159" customFormat="1" outlineLevel="1" x14ac:dyDescent="0.25">
      <c r="B94" s="154" t="s">
        <v>767</v>
      </c>
      <c r="C94" s="155">
        <v>45</v>
      </c>
      <c r="D94" s="156" t="s">
        <v>1035</v>
      </c>
      <c r="E94" s="130" t="s">
        <v>1036</v>
      </c>
      <c r="F94" s="130" t="s">
        <v>1037</v>
      </c>
      <c r="G94" s="130" t="s">
        <v>1027</v>
      </c>
      <c r="H94" s="130" t="s">
        <v>1034</v>
      </c>
      <c r="I94" s="130" t="s">
        <v>773</v>
      </c>
      <c r="J94" s="131">
        <v>559121.98</v>
      </c>
      <c r="K94" s="132">
        <v>471865.86</v>
      </c>
      <c r="L94" s="132"/>
      <c r="M94" s="132"/>
      <c r="N94" s="133"/>
      <c r="O94" s="133">
        <v>3.302</v>
      </c>
      <c r="P94" s="133"/>
      <c r="Q94" s="133" t="s">
        <v>774</v>
      </c>
      <c r="R94" s="134">
        <v>14529</v>
      </c>
      <c r="S94" s="134">
        <v>43587</v>
      </c>
      <c r="T94" s="134">
        <f t="shared" si="11"/>
        <v>58116</v>
      </c>
      <c r="U94" s="333">
        <f t="shared" si="10"/>
        <v>0</v>
      </c>
      <c r="V94" s="134">
        <v>58116</v>
      </c>
      <c r="W94" s="134">
        <v>58116</v>
      </c>
      <c r="X94" s="134">
        <v>58116</v>
      </c>
      <c r="Y94" s="134">
        <v>58116</v>
      </c>
      <c r="Z94" s="134">
        <v>58116</v>
      </c>
      <c r="AA94" s="134">
        <v>58116</v>
      </c>
      <c r="AB94" s="134">
        <v>58116</v>
      </c>
      <c r="AC94" s="134">
        <v>35995.86</v>
      </c>
      <c r="AD94" s="134">
        <v>0</v>
      </c>
      <c r="AE94" s="134">
        <v>0</v>
      </c>
      <c r="AF94" s="134">
        <v>0</v>
      </c>
      <c r="AG94" s="134">
        <v>0</v>
      </c>
      <c r="AH94" s="134">
        <v>0</v>
      </c>
      <c r="AI94" s="134">
        <v>0</v>
      </c>
      <c r="AJ94" s="134">
        <v>0</v>
      </c>
      <c r="AK94" s="134">
        <v>0</v>
      </c>
      <c r="AL94" s="134">
        <v>0</v>
      </c>
      <c r="AM94" s="134">
        <v>0</v>
      </c>
      <c r="AN94" s="134">
        <v>0</v>
      </c>
      <c r="AO94" s="134">
        <v>0</v>
      </c>
      <c r="AP94" s="134">
        <v>0</v>
      </c>
      <c r="AQ94" s="134">
        <v>0</v>
      </c>
      <c r="AR94" s="134">
        <v>0</v>
      </c>
      <c r="AS94" s="134">
        <v>0</v>
      </c>
      <c r="AT94" s="134">
        <v>0</v>
      </c>
      <c r="AU94" s="134">
        <v>0</v>
      </c>
      <c r="AV94" s="134">
        <v>0</v>
      </c>
      <c r="AW94" s="134">
        <v>0</v>
      </c>
      <c r="AX94" s="134"/>
      <c r="AY94" s="134"/>
      <c r="AZ94" s="136">
        <f t="shared" si="12"/>
        <v>442807.86</v>
      </c>
      <c r="BA94" s="334">
        <f t="shared" si="15"/>
        <v>0</v>
      </c>
      <c r="BB94" s="135">
        <f t="shared" si="13"/>
        <v>35995.86</v>
      </c>
      <c r="BC94" s="136">
        <f t="shared" si="17"/>
        <v>442807.86</v>
      </c>
      <c r="BE94" s="159" t="b">
        <f t="shared" si="16"/>
        <v>1</v>
      </c>
      <c r="BF94" s="160"/>
    </row>
    <row r="95" spans="2:58" outlineLevel="1" x14ac:dyDescent="0.25">
      <c r="B95" s="161" t="s">
        <v>767</v>
      </c>
      <c r="C95" s="162"/>
      <c r="D95" s="163"/>
      <c r="E95" s="137"/>
      <c r="F95" s="137"/>
      <c r="G95" s="137"/>
      <c r="H95" s="137"/>
      <c r="I95" s="137"/>
      <c r="J95" s="138"/>
      <c r="K95" s="138"/>
      <c r="L95" s="138" t="s">
        <v>1030</v>
      </c>
      <c r="M95" s="138"/>
      <c r="N95" s="139">
        <f t="shared" si="14"/>
        <v>4.4000000000000004</v>
      </c>
      <c r="O95" s="144">
        <v>4.4000000000000004</v>
      </c>
      <c r="P95" s="139">
        <f>$P$4</f>
        <v>0</v>
      </c>
      <c r="Q95" s="139" t="s">
        <v>777</v>
      </c>
      <c r="R95" s="140">
        <v>9103.41</v>
      </c>
      <c r="S95" s="140">
        <v>9295.75</v>
      </c>
      <c r="T95" s="140">
        <f t="shared" si="11"/>
        <v>18399.16</v>
      </c>
      <c r="U95" s="336">
        <f t="shared" si="10"/>
        <v>1000.385839999999</v>
      </c>
      <c r="V95" s="140">
        <f>SUM(V94:$AW94)*$N95/100-1084+1000</f>
        <v>19399.545839999999</v>
      </c>
      <c r="W95" s="140">
        <f>SUM(W94:$AW94)*$N95/100</f>
        <v>16926.44184</v>
      </c>
      <c r="X95" s="140">
        <f>SUM(X94:$AW94)*$N95/100</f>
        <v>14369.33784</v>
      </c>
      <c r="Y95" s="140">
        <f>SUM(Y94:$AW94)*$N95/100</f>
        <v>11812.233840000001</v>
      </c>
      <c r="Z95" s="140">
        <f>SUM(Z94:$AW94)*$N95/100</f>
        <v>9255.1298400000014</v>
      </c>
      <c r="AA95" s="140">
        <f>SUM(AA94:$AW94)*$N95/100</f>
        <v>6698.0258400000002</v>
      </c>
      <c r="AB95" s="140">
        <f>SUM(AB94:$AW94)*$N95/100</f>
        <v>4140.92184</v>
      </c>
      <c r="AC95" s="140">
        <f>SUM(AC94:$AW94)*$N95/100</f>
        <v>1583.8178400000002</v>
      </c>
      <c r="AD95" s="140">
        <v>0</v>
      </c>
      <c r="AE95" s="140">
        <v>0</v>
      </c>
      <c r="AF95" s="140">
        <v>0</v>
      </c>
      <c r="AG95" s="140">
        <v>0</v>
      </c>
      <c r="AH95" s="140">
        <v>0</v>
      </c>
      <c r="AI95" s="140">
        <v>0</v>
      </c>
      <c r="AJ95" s="140">
        <v>0</v>
      </c>
      <c r="AK95" s="140">
        <v>0</v>
      </c>
      <c r="AL95" s="140">
        <v>0</v>
      </c>
      <c r="AM95" s="140">
        <v>0</v>
      </c>
      <c r="AN95" s="140">
        <v>0</v>
      </c>
      <c r="AO95" s="140">
        <v>0</v>
      </c>
      <c r="AP95" s="140">
        <v>0</v>
      </c>
      <c r="AQ95" s="140">
        <v>0</v>
      </c>
      <c r="AR95" s="140">
        <v>0</v>
      </c>
      <c r="AS95" s="140">
        <v>0</v>
      </c>
      <c r="AT95" s="140">
        <v>0</v>
      </c>
      <c r="AU95" s="140">
        <v>0</v>
      </c>
      <c r="AV95" s="140">
        <v>0</v>
      </c>
      <c r="AW95" s="140">
        <v>0</v>
      </c>
      <c r="AX95" s="140"/>
      <c r="AY95" s="140"/>
      <c r="AZ95" s="142">
        <f t="shared" si="12"/>
        <v>84185.454719999994</v>
      </c>
      <c r="BA95" s="334">
        <f t="shared" si="15"/>
        <v>0</v>
      </c>
      <c r="BB95" s="141">
        <f t="shared" si="13"/>
        <v>1583.8178400000002</v>
      </c>
      <c r="BC95" s="142">
        <f t="shared" si="17"/>
        <v>84185.454719999994</v>
      </c>
      <c r="BE95" s="159" t="b">
        <f t="shared" si="16"/>
        <v>1</v>
      </c>
    </row>
    <row r="96" spans="2:58" s="159" customFormat="1" outlineLevel="1" x14ac:dyDescent="0.25">
      <c r="B96" s="154" t="s">
        <v>818</v>
      </c>
      <c r="C96" s="155">
        <v>46</v>
      </c>
      <c r="D96" s="156" t="s">
        <v>1038</v>
      </c>
      <c r="E96" s="130" t="s">
        <v>1039</v>
      </c>
      <c r="F96" s="130" t="s">
        <v>1040</v>
      </c>
      <c r="G96" s="130" t="s">
        <v>1041</v>
      </c>
      <c r="H96" s="130" t="s">
        <v>1042</v>
      </c>
      <c r="I96" s="130" t="s">
        <v>773</v>
      </c>
      <c r="J96" s="131">
        <v>247902</v>
      </c>
      <c r="K96" s="132">
        <v>216916</v>
      </c>
      <c r="L96" s="132"/>
      <c r="M96" s="132"/>
      <c r="N96" s="133"/>
      <c r="O96" s="133">
        <v>3.6269999999999998</v>
      </c>
      <c r="P96" s="133"/>
      <c r="Q96" s="133" t="s">
        <v>774</v>
      </c>
      <c r="R96" s="134">
        <v>15494</v>
      </c>
      <c r="S96" s="134">
        <v>46482</v>
      </c>
      <c r="T96" s="134">
        <f t="shared" si="11"/>
        <v>61976</v>
      </c>
      <c r="U96" s="333">
        <f t="shared" si="10"/>
        <v>0</v>
      </c>
      <c r="V96" s="134">
        <v>61976</v>
      </c>
      <c r="W96" s="134">
        <v>61976</v>
      </c>
      <c r="X96" s="134">
        <v>61976</v>
      </c>
      <c r="Y96" s="134">
        <v>0</v>
      </c>
      <c r="Z96" s="134">
        <v>0</v>
      </c>
      <c r="AA96" s="134">
        <v>0</v>
      </c>
      <c r="AB96" s="134">
        <v>0</v>
      </c>
      <c r="AC96" s="134">
        <v>0</v>
      </c>
      <c r="AD96" s="134">
        <v>0</v>
      </c>
      <c r="AE96" s="134">
        <v>0</v>
      </c>
      <c r="AF96" s="134">
        <v>0</v>
      </c>
      <c r="AG96" s="134">
        <v>0</v>
      </c>
      <c r="AH96" s="134">
        <v>0</v>
      </c>
      <c r="AI96" s="134">
        <v>0</v>
      </c>
      <c r="AJ96" s="134">
        <v>0</v>
      </c>
      <c r="AK96" s="134">
        <v>0</v>
      </c>
      <c r="AL96" s="134">
        <v>0</v>
      </c>
      <c r="AM96" s="134">
        <v>0</v>
      </c>
      <c r="AN96" s="134">
        <v>0</v>
      </c>
      <c r="AO96" s="134">
        <v>0</v>
      </c>
      <c r="AP96" s="134">
        <v>0</v>
      </c>
      <c r="AQ96" s="134">
        <v>0</v>
      </c>
      <c r="AR96" s="134">
        <v>0</v>
      </c>
      <c r="AS96" s="134">
        <v>0</v>
      </c>
      <c r="AT96" s="134">
        <v>0</v>
      </c>
      <c r="AU96" s="134">
        <v>0</v>
      </c>
      <c r="AV96" s="134">
        <v>0</v>
      </c>
      <c r="AW96" s="134">
        <v>0</v>
      </c>
      <c r="AX96" s="134"/>
      <c r="AY96" s="134"/>
      <c r="AZ96" s="136">
        <f t="shared" si="12"/>
        <v>185928</v>
      </c>
      <c r="BA96" s="334">
        <f t="shared" si="15"/>
        <v>0</v>
      </c>
      <c r="BB96" s="135">
        <f t="shared" si="13"/>
        <v>0</v>
      </c>
      <c r="BC96" s="136">
        <f t="shared" si="17"/>
        <v>185928</v>
      </c>
      <c r="BE96" s="159" t="b">
        <f t="shared" si="16"/>
        <v>1</v>
      </c>
      <c r="BF96" s="160"/>
    </row>
    <row r="97" spans="2:58" outlineLevel="1" x14ac:dyDescent="0.25">
      <c r="B97" s="161" t="s">
        <v>818</v>
      </c>
      <c r="C97" s="162"/>
      <c r="D97" s="163" t="s">
        <v>1043</v>
      </c>
      <c r="E97" s="137"/>
      <c r="F97" s="137"/>
      <c r="G97" s="137"/>
      <c r="H97" s="137"/>
      <c r="I97" s="137"/>
      <c r="J97" s="138"/>
      <c r="K97" s="138"/>
      <c r="L97" s="138" t="s">
        <v>1044</v>
      </c>
      <c r="M97" s="138"/>
      <c r="N97" s="139">
        <f t="shared" si="14"/>
        <v>4.0999999999999996</v>
      </c>
      <c r="O97" s="144">
        <v>4.0999999999999996</v>
      </c>
      <c r="P97" s="139">
        <f>$P$4</f>
        <v>0</v>
      </c>
      <c r="Q97" s="139" t="s">
        <v>777</v>
      </c>
      <c r="R97" s="140">
        <v>3733.04</v>
      </c>
      <c r="S97" s="140">
        <v>3282.32</v>
      </c>
      <c r="T97" s="140">
        <f t="shared" si="11"/>
        <v>7015.3600000000006</v>
      </c>
      <c r="U97" s="335">
        <f t="shared" si="10"/>
        <v>0.68799999999828287</v>
      </c>
      <c r="V97" s="140">
        <f>SUM(V96:$AW96)*$N97/100-607</f>
        <v>7016.0479999999989</v>
      </c>
      <c r="W97" s="140">
        <v>5336.22</v>
      </c>
      <c r="X97" s="140">
        <v>2449.1499999999996</v>
      </c>
      <c r="Y97" s="140">
        <v>160.5</v>
      </c>
      <c r="Z97" s="140">
        <v>0</v>
      </c>
      <c r="AA97" s="140">
        <v>0</v>
      </c>
      <c r="AB97" s="140">
        <v>0</v>
      </c>
      <c r="AC97" s="140">
        <v>0</v>
      </c>
      <c r="AD97" s="140">
        <v>0</v>
      </c>
      <c r="AE97" s="140">
        <v>0</v>
      </c>
      <c r="AF97" s="140">
        <v>0</v>
      </c>
      <c r="AG97" s="140">
        <v>0</v>
      </c>
      <c r="AH97" s="140">
        <v>0</v>
      </c>
      <c r="AI97" s="140">
        <v>0</v>
      </c>
      <c r="AJ97" s="140">
        <v>0</v>
      </c>
      <c r="AK97" s="140">
        <v>0</v>
      </c>
      <c r="AL97" s="140">
        <v>0</v>
      </c>
      <c r="AM97" s="140">
        <v>0</v>
      </c>
      <c r="AN97" s="140">
        <v>0</v>
      </c>
      <c r="AO97" s="140">
        <v>0</v>
      </c>
      <c r="AP97" s="140">
        <v>0</v>
      </c>
      <c r="AQ97" s="140">
        <v>0</v>
      </c>
      <c r="AR97" s="140">
        <v>0</v>
      </c>
      <c r="AS97" s="140">
        <v>0</v>
      </c>
      <c r="AT97" s="140">
        <v>0</v>
      </c>
      <c r="AU97" s="140">
        <v>0</v>
      </c>
      <c r="AV97" s="140">
        <v>0</v>
      </c>
      <c r="AW97" s="140">
        <v>0</v>
      </c>
      <c r="AX97" s="140"/>
      <c r="AY97" s="140"/>
      <c r="AZ97" s="142">
        <f t="shared" si="12"/>
        <v>14961.918</v>
      </c>
      <c r="BA97" s="334">
        <f t="shared" si="15"/>
        <v>0</v>
      </c>
      <c r="BB97" s="141">
        <f t="shared" si="13"/>
        <v>0</v>
      </c>
      <c r="BC97" s="142">
        <f t="shared" si="17"/>
        <v>14961.918</v>
      </c>
      <c r="BE97" s="159" t="b">
        <f t="shared" si="16"/>
        <v>1</v>
      </c>
    </row>
    <row r="98" spans="2:58" s="159" customFormat="1" outlineLevel="1" x14ac:dyDescent="0.25">
      <c r="B98" s="154" t="s">
        <v>818</v>
      </c>
      <c r="C98" s="155">
        <v>47</v>
      </c>
      <c r="D98" s="156" t="s">
        <v>1045</v>
      </c>
      <c r="E98" s="130" t="s">
        <v>1046</v>
      </c>
      <c r="F98" s="130" t="s">
        <v>1047</v>
      </c>
      <c r="G98" s="130" t="s">
        <v>1048</v>
      </c>
      <c r="H98" s="130" t="s">
        <v>1049</v>
      </c>
      <c r="I98" s="130" t="s">
        <v>773</v>
      </c>
      <c r="J98" s="131">
        <v>178121</v>
      </c>
      <c r="K98" s="132">
        <v>99533.52</v>
      </c>
      <c r="L98" s="132"/>
      <c r="M98" s="132"/>
      <c r="N98" s="133"/>
      <c r="O98" s="133"/>
      <c r="P98" s="133"/>
      <c r="Q98" s="133" t="s">
        <v>774</v>
      </c>
      <c r="R98" s="134">
        <v>3125</v>
      </c>
      <c r="S98" s="134">
        <v>9375</v>
      </c>
      <c r="T98" s="134">
        <f t="shared" si="11"/>
        <v>12500</v>
      </c>
      <c r="U98" s="333">
        <f t="shared" si="10"/>
        <v>0</v>
      </c>
      <c r="V98" s="134">
        <v>12500</v>
      </c>
      <c r="W98" s="134">
        <v>12500</v>
      </c>
      <c r="X98" s="134">
        <v>12500</v>
      </c>
      <c r="Y98" s="134">
        <v>12500</v>
      </c>
      <c r="Z98" s="134">
        <v>12500</v>
      </c>
      <c r="AA98" s="134">
        <v>12500</v>
      </c>
      <c r="AB98" s="134">
        <v>12500</v>
      </c>
      <c r="AC98" s="134">
        <v>5783.52</v>
      </c>
      <c r="AD98" s="134">
        <v>0</v>
      </c>
      <c r="AE98" s="134">
        <v>0</v>
      </c>
      <c r="AF98" s="134">
        <v>0</v>
      </c>
      <c r="AG98" s="134">
        <v>0</v>
      </c>
      <c r="AH98" s="134">
        <v>0</v>
      </c>
      <c r="AI98" s="134">
        <v>0</v>
      </c>
      <c r="AJ98" s="134">
        <v>0</v>
      </c>
      <c r="AK98" s="134">
        <v>0</v>
      </c>
      <c r="AL98" s="134">
        <v>0</v>
      </c>
      <c r="AM98" s="134">
        <v>0</v>
      </c>
      <c r="AN98" s="134">
        <v>0</v>
      </c>
      <c r="AO98" s="134">
        <v>0</v>
      </c>
      <c r="AP98" s="134">
        <v>0</v>
      </c>
      <c r="AQ98" s="134">
        <v>0</v>
      </c>
      <c r="AR98" s="134">
        <v>0</v>
      </c>
      <c r="AS98" s="134">
        <v>0</v>
      </c>
      <c r="AT98" s="134">
        <v>0</v>
      </c>
      <c r="AU98" s="134">
        <v>0</v>
      </c>
      <c r="AV98" s="134">
        <v>0</v>
      </c>
      <c r="AW98" s="134">
        <v>0</v>
      </c>
      <c r="AX98" s="134"/>
      <c r="AY98" s="134"/>
      <c r="AZ98" s="136">
        <f t="shared" si="12"/>
        <v>93283.520000000004</v>
      </c>
      <c r="BA98" s="334">
        <f t="shared" si="15"/>
        <v>0</v>
      </c>
      <c r="BB98" s="135">
        <f t="shared" si="13"/>
        <v>5783.52</v>
      </c>
      <c r="BC98" s="136">
        <f t="shared" si="17"/>
        <v>93283.520000000004</v>
      </c>
      <c r="BE98" s="159" t="b">
        <f t="shared" si="16"/>
        <v>1</v>
      </c>
      <c r="BF98" s="160"/>
    </row>
    <row r="99" spans="2:58" outlineLevel="1" x14ac:dyDescent="0.25">
      <c r="B99" s="161" t="s">
        <v>818</v>
      </c>
      <c r="C99" s="162"/>
      <c r="D99" s="163" t="s">
        <v>1050</v>
      </c>
      <c r="E99" s="137"/>
      <c r="F99" s="137"/>
      <c r="G99" s="137"/>
      <c r="H99" s="137"/>
      <c r="I99" s="137"/>
      <c r="J99" s="138"/>
      <c r="K99" s="138"/>
      <c r="L99" s="138" t="s">
        <v>1051</v>
      </c>
      <c r="M99" s="138"/>
      <c r="N99" s="139">
        <f t="shared" si="14"/>
        <v>3.9020000000000001</v>
      </c>
      <c r="O99" s="139">
        <v>3.9020000000000001</v>
      </c>
      <c r="P99" s="139">
        <f>$P$4</f>
        <v>0</v>
      </c>
      <c r="Q99" s="139" t="s">
        <v>777</v>
      </c>
      <c r="R99" s="140">
        <v>1887.1399999999999</v>
      </c>
      <c r="S99" s="140">
        <v>1790.51</v>
      </c>
      <c r="T99" s="140">
        <f t="shared" si="11"/>
        <v>3677.6499999999996</v>
      </c>
      <c r="U99" s="335">
        <f t="shared" si="10"/>
        <v>0.27295040000080917</v>
      </c>
      <c r="V99" s="140">
        <f>SUM(V98:$AW98)*$N99/100+38</f>
        <v>3677.9229504000004</v>
      </c>
      <c r="W99" s="140">
        <f>SUM(W98:$AW98)*$N99/100</f>
        <v>3152.1729504000004</v>
      </c>
      <c r="X99" s="140">
        <f>SUM(X98:$AW98)*$N99/100</f>
        <v>2664.4229504</v>
      </c>
      <c r="Y99" s="140">
        <f>SUM(Y98:$AW98)*$N99/100</f>
        <v>2176.6729504000004</v>
      </c>
      <c r="Z99" s="140">
        <f>SUM(Z98:$AW98)*$N99/100</f>
        <v>1688.9229504000002</v>
      </c>
      <c r="AA99" s="140">
        <f>SUM(AA98:$AW98)*$N99/100</f>
        <v>1201.1729504000002</v>
      </c>
      <c r="AB99" s="140">
        <f>SUM(AB98:$AW98)*$N99/100</f>
        <v>713.42295039999999</v>
      </c>
      <c r="AC99" s="140">
        <f>SUM(AC98:$AW98)*$N99/100</f>
        <v>225.67295040000002</v>
      </c>
      <c r="AD99" s="140">
        <v>0</v>
      </c>
      <c r="AE99" s="140">
        <v>0</v>
      </c>
      <c r="AF99" s="140">
        <v>0</v>
      </c>
      <c r="AG99" s="140">
        <v>0</v>
      </c>
      <c r="AH99" s="140">
        <v>0</v>
      </c>
      <c r="AI99" s="140">
        <v>0</v>
      </c>
      <c r="AJ99" s="140">
        <v>0</v>
      </c>
      <c r="AK99" s="140">
        <v>0</v>
      </c>
      <c r="AL99" s="140">
        <v>0</v>
      </c>
      <c r="AM99" s="140">
        <v>0</v>
      </c>
      <c r="AN99" s="140">
        <v>0</v>
      </c>
      <c r="AO99" s="140">
        <v>0</v>
      </c>
      <c r="AP99" s="140">
        <v>0</v>
      </c>
      <c r="AQ99" s="140">
        <v>0</v>
      </c>
      <c r="AR99" s="140">
        <v>0</v>
      </c>
      <c r="AS99" s="140">
        <v>0</v>
      </c>
      <c r="AT99" s="140">
        <v>0</v>
      </c>
      <c r="AU99" s="140">
        <v>0</v>
      </c>
      <c r="AV99" s="140">
        <v>0</v>
      </c>
      <c r="AW99" s="140">
        <v>0</v>
      </c>
      <c r="AX99" s="140"/>
      <c r="AY99" s="140"/>
      <c r="AZ99" s="142">
        <f t="shared" si="12"/>
        <v>15500.3836032</v>
      </c>
      <c r="BA99" s="334">
        <f t="shared" si="15"/>
        <v>0</v>
      </c>
      <c r="BB99" s="141">
        <f t="shared" si="13"/>
        <v>225.67295040000002</v>
      </c>
      <c r="BC99" s="142">
        <f t="shared" si="17"/>
        <v>15500.3836032</v>
      </c>
      <c r="BE99" s="159" t="b">
        <f t="shared" si="16"/>
        <v>1</v>
      </c>
    </row>
    <row r="100" spans="2:58" s="159" customFormat="1" outlineLevel="1" x14ac:dyDescent="0.25">
      <c r="B100" s="154" t="s">
        <v>767</v>
      </c>
      <c r="C100" s="155">
        <v>48</v>
      </c>
      <c r="D100" s="156" t="s">
        <v>1052</v>
      </c>
      <c r="E100" s="130" t="s">
        <v>1053</v>
      </c>
      <c r="F100" s="130" t="s">
        <v>1054</v>
      </c>
      <c r="G100" s="130" t="s">
        <v>1055</v>
      </c>
      <c r="H100" s="130" t="s">
        <v>1056</v>
      </c>
      <c r="I100" s="130" t="s">
        <v>773</v>
      </c>
      <c r="J100" s="131">
        <v>1230506</v>
      </c>
      <c r="K100" s="132">
        <v>873506.23</v>
      </c>
      <c r="L100" s="132"/>
      <c r="M100" s="132"/>
      <c r="N100" s="133"/>
      <c r="O100" s="133"/>
      <c r="P100" s="133"/>
      <c r="Q100" s="133" t="s">
        <v>774</v>
      </c>
      <c r="R100" s="134">
        <v>21588</v>
      </c>
      <c r="S100" s="134">
        <v>64764</v>
      </c>
      <c r="T100" s="134">
        <f t="shared" si="11"/>
        <v>86352</v>
      </c>
      <c r="U100" s="333">
        <f t="shared" si="10"/>
        <v>0</v>
      </c>
      <c r="V100" s="134">
        <v>86352</v>
      </c>
      <c r="W100" s="134">
        <v>86352</v>
      </c>
      <c r="X100" s="134">
        <v>86352</v>
      </c>
      <c r="Y100" s="134">
        <v>86352</v>
      </c>
      <c r="Z100" s="134">
        <v>86352</v>
      </c>
      <c r="AA100" s="134">
        <v>86352</v>
      </c>
      <c r="AB100" s="134">
        <v>86352</v>
      </c>
      <c r="AC100" s="134">
        <v>86352</v>
      </c>
      <c r="AD100" s="134">
        <v>86352</v>
      </c>
      <c r="AE100" s="134">
        <v>53162.229999999996</v>
      </c>
      <c r="AF100" s="134">
        <v>0</v>
      </c>
      <c r="AG100" s="134">
        <v>0</v>
      </c>
      <c r="AH100" s="134">
        <v>0</v>
      </c>
      <c r="AI100" s="134">
        <v>0</v>
      </c>
      <c r="AJ100" s="134">
        <v>0</v>
      </c>
      <c r="AK100" s="134">
        <v>0</v>
      </c>
      <c r="AL100" s="134">
        <v>0</v>
      </c>
      <c r="AM100" s="134">
        <v>0</v>
      </c>
      <c r="AN100" s="134">
        <v>0</v>
      </c>
      <c r="AO100" s="134">
        <v>0</v>
      </c>
      <c r="AP100" s="134">
        <v>0</v>
      </c>
      <c r="AQ100" s="134">
        <v>0</v>
      </c>
      <c r="AR100" s="134">
        <v>0</v>
      </c>
      <c r="AS100" s="134">
        <v>0</v>
      </c>
      <c r="AT100" s="134">
        <v>0</v>
      </c>
      <c r="AU100" s="134">
        <v>0</v>
      </c>
      <c r="AV100" s="134">
        <v>0</v>
      </c>
      <c r="AW100" s="134">
        <v>0</v>
      </c>
      <c r="AX100" s="134"/>
      <c r="AY100" s="134"/>
      <c r="AZ100" s="136">
        <f t="shared" si="12"/>
        <v>830330.23</v>
      </c>
      <c r="BA100" s="334">
        <f t="shared" si="15"/>
        <v>0</v>
      </c>
      <c r="BB100" s="135">
        <f t="shared" si="13"/>
        <v>225866.22999999998</v>
      </c>
      <c r="BC100" s="136">
        <f t="shared" si="17"/>
        <v>830330.23</v>
      </c>
      <c r="BE100" s="159" t="b">
        <f t="shared" si="16"/>
        <v>1</v>
      </c>
      <c r="BF100" s="160"/>
    </row>
    <row r="101" spans="2:58" outlineLevel="1" x14ac:dyDescent="0.25">
      <c r="B101" s="161" t="s">
        <v>767</v>
      </c>
      <c r="C101" s="162"/>
      <c r="D101" s="163" t="s">
        <v>1057</v>
      </c>
      <c r="E101" s="137"/>
      <c r="F101" s="137"/>
      <c r="G101" s="137"/>
      <c r="H101" s="137"/>
      <c r="I101" s="137"/>
      <c r="J101" s="138"/>
      <c r="K101" s="138"/>
      <c r="L101" s="138" t="s">
        <v>1058</v>
      </c>
      <c r="M101" s="138"/>
      <c r="N101" s="139">
        <f t="shared" si="14"/>
        <v>5.0529999999999999</v>
      </c>
      <c r="O101" s="139">
        <v>5.0529999999999999</v>
      </c>
      <c r="P101" s="139">
        <f>$P$4</f>
        <v>0</v>
      </c>
      <c r="Q101" s="139" t="s">
        <v>777</v>
      </c>
      <c r="R101" s="140">
        <v>22544.61</v>
      </c>
      <c r="S101" s="140">
        <v>21134.32</v>
      </c>
      <c r="T101" s="140">
        <f t="shared" si="11"/>
        <v>43678.93</v>
      </c>
      <c r="U101" s="335">
        <f t="shared" si="10"/>
        <v>0.65652189999673283</v>
      </c>
      <c r="V101" s="140">
        <f>SUM(V100:$AW100)*$N101/100+1723</f>
        <v>43679.586521899997</v>
      </c>
      <c r="W101" s="140">
        <f>SUM(W100:$AW100)*$N101/100</f>
        <v>37593.219961900002</v>
      </c>
      <c r="X101" s="140">
        <f>SUM(X100:$AW100)*$N101/100</f>
        <v>33229.8534019</v>
      </c>
      <c r="Y101" s="140">
        <f>SUM(Y100:$AW100)*$N101/100</f>
        <v>28866.486841899998</v>
      </c>
      <c r="Z101" s="140">
        <f>SUM(Z100:$AW100)*$N101/100</f>
        <v>24503.120281899999</v>
      </c>
      <c r="AA101" s="140">
        <f>SUM(AA100:$AW100)*$N101/100</f>
        <v>20139.753721899997</v>
      </c>
      <c r="AB101" s="140">
        <f>SUM(AB100:$AW100)*$N101/100</f>
        <v>15776.387161899998</v>
      </c>
      <c r="AC101" s="140">
        <f>SUM(AC100:$AW100)*$N101/100</f>
        <v>11413.020601899998</v>
      </c>
      <c r="AD101" s="140">
        <f>SUM(AD100:$AW100)*$N101/100</f>
        <v>7049.6540418999994</v>
      </c>
      <c r="AE101" s="140">
        <f>SUM(AE100:$AW100)*$N101/100</f>
        <v>2686.2874818999994</v>
      </c>
      <c r="AF101" s="140">
        <v>0</v>
      </c>
      <c r="AG101" s="140">
        <v>0</v>
      </c>
      <c r="AH101" s="140">
        <v>0</v>
      </c>
      <c r="AI101" s="140">
        <v>0</v>
      </c>
      <c r="AJ101" s="140">
        <v>0</v>
      </c>
      <c r="AK101" s="140">
        <v>0</v>
      </c>
      <c r="AL101" s="140">
        <v>0</v>
      </c>
      <c r="AM101" s="140">
        <v>0</v>
      </c>
      <c r="AN101" s="140">
        <v>0</v>
      </c>
      <c r="AO101" s="140">
        <v>0</v>
      </c>
      <c r="AP101" s="140">
        <v>0</v>
      </c>
      <c r="AQ101" s="140">
        <v>0</v>
      </c>
      <c r="AR101" s="140">
        <v>0</v>
      </c>
      <c r="AS101" s="140">
        <v>0</v>
      </c>
      <c r="AT101" s="140">
        <v>0</v>
      </c>
      <c r="AU101" s="140">
        <v>0</v>
      </c>
      <c r="AV101" s="140">
        <v>0</v>
      </c>
      <c r="AW101" s="140">
        <v>0</v>
      </c>
      <c r="AX101" s="140"/>
      <c r="AY101" s="140"/>
      <c r="AZ101" s="142">
        <f t="shared" si="12"/>
        <v>224937.37001900002</v>
      </c>
      <c r="BA101" s="334">
        <f t="shared" si="15"/>
        <v>0</v>
      </c>
      <c r="BB101" s="141">
        <f t="shared" si="13"/>
        <v>21148.962125699996</v>
      </c>
      <c r="BC101" s="142">
        <f t="shared" si="17"/>
        <v>224937.37001899999</v>
      </c>
      <c r="BE101" s="159" t="b">
        <f t="shared" si="16"/>
        <v>1</v>
      </c>
    </row>
    <row r="102" spans="2:58" s="159" customFormat="1" outlineLevel="1" x14ac:dyDescent="0.25">
      <c r="B102" s="154" t="s">
        <v>767</v>
      </c>
      <c r="C102" s="155">
        <v>49</v>
      </c>
      <c r="D102" s="156" t="s">
        <v>1059</v>
      </c>
      <c r="E102" s="130" t="s">
        <v>1060</v>
      </c>
      <c r="F102" s="130" t="s">
        <v>1061</v>
      </c>
      <c r="G102" s="130" t="s">
        <v>1062</v>
      </c>
      <c r="H102" s="130" t="s">
        <v>1063</v>
      </c>
      <c r="I102" s="130" t="s">
        <v>773</v>
      </c>
      <c r="J102" s="131">
        <v>156436.10999999999</v>
      </c>
      <c r="K102" s="132">
        <v>137903.10999999999</v>
      </c>
      <c r="L102" s="132"/>
      <c r="M102" s="132"/>
      <c r="N102" s="133"/>
      <c r="O102" s="133"/>
      <c r="P102" s="133"/>
      <c r="Q102" s="133" t="s">
        <v>774</v>
      </c>
      <c r="R102" s="134">
        <v>9269</v>
      </c>
      <c r="S102" s="134">
        <v>27807</v>
      </c>
      <c r="T102" s="134">
        <f t="shared" si="11"/>
        <v>37076</v>
      </c>
      <c r="U102" s="333">
        <f t="shared" si="10"/>
        <v>0</v>
      </c>
      <c r="V102" s="134">
        <v>37076</v>
      </c>
      <c r="W102" s="134">
        <v>37076</v>
      </c>
      <c r="X102" s="134">
        <v>37076</v>
      </c>
      <c r="Y102" s="134">
        <v>8137.11</v>
      </c>
      <c r="Z102" s="134">
        <v>0</v>
      </c>
      <c r="AA102" s="134">
        <v>0</v>
      </c>
      <c r="AB102" s="134">
        <v>0</v>
      </c>
      <c r="AC102" s="134">
        <v>0</v>
      </c>
      <c r="AD102" s="134">
        <v>0</v>
      </c>
      <c r="AE102" s="134">
        <v>0</v>
      </c>
      <c r="AF102" s="134">
        <v>0</v>
      </c>
      <c r="AG102" s="134">
        <v>0</v>
      </c>
      <c r="AH102" s="134">
        <v>0</v>
      </c>
      <c r="AI102" s="134">
        <v>0</v>
      </c>
      <c r="AJ102" s="134">
        <v>0</v>
      </c>
      <c r="AK102" s="134">
        <v>0</v>
      </c>
      <c r="AL102" s="134">
        <v>0</v>
      </c>
      <c r="AM102" s="134">
        <v>0</v>
      </c>
      <c r="AN102" s="134">
        <v>0</v>
      </c>
      <c r="AO102" s="134">
        <v>0</v>
      </c>
      <c r="AP102" s="134">
        <v>0</v>
      </c>
      <c r="AQ102" s="134">
        <v>0</v>
      </c>
      <c r="AR102" s="134">
        <v>0</v>
      </c>
      <c r="AS102" s="134">
        <v>0</v>
      </c>
      <c r="AT102" s="134">
        <v>0</v>
      </c>
      <c r="AU102" s="134">
        <v>0</v>
      </c>
      <c r="AV102" s="134">
        <v>0</v>
      </c>
      <c r="AW102" s="134">
        <v>0</v>
      </c>
      <c r="AX102" s="134"/>
      <c r="AY102" s="134"/>
      <c r="AZ102" s="136">
        <f t="shared" si="12"/>
        <v>119365.11</v>
      </c>
      <c r="BA102" s="334">
        <f t="shared" si="15"/>
        <v>0</v>
      </c>
      <c r="BB102" s="135">
        <f t="shared" si="13"/>
        <v>0</v>
      </c>
      <c r="BC102" s="136">
        <f t="shared" si="17"/>
        <v>119365.11</v>
      </c>
      <c r="BE102" s="159" t="b">
        <f t="shared" si="16"/>
        <v>1</v>
      </c>
      <c r="BF102" s="160"/>
    </row>
    <row r="103" spans="2:58" outlineLevel="1" x14ac:dyDescent="0.25">
      <c r="B103" s="161" t="s">
        <v>767</v>
      </c>
      <c r="C103" s="162"/>
      <c r="D103" s="163"/>
      <c r="E103" s="137"/>
      <c r="F103" s="137"/>
      <c r="G103" s="137"/>
      <c r="H103" s="137"/>
      <c r="I103" s="137"/>
      <c r="J103" s="138"/>
      <c r="K103" s="138"/>
      <c r="L103" s="138" t="s">
        <v>1064</v>
      </c>
      <c r="M103" s="138"/>
      <c r="N103" s="139">
        <f t="shared" si="14"/>
        <v>5.0449999999999999</v>
      </c>
      <c r="O103" s="139">
        <v>5.0449999999999999</v>
      </c>
      <c r="P103" s="139">
        <f>$P$4</f>
        <v>0</v>
      </c>
      <c r="Q103" s="139" t="s">
        <v>777</v>
      </c>
      <c r="R103" s="140">
        <v>3149.49</v>
      </c>
      <c r="S103" s="140">
        <v>2541.0699999999997</v>
      </c>
      <c r="T103" s="140">
        <f t="shared" si="11"/>
        <v>5690.5599999999995</v>
      </c>
      <c r="U103" s="335">
        <f t="shared" si="10"/>
        <v>0.40979950000019016</v>
      </c>
      <c r="V103" s="140">
        <f>SUM(V102:$AW102)*$N103/100-331</f>
        <v>5690.9697994999997</v>
      </c>
      <c r="W103" s="140">
        <f>SUM(W102:$AW102)*$N103/100</f>
        <v>4151.4855994999998</v>
      </c>
      <c r="X103" s="140">
        <f>SUM(X102:$AW102)*$N103/100</f>
        <v>2281.0013994999999</v>
      </c>
      <c r="Y103" s="140">
        <f>SUM(Y102:$AW102)*$N103/100</f>
        <v>410.5171995</v>
      </c>
      <c r="Z103" s="140">
        <v>0</v>
      </c>
      <c r="AA103" s="140">
        <v>0</v>
      </c>
      <c r="AB103" s="140">
        <v>0</v>
      </c>
      <c r="AC103" s="140">
        <v>0</v>
      </c>
      <c r="AD103" s="140">
        <v>0</v>
      </c>
      <c r="AE103" s="140">
        <v>0</v>
      </c>
      <c r="AF103" s="140">
        <v>0</v>
      </c>
      <c r="AG103" s="140">
        <v>0</v>
      </c>
      <c r="AH103" s="140">
        <v>0</v>
      </c>
      <c r="AI103" s="140">
        <v>0</v>
      </c>
      <c r="AJ103" s="140">
        <v>0</v>
      </c>
      <c r="AK103" s="140">
        <v>0</v>
      </c>
      <c r="AL103" s="140">
        <v>0</v>
      </c>
      <c r="AM103" s="140">
        <v>0</v>
      </c>
      <c r="AN103" s="140">
        <v>0</v>
      </c>
      <c r="AO103" s="140">
        <v>0</v>
      </c>
      <c r="AP103" s="140">
        <v>0</v>
      </c>
      <c r="AQ103" s="140">
        <v>0</v>
      </c>
      <c r="AR103" s="140">
        <v>0</v>
      </c>
      <c r="AS103" s="140">
        <v>0</v>
      </c>
      <c r="AT103" s="140">
        <v>0</v>
      </c>
      <c r="AU103" s="140">
        <v>0</v>
      </c>
      <c r="AV103" s="140">
        <v>0</v>
      </c>
      <c r="AW103" s="140">
        <v>0</v>
      </c>
      <c r="AX103" s="140"/>
      <c r="AY103" s="140"/>
      <c r="AZ103" s="142">
        <f t="shared" si="12"/>
        <v>12533.973997999999</v>
      </c>
      <c r="BA103" s="334">
        <f t="shared" si="15"/>
        <v>0</v>
      </c>
      <c r="BB103" s="141">
        <f t="shared" si="13"/>
        <v>0</v>
      </c>
      <c r="BC103" s="142">
        <f t="shared" si="17"/>
        <v>12533.973997999999</v>
      </c>
      <c r="BE103" s="159" t="b">
        <f t="shared" si="16"/>
        <v>1</v>
      </c>
    </row>
    <row r="104" spans="2:58" s="159" customFormat="1" outlineLevel="1" x14ac:dyDescent="0.25">
      <c r="B104" s="154" t="s">
        <v>767</v>
      </c>
      <c r="C104" s="155">
        <v>50</v>
      </c>
      <c r="D104" s="156" t="s">
        <v>1065</v>
      </c>
      <c r="E104" s="130" t="s">
        <v>1066</v>
      </c>
      <c r="F104" s="130" t="s">
        <v>1067</v>
      </c>
      <c r="G104" s="130" t="s">
        <v>1068</v>
      </c>
      <c r="H104" s="130" t="s">
        <v>1069</v>
      </c>
      <c r="I104" s="130" t="s">
        <v>773</v>
      </c>
      <c r="J104" s="131">
        <v>90861.19</v>
      </c>
      <c r="K104" s="132">
        <v>80676.19</v>
      </c>
      <c r="L104" s="132"/>
      <c r="M104" s="132"/>
      <c r="N104" s="133"/>
      <c r="O104" s="133">
        <v>2.1520000000000001</v>
      </c>
      <c r="P104" s="133"/>
      <c r="Q104" s="133" t="s">
        <v>774</v>
      </c>
      <c r="R104" s="134">
        <v>5095</v>
      </c>
      <c r="S104" s="134">
        <v>15285</v>
      </c>
      <c r="T104" s="134">
        <f t="shared" si="11"/>
        <v>20380</v>
      </c>
      <c r="U104" s="333">
        <f t="shared" si="10"/>
        <v>0</v>
      </c>
      <c r="V104" s="134">
        <v>20380</v>
      </c>
      <c r="W104" s="134">
        <v>20380</v>
      </c>
      <c r="X104" s="134">
        <v>20380</v>
      </c>
      <c r="Y104" s="134">
        <v>9346.1899999999987</v>
      </c>
      <c r="Z104" s="134">
        <v>0</v>
      </c>
      <c r="AA104" s="134">
        <v>0</v>
      </c>
      <c r="AB104" s="134">
        <v>0</v>
      </c>
      <c r="AC104" s="134">
        <v>0</v>
      </c>
      <c r="AD104" s="134">
        <v>0</v>
      </c>
      <c r="AE104" s="134">
        <v>0</v>
      </c>
      <c r="AF104" s="134">
        <v>0</v>
      </c>
      <c r="AG104" s="134">
        <v>0</v>
      </c>
      <c r="AH104" s="134">
        <v>0</v>
      </c>
      <c r="AI104" s="134">
        <v>0</v>
      </c>
      <c r="AJ104" s="134">
        <v>0</v>
      </c>
      <c r="AK104" s="134">
        <v>0</v>
      </c>
      <c r="AL104" s="134">
        <v>0</v>
      </c>
      <c r="AM104" s="134">
        <v>0</v>
      </c>
      <c r="AN104" s="134">
        <v>0</v>
      </c>
      <c r="AO104" s="134">
        <v>0</v>
      </c>
      <c r="AP104" s="134">
        <v>0</v>
      </c>
      <c r="AQ104" s="134">
        <v>0</v>
      </c>
      <c r="AR104" s="134">
        <v>0</v>
      </c>
      <c r="AS104" s="134">
        <v>0</v>
      </c>
      <c r="AT104" s="134">
        <v>0</v>
      </c>
      <c r="AU104" s="134">
        <v>0</v>
      </c>
      <c r="AV104" s="134">
        <v>0</v>
      </c>
      <c r="AW104" s="134">
        <v>0</v>
      </c>
      <c r="AX104" s="134"/>
      <c r="AY104" s="134"/>
      <c r="AZ104" s="136">
        <f t="shared" si="12"/>
        <v>70486.19</v>
      </c>
      <c r="BA104" s="334">
        <f t="shared" si="15"/>
        <v>0</v>
      </c>
      <c r="BB104" s="135">
        <f t="shared" si="13"/>
        <v>0</v>
      </c>
      <c r="BC104" s="136">
        <f t="shared" si="17"/>
        <v>70486.19</v>
      </c>
      <c r="BE104" s="159" t="b">
        <f t="shared" si="16"/>
        <v>1</v>
      </c>
      <c r="BF104" s="160"/>
    </row>
    <row r="105" spans="2:58" outlineLevel="1" x14ac:dyDescent="0.25">
      <c r="B105" s="161" t="s">
        <v>767</v>
      </c>
      <c r="C105" s="162"/>
      <c r="D105" s="163"/>
      <c r="E105" s="137"/>
      <c r="F105" s="137"/>
      <c r="G105" s="137"/>
      <c r="H105" s="137"/>
      <c r="I105" s="137"/>
      <c r="J105" s="138"/>
      <c r="K105" s="138"/>
      <c r="L105" s="138" t="s">
        <v>1070</v>
      </c>
      <c r="M105" s="138"/>
      <c r="N105" s="139">
        <f t="shared" si="14"/>
        <v>5.2210000000000001</v>
      </c>
      <c r="O105" s="144">
        <v>5.2210000000000001</v>
      </c>
      <c r="P105" s="139">
        <f>$P$4</f>
        <v>0</v>
      </c>
      <c r="Q105" s="139" t="s">
        <v>777</v>
      </c>
      <c r="R105" s="140">
        <v>1920.95</v>
      </c>
      <c r="S105" s="140">
        <v>1588.3600000000001</v>
      </c>
      <c r="T105" s="140">
        <f t="shared" si="11"/>
        <v>3509.3100000000004</v>
      </c>
      <c r="U105" s="335">
        <f t="shared" si="10"/>
        <v>0.77397990000008576</v>
      </c>
      <c r="V105" s="140">
        <f>SUM(V104:$AW104)*$N105/100-170</f>
        <v>3510.0839799000005</v>
      </c>
      <c r="W105" s="140">
        <f>SUM(W104:$AW104)*$N105/100</f>
        <v>2616.0441799</v>
      </c>
      <c r="X105" s="140">
        <f>SUM(X104:$AW104)*$N105/100</f>
        <v>1552.0043799</v>
      </c>
      <c r="Y105" s="140">
        <f>SUM(Y104:$AW104)*$N105/100</f>
        <v>487.96457989999993</v>
      </c>
      <c r="Z105" s="140">
        <v>0</v>
      </c>
      <c r="AA105" s="140">
        <v>0</v>
      </c>
      <c r="AB105" s="140">
        <v>0</v>
      </c>
      <c r="AC105" s="140">
        <v>0</v>
      </c>
      <c r="AD105" s="140">
        <v>0</v>
      </c>
      <c r="AE105" s="140">
        <v>0</v>
      </c>
      <c r="AF105" s="140">
        <v>0</v>
      </c>
      <c r="AG105" s="140">
        <v>0</v>
      </c>
      <c r="AH105" s="140">
        <v>0</v>
      </c>
      <c r="AI105" s="140">
        <v>0</v>
      </c>
      <c r="AJ105" s="140">
        <v>0</v>
      </c>
      <c r="AK105" s="140">
        <v>0</v>
      </c>
      <c r="AL105" s="140">
        <v>0</v>
      </c>
      <c r="AM105" s="140">
        <v>0</v>
      </c>
      <c r="AN105" s="140">
        <v>0</v>
      </c>
      <c r="AO105" s="140">
        <v>0</v>
      </c>
      <c r="AP105" s="140">
        <v>0</v>
      </c>
      <c r="AQ105" s="140">
        <v>0</v>
      </c>
      <c r="AR105" s="140">
        <v>0</v>
      </c>
      <c r="AS105" s="140">
        <v>0</v>
      </c>
      <c r="AT105" s="140">
        <v>0</v>
      </c>
      <c r="AU105" s="140">
        <v>0</v>
      </c>
      <c r="AV105" s="140">
        <v>0</v>
      </c>
      <c r="AW105" s="140">
        <v>0</v>
      </c>
      <c r="AX105" s="140"/>
      <c r="AY105" s="140"/>
      <c r="AZ105" s="142">
        <f t="shared" si="12"/>
        <v>8166.0971196</v>
      </c>
      <c r="BA105" s="334">
        <f t="shared" si="15"/>
        <v>0</v>
      </c>
      <c r="BB105" s="141">
        <f t="shared" si="13"/>
        <v>0</v>
      </c>
      <c r="BC105" s="142">
        <f t="shared" si="17"/>
        <v>8166.0971196</v>
      </c>
      <c r="BE105" s="159" t="b">
        <f t="shared" si="16"/>
        <v>1</v>
      </c>
    </row>
    <row r="106" spans="2:58" s="159" customFormat="1" outlineLevel="1" x14ac:dyDescent="0.25">
      <c r="B106" s="154" t="s">
        <v>767</v>
      </c>
      <c r="C106" s="155">
        <v>51</v>
      </c>
      <c r="D106" s="156" t="s">
        <v>1071</v>
      </c>
      <c r="E106" s="130" t="s">
        <v>1072</v>
      </c>
      <c r="F106" s="130" t="s">
        <v>1073</v>
      </c>
      <c r="G106" s="130" t="s">
        <v>1074</v>
      </c>
      <c r="H106" s="130" t="s">
        <v>1075</v>
      </c>
      <c r="I106" s="130" t="s">
        <v>773</v>
      </c>
      <c r="J106" s="131">
        <v>496340</v>
      </c>
      <c r="K106" s="132">
        <v>491872</v>
      </c>
      <c r="L106" s="132"/>
      <c r="M106" s="132"/>
      <c r="N106" s="133"/>
      <c r="O106" s="133"/>
      <c r="P106" s="133"/>
      <c r="Q106" s="133" t="s">
        <v>774</v>
      </c>
      <c r="R106" s="134">
        <v>13415</v>
      </c>
      <c r="S106" s="134">
        <v>40245</v>
      </c>
      <c r="T106" s="134">
        <f t="shared" si="11"/>
        <v>53660</v>
      </c>
      <c r="U106" s="333">
        <f t="shared" si="10"/>
        <v>0</v>
      </c>
      <c r="V106" s="134">
        <f>53660</f>
        <v>53660</v>
      </c>
      <c r="W106" s="134">
        <v>53660</v>
      </c>
      <c r="X106" s="134">
        <v>53660</v>
      </c>
      <c r="Y106" s="134">
        <v>53660</v>
      </c>
      <c r="Z106" s="134">
        <v>53660</v>
      </c>
      <c r="AA106" s="134">
        <v>53660</v>
      </c>
      <c r="AB106" s="134">
        <v>53660</v>
      </c>
      <c r="AC106" s="134">
        <v>53660</v>
      </c>
      <c r="AD106" s="134">
        <v>40245</v>
      </c>
      <c r="AE106" s="134">
        <v>0</v>
      </c>
      <c r="AF106" s="134">
        <v>0</v>
      </c>
      <c r="AG106" s="134">
        <v>0</v>
      </c>
      <c r="AH106" s="134">
        <v>0</v>
      </c>
      <c r="AI106" s="134">
        <v>0</v>
      </c>
      <c r="AJ106" s="134">
        <v>0</v>
      </c>
      <c r="AK106" s="134">
        <v>0</v>
      </c>
      <c r="AL106" s="134">
        <v>0</v>
      </c>
      <c r="AM106" s="134">
        <v>0</v>
      </c>
      <c r="AN106" s="134">
        <v>0</v>
      </c>
      <c r="AO106" s="134">
        <v>0</v>
      </c>
      <c r="AP106" s="134">
        <v>0</v>
      </c>
      <c r="AQ106" s="134">
        <v>0</v>
      </c>
      <c r="AR106" s="134">
        <v>0</v>
      </c>
      <c r="AS106" s="134">
        <v>0</v>
      </c>
      <c r="AT106" s="134">
        <v>0</v>
      </c>
      <c r="AU106" s="134">
        <v>0</v>
      </c>
      <c r="AV106" s="134">
        <v>0</v>
      </c>
      <c r="AW106" s="134">
        <v>0</v>
      </c>
      <c r="AX106" s="134"/>
      <c r="AY106" s="134"/>
      <c r="AZ106" s="136">
        <f t="shared" si="12"/>
        <v>469525</v>
      </c>
      <c r="BA106" s="334">
        <f t="shared" si="15"/>
        <v>0</v>
      </c>
      <c r="BB106" s="135">
        <f t="shared" si="13"/>
        <v>93905</v>
      </c>
      <c r="BC106" s="136">
        <f t="shared" si="17"/>
        <v>469525</v>
      </c>
      <c r="BE106" s="159" t="b">
        <f t="shared" si="16"/>
        <v>1</v>
      </c>
      <c r="BF106" s="160"/>
    </row>
    <row r="107" spans="2:58" outlineLevel="1" x14ac:dyDescent="0.25">
      <c r="B107" s="161" t="s">
        <v>767</v>
      </c>
      <c r="C107" s="162"/>
      <c r="D107" s="163" t="s">
        <v>1076</v>
      </c>
      <c r="E107" s="137"/>
      <c r="F107" s="137"/>
      <c r="G107" s="137"/>
      <c r="H107" s="137"/>
      <c r="I107" s="137"/>
      <c r="J107" s="138"/>
      <c r="K107" s="138"/>
      <c r="L107" s="138" t="s">
        <v>1077</v>
      </c>
      <c r="M107" s="138"/>
      <c r="N107" s="139">
        <f t="shared" si="14"/>
        <v>5.5309999999999997</v>
      </c>
      <c r="O107" s="139">
        <v>5.5309999999999997</v>
      </c>
      <c r="P107" s="139">
        <f>$P$4</f>
        <v>0</v>
      </c>
      <c r="Q107" s="139" t="s">
        <v>777</v>
      </c>
      <c r="R107" s="140">
        <v>13341.28</v>
      </c>
      <c r="S107" s="140">
        <v>12241.98</v>
      </c>
      <c r="T107" s="140">
        <f t="shared" si="11"/>
        <v>25583.260000000002</v>
      </c>
      <c r="U107" s="336">
        <f t="shared" si="10"/>
        <v>413.16774999999689</v>
      </c>
      <c r="V107" s="145">
        <f>SUM(V106:$AW106)*$N107/100-386+413</f>
        <v>25996.427749999999</v>
      </c>
      <c r="W107" s="140">
        <f>SUM(W106:$AW106)*$N107/100</f>
        <v>23001.493149999998</v>
      </c>
      <c r="X107" s="140">
        <f>SUM(X106:$AW106)*$N107/100</f>
        <v>20033.558550000002</v>
      </c>
      <c r="Y107" s="140">
        <f>SUM(Y106:$AW106)*$N107/100</f>
        <v>17065.623950000001</v>
      </c>
      <c r="Z107" s="140">
        <f>SUM(Z106:$AW106)*$N107/100</f>
        <v>14097.689349999999</v>
      </c>
      <c r="AA107" s="140">
        <f>SUM(AA106:$AW106)*$N107/100</f>
        <v>11129.754749999998</v>
      </c>
      <c r="AB107" s="140">
        <f>SUM(AB106:$AW106)*$N107/100</f>
        <v>8161.8201499999986</v>
      </c>
      <c r="AC107" s="140">
        <f>SUM(AC106:$AW106)*$N107/100</f>
        <v>5193.88555</v>
      </c>
      <c r="AD107" s="140">
        <f>SUM(AD106:$AW106)*$N107/100</f>
        <v>2225.9509499999999</v>
      </c>
      <c r="AE107" s="140">
        <v>0</v>
      </c>
      <c r="AF107" s="140">
        <v>0</v>
      </c>
      <c r="AG107" s="140">
        <v>0</v>
      </c>
      <c r="AH107" s="140">
        <v>0</v>
      </c>
      <c r="AI107" s="140">
        <v>0</v>
      </c>
      <c r="AJ107" s="140">
        <v>0</v>
      </c>
      <c r="AK107" s="140">
        <v>0</v>
      </c>
      <c r="AL107" s="140">
        <v>0</v>
      </c>
      <c r="AM107" s="140">
        <v>0</v>
      </c>
      <c r="AN107" s="140">
        <v>0</v>
      </c>
      <c r="AO107" s="140">
        <v>0</v>
      </c>
      <c r="AP107" s="140">
        <v>0</v>
      </c>
      <c r="AQ107" s="140">
        <v>0</v>
      </c>
      <c r="AR107" s="140">
        <v>0</v>
      </c>
      <c r="AS107" s="140">
        <v>0</v>
      </c>
      <c r="AT107" s="140">
        <v>0</v>
      </c>
      <c r="AU107" s="140">
        <v>0</v>
      </c>
      <c r="AV107" s="140">
        <v>0</v>
      </c>
      <c r="AW107" s="140">
        <v>0</v>
      </c>
      <c r="AX107" s="140"/>
      <c r="AY107" s="140"/>
      <c r="AZ107" s="142">
        <f t="shared" si="12"/>
        <v>126906.20414999999</v>
      </c>
      <c r="BA107" s="334">
        <f t="shared" si="15"/>
        <v>0</v>
      </c>
      <c r="BB107" s="141">
        <f t="shared" si="13"/>
        <v>7419.8364999999994</v>
      </c>
      <c r="BC107" s="142">
        <f t="shared" si="17"/>
        <v>126906.20414999999</v>
      </c>
      <c r="BE107" s="159" t="b">
        <f t="shared" si="16"/>
        <v>1</v>
      </c>
    </row>
    <row r="108" spans="2:58" s="159" customFormat="1" outlineLevel="1" x14ac:dyDescent="0.25">
      <c r="B108" s="154" t="s">
        <v>818</v>
      </c>
      <c r="C108" s="155">
        <v>52</v>
      </c>
      <c r="D108" s="156" t="s">
        <v>1078</v>
      </c>
      <c r="E108" s="130" t="s">
        <v>1079</v>
      </c>
      <c r="F108" s="130" t="s">
        <v>1080</v>
      </c>
      <c r="G108" s="130" t="s">
        <v>1081</v>
      </c>
      <c r="H108" s="130" t="s">
        <v>1082</v>
      </c>
      <c r="I108" s="130" t="s">
        <v>773</v>
      </c>
      <c r="J108" s="131">
        <v>6469</v>
      </c>
      <c r="K108" s="132">
        <v>5800</v>
      </c>
      <c r="L108" s="132"/>
      <c r="M108" s="132"/>
      <c r="N108" s="133"/>
      <c r="O108" s="133">
        <v>2.403</v>
      </c>
      <c r="P108" s="133"/>
      <c r="Q108" s="133" t="s">
        <v>774</v>
      </c>
      <c r="R108" s="134">
        <v>232</v>
      </c>
      <c r="S108" s="134">
        <v>696</v>
      </c>
      <c r="T108" s="134">
        <f t="shared" si="11"/>
        <v>928</v>
      </c>
      <c r="U108" s="333">
        <f t="shared" si="10"/>
        <v>0</v>
      </c>
      <c r="V108" s="146">
        <v>928</v>
      </c>
      <c r="W108" s="134">
        <v>928</v>
      </c>
      <c r="X108" s="134">
        <v>928</v>
      </c>
      <c r="Y108" s="134">
        <v>928</v>
      </c>
      <c r="Z108" s="134">
        <v>928</v>
      </c>
      <c r="AA108" s="134">
        <v>696</v>
      </c>
      <c r="AB108" s="134">
        <v>0</v>
      </c>
      <c r="AC108" s="134">
        <v>0</v>
      </c>
      <c r="AD108" s="134">
        <v>0</v>
      </c>
      <c r="AE108" s="134">
        <v>0</v>
      </c>
      <c r="AF108" s="134">
        <v>0</v>
      </c>
      <c r="AG108" s="134">
        <v>0</v>
      </c>
      <c r="AH108" s="134">
        <v>0</v>
      </c>
      <c r="AI108" s="134">
        <v>0</v>
      </c>
      <c r="AJ108" s="134">
        <v>0</v>
      </c>
      <c r="AK108" s="134">
        <v>0</v>
      </c>
      <c r="AL108" s="134">
        <v>0</v>
      </c>
      <c r="AM108" s="134">
        <v>0</v>
      </c>
      <c r="AN108" s="134">
        <v>0</v>
      </c>
      <c r="AO108" s="134">
        <v>0</v>
      </c>
      <c r="AP108" s="134">
        <v>0</v>
      </c>
      <c r="AQ108" s="134">
        <v>0</v>
      </c>
      <c r="AR108" s="134">
        <v>0</v>
      </c>
      <c r="AS108" s="134">
        <v>0</v>
      </c>
      <c r="AT108" s="134">
        <v>0</v>
      </c>
      <c r="AU108" s="134">
        <v>0</v>
      </c>
      <c r="AV108" s="134">
        <v>0</v>
      </c>
      <c r="AW108" s="134">
        <v>0</v>
      </c>
      <c r="AX108" s="134"/>
      <c r="AY108" s="134"/>
      <c r="AZ108" s="136">
        <f t="shared" si="12"/>
        <v>5336</v>
      </c>
      <c r="BA108" s="334">
        <f t="shared" si="15"/>
        <v>0</v>
      </c>
      <c r="BB108" s="135">
        <f t="shared" si="13"/>
        <v>0</v>
      </c>
      <c r="BC108" s="136">
        <f t="shared" si="17"/>
        <v>5336</v>
      </c>
      <c r="BE108" s="159" t="b">
        <f t="shared" si="16"/>
        <v>1</v>
      </c>
      <c r="BF108" s="160"/>
    </row>
    <row r="109" spans="2:58" outlineLevel="1" x14ac:dyDescent="0.25">
      <c r="B109" s="161" t="s">
        <v>818</v>
      </c>
      <c r="C109" s="162"/>
      <c r="D109" s="163" t="s">
        <v>1083</v>
      </c>
      <c r="E109" s="137"/>
      <c r="F109" s="137"/>
      <c r="G109" s="137"/>
      <c r="H109" s="137"/>
      <c r="I109" s="137"/>
      <c r="J109" s="138"/>
      <c r="K109" s="138"/>
      <c r="L109" s="138" t="s">
        <v>1084</v>
      </c>
      <c r="M109" s="138"/>
      <c r="N109" s="139">
        <f t="shared" si="14"/>
        <v>5.4349999999999996</v>
      </c>
      <c r="O109" s="144">
        <v>5.4349999999999996</v>
      </c>
      <c r="P109" s="139">
        <f>$P$4</f>
        <v>0</v>
      </c>
      <c r="Q109" s="139" t="s">
        <v>777</v>
      </c>
      <c r="R109" s="140">
        <v>149.81</v>
      </c>
      <c r="S109" s="140">
        <v>133.72</v>
      </c>
      <c r="T109" s="140">
        <f t="shared" si="11"/>
        <v>283.52999999999997</v>
      </c>
      <c r="U109" s="335">
        <f t="shared" si="10"/>
        <v>0.48160000000001446</v>
      </c>
      <c r="V109" s="145">
        <f>SUM(V108:$AW108)*$N109/100-6</f>
        <v>284.01159999999999</v>
      </c>
      <c r="W109" s="140">
        <f>SUM(W108:$AW108)*$N109/100</f>
        <v>239.57479999999998</v>
      </c>
      <c r="X109" s="140">
        <f>SUM(X108:$AW108)*$N109/100</f>
        <v>189.13800000000001</v>
      </c>
      <c r="Y109" s="140">
        <f>SUM(Y108:$AW108)*$N109/100</f>
        <v>138.7012</v>
      </c>
      <c r="Z109" s="140">
        <f>SUM(Z108:$AW108)*$N109/100</f>
        <v>88.264399999999981</v>
      </c>
      <c r="AA109" s="140">
        <f>SUM(AA108:$AW108)*$N109/100</f>
        <v>37.827599999999997</v>
      </c>
      <c r="AB109" s="140">
        <v>0</v>
      </c>
      <c r="AC109" s="140">
        <v>0</v>
      </c>
      <c r="AD109" s="140">
        <v>0</v>
      </c>
      <c r="AE109" s="140">
        <v>0</v>
      </c>
      <c r="AF109" s="140">
        <v>0</v>
      </c>
      <c r="AG109" s="140">
        <v>0</v>
      </c>
      <c r="AH109" s="140">
        <v>0</v>
      </c>
      <c r="AI109" s="140">
        <v>0</v>
      </c>
      <c r="AJ109" s="140">
        <v>0</v>
      </c>
      <c r="AK109" s="140">
        <v>0</v>
      </c>
      <c r="AL109" s="140">
        <v>0</v>
      </c>
      <c r="AM109" s="140">
        <v>0</v>
      </c>
      <c r="AN109" s="140">
        <v>0</v>
      </c>
      <c r="AO109" s="140">
        <v>0</v>
      </c>
      <c r="AP109" s="140">
        <v>0</v>
      </c>
      <c r="AQ109" s="140">
        <v>0</v>
      </c>
      <c r="AR109" s="140">
        <v>0</v>
      </c>
      <c r="AS109" s="140">
        <v>0</v>
      </c>
      <c r="AT109" s="140">
        <v>0</v>
      </c>
      <c r="AU109" s="140">
        <v>0</v>
      </c>
      <c r="AV109" s="140">
        <v>0</v>
      </c>
      <c r="AW109" s="140">
        <v>0</v>
      </c>
      <c r="AX109" s="140"/>
      <c r="AY109" s="140"/>
      <c r="AZ109" s="142">
        <f t="shared" si="12"/>
        <v>977.5175999999999</v>
      </c>
      <c r="BA109" s="334">
        <f t="shared" si="15"/>
        <v>0</v>
      </c>
      <c r="BB109" s="141">
        <f t="shared" si="13"/>
        <v>0</v>
      </c>
      <c r="BC109" s="142">
        <f t="shared" si="17"/>
        <v>977.5175999999999</v>
      </c>
      <c r="BE109" s="159" t="b">
        <f t="shared" si="16"/>
        <v>1</v>
      </c>
    </row>
    <row r="110" spans="2:58" s="159" customFormat="1" outlineLevel="1" x14ac:dyDescent="0.25">
      <c r="B110" s="154" t="s">
        <v>818</v>
      </c>
      <c r="C110" s="155">
        <v>53</v>
      </c>
      <c r="D110" s="156" t="s">
        <v>1085</v>
      </c>
      <c r="E110" s="130" t="s">
        <v>1086</v>
      </c>
      <c r="F110" s="130" t="s">
        <v>1087</v>
      </c>
      <c r="G110" s="130" t="s">
        <v>1088</v>
      </c>
      <c r="H110" s="130" t="s">
        <v>1089</v>
      </c>
      <c r="I110" s="130" t="s">
        <v>773</v>
      </c>
      <c r="J110" s="131">
        <v>503660</v>
      </c>
      <c r="K110" s="132">
        <v>503660</v>
      </c>
      <c r="L110" s="132"/>
      <c r="M110" s="132"/>
      <c r="N110" s="133"/>
      <c r="O110" s="133"/>
      <c r="P110" s="133"/>
      <c r="Q110" s="133" t="s">
        <v>774</v>
      </c>
      <c r="R110" s="134">
        <v>8837</v>
      </c>
      <c r="S110" s="134">
        <v>26511</v>
      </c>
      <c r="T110" s="134">
        <f t="shared" si="11"/>
        <v>35348</v>
      </c>
      <c r="U110" s="333">
        <f t="shared" si="10"/>
        <v>0</v>
      </c>
      <c r="V110" s="146">
        <v>35348</v>
      </c>
      <c r="W110" s="134">
        <v>35348</v>
      </c>
      <c r="X110" s="134">
        <v>35348</v>
      </c>
      <c r="Y110" s="134">
        <v>35348</v>
      </c>
      <c r="Z110" s="134">
        <v>35348</v>
      </c>
      <c r="AA110" s="134">
        <v>35348</v>
      </c>
      <c r="AB110" s="134">
        <v>35348</v>
      </c>
      <c r="AC110" s="134">
        <v>35348</v>
      </c>
      <c r="AD110" s="134">
        <v>35348</v>
      </c>
      <c r="AE110" s="134">
        <v>35348</v>
      </c>
      <c r="AF110" s="134">
        <v>35348</v>
      </c>
      <c r="AG110" s="134">
        <v>35348</v>
      </c>
      <c r="AH110" s="134">
        <v>35348</v>
      </c>
      <c r="AI110" s="134">
        <v>35348</v>
      </c>
      <c r="AJ110" s="134">
        <v>0</v>
      </c>
      <c r="AK110" s="134">
        <v>0</v>
      </c>
      <c r="AL110" s="134">
        <v>0</v>
      </c>
      <c r="AM110" s="134">
        <v>0</v>
      </c>
      <c r="AN110" s="134">
        <v>0</v>
      </c>
      <c r="AO110" s="134">
        <v>0</v>
      </c>
      <c r="AP110" s="134">
        <v>0</v>
      </c>
      <c r="AQ110" s="134">
        <v>0</v>
      </c>
      <c r="AR110" s="134">
        <v>0</v>
      </c>
      <c r="AS110" s="134">
        <v>0</v>
      </c>
      <c r="AT110" s="134">
        <v>0</v>
      </c>
      <c r="AU110" s="134">
        <v>0</v>
      </c>
      <c r="AV110" s="134">
        <v>0</v>
      </c>
      <c r="AW110" s="134">
        <v>0</v>
      </c>
      <c r="AX110" s="134"/>
      <c r="AY110" s="134"/>
      <c r="AZ110" s="136">
        <f t="shared" si="12"/>
        <v>494872</v>
      </c>
      <c r="BA110" s="334">
        <f t="shared" si="15"/>
        <v>0</v>
      </c>
      <c r="BB110" s="135">
        <f t="shared" si="13"/>
        <v>247436</v>
      </c>
      <c r="BC110" s="136">
        <f t="shared" si="17"/>
        <v>494872</v>
      </c>
      <c r="BE110" s="159" t="b">
        <f t="shared" si="16"/>
        <v>1</v>
      </c>
      <c r="BF110" s="160"/>
    </row>
    <row r="111" spans="2:58" outlineLevel="1" x14ac:dyDescent="0.25">
      <c r="B111" s="161" t="s">
        <v>818</v>
      </c>
      <c r="C111" s="162"/>
      <c r="D111" s="163" t="s">
        <v>1090</v>
      </c>
      <c r="E111" s="137"/>
      <c r="F111" s="137"/>
      <c r="G111" s="137"/>
      <c r="H111" s="137"/>
      <c r="I111" s="137"/>
      <c r="J111" s="138"/>
      <c r="K111" s="138"/>
      <c r="L111" s="138">
        <v>0</v>
      </c>
      <c r="M111" s="138" t="s">
        <v>963</v>
      </c>
      <c r="N111" s="139">
        <f t="shared" si="14"/>
        <v>4.6120000000000001</v>
      </c>
      <c r="O111" s="139">
        <v>4.6120000000000001</v>
      </c>
      <c r="P111" s="139">
        <f>$P$4</f>
        <v>0</v>
      </c>
      <c r="Q111" s="139" t="s">
        <v>777</v>
      </c>
      <c r="R111" s="140">
        <v>11667.54</v>
      </c>
      <c r="S111" s="140">
        <v>11265.7</v>
      </c>
      <c r="T111" s="140">
        <f t="shared" si="11"/>
        <v>22933.24</v>
      </c>
      <c r="U111" s="335">
        <f t="shared" si="10"/>
        <v>0.25663999999596854</v>
      </c>
      <c r="V111" s="145">
        <f>SUM(V110:$AW110)*$N111/100+110</f>
        <v>22933.496639999998</v>
      </c>
      <c r="W111" s="140">
        <f>SUM(W110:$AW110)*$N111/100</f>
        <v>21193.246880000002</v>
      </c>
      <c r="X111" s="140">
        <f>SUM(X110:$AW110)*$N111/100</f>
        <v>19562.99712</v>
      </c>
      <c r="Y111" s="140">
        <f>SUM(Y110:$AW110)*$N111/100</f>
        <v>17932.747360000001</v>
      </c>
      <c r="Z111" s="140">
        <f>SUM(Z110:$AW110)*$N111/100</f>
        <v>16302.497600000001</v>
      </c>
      <c r="AA111" s="140">
        <f>SUM(AA110:$AW110)*$N111/100</f>
        <v>14672.24784</v>
      </c>
      <c r="AB111" s="140">
        <f>SUM(AB110:$AW110)*$N111/100</f>
        <v>13041.998079999999</v>
      </c>
      <c r="AC111" s="140">
        <f>SUM(AC110:$AW110)*$N111/100</f>
        <v>11411.748319999999</v>
      </c>
      <c r="AD111" s="140">
        <f>SUM(AD110:$AW110)*$N111/100</f>
        <v>9781.49856</v>
      </c>
      <c r="AE111" s="140">
        <f>SUM(AE110:$AW110)*$N111/100</f>
        <v>8151.2488000000003</v>
      </c>
      <c r="AF111" s="140">
        <f>SUM(AF110:$AW110)*$N111/100</f>
        <v>6520.9990399999997</v>
      </c>
      <c r="AG111" s="140">
        <f>SUM(AG110:$AW110)*$N111/100</f>
        <v>4890.74928</v>
      </c>
      <c r="AH111" s="140">
        <f>SUM(AH110:$AW110)*$N111/100</f>
        <v>3260.4995199999998</v>
      </c>
      <c r="AI111" s="140">
        <f>SUM(AI110:$AW110)*$N111/100</f>
        <v>1630.2497599999999</v>
      </c>
      <c r="AJ111" s="140">
        <v>0</v>
      </c>
      <c r="AK111" s="140">
        <v>0</v>
      </c>
      <c r="AL111" s="140">
        <v>0</v>
      </c>
      <c r="AM111" s="140">
        <v>0</v>
      </c>
      <c r="AN111" s="140">
        <v>0</v>
      </c>
      <c r="AO111" s="140">
        <v>0</v>
      </c>
      <c r="AP111" s="140">
        <v>0</v>
      </c>
      <c r="AQ111" s="140">
        <v>0</v>
      </c>
      <c r="AR111" s="140">
        <v>0</v>
      </c>
      <c r="AS111" s="140">
        <v>0</v>
      </c>
      <c r="AT111" s="140">
        <v>0</v>
      </c>
      <c r="AU111" s="140">
        <v>0</v>
      </c>
      <c r="AV111" s="140">
        <v>0</v>
      </c>
      <c r="AW111" s="140">
        <v>0</v>
      </c>
      <c r="AX111" s="140"/>
      <c r="AY111" s="140"/>
      <c r="AZ111" s="142">
        <f t="shared" si="12"/>
        <v>171286.22480000003</v>
      </c>
      <c r="BA111" s="334">
        <f t="shared" si="15"/>
        <v>0</v>
      </c>
      <c r="BB111" s="141">
        <f t="shared" si="13"/>
        <v>45646.993280000002</v>
      </c>
      <c r="BC111" s="142">
        <f t="shared" si="17"/>
        <v>171286.22480000003</v>
      </c>
      <c r="BE111" s="159" t="b">
        <f t="shared" si="16"/>
        <v>1</v>
      </c>
    </row>
    <row r="112" spans="2:58" s="159" customFormat="1" outlineLevel="1" x14ac:dyDescent="0.25">
      <c r="B112" s="154" t="s">
        <v>818</v>
      </c>
      <c r="C112" s="155">
        <v>54</v>
      </c>
      <c r="D112" s="156" t="s">
        <v>1085</v>
      </c>
      <c r="E112" s="130" t="s">
        <v>1091</v>
      </c>
      <c r="F112" s="130" t="s">
        <v>1092</v>
      </c>
      <c r="G112" s="130" t="s">
        <v>1088</v>
      </c>
      <c r="H112" s="130" t="s">
        <v>1093</v>
      </c>
      <c r="I112" s="130" t="s">
        <v>773</v>
      </c>
      <c r="J112" s="131">
        <v>300000</v>
      </c>
      <c r="K112" s="132">
        <v>300000</v>
      </c>
      <c r="L112" s="132"/>
      <c r="M112" s="132"/>
      <c r="N112" s="133"/>
      <c r="O112" s="133"/>
      <c r="P112" s="133"/>
      <c r="Q112" s="133" t="s">
        <v>774</v>
      </c>
      <c r="R112" s="134">
        <v>8109</v>
      </c>
      <c r="S112" s="134">
        <v>24327</v>
      </c>
      <c r="T112" s="134">
        <f t="shared" si="11"/>
        <v>32436</v>
      </c>
      <c r="U112" s="333">
        <f t="shared" si="10"/>
        <v>0</v>
      </c>
      <c r="V112" s="146">
        <v>32436</v>
      </c>
      <c r="W112" s="134">
        <v>32436</v>
      </c>
      <c r="X112" s="134">
        <v>32436</v>
      </c>
      <c r="Y112" s="134">
        <v>32436</v>
      </c>
      <c r="Z112" s="134">
        <v>32436</v>
      </c>
      <c r="AA112" s="134">
        <v>32436</v>
      </c>
      <c r="AB112" s="134">
        <v>32436</v>
      </c>
      <c r="AC112" s="134">
        <v>32436</v>
      </c>
      <c r="AD112" s="134">
        <v>32436</v>
      </c>
      <c r="AE112" s="134">
        <v>0</v>
      </c>
      <c r="AF112" s="134">
        <v>0</v>
      </c>
      <c r="AG112" s="134">
        <v>0</v>
      </c>
      <c r="AH112" s="134">
        <v>0</v>
      </c>
      <c r="AI112" s="134">
        <v>0</v>
      </c>
      <c r="AJ112" s="134">
        <v>0</v>
      </c>
      <c r="AK112" s="134">
        <v>0</v>
      </c>
      <c r="AL112" s="134">
        <v>0</v>
      </c>
      <c r="AM112" s="134">
        <v>0</v>
      </c>
      <c r="AN112" s="134">
        <v>0</v>
      </c>
      <c r="AO112" s="134">
        <v>0</v>
      </c>
      <c r="AP112" s="134">
        <v>0</v>
      </c>
      <c r="AQ112" s="134">
        <v>0</v>
      </c>
      <c r="AR112" s="134">
        <v>0</v>
      </c>
      <c r="AS112" s="134">
        <v>0</v>
      </c>
      <c r="AT112" s="134">
        <v>0</v>
      </c>
      <c r="AU112" s="134">
        <v>0</v>
      </c>
      <c r="AV112" s="134">
        <v>0</v>
      </c>
      <c r="AW112" s="134">
        <v>0</v>
      </c>
      <c r="AX112" s="134"/>
      <c r="AY112" s="134"/>
      <c r="AZ112" s="136">
        <f t="shared" si="12"/>
        <v>291924</v>
      </c>
      <c r="BA112" s="334">
        <f t="shared" si="15"/>
        <v>0</v>
      </c>
      <c r="BB112" s="135">
        <f t="shared" si="13"/>
        <v>64872</v>
      </c>
      <c r="BC112" s="136">
        <f t="shared" si="17"/>
        <v>291924</v>
      </c>
      <c r="BE112" s="159" t="b">
        <f t="shared" si="16"/>
        <v>1</v>
      </c>
      <c r="BF112" s="160"/>
    </row>
    <row r="113" spans="2:58" outlineLevel="1" x14ac:dyDescent="0.25">
      <c r="B113" s="161" t="s">
        <v>818</v>
      </c>
      <c r="C113" s="162"/>
      <c r="D113" s="163" t="s">
        <v>1094</v>
      </c>
      <c r="E113" s="137"/>
      <c r="F113" s="137"/>
      <c r="G113" s="137"/>
      <c r="H113" s="137"/>
      <c r="I113" s="137"/>
      <c r="J113" s="138"/>
      <c r="K113" s="138"/>
      <c r="L113" s="138">
        <v>0</v>
      </c>
      <c r="M113" s="138" t="s">
        <v>963</v>
      </c>
      <c r="N113" s="139">
        <f t="shared" si="14"/>
        <v>4.3979999999999997</v>
      </c>
      <c r="O113" s="139">
        <v>4.3979999999999997</v>
      </c>
      <c r="P113" s="139">
        <f>$P$4</f>
        <v>0</v>
      </c>
      <c r="Q113" s="139" t="s">
        <v>777</v>
      </c>
      <c r="R113" s="140">
        <v>6583.9</v>
      </c>
      <c r="S113" s="140">
        <v>6232.18</v>
      </c>
      <c r="T113" s="140">
        <f t="shared" si="11"/>
        <v>12816.08</v>
      </c>
      <c r="U113" s="335">
        <f t="shared" si="10"/>
        <v>0.73751999999876716</v>
      </c>
      <c r="V113" s="145">
        <f>SUM(V112:$AW112)*$N113/100-22</f>
        <v>12816.817519999999</v>
      </c>
      <c r="W113" s="140">
        <f>SUM(W112:$AW112)*$N113/100</f>
        <v>11412.282239999999</v>
      </c>
      <c r="X113" s="140">
        <f>SUM(X112:$AW112)*$N113/100</f>
        <v>9985.7469599999986</v>
      </c>
      <c r="Y113" s="140">
        <f>SUM(Y112:$AW112)*$N113/100</f>
        <v>8559.2116800000003</v>
      </c>
      <c r="Z113" s="140">
        <f>SUM(Z112:$AW112)*$N113/100</f>
        <v>7132.6763999999994</v>
      </c>
      <c r="AA113" s="140">
        <f>SUM(AA112:$AW112)*$N113/100</f>
        <v>5706.1411199999993</v>
      </c>
      <c r="AB113" s="140">
        <f>SUM(AB112:$AW112)*$N113/100</f>
        <v>4279.6058400000002</v>
      </c>
      <c r="AC113" s="140">
        <f>SUM(AC112:$AW112)*$N113/100</f>
        <v>2853.0705599999997</v>
      </c>
      <c r="AD113" s="140">
        <f>SUM(AD112:$AW112)*$N113/100</f>
        <v>1426.5352799999998</v>
      </c>
      <c r="AE113" s="140">
        <v>0</v>
      </c>
      <c r="AF113" s="140">
        <v>0</v>
      </c>
      <c r="AG113" s="140">
        <v>0</v>
      </c>
      <c r="AH113" s="140">
        <v>0</v>
      </c>
      <c r="AI113" s="140">
        <v>0</v>
      </c>
      <c r="AJ113" s="140">
        <v>0</v>
      </c>
      <c r="AK113" s="140">
        <v>0</v>
      </c>
      <c r="AL113" s="140">
        <v>0</v>
      </c>
      <c r="AM113" s="140">
        <v>0</v>
      </c>
      <c r="AN113" s="140">
        <v>0</v>
      </c>
      <c r="AO113" s="140">
        <v>0</v>
      </c>
      <c r="AP113" s="140">
        <v>0</v>
      </c>
      <c r="AQ113" s="140">
        <v>0</v>
      </c>
      <c r="AR113" s="140">
        <v>0</v>
      </c>
      <c r="AS113" s="140">
        <v>0</v>
      </c>
      <c r="AT113" s="140">
        <v>0</v>
      </c>
      <c r="AU113" s="140">
        <v>0</v>
      </c>
      <c r="AV113" s="140">
        <v>0</v>
      </c>
      <c r="AW113" s="140">
        <v>0</v>
      </c>
      <c r="AX113" s="140"/>
      <c r="AY113" s="140"/>
      <c r="AZ113" s="142">
        <f t="shared" si="12"/>
        <v>64172.087599999992</v>
      </c>
      <c r="BA113" s="334">
        <f t="shared" si="15"/>
        <v>0</v>
      </c>
      <c r="BB113" s="141">
        <f t="shared" si="13"/>
        <v>4279.6058399999993</v>
      </c>
      <c r="BC113" s="142">
        <f t="shared" si="17"/>
        <v>64172.087599999992</v>
      </c>
      <c r="BE113" s="159" t="b">
        <f t="shared" si="16"/>
        <v>1</v>
      </c>
    </row>
    <row r="114" spans="2:58" s="159" customFormat="1" outlineLevel="1" x14ac:dyDescent="0.25">
      <c r="B114" s="154" t="s">
        <v>767</v>
      </c>
      <c r="C114" s="155">
        <v>55</v>
      </c>
      <c r="D114" s="156" t="s">
        <v>1095</v>
      </c>
      <c r="E114" s="130" t="s">
        <v>1096</v>
      </c>
      <c r="F114" s="130" t="s">
        <v>1097</v>
      </c>
      <c r="G114" s="130" t="s">
        <v>1098</v>
      </c>
      <c r="H114" s="130" t="s">
        <v>1099</v>
      </c>
      <c r="I114" s="130" t="s">
        <v>773</v>
      </c>
      <c r="J114" s="131">
        <v>292889</v>
      </c>
      <c r="K114" s="132">
        <v>126903.87</v>
      </c>
      <c r="L114" s="132"/>
      <c r="M114" s="132"/>
      <c r="N114" s="133"/>
      <c r="O114" s="133"/>
      <c r="P114" s="133"/>
      <c r="Q114" s="133" t="s">
        <v>774</v>
      </c>
      <c r="R114" s="134">
        <v>5050</v>
      </c>
      <c r="S114" s="134">
        <v>15150</v>
      </c>
      <c r="T114" s="134">
        <f t="shared" si="11"/>
        <v>20200</v>
      </c>
      <c r="U114" s="333">
        <f t="shared" si="10"/>
        <v>0</v>
      </c>
      <c r="V114" s="146">
        <v>20200</v>
      </c>
      <c r="W114" s="134">
        <v>20200</v>
      </c>
      <c r="X114" s="134">
        <v>20200</v>
      </c>
      <c r="Y114" s="134">
        <v>20200</v>
      </c>
      <c r="Z114" s="134">
        <v>20200</v>
      </c>
      <c r="AA114" s="134">
        <v>20200</v>
      </c>
      <c r="AB114" s="134">
        <v>20200</v>
      </c>
      <c r="AC114" s="134">
        <v>20200</v>
      </c>
      <c r="AD114" s="134">
        <v>20200</v>
      </c>
      <c r="AE114" s="134">
        <v>20200</v>
      </c>
      <c r="AF114" s="134">
        <v>20200</v>
      </c>
      <c r="AG114" s="134">
        <v>20200</v>
      </c>
      <c r="AH114" s="134">
        <v>20200</v>
      </c>
      <c r="AI114" s="134">
        <v>20200</v>
      </c>
      <c r="AJ114" s="134">
        <v>0</v>
      </c>
      <c r="AK114" s="134">
        <v>0</v>
      </c>
      <c r="AL114" s="134">
        <v>0</v>
      </c>
      <c r="AM114" s="134">
        <v>0</v>
      </c>
      <c r="AN114" s="134">
        <v>0</v>
      </c>
      <c r="AO114" s="134">
        <v>0</v>
      </c>
      <c r="AP114" s="134">
        <v>0</v>
      </c>
      <c r="AQ114" s="134">
        <v>0</v>
      </c>
      <c r="AR114" s="134">
        <v>0</v>
      </c>
      <c r="AS114" s="134">
        <v>0</v>
      </c>
      <c r="AT114" s="134">
        <v>0</v>
      </c>
      <c r="AU114" s="134">
        <v>0</v>
      </c>
      <c r="AV114" s="134">
        <v>0</v>
      </c>
      <c r="AW114" s="134">
        <v>0</v>
      </c>
      <c r="AX114" s="134"/>
      <c r="AY114" s="134"/>
      <c r="AZ114" s="136">
        <f t="shared" si="12"/>
        <v>282800</v>
      </c>
      <c r="BA114" s="334">
        <f t="shared" si="15"/>
        <v>0</v>
      </c>
      <c r="BB114" s="135">
        <f t="shared" si="13"/>
        <v>141400</v>
      </c>
      <c r="BC114" s="136">
        <f t="shared" si="17"/>
        <v>282800</v>
      </c>
      <c r="BE114" s="159" t="b">
        <f t="shared" si="16"/>
        <v>1</v>
      </c>
      <c r="BF114" s="160"/>
    </row>
    <row r="115" spans="2:58" outlineLevel="1" x14ac:dyDescent="0.25">
      <c r="B115" s="161" t="s">
        <v>767</v>
      </c>
      <c r="C115" s="162"/>
      <c r="D115" s="163" t="s">
        <v>1100</v>
      </c>
      <c r="E115" s="137"/>
      <c r="F115" s="137"/>
      <c r="G115" s="137"/>
      <c r="H115" s="137"/>
      <c r="I115" s="137"/>
      <c r="J115" s="138"/>
      <c r="K115" s="138"/>
      <c r="L115" s="138">
        <v>0</v>
      </c>
      <c r="M115" s="138" t="s">
        <v>963</v>
      </c>
      <c r="N115" s="139">
        <f t="shared" si="14"/>
        <v>4.6100000000000003</v>
      </c>
      <c r="O115" s="139">
        <v>4.6100000000000003</v>
      </c>
      <c r="P115" s="139">
        <f>$P$4</f>
        <v>0</v>
      </c>
      <c r="Q115" s="139" t="s">
        <v>777</v>
      </c>
      <c r="R115" s="140">
        <v>4954.93</v>
      </c>
      <c r="S115" s="140">
        <v>4829.51</v>
      </c>
      <c r="T115" s="140">
        <f t="shared" si="11"/>
        <v>9784.44</v>
      </c>
      <c r="U115" s="336">
        <f t="shared" si="10"/>
        <v>1000.6399999999994</v>
      </c>
      <c r="V115" s="145">
        <f>SUM(V114:$AW114)*$N115/100-3252+1000</f>
        <v>10785.08</v>
      </c>
      <c r="W115" s="140">
        <f>SUM(W114:$AW114)*$N115/100</f>
        <v>12105.86</v>
      </c>
      <c r="X115" s="140">
        <f>SUM(X114:$AW114)*$N115/100</f>
        <v>11174.64</v>
      </c>
      <c r="Y115" s="140">
        <f>SUM(Y114:$AW114)*$N115/100</f>
        <v>10243.420000000002</v>
      </c>
      <c r="Z115" s="140">
        <f>SUM(Z114:$AW114)*$N115/100</f>
        <v>9312.2000000000007</v>
      </c>
      <c r="AA115" s="140">
        <f>SUM(AA114:$AW114)*$N115/100</f>
        <v>8380.98</v>
      </c>
      <c r="AB115" s="140">
        <f>SUM(AB114:$AW114)*$N115/100</f>
        <v>7449.76</v>
      </c>
      <c r="AC115" s="140">
        <f>SUM(AC114:$AW114)*$N115/100</f>
        <v>6518.54</v>
      </c>
      <c r="AD115" s="140">
        <f>SUM(AD114:$AW114)*$N115/100</f>
        <v>5587.32</v>
      </c>
      <c r="AE115" s="140">
        <f>SUM(AE114:$AW114)*$N115/100</f>
        <v>4656.1000000000004</v>
      </c>
      <c r="AF115" s="140">
        <f>SUM(AF114:$AW114)*$N115/100</f>
        <v>3724.88</v>
      </c>
      <c r="AG115" s="140">
        <f>SUM(AG114:$AW114)*$N115/100</f>
        <v>2793.66</v>
      </c>
      <c r="AH115" s="140">
        <f>SUM(AH114:$AW114)*$N115/100</f>
        <v>1862.44</v>
      </c>
      <c r="AI115" s="140">
        <f>SUM(AI114:$AW114)*$N115/100</f>
        <v>931.22</v>
      </c>
      <c r="AJ115" s="140">
        <v>0</v>
      </c>
      <c r="AK115" s="140">
        <v>0</v>
      </c>
      <c r="AL115" s="140">
        <v>0</v>
      </c>
      <c r="AM115" s="140">
        <v>0</v>
      </c>
      <c r="AN115" s="140">
        <v>0</v>
      </c>
      <c r="AO115" s="140">
        <v>0</v>
      </c>
      <c r="AP115" s="140">
        <v>0</v>
      </c>
      <c r="AQ115" s="140">
        <v>0</v>
      </c>
      <c r="AR115" s="140">
        <v>0</v>
      </c>
      <c r="AS115" s="140">
        <v>0</v>
      </c>
      <c r="AT115" s="140">
        <v>0</v>
      </c>
      <c r="AU115" s="140">
        <v>0</v>
      </c>
      <c r="AV115" s="140">
        <v>0</v>
      </c>
      <c r="AW115" s="140">
        <v>0</v>
      </c>
      <c r="AX115" s="140"/>
      <c r="AY115" s="140"/>
      <c r="AZ115" s="142">
        <f t="shared" si="12"/>
        <v>95526.1</v>
      </c>
      <c r="BA115" s="334">
        <f t="shared" si="15"/>
        <v>0</v>
      </c>
      <c r="BB115" s="141">
        <f t="shared" si="13"/>
        <v>26074.16</v>
      </c>
      <c r="BC115" s="142">
        <f t="shared" si="17"/>
        <v>95526.099999999991</v>
      </c>
      <c r="BE115" s="159" t="b">
        <f t="shared" si="16"/>
        <v>1</v>
      </c>
    </row>
    <row r="116" spans="2:58" outlineLevel="1" x14ac:dyDescent="0.25">
      <c r="C116" s="339">
        <v>56</v>
      </c>
      <c r="D116" s="176" t="s">
        <v>1101</v>
      </c>
      <c r="E116" s="147" t="s">
        <v>1102</v>
      </c>
      <c r="F116" s="147" t="s">
        <v>1103</v>
      </c>
      <c r="G116" s="147" t="s">
        <v>1104</v>
      </c>
      <c r="H116" s="147" t="s">
        <v>1002</v>
      </c>
      <c r="I116" s="147"/>
      <c r="J116" s="148">
        <v>37335</v>
      </c>
      <c r="K116" s="148"/>
      <c r="L116" s="148"/>
      <c r="M116" s="148"/>
      <c r="N116" s="149"/>
      <c r="O116" s="149"/>
      <c r="P116" s="149"/>
      <c r="Q116" s="133" t="s">
        <v>774</v>
      </c>
      <c r="R116" s="151">
        <v>37335</v>
      </c>
      <c r="S116" s="151">
        <v>0</v>
      </c>
      <c r="T116" s="151">
        <f t="shared" si="11"/>
        <v>37335</v>
      </c>
      <c r="U116" s="340">
        <f t="shared" si="10"/>
        <v>0</v>
      </c>
      <c r="V116" s="150">
        <v>37335</v>
      </c>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36">
        <f t="shared" si="12"/>
        <v>37335</v>
      </c>
      <c r="BA116" s="334"/>
      <c r="BB116" s="135">
        <f t="shared" si="13"/>
        <v>0</v>
      </c>
      <c r="BC116" s="136">
        <f t="shared" si="17"/>
        <v>37335</v>
      </c>
      <c r="BE116" s="159" t="b">
        <f t="shared" si="16"/>
        <v>1</v>
      </c>
    </row>
    <row r="117" spans="2:58" outlineLevel="1" x14ac:dyDescent="0.25">
      <c r="C117" s="339"/>
      <c r="D117" s="176" t="s">
        <v>1105</v>
      </c>
      <c r="E117" s="147"/>
      <c r="F117" s="147"/>
      <c r="G117" s="147"/>
      <c r="H117" s="147"/>
      <c r="I117" s="147"/>
      <c r="J117" s="148"/>
      <c r="K117" s="148"/>
      <c r="L117" s="148"/>
      <c r="M117" s="148"/>
      <c r="N117" s="149"/>
      <c r="O117" s="149"/>
      <c r="P117" s="149"/>
      <c r="Q117" s="139" t="s">
        <v>777</v>
      </c>
      <c r="R117" s="151">
        <v>466.29</v>
      </c>
      <c r="S117" s="151">
        <v>0</v>
      </c>
      <c r="T117" s="151">
        <f t="shared" si="11"/>
        <v>466.29</v>
      </c>
      <c r="U117" s="340">
        <f t="shared" si="10"/>
        <v>0.29000000000002046</v>
      </c>
      <c r="V117" s="152">
        <f>841.58-375</f>
        <v>466.58000000000004</v>
      </c>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42">
        <f t="shared" si="12"/>
        <v>466.58000000000004</v>
      </c>
      <c r="BA117" s="334"/>
      <c r="BB117" s="141">
        <f t="shared" si="13"/>
        <v>0</v>
      </c>
      <c r="BC117" s="142">
        <f t="shared" si="17"/>
        <v>466.58000000000004</v>
      </c>
      <c r="BE117" s="159" t="b">
        <f t="shared" si="16"/>
        <v>1</v>
      </c>
    </row>
    <row r="118" spans="2:58" s="159" customFormat="1" outlineLevel="1" x14ac:dyDescent="0.25">
      <c r="B118" s="154" t="s">
        <v>818</v>
      </c>
      <c r="C118" s="155">
        <v>57</v>
      </c>
      <c r="D118" s="156" t="s">
        <v>321</v>
      </c>
      <c r="E118" s="130" t="s">
        <v>1106</v>
      </c>
      <c r="F118" s="130" t="s">
        <v>1107</v>
      </c>
      <c r="G118" s="130" t="s">
        <v>1108</v>
      </c>
      <c r="H118" s="130" t="s">
        <v>1000</v>
      </c>
      <c r="I118" s="130" t="s">
        <v>773</v>
      </c>
      <c r="J118" s="131">
        <v>495501</v>
      </c>
      <c r="K118" s="153">
        <v>296400.88</v>
      </c>
      <c r="L118" s="132"/>
      <c r="M118" s="132"/>
      <c r="N118" s="133"/>
      <c r="O118" s="133"/>
      <c r="P118" s="133"/>
      <c r="Q118" s="133" t="s">
        <v>774</v>
      </c>
      <c r="R118" s="134">
        <v>0</v>
      </c>
      <c r="S118" s="134">
        <v>26079</v>
      </c>
      <c r="T118" s="134">
        <f t="shared" si="11"/>
        <v>26079</v>
      </c>
      <c r="U118" s="333">
        <f t="shared" si="10"/>
        <v>0</v>
      </c>
      <c r="V118" s="146">
        <v>26079</v>
      </c>
      <c r="W118" s="134">
        <v>34772</v>
      </c>
      <c r="X118" s="134">
        <v>34772</v>
      </c>
      <c r="Y118" s="134">
        <v>34772</v>
      </c>
      <c r="Z118" s="134">
        <v>34772</v>
      </c>
      <c r="AA118" s="134">
        <v>34772</v>
      </c>
      <c r="AB118" s="134">
        <v>34772</v>
      </c>
      <c r="AC118" s="134">
        <v>34772</v>
      </c>
      <c r="AD118" s="134">
        <v>34772</v>
      </c>
      <c r="AE118" s="134">
        <v>34772</v>
      </c>
      <c r="AF118" s="134">
        <v>34772</v>
      </c>
      <c r="AG118" s="134">
        <v>34772</v>
      </c>
      <c r="AH118" s="134">
        <v>34772</v>
      </c>
      <c r="AI118" s="134">
        <v>34772</v>
      </c>
      <c r="AJ118" s="134">
        <v>17386</v>
      </c>
      <c r="AK118" s="134">
        <v>0</v>
      </c>
      <c r="AL118" s="134">
        <v>0</v>
      </c>
      <c r="AM118" s="134">
        <v>0</v>
      </c>
      <c r="AN118" s="134">
        <v>0</v>
      </c>
      <c r="AO118" s="134">
        <v>0</v>
      </c>
      <c r="AP118" s="134">
        <v>0</v>
      </c>
      <c r="AQ118" s="134">
        <v>0</v>
      </c>
      <c r="AR118" s="134">
        <v>0</v>
      </c>
      <c r="AS118" s="134">
        <v>0</v>
      </c>
      <c r="AT118" s="134">
        <v>0</v>
      </c>
      <c r="AU118" s="134">
        <v>0</v>
      </c>
      <c r="AV118" s="134">
        <v>0</v>
      </c>
      <c r="AW118" s="134">
        <v>0</v>
      </c>
      <c r="AX118" s="134"/>
      <c r="AY118" s="134"/>
      <c r="AZ118" s="136">
        <f t="shared" si="12"/>
        <v>495501</v>
      </c>
      <c r="BA118" s="334">
        <f t="shared" si="15"/>
        <v>0</v>
      </c>
      <c r="BB118" s="135">
        <f t="shared" si="13"/>
        <v>260790</v>
      </c>
      <c r="BC118" s="136">
        <f t="shared" si="17"/>
        <v>495501</v>
      </c>
      <c r="BE118" s="159" t="b">
        <f t="shared" si="16"/>
        <v>1</v>
      </c>
      <c r="BF118" s="160"/>
    </row>
    <row r="119" spans="2:58" outlineLevel="1" x14ac:dyDescent="0.25">
      <c r="B119" s="161" t="s">
        <v>818</v>
      </c>
      <c r="C119" s="162"/>
      <c r="D119" s="163" t="s">
        <v>1109</v>
      </c>
      <c r="E119" s="137"/>
      <c r="F119" s="137"/>
      <c r="G119" s="137"/>
      <c r="H119" s="137"/>
      <c r="I119" s="137"/>
      <c r="J119" s="138"/>
      <c r="K119" s="143"/>
      <c r="L119" s="138" t="s">
        <v>1110</v>
      </c>
      <c r="M119" s="138"/>
      <c r="N119" s="139">
        <f t="shared" si="14"/>
        <v>5.524</v>
      </c>
      <c r="O119" s="139">
        <v>5.524</v>
      </c>
      <c r="P119" s="139">
        <f>$P$4</f>
        <v>0</v>
      </c>
      <c r="Q119" s="139" t="s">
        <v>777</v>
      </c>
      <c r="R119" s="140">
        <v>12203.61</v>
      </c>
      <c r="S119" s="140">
        <v>13092.86</v>
      </c>
      <c r="T119" s="140">
        <f t="shared" si="11"/>
        <v>25296.47</v>
      </c>
      <c r="U119" s="336">
        <f t="shared" si="10"/>
        <v>2075.0052400000022</v>
      </c>
      <c r="V119" s="145">
        <f>SUM(V118:$AW118)*$N119/100-2075+2075</f>
        <v>27371.475240000003</v>
      </c>
      <c r="W119" s="140">
        <f>SUM(W118:$AW118)*$N119/100</f>
        <v>25930.871279999999</v>
      </c>
      <c r="X119" s="140">
        <f>SUM(X118:$AW118)*$N119/100</f>
        <v>24010.066000000003</v>
      </c>
      <c r="Y119" s="140">
        <f>SUM(Y118:$AW118)*$N119/100</f>
        <v>22089.260720000002</v>
      </c>
      <c r="Z119" s="140">
        <f>SUM(Z118:$AW118)*$N119/100</f>
        <v>20168.455440000002</v>
      </c>
      <c r="AA119" s="140">
        <f>SUM(AA118:$AW118)*$N119/100</f>
        <v>18247.650160000001</v>
      </c>
      <c r="AB119" s="140">
        <f>SUM(AB118:$AW118)*$N119/100</f>
        <v>16326.844879999999</v>
      </c>
      <c r="AC119" s="140">
        <f>SUM(AC118:$AW118)*$N119/100</f>
        <v>14406.0396</v>
      </c>
      <c r="AD119" s="140">
        <f>SUM(AD118:$AW118)*$N119/100</f>
        <v>12485.23432</v>
      </c>
      <c r="AE119" s="140">
        <f>SUM(AE118:$AW118)*$N119/100</f>
        <v>10564.429040000001</v>
      </c>
      <c r="AF119" s="140">
        <f>SUM(AF118:$AW118)*$N119/100</f>
        <v>8643.6237600000004</v>
      </c>
      <c r="AG119" s="140">
        <f>SUM(AG118:$AW118)*$N119/100</f>
        <v>6722.8184799999999</v>
      </c>
      <c r="AH119" s="140">
        <f>SUM(AH118:$AW118)*$N119/100</f>
        <v>4802.0132000000003</v>
      </c>
      <c r="AI119" s="140">
        <f>SUM(AI118:$AW118)*$N119/100</f>
        <v>2881.2079200000003</v>
      </c>
      <c r="AJ119" s="140">
        <f>SUM(AJ118:$AW118)*$N119/100</f>
        <v>960.40263999999991</v>
      </c>
      <c r="AK119" s="140">
        <v>0</v>
      </c>
      <c r="AL119" s="140">
        <v>0</v>
      </c>
      <c r="AM119" s="140">
        <v>0</v>
      </c>
      <c r="AN119" s="140">
        <v>0</v>
      </c>
      <c r="AO119" s="140">
        <v>0</v>
      </c>
      <c r="AP119" s="140">
        <v>0</v>
      </c>
      <c r="AQ119" s="140">
        <v>0</v>
      </c>
      <c r="AR119" s="140">
        <v>0</v>
      </c>
      <c r="AS119" s="140">
        <v>0</v>
      </c>
      <c r="AT119" s="140">
        <v>0</v>
      </c>
      <c r="AU119" s="140">
        <v>0</v>
      </c>
      <c r="AV119" s="140">
        <v>0</v>
      </c>
      <c r="AW119" s="140">
        <v>0</v>
      </c>
      <c r="AX119" s="140"/>
      <c r="AY119" s="140"/>
      <c r="AZ119" s="142">
        <f t="shared" si="12"/>
        <v>215610.3926799999</v>
      </c>
      <c r="BA119" s="334">
        <f t="shared" si="15"/>
        <v>0</v>
      </c>
      <c r="BB119" s="141">
        <f t="shared" si="13"/>
        <v>61465.768960000009</v>
      </c>
      <c r="BC119" s="142">
        <f t="shared" si="17"/>
        <v>215610.39268000002</v>
      </c>
      <c r="BE119" s="159" t="b">
        <f t="shared" si="16"/>
        <v>1</v>
      </c>
    </row>
    <row r="120" spans="2:58" s="159" customFormat="1" x14ac:dyDescent="0.25">
      <c r="B120" s="154" t="s">
        <v>818</v>
      </c>
      <c r="C120" s="155">
        <v>58</v>
      </c>
      <c r="D120" s="156" t="s">
        <v>1111</v>
      </c>
      <c r="E120" s="130" t="s">
        <v>1112</v>
      </c>
      <c r="F120" s="130" t="s">
        <v>1113</v>
      </c>
      <c r="G120" s="130" t="s">
        <v>1114</v>
      </c>
      <c r="H120" s="130" t="s">
        <v>1115</v>
      </c>
      <c r="I120" s="130" t="s">
        <v>773</v>
      </c>
      <c r="J120" s="131">
        <v>167687</v>
      </c>
      <c r="K120" s="153">
        <v>167687</v>
      </c>
      <c r="L120" s="132"/>
      <c r="M120" s="132"/>
      <c r="N120" s="133"/>
      <c r="O120" s="133"/>
      <c r="P120" s="133"/>
      <c r="Q120" s="133" t="s">
        <v>774</v>
      </c>
      <c r="R120" s="134">
        <v>167687</v>
      </c>
      <c r="S120" s="134">
        <v>0</v>
      </c>
      <c r="T120" s="134">
        <f t="shared" si="11"/>
        <v>167687</v>
      </c>
      <c r="U120" s="333">
        <f t="shared" si="10"/>
        <v>0</v>
      </c>
      <c r="V120" s="146">
        <f>133641+33979+67</f>
        <v>167687</v>
      </c>
      <c r="W120" s="134">
        <f>167687-V120</f>
        <v>0</v>
      </c>
      <c r="X120" s="134">
        <v>0</v>
      </c>
      <c r="Y120" s="134">
        <v>0</v>
      </c>
      <c r="Z120" s="134">
        <v>0</v>
      </c>
      <c r="AA120" s="134">
        <v>0</v>
      </c>
      <c r="AB120" s="134">
        <v>0</v>
      </c>
      <c r="AC120" s="134">
        <v>0</v>
      </c>
      <c r="AD120" s="134">
        <v>0</v>
      </c>
      <c r="AE120" s="134">
        <v>0</v>
      </c>
      <c r="AF120" s="134">
        <v>0</v>
      </c>
      <c r="AG120" s="134">
        <v>0</v>
      </c>
      <c r="AH120" s="134">
        <v>0</v>
      </c>
      <c r="AI120" s="134">
        <v>0</v>
      </c>
      <c r="AJ120" s="134">
        <v>0</v>
      </c>
      <c r="AK120" s="134">
        <v>0</v>
      </c>
      <c r="AL120" s="134">
        <v>0</v>
      </c>
      <c r="AM120" s="134">
        <v>0</v>
      </c>
      <c r="AN120" s="134">
        <v>0</v>
      </c>
      <c r="AO120" s="134">
        <v>0</v>
      </c>
      <c r="AP120" s="134">
        <v>0</v>
      </c>
      <c r="AQ120" s="134">
        <v>0</v>
      </c>
      <c r="AR120" s="134">
        <v>0</v>
      </c>
      <c r="AS120" s="134">
        <v>0</v>
      </c>
      <c r="AT120" s="134">
        <v>0</v>
      </c>
      <c r="AU120" s="134">
        <v>0</v>
      </c>
      <c r="AV120" s="134">
        <v>0</v>
      </c>
      <c r="AW120" s="134">
        <v>0</v>
      </c>
      <c r="AX120" s="134"/>
      <c r="AY120" s="134"/>
      <c r="AZ120" s="136">
        <f t="shared" si="12"/>
        <v>167687</v>
      </c>
      <c r="BA120" s="334">
        <f t="shared" si="15"/>
        <v>0</v>
      </c>
      <c r="BB120" s="135">
        <f t="shared" si="13"/>
        <v>0</v>
      </c>
      <c r="BC120" s="136">
        <f t="shared" si="17"/>
        <v>167687</v>
      </c>
      <c r="BE120" s="159" t="b">
        <f t="shared" si="16"/>
        <v>1</v>
      </c>
      <c r="BF120" s="160"/>
    </row>
    <row r="121" spans="2:58" x14ac:dyDescent="0.25">
      <c r="B121" s="161" t="s">
        <v>818</v>
      </c>
      <c r="C121" s="162"/>
      <c r="D121" s="163" t="s">
        <v>1116</v>
      </c>
      <c r="E121" s="137"/>
      <c r="F121" s="137"/>
      <c r="G121" s="137"/>
      <c r="H121" s="137"/>
      <c r="I121" s="137"/>
      <c r="J121" s="138"/>
      <c r="K121" s="138"/>
      <c r="L121" s="138" t="s">
        <v>1051</v>
      </c>
      <c r="M121" s="138"/>
      <c r="N121" s="139">
        <f t="shared" si="14"/>
        <v>4.718</v>
      </c>
      <c r="O121" s="139">
        <v>4.718</v>
      </c>
      <c r="P121" s="139">
        <f>$P$4</f>
        <v>0</v>
      </c>
      <c r="Q121" s="139" t="s">
        <v>777</v>
      </c>
      <c r="R121" s="140">
        <v>2549.25</v>
      </c>
      <c r="S121" s="140">
        <v>0</v>
      </c>
      <c r="T121" s="140">
        <f>SUM(R121:S121)</f>
        <v>2549.25</v>
      </c>
      <c r="U121" s="337">
        <f t="shared" si="10"/>
        <v>0.22265999999945052</v>
      </c>
      <c r="V121" s="145">
        <f>SUM(V120:$AW120)*$N121/100-5362</f>
        <v>2549.4726599999995</v>
      </c>
      <c r="W121" s="140">
        <f>SUM(W120:$AW120)*$N121/100</f>
        <v>0</v>
      </c>
      <c r="X121" s="140">
        <f>SUM(X120:$AW120)*$N121/100</f>
        <v>0</v>
      </c>
      <c r="Y121" s="140">
        <v>0</v>
      </c>
      <c r="Z121" s="140">
        <v>0</v>
      </c>
      <c r="AA121" s="140">
        <v>0</v>
      </c>
      <c r="AB121" s="140">
        <v>0</v>
      </c>
      <c r="AC121" s="140">
        <v>0</v>
      </c>
      <c r="AD121" s="140">
        <v>0</v>
      </c>
      <c r="AE121" s="140">
        <v>0</v>
      </c>
      <c r="AF121" s="140">
        <v>0</v>
      </c>
      <c r="AG121" s="140">
        <v>0</v>
      </c>
      <c r="AH121" s="140">
        <v>0</v>
      </c>
      <c r="AI121" s="140">
        <v>0</v>
      </c>
      <c r="AJ121" s="140">
        <v>0</v>
      </c>
      <c r="AK121" s="140">
        <v>0</v>
      </c>
      <c r="AL121" s="140">
        <v>0</v>
      </c>
      <c r="AM121" s="140">
        <v>0</v>
      </c>
      <c r="AN121" s="140">
        <v>0</v>
      </c>
      <c r="AO121" s="140">
        <v>0</v>
      </c>
      <c r="AP121" s="140">
        <v>0</v>
      </c>
      <c r="AQ121" s="140">
        <v>0</v>
      </c>
      <c r="AR121" s="140">
        <v>0</v>
      </c>
      <c r="AS121" s="140">
        <v>0</v>
      </c>
      <c r="AT121" s="140">
        <v>0</v>
      </c>
      <c r="AU121" s="140">
        <v>0</v>
      </c>
      <c r="AV121" s="140">
        <v>0</v>
      </c>
      <c r="AW121" s="140">
        <v>0</v>
      </c>
      <c r="AX121" s="140"/>
      <c r="AY121" s="140"/>
      <c r="AZ121" s="142">
        <f t="shared" si="12"/>
        <v>2549.4726599999995</v>
      </c>
      <c r="BA121" s="334">
        <f t="shared" si="15"/>
        <v>0</v>
      </c>
      <c r="BB121" s="141">
        <f t="shared" si="13"/>
        <v>0</v>
      </c>
      <c r="BC121" s="142">
        <f t="shared" si="17"/>
        <v>2549.4726599999995</v>
      </c>
      <c r="BE121" s="159" t="b">
        <f t="shared" si="16"/>
        <v>1</v>
      </c>
    </row>
    <row r="122" spans="2:58" s="159" customFormat="1" x14ac:dyDescent="0.25">
      <c r="B122" s="154" t="s">
        <v>767</v>
      </c>
      <c r="C122" s="155">
        <v>59</v>
      </c>
      <c r="D122" s="156" t="s">
        <v>1117</v>
      </c>
      <c r="E122" s="130" t="s">
        <v>1118</v>
      </c>
      <c r="F122" s="130" t="s">
        <v>1119</v>
      </c>
      <c r="G122" s="157">
        <v>45159</v>
      </c>
      <c r="H122" s="130" t="s">
        <v>1120</v>
      </c>
      <c r="I122" s="130" t="s">
        <v>773</v>
      </c>
      <c r="J122" s="131">
        <v>287500</v>
      </c>
      <c r="K122" s="132">
        <v>0</v>
      </c>
      <c r="L122" s="132"/>
      <c r="M122" s="132"/>
      <c r="N122" s="133"/>
      <c r="O122" s="133"/>
      <c r="P122" s="133"/>
      <c r="Q122" s="133" t="s">
        <v>774</v>
      </c>
      <c r="R122" s="134">
        <v>0</v>
      </c>
      <c r="S122" s="134">
        <v>15542</v>
      </c>
      <c r="T122" s="134">
        <f t="shared" si="11"/>
        <v>15542</v>
      </c>
      <c r="U122" s="333">
        <f t="shared" si="10"/>
        <v>0</v>
      </c>
      <c r="V122" s="146">
        <v>15542</v>
      </c>
      <c r="W122" s="134">
        <v>31084</v>
      </c>
      <c r="X122" s="134">
        <v>31084</v>
      </c>
      <c r="Y122" s="134">
        <v>31084</v>
      </c>
      <c r="Z122" s="134">
        <v>31084</v>
      </c>
      <c r="AA122" s="134">
        <v>31084</v>
      </c>
      <c r="AB122" s="134">
        <v>31084</v>
      </c>
      <c r="AC122" s="134">
        <v>31084</v>
      </c>
      <c r="AD122" s="134">
        <v>31084</v>
      </c>
      <c r="AE122" s="134">
        <f>J122-AD122-AC122-AB122-AA122-Z122-Y122-X122-W122-V122</f>
        <v>23286</v>
      </c>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6">
        <f t="shared" si="12"/>
        <v>287500</v>
      </c>
      <c r="BA122" s="334">
        <f t="shared" si="15"/>
        <v>0</v>
      </c>
      <c r="BB122" s="135">
        <f t="shared" si="13"/>
        <v>85454</v>
      </c>
      <c r="BC122" s="136">
        <f t="shared" si="17"/>
        <v>287500</v>
      </c>
      <c r="BE122" s="159" t="b">
        <f t="shared" si="16"/>
        <v>1</v>
      </c>
      <c r="BF122" s="160"/>
    </row>
    <row r="123" spans="2:58" x14ac:dyDescent="0.25">
      <c r="B123" s="161" t="s">
        <v>767</v>
      </c>
      <c r="C123" s="162"/>
      <c r="D123" s="163" t="s">
        <v>1121</v>
      </c>
      <c r="E123" s="137"/>
      <c r="F123" s="137"/>
      <c r="G123" s="137"/>
      <c r="H123" s="137"/>
      <c r="I123" s="137"/>
      <c r="J123" s="138"/>
      <c r="K123" s="138"/>
      <c r="L123" s="138"/>
      <c r="M123" s="138"/>
      <c r="N123" s="139">
        <f t="shared" si="14"/>
        <v>5.2960000000000003</v>
      </c>
      <c r="O123" s="139">
        <v>5.2960000000000003</v>
      </c>
      <c r="P123" s="139">
        <f>$P$4</f>
        <v>0</v>
      </c>
      <c r="Q123" s="139" t="s">
        <v>777</v>
      </c>
      <c r="R123" s="140">
        <v>2686.05</v>
      </c>
      <c r="S123" s="140">
        <v>4228.2700000000004</v>
      </c>
      <c r="T123" s="140">
        <f t="shared" si="11"/>
        <v>6914.3200000000006</v>
      </c>
      <c r="U123" s="336">
        <f t="shared" si="10"/>
        <v>8000.6799999999994</v>
      </c>
      <c r="V123" s="145">
        <f>SUM(V122:$AW122)*$N123/100-8311+8000</f>
        <v>14915</v>
      </c>
      <c r="W123" s="140">
        <f>SUM(W122:$AW122)*$N123/100</f>
        <v>14402.89568</v>
      </c>
      <c r="X123" s="140">
        <f>SUM(X122:$AW122)*$N123/100</f>
        <v>12756.687040000001</v>
      </c>
      <c r="Y123" s="140">
        <f>SUM(Y122:$AW122)*$N123/100</f>
        <v>11110.4784</v>
      </c>
      <c r="Z123" s="140">
        <f>SUM(Z122:$AW122)*$N123/100</f>
        <v>9464.269760000001</v>
      </c>
      <c r="AA123" s="140">
        <f>SUM(AA122:$AW122)*$N123/100</f>
        <v>7818.0611200000012</v>
      </c>
      <c r="AB123" s="140">
        <f>SUM(AB122:$AW122)*$N123/100</f>
        <v>6171.8524800000005</v>
      </c>
      <c r="AC123" s="140">
        <f>SUM(AC122:$AW122)*$N123/100</f>
        <v>4525.6438400000006</v>
      </c>
      <c r="AD123" s="140">
        <f>SUM(AD122:$AW122)*$N123/100</f>
        <v>2879.4352000000003</v>
      </c>
      <c r="AE123" s="140">
        <f>SUM(AE122:$AW122)*$N123/100</f>
        <v>1233.2265600000001</v>
      </c>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2">
        <f t="shared" si="12"/>
        <v>85277.550080000015</v>
      </c>
      <c r="BA123" s="334">
        <f t="shared" si="15"/>
        <v>0</v>
      </c>
      <c r="BB123" s="141">
        <f t="shared" si="13"/>
        <v>8638.3055999999997</v>
      </c>
      <c r="BC123" s="142">
        <f t="shared" si="17"/>
        <v>85277.550080000015</v>
      </c>
      <c r="BE123" s="159" t="b">
        <f t="shared" si="16"/>
        <v>1</v>
      </c>
    </row>
    <row r="124" spans="2:58" s="159" customFormat="1" x14ac:dyDescent="0.25">
      <c r="B124" s="154" t="s">
        <v>767</v>
      </c>
      <c r="C124" s="155">
        <v>60</v>
      </c>
      <c r="D124" s="156" t="s">
        <v>1122</v>
      </c>
      <c r="E124" s="130" t="s">
        <v>1123</v>
      </c>
      <c r="F124" s="130" t="s">
        <v>1124</v>
      </c>
      <c r="G124" s="157">
        <v>45215</v>
      </c>
      <c r="H124" s="157">
        <v>49572</v>
      </c>
      <c r="I124" s="130" t="s">
        <v>773</v>
      </c>
      <c r="J124" s="131">
        <v>353750</v>
      </c>
      <c r="K124" s="132">
        <v>353750</v>
      </c>
      <c r="L124" s="132"/>
      <c r="M124" s="132"/>
      <c r="N124" s="133"/>
      <c r="O124" s="133"/>
      <c r="P124" s="133"/>
      <c r="Q124" s="133" t="s">
        <v>774</v>
      </c>
      <c r="R124" s="134">
        <v>7527</v>
      </c>
      <c r="S124" s="134">
        <v>22581</v>
      </c>
      <c r="T124" s="134">
        <f t="shared" si="11"/>
        <v>30108</v>
      </c>
      <c r="U124" s="333">
        <f t="shared" si="10"/>
        <v>0</v>
      </c>
      <c r="V124" s="146">
        <f>7527*4</f>
        <v>30108</v>
      </c>
      <c r="W124" s="134">
        <f t="shared" ref="W124:AF124" si="18">7527*4</f>
        <v>30108</v>
      </c>
      <c r="X124" s="134">
        <f t="shared" si="18"/>
        <v>30108</v>
      </c>
      <c r="Y124" s="134">
        <f t="shared" si="18"/>
        <v>30108</v>
      </c>
      <c r="Z124" s="134">
        <f t="shared" si="18"/>
        <v>30108</v>
      </c>
      <c r="AA124" s="134">
        <f t="shared" si="18"/>
        <v>30108</v>
      </c>
      <c r="AB124" s="134">
        <f t="shared" si="18"/>
        <v>30108</v>
      </c>
      <c r="AC124" s="134">
        <f t="shared" si="18"/>
        <v>30108</v>
      </c>
      <c r="AD124" s="134">
        <f t="shared" si="18"/>
        <v>30108</v>
      </c>
      <c r="AE124" s="134">
        <f t="shared" si="18"/>
        <v>30108</v>
      </c>
      <c r="AF124" s="134">
        <f t="shared" si="18"/>
        <v>30108</v>
      </c>
      <c r="AG124" s="134">
        <f>7527*2+7508</f>
        <v>22562</v>
      </c>
      <c r="AH124" s="134"/>
      <c r="AI124" s="134"/>
      <c r="AJ124" s="134"/>
      <c r="AK124" s="134"/>
      <c r="AL124" s="134"/>
      <c r="AM124" s="134"/>
      <c r="AN124" s="134"/>
      <c r="AO124" s="134"/>
      <c r="AP124" s="134"/>
      <c r="AQ124" s="134"/>
      <c r="AR124" s="134"/>
      <c r="AS124" s="134"/>
      <c r="AT124" s="134"/>
      <c r="AU124" s="134"/>
      <c r="AV124" s="134"/>
      <c r="AW124" s="134"/>
      <c r="AX124" s="134"/>
      <c r="AY124" s="134"/>
      <c r="AZ124" s="136">
        <f t="shared" si="12"/>
        <v>353750</v>
      </c>
      <c r="BA124" s="334">
        <f t="shared" si="15"/>
        <v>0</v>
      </c>
      <c r="BB124" s="135">
        <f t="shared" si="13"/>
        <v>142994</v>
      </c>
      <c r="BC124" s="136">
        <f t="shared" si="17"/>
        <v>353750</v>
      </c>
      <c r="BE124" s="159" t="b">
        <f t="shared" si="16"/>
        <v>1</v>
      </c>
      <c r="BF124" s="160"/>
    </row>
    <row r="125" spans="2:58" x14ac:dyDescent="0.25">
      <c r="B125" s="161" t="s">
        <v>767</v>
      </c>
      <c r="C125" s="162"/>
      <c r="D125" s="163" t="s">
        <v>1125</v>
      </c>
      <c r="E125" s="137"/>
      <c r="F125" s="137"/>
      <c r="G125" s="137"/>
      <c r="H125" s="137"/>
      <c r="I125" s="137"/>
      <c r="J125" s="138"/>
      <c r="K125" s="138"/>
      <c r="L125" s="138"/>
      <c r="M125" s="138"/>
      <c r="N125" s="139">
        <f t="shared" si="14"/>
        <v>4.5910000000000002</v>
      </c>
      <c r="O125" s="139">
        <v>4.5910000000000002</v>
      </c>
      <c r="P125" s="139"/>
      <c r="Q125" s="139" t="s">
        <v>777</v>
      </c>
      <c r="R125" s="140">
        <v>5238.16</v>
      </c>
      <c r="S125" s="140">
        <v>7767.25</v>
      </c>
      <c r="T125" s="140">
        <f t="shared" si="11"/>
        <v>13005.41</v>
      </c>
      <c r="U125" s="335">
        <f t="shared" si="10"/>
        <v>0.25250000000050932</v>
      </c>
      <c r="V125" s="145">
        <f>SUM(V124:$AW124)*$N125/100-3235</f>
        <v>13005.6625</v>
      </c>
      <c r="W125" s="140">
        <f>SUM(W124:$AW124)*$N125/100</f>
        <v>14858.40422</v>
      </c>
      <c r="X125" s="140">
        <f>SUM(X124:$AW124)*$N125/100</f>
        <v>13476.14594</v>
      </c>
      <c r="Y125" s="140">
        <f>SUM(Y124:$AW124)*$N125/100</f>
        <v>12093.88766</v>
      </c>
      <c r="Z125" s="140">
        <f>SUM(Z124:$AW124)*$N125/100</f>
        <v>10711.62938</v>
      </c>
      <c r="AA125" s="140">
        <f>SUM(AA124:$AW124)*$N125/100</f>
        <v>9329.3711000000003</v>
      </c>
      <c r="AB125" s="140">
        <f>SUM(AB124:$AW124)*$N125/100</f>
        <v>7947.1128200000003</v>
      </c>
      <c r="AC125" s="140">
        <f>SUM(AC124:$AW124)*$N125/100</f>
        <v>6564.8545400000003</v>
      </c>
      <c r="AD125" s="140">
        <f>SUM(AD124:$AW124)*$N125/100</f>
        <v>5182.5962600000003</v>
      </c>
      <c r="AE125" s="140">
        <f>SUM(AE124:$AW124)*$N125/100</f>
        <v>3800.3379800000002</v>
      </c>
      <c r="AF125" s="140">
        <f>SUM(AF124:$AW124)*$N125/100</f>
        <v>2418.0797000000002</v>
      </c>
      <c r="AG125" s="140">
        <f>SUM(AG124:$AW124)*$N125/100</f>
        <v>1035.82142</v>
      </c>
      <c r="AH125" s="140"/>
      <c r="AI125" s="140"/>
      <c r="AJ125" s="140"/>
      <c r="AK125" s="140"/>
      <c r="AL125" s="140"/>
      <c r="AM125" s="140"/>
      <c r="AN125" s="140"/>
      <c r="AO125" s="140"/>
      <c r="AP125" s="140"/>
      <c r="AQ125" s="140"/>
      <c r="AR125" s="140"/>
      <c r="AS125" s="140"/>
      <c r="AT125" s="140"/>
      <c r="AU125" s="140"/>
      <c r="AV125" s="140"/>
      <c r="AW125" s="140"/>
      <c r="AX125" s="140"/>
      <c r="AY125" s="140"/>
      <c r="AZ125" s="142">
        <f t="shared" si="12"/>
        <v>100423.90351999999</v>
      </c>
      <c r="BA125" s="334">
        <f t="shared" si="15"/>
        <v>0</v>
      </c>
      <c r="BB125" s="141">
        <f t="shared" si="13"/>
        <v>19001.689900000001</v>
      </c>
      <c r="BC125" s="142">
        <f t="shared" si="17"/>
        <v>100423.90351999999</v>
      </c>
      <c r="BE125" s="159" t="b">
        <f t="shared" si="16"/>
        <v>1</v>
      </c>
    </row>
    <row r="126" spans="2:58" x14ac:dyDescent="0.25">
      <c r="B126" s="154" t="s">
        <v>818</v>
      </c>
      <c r="C126" s="155">
        <v>61</v>
      </c>
      <c r="D126" s="130" t="s">
        <v>1126</v>
      </c>
      <c r="E126" s="130" t="s">
        <v>1127</v>
      </c>
      <c r="F126" s="130"/>
      <c r="G126" s="130">
        <v>2024</v>
      </c>
      <c r="H126" s="130">
        <v>2029</v>
      </c>
      <c r="I126" s="130" t="s">
        <v>773</v>
      </c>
      <c r="J126" s="131">
        <v>196584</v>
      </c>
      <c r="K126" s="131"/>
      <c r="L126" s="131"/>
      <c r="M126" s="131"/>
      <c r="N126" s="341"/>
      <c r="O126" s="341"/>
      <c r="P126" s="341"/>
      <c r="Q126" s="133" t="s">
        <v>774</v>
      </c>
      <c r="R126" s="158"/>
      <c r="S126" s="158"/>
      <c r="T126" s="134"/>
      <c r="U126" s="333">
        <f t="shared" si="10"/>
        <v>0</v>
      </c>
      <c r="V126" s="134"/>
      <c r="W126" s="134"/>
      <c r="X126" s="134">
        <f>$J$126/5</f>
        <v>39316.800000000003</v>
      </c>
      <c r="Y126" s="134">
        <f t="shared" ref="Y126:AB126" si="19">$J$126/5</f>
        <v>39316.800000000003</v>
      </c>
      <c r="Z126" s="134">
        <f t="shared" si="19"/>
        <v>39316.800000000003</v>
      </c>
      <c r="AA126" s="134">
        <f t="shared" si="19"/>
        <v>39316.800000000003</v>
      </c>
      <c r="AB126" s="134">
        <f t="shared" si="19"/>
        <v>39316.800000000003</v>
      </c>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6">
        <f t="shared" si="12"/>
        <v>196584</v>
      </c>
      <c r="BA126" s="334">
        <f t="shared" si="15"/>
        <v>0</v>
      </c>
      <c r="BB126" s="135">
        <f t="shared" si="13"/>
        <v>0</v>
      </c>
      <c r="BC126" s="136">
        <f t="shared" si="17"/>
        <v>196584</v>
      </c>
      <c r="BE126" s="159" t="b">
        <f t="shared" si="16"/>
        <v>1</v>
      </c>
      <c r="BF126" s="160"/>
    </row>
    <row r="127" spans="2:58" x14ac:dyDescent="0.25">
      <c r="B127" s="161" t="s">
        <v>818</v>
      </c>
      <c r="C127" s="342"/>
      <c r="D127" s="137" t="s">
        <v>1128</v>
      </c>
      <c r="E127" s="137"/>
      <c r="F127" s="137"/>
      <c r="G127" s="137"/>
      <c r="H127" s="137"/>
      <c r="I127" s="137"/>
      <c r="J127" s="138"/>
      <c r="K127" s="138"/>
      <c r="L127" s="138"/>
      <c r="M127" s="138"/>
      <c r="N127" s="139">
        <f t="shared" si="14"/>
        <v>4.4470000000000001</v>
      </c>
      <c r="O127" s="139">
        <v>4.4470000000000001</v>
      </c>
      <c r="P127" s="139">
        <f>$P$4</f>
        <v>0</v>
      </c>
      <c r="Q127" s="139" t="s">
        <v>777</v>
      </c>
      <c r="R127" s="164"/>
      <c r="S127" s="164"/>
      <c r="T127" s="140"/>
      <c r="U127" s="335">
        <f t="shared" si="10"/>
        <v>0</v>
      </c>
      <c r="V127" s="140"/>
      <c r="W127" s="140">
        <f>SUM(W126:$AW126)*$N127/100</f>
        <v>8742.0904800000008</v>
      </c>
      <c r="X127" s="140">
        <f>SUM(X126:$AW126)*$N127/100</f>
        <v>8742.0904800000008</v>
      </c>
      <c r="Y127" s="140">
        <f>SUM(Y126:$AW126)*$N127/100</f>
        <v>6993.6723840000004</v>
      </c>
      <c r="Z127" s="140">
        <f>SUM(Z126:$AW126)*$N127/100</f>
        <v>5245.2542880000001</v>
      </c>
      <c r="AA127" s="140">
        <f>SUM(AA126:$AW126)*$N127/100</f>
        <v>3496.8361920000002</v>
      </c>
      <c r="AB127" s="140">
        <f>SUM(AB126:$AW126)*$N127/100</f>
        <v>1748.4180960000001</v>
      </c>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2">
        <f t="shared" si="12"/>
        <v>34968.361920000003</v>
      </c>
      <c r="BA127" s="334">
        <f t="shared" si="15"/>
        <v>0</v>
      </c>
      <c r="BB127" s="141">
        <f t="shared" si="13"/>
        <v>0</v>
      </c>
      <c r="BC127" s="142">
        <f t="shared" si="17"/>
        <v>34968.361920000003</v>
      </c>
      <c r="BE127" s="159" t="b">
        <f t="shared" si="16"/>
        <v>1</v>
      </c>
    </row>
    <row r="128" spans="2:58" x14ac:dyDescent="0.25">
      <c r="B128" s="154" t="s">
        <v>818</v>
      </c>
      <c r="C128" s="155">
        <v>62</v>
      </c>
      <c r="D128" s="130" t="s">
        <v>236</v>
      </c>
      <c r="E128" s="130" t="s">
        <v>1127</v>
      </c>
      <c r="F128" s="130"/>
      <c r="G128" s="130">
        <v>2024</v>
      </c>
      <c r="H128" s="130">
        <v>2039</v>
      </c>
      <c r="I128" s="130" t="s">
        <v>773</v>
      </c>
      <c r="J128" s="131">
        <v>787514</v>
      </c>
      <c r="K128" s="131"/>
      <c r="L128" s="131"/>
      <c r="M128" s="131"/>
      <c r="N128" s="341"/>
      <c r="O128" s="341"/>
      <c r="P128" s="341"/>
      <c r="Q128" s="133" t="s">
        <v>774</v>
      </c>
      <c r="R128" s="158"/>
      <c r="S128" s="158"/>
      <c r="T128" s="134"/>
      <c r="U128" s="333">
        <f t="shared" si="10"/>
        <v>0</v>
      </c>
      <c r="V128" s="134"/>
      <c r="W128" s="134"/>
      <c r="X128" s="134"/>
      <c r="Y128" s="134">
        <f>$J$128/15</f>
        <v>52500.933333333334</v>
      </c>
      <c r="Z128" s="134">
        <f t="shared" ref="Z128:AM128" si="20">$J$128/15</f>
        <v>52500.933333333334</v>
      </c>
      <c r="AA128" s="134">
        <f t="shared" si="20"/>
        <v>52500.933333333334</v>
      </c>
      <c r="AB128" s="134">
        <f t="shared" si="20"/>
        <v>52500.933333333334</v>
      </c>
      <c r="AC128" s="134">
        <f t="shared" si="20"/>
        <v>52500.933333333334</v>
      </c>
      <c r="AD128" s="134">
        <f t="shared" si="20"/>
        <v>52500.933333333334</v>
      </c>
      <c r="AE128" s="134">
        <f t="shared" si="20"/>
        <v>52500.933333333334</v>
      </c>
      <c r="AF128" s="134">
        <f t="shared" si="20"/>
        <v>52500.933333333334</v>
      </c>
      <c r="AG128" s="134">
        <f t="shared" si="20"/>
        <v>52500.933333333334</v>
      </c>
      <c r="AH128" s="134">
        <f t="shared" si="20"/>
        <v>52500.933333333334</v>
      </c>
      <c r="AI128" s="134">
        <f t="shared" si="20"/>
        <v>52500.933333333334</v>
      </c>
      <c r="AJ128" s="134">
        <f t="shared" si="20"/>
        <v>52500.933333333334</v>
      </c>
      <c r="AK128" s="134">
        <f t="shared" si="20"/>
        <v>52500.933333333334</v>
      </c>
      <c r="AL128" s="134">
        <f t="shared" si="20"/>
        <v>52500.933333333334</v>
      </c>
      <c r="AM128" s="134">
        <f t="shared" si="20"/>
        <v>52500.933333333334</v>
      </c>
      <c r="AN128" s="134"/>
      <c r="AO128" s="134"/>
      <c r="AP128" s="134"/>
      <c r="AQ128" s="134"/>
      <c r="AR128" s="134"/>
      <c r="AS128" s="134"/>
      <c r="AT128" s="134"/>
      <c r="AU128" s="134"/>
      <c r="AV128" s="134"/>
      <c r="AW128" s="134"/>
      <c r="AX128" s="134"/>
      <c r="AY128" s="134"/>
      <c r="AZ128" s="136">
        <f t="shared" si="12"/>
        <v>787514.00000000012</v>
      </c>
      <c r="BA128" s="334">
        <f t="shared" si="15"/>
        <v>0</v>
      </c>
      <c r="BB128" s="135">
        <f t="shared" si="13"/>
        <v>577510.26666666672</v>
      </c>
      <c r="BC128" s="136">
        <f t="shared" si="17"/>
        <v>787514</v>
      </c>
      <c r="BE128" s="159" t="b">
        <f t="shared" si="16"/>
        <v>1</v>
      </c>
      <c r="BF128" s="160"/>
    </row>
    <row r="129" spans="2:59" x14ac:dyDescent="0.25">
      <c r="B129" s="161" t="s">
        <v>818</v>
      </c>
      <c r="C129" s="342"/>
      <c r="D129" s="137"/>
      <c r="E129" s="137"/>
      <c r="F129" s="137"/>
      <c r="G129" s="137"/>
      <c r="H129" s="137"/>
      <c r="I129" s="137"/>
      <c r="J129" s="137"/>
      <c r="K129" s="138"/>
      <c r="L129" s="138"/>
      <c r="M129" s="138"/>
      <c r="N129" s="139">
        <f t="shared" ref="N129" si="21">SUM(O129:P129)</f>
        <v>4.944</v>
      </c>
      <c r="O129" s="139">
        <v>4.944</v>
      </c>
      <c r="P129" s="139">
        <f>$P$4</f>
        <v>0</v>
      </c>
      <c r="Q129" s="139" t="s">
        <v>777</v>
      </c>
      <c r="R129" s="164"/>
      <c r="S129" s="164"/>
      <c r="T129" s="140"/>
      <c r="U129" s="335">
        <f t="shared" si="10"/>
        <v>0</v>
      </c>
      <c r="V129" s="140"/>
      <c r="W129" s="140">
        <f>SUM(W128:$AW128)*$N129/100</f>
        <v>38934.692160000006</v>
      </c>
      <c r="X129" s="140">
        <f>SUM(X128:$AW128)*$N129/100</f>
        <v>38934.692160000006</v>
      </c>
      <c r="Y129" s="140">
        <f>SUM(Y128:$AW128)*$N129/100</f>
        <v>38934.692160000006</v>
      </c>
      <c r="Z129" s="140">
        <f>SUM(Z128:$AW128)*$N129/100</f>
        <v>36339.046016000008</v>
      </c>
      <c r="AA129" s="140">
        <f>SUM(AA128:$AW128)*$N129/100</f>
        <v>33743.399872000002</v>
      </c>
      <c r="AB129" s="140">
        <f>SUM(AB128:$AW128)*$N129/100</f>
        <v>31147.753728000003</v>
      </c>
      <c r="AC129" s="140">
        <f>SUM(AC128:$AW128)*$N129/100</f>
        <v>28552.107584000001</v>
      </c>
      <c r="AD129" s="140">
        <f>SUM(AD128:$AW128)*$N129/100</f>
        <v>25956.461440000003</v>
      </c>
      <c r="AE129" s="140">
        <f>SUM(AE128:$AW128)*$N129/100</f>
        <v>23360.815296000004</v>
      </c>
      <c r="AF129" s="140">
        <f>SUM(AF128:$AW128)*$N129/100</f>
        <v>20765.169152000002</v>
      </c>
      <c r="AG129" s="140">
        <f>SUM(AG128:$AW128)*$N129/100</f>
        <v>18169.523008000004</v>
      </c>
      <c r="AH129" s="140">
        <f>SUM(AH128:$AW128)*$N129/100</f>
        <v>15573.876864000002</v>
      </c>
      <c r="AI129" s="140">
        <f>SUM(AI128:$AW128)*$N129/100</f>
        <v>12978.230720000001</v>
      </c>
      <c r="AJ129" s="140">
        <f>SUM(AJ128:$AW128)*$N129/100</f>
        <v>10382.584575999999</v>
      </c>
      <c r="AK129" s="140">
        <f>SUM(AK128:$AW128)*$N129/100</f>
        <v>7786.938431999999</v>
      </c>
      <c r="AL129" s="140">
        <f>SUM(AL128:$AW128)*$N129/100</f>
        <v>5191.2922879999996</v>
      </c>
      <c r="AM129" s="140">
        <f>SUM(AM128:$AW128)*$N129/100</f>
        <v>2595.6461439999998</v>
      </c>
      <c r="AN129" s="140"/>
      <c r="AO129" s="140"/>
      <c r="AP129" s="140"/>
      <c r="AQ129" s="140"/>
      <c r="AR129" s="140"/>
      <c r="AS129" s="140"/>
      <c r="AT129" s="140"/>
      <c r="AU129" s="140"/>
      <c r="AV129" s="140"/>
      <c r="AW129" s="140"/>
      <c r="AX129" s="140"/>
      <c r="AY129" s="140"/>
      <c r="AZ129" s="142">
        <f t="shared" si="12"/>
        <v>389346.9216</v>
      </c>
      <c r="BA129" s="334">
        <f t="shared" si="15"/>
        <v>0</v>
      </c>
      <c r="BB129" s="141">
        <f t="shared" si="13"/>
        <v>171312.64550399999</v>
      </c>
      <c r="BC129" s="142">
        <f t="shared" si="17"/>
        <v>389346.9216</v>
      </c>
      <c r="BE129" s="159" t="b">
        <f t="shared" si="16"/>
        <v>1</v>
      </c>
    </row>
    <row r="130" spans="2:59" x14ac:dyDescent="0.25">
      <c r="B130" s="154" t="s">
        <v>767</v>
      </c>
      <c r="C130" s="155">
        <v>63</v>
      </c>
      <c r="D130" s="130" t="s">
        <v>241</v>
      </c>
      <c r="E130" s="130" t="s">
        <v>1127</v>
      </c>
      <c r="F130" s="130"/>
      <c r="G130" s="130">
        <v>2024</v>
      </c>
      <c r="H130" s="130">
        <v>2029</v>
      </c>
      <c r="I130" s="130" t="s">
        <v>773</v>
      </c>
      <c r="J130" s="343">
        <v>123379.93</v>
      </c>
      <c r="K130" s="343"/>
      <c r="L130" s="343"/>
      <c r="M130" s="343"/>
      <c r="N130" s="344"/>
      <c r="O130" s="344"/>
      <c r="P130" s="344"/>
      <c r="Q130" s="345" t="s">
        <v>774</v>
      </c>
      <c r="R130" s="346"/>
      <c r="S130" s="346"/>
      <c r="T130" s="347"/>
      <c r="U130" s="338">
        <f t="shared" si="10"/>
        <v>0</v>
      </c>
      <c r="V130" s="347"/>
      <c r="W130" s="347">
        <f>$J$130/4/4*3</f>
        <v>23133.736874999999</v>
      </c>
      <c r="X130" s="347">
        <f>$J$130/4</f>
        <v>30844.982499999998</v>
      </c>
      <c r="Y130" s="347">
        <f>$J$130/4</f>
        <v>30844.982499999998</v>
      </c>
      <c r="Z130" s="347">
        <f>$J$130/4</f>
        <v>30844.982499999998</v>
      </c>
      <c r="AA130" s="347">
        <f>$J$130/4/4</f>
        <v>7711.2456249999996</v>
      </c>
      <c r="AB130" s="347"/>
      <c r="AC130" s="347"/>
      <c r="AD130" s="347"/>
      <c r="AE130" s="347"/>
      <c r="AF130" s="347"/>
      <c r="AG130" s="347"/>
      <c r="AH130" s="347"/>
      <c r="AI130" s="347"/>
      <c r="AJ130" s="347"/>
      <c r="AK130" s="347"/>
      <c r="AL130" s="347"/>
      <c r="AM130" s="347"/>
      <c r="AN130" s="347"/>
      <c r="AO130" s="347"/>
      <c r="AP130" s="347"/>
      <c r="AQ130" s="347"/>
      <c r="AR130" s="347"/>
      <c r="AS130" s="347"/>
      <c r="AT130" s="347"/>
      <c r="AU130" s="347"/>
      <c r="AV130" s="347"/>
      <c r="AW130" s="347"/>
      <c r="AX130" s="347"/>
      <c r="AY130" s="347"/>
      <c r="AZ130" s="347">
        <f t="shared" si="12"/>
        <v>123379.93</v>
      </c>
      <c r="BA130" s="334">
        <f t="shared" si="15"/>
        <v>0</v>
      </c>
      <c r="BB130" s="348">
        <f t="shared" si="13"/>
        <v>0</v>
      </c>
      <c r="BC130" s="347">
        <f t="shared" si="17"/>
        <v>123379.93</v>
      </c>
      <c r="BE130" s="159" t="b">
        <f t="shared" si="16"/>
        <v>1</v>
      </c>
      <c r="BF130" s="160"/>
    </row>
    <row r="131" spans="2:59" x14ac:dyDescent="0.25">
      <c r="B131" s="161" t="s">
        <v>767</v>
      </c>
      <c r="C131" s="342"/>
      <c r="D131" s="137"/>
      <c r="E131" s="137"/>
      <c r="F131" s="137"/>
      <c r="G131" s="137"/>
      <c r="H131" s="137"/>
      <c r="I131" s="137"/>
      <c r="J131" s="143"/>
      <c r="K131" s="143"/>
      <c r="L131" s="143"/>
      <c r="M131" s="143"/>
      <c r="N131" s="349">
        <f t="shared" ref="N131:N135" si="22">SUM(O131:P131)</f>
        <v>4.4470000000000001</v>
      </c>
      <c r="O131" s="349">
        <v>4.4470000000000001</v>
      </c>
      <c r="P131" s="349">
        <f>$P$4</f>
        <v>0</v>
      </c>
      <c r="Q131" s="349" t="s">
        <v>777</v>
      </c>
      <c r="R131" s="350"/>
      <c r="S131" s="350"/>
      <c r="T131" s="351"/>
      <c r="U131" s="337">
        <f t="shared" si="10"/>
        <v>4115.029115325</v>
      </c>
      <c r="V131" s="351">
        <f>SUM(V130:$AW130)*$N131/100/4*3</f>
        <v>4115.029115325</v>
      </c>
      <c r="W131" s="351">
        <f>SUM(W130:$AW130)*$N131/100</f>
        <v>5486.7054871</v>
      </c>
      <c r="X131" s="351">
        <f>SUM(X130:$AW130)*$N131/100</f>
        <v>4457.94820826875</v>
      </c>
      <c r="Y131" s="351">
        <f>SUM(Y130:$AW130)*$N131/100</f>
        <v>3086.27183649375</v>
      </c>
      <c r="Z131" s="351">
        <f>SUM(Z130:$AW130)*$N131/100</f>
        <v>1714.5954647187498</v>
      </c>
      <c r="AA131" s="351">
        <f>SUM(AA130:$AW130)*$N131/100</f>
        <v>342.91909294375</v>
      </c>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1">
        <f t="shared" si="12"/>
        <v>19203.46920485</v>
      </c>
      <c r="BA131" s="334">
        <f t="shared" si="15"/>
        <v>0</v>
      </c>
      <c r="BB131" s="352">
        <f t="shared" si="13"/>
        <v>0</v>
      </c>
      <c r="BC131" s="351">
        <f t="shared" si="17"/>
        <v>19203.46920485</v>
      </c>
      <c r="BE131" s="159" t="b">
        <f t="shared" si="16"/>
        <v>1</v>
      </c>
    </row>
    <row r="132" spans="2:59" x14ac:dyDescent="0.25">
      <c r="B132" s="154"/>
      <c r="C132" s="155">
        <v>64</v>
      </c>
      <c r="D132" s="130" t="s">
        <v>1129</v>
      </c>
      <c r="E132" s="130" t="s">
        <v>1127</v>
      </c>
      <c r="F132" s="130"/>
      <c r="G132" s="130">
        <v>2024</v>
      </c>
      <c r="H132" s="130">
        <v>2034</v>
      </c>
      <c r="I132" s="130" t="s">
        <v>773</v>
      </c>
      <c r="J132" s="131">
        <v>783000</v>
      </c>
      <c r="K132" s="131"/>
      <c r="L132" s="131"/>
      <c r="M132" s="131"/>
      <c r="N132" s="341"/>
      <c r="O132" s="341"/>
      <c r="P132" s="341"/>
      <c r="Q132" s="133" t="s">
        <v>774</v>
      </c>
      <c r="R132" s="158"/>
      <c r="S132" s="158"/>
      <c r="T132" s="134"/>
      <c r="U132" s="333">
        <f t="shared" si="10"/>
        <v>0</v>
      </c>
      <c r="V132" s="134"/>
      <c r="W132" s="134">
        <f>$J$132/10/2</f>
        <v>39150</v>
      </c>
      <c r="X132" s="134">
        <f t="shared" ref="X132:AF132" si="23">$J$132/10</f>
        <v>78300</v>
      </c>
      <c r="Y132" s="134">
        <f t="shared" si="23"/>
        <v>78300</v>
      </c>
      <c r="Z132" s="134">
        <f t="shared" si="23"/>
        <v>78300</v>
      </c>
      <c r="AA132" s="134">
        <f t="shared" si="23"/>
        <v>78300</v>
      </c>
      <c r="AB132" s="134">
        <f t="shared" si="23"/>
        <v>78300</v>
      </c>
      <c r="AC132" s="134">
        <f t="shared" si="23"/>
        <v>78300</v>
      </c>
      <c r="AD132" s="134">
        <f t="shared" si="23"/>
        <v>78300</v>
      </c>
      <c r="AE132" s="134">
        <f t="shared" si="23"/>
        <v>78300</v>
      </c>
      <c r="AF132" s="134">
        <f t="shared" si="23"/>
        <v>78300</v>
      </c>
      <c r="AG132" s="134">
        <f>$J$132/10/2</f>
        <v>39150</v>
      </c>
      <c r="AH132" s="134"/>
      <c r="AI132" s="134"/>
      <c r="AJ132" s="134"/>
      <c r="AK132" s="134"/>
      <c r="AL132" s="134"/>
      <c r="AM132" s="134"/>
      <c r="AN132" s="134"/>
      <c r="AO132" s="134"/>
      <c r="AP132" s="134"/>
      <c r="AQ132" s="134"/>
      <c r="AR132" s="134"/>
      <c r="AS132" s="134"/>
      <c r="AT132" s="134"/>
      <c r="AU132" s="134"/>
      <c r="AV132" s="134"/>
      <c r="AW132" s="134"/>
      <c r="AX132" s="134"/>
      <c r="AY132" s="134"/>
      <c r="AZ132" s="136">
        <f t="shared" si="12"/>
        <v>783000</v>
      </c>
      <c r="BA132" s="334"/>
      <c r="BB132" s="135">
        <f t="shared" si="13"/>
        <v>352350</v>
      </c>
      <c r="BC132" s="136">
        <f t="shared" si="17"/>
        <v>783000</v>
      </c>
      <c r="BE132" s="159" t="b">
        <f t="shared" si="16"/>
        <v>1</v>
      </c>
      <c r="BF132" s="160"/>
    </row>
    <row r="133" spans="2:59" x14ac:dyDescent="0.25">
      <c r="B133" s="161"/>
      <c r="C133" s="342"/>
      <c r="D133" s="137" t="s">
        <v>1130</v>
      </c>
      <c r="E133" s="137"/>
      <c r="F133" s="137"/>
      <c r="G133" s="137"/>
      <c r="H133" s="137"/>
      <c r="I133" s="137"/>
      <c r="J133" s="138"/>
      <c r="K133" s="138"/>
      <c r="L133" s="138"/>
      <c r="M133" s="138"/>
      <c r="N133" s="139">
        <f t="shared" ref="N133" si="24">SUM(O133:P133)</f>
        <v>4.4470000000000001</v>
      </c>
      <c r="O133" s="139">
        <v>4.4470000000000001</v>
      </c>
      <c r="P133" s="139">
        <f>$P$4</f>
        <v>0</v>
      </c>
      <c r="Q133" s="139" t="s">
        <v>777</v>
      </c>
      <c r="R133" s="164"/>
      <c r="S133" s="164"/>
      <c r="T133" s="140"/>
      <c r="U133" s="335">
        <f t="shared" si="10"/>
        <v>0</v>
      </c>
      <c r="V133" s="140"/>
      <c r="W133" s="140">
        <f>SUM(W132:$AW132)*$N133/100</f>
        <v>34820.01</v>
      </c>
      <c r="X133" s="140">
        <f>SUM(X132:$AW132)*$N133/100</f>
        <v>33079.0095</v>
      </c>
      <c r="Y133" s="140">
        <f>SUM(Y132:$AW132)*$N133/100</f>
        <v>29597.0085</v>
      </c>
      <c r="Z133" s="140">
        <f>SUM(Z132:$AW132)*$N133/100</f>
        <v>26115.0075</v>
      </c>
      <c r="AA133" s="140">
        <f>SUM(AA132:$AW132)*$N133/100</f>
        <v>22633.0065</v>
      </c>
      <c r="AB133" s="140">
        <f>SUM(AB132:$AW132)*$N133/100</f>
        <v>19151.005499999999</v>
      </c>
      <c r="AC133" s="140">
        <f>SUM(AC132:$AW132)*$N133/100</f>
        <v>15669.004499999999</v>
      </c>
      <c r="AD133" s="140">
        <f>SUM(AD132:$AW132)*$N133/100</f>
        <v>12187.003500000001</v>
      </c>
      <c r="AE133" s="140">
        <f>SUM(AE132:$AW132)*$N133/100</f>
        <v>8705.0025000000005</v>
      </c>
      <c r="AF133" s="140">
        <f>SUM(AF132:$AW132)*$N133/100</f>
        <v>5223.0015000000003</v>
      </c>
      <c r="AG133" s="140">
        <f>SUM(AG132:$AW132)*$N133/100</f>
        <v>1741.0004999999999</v>
      </c>
      <c r="AH133" s="140"/>
      <c r="AI133" s="140"/>
      <c r="AJ133" s="140"/>
      <c r="AK133" s="140"/>
      <c r="AL133" s="140"/>
      <c r="AM133" s="140"/>
      <c r="AN133" s="140"/>
      <c r="AO133" s="140"/>
      <c r="AP133" s="140"/>
      <c r="AQ133" s="140"/>
      <c r="AR133" s="140"/>
      <c r="AS133" s="140"/>
      <c r="AT133" s="140"/>
      <c r="AU133" s="140"/>
      <c r="AV133" s="140"/>
      <c r="AW133" s="140"/>
      <c r="AX133" s="140"/>
      <c r="AY133" s="140"/>
      <c r="AZ133" s="142">
        <f t="shared" si="12"/>
        <v>208920.06</v>
      </c>
      <c r="BA133" s="334"/>
      <c r="BB133" s="141">
        <f t="shared" si="13"/>
        <v>43525.012500000004</v>
      </c>
      <c r="BC133" s="142">
        <f t="shared" si="17"/>
        <v>208920.06</v>
      </c>
      <c r="BE133" s="159" t="b">
        <f t="shared" si="16"/>
        <v>1</v>
      </c>
    </row>
    <row r="134" spans="2:59" x14ac:dyDescent="0.25">
      <c r="B134" s="154" t="s">
        <v>767</v>
      </c>
      <c r="C134" s="155">
        <v>65</v>
      </c>
      <c r="D134" s="130" t="s">
        <v>1131</v>
      </c>
      <c r="E134" s="130" t="s">
        <v>1127</v>
      </c>
      <c r="F134" s="130"/>
      <c r="G134" s="130">
        <v>2025</v>
      </c>
      <c r="H134" s="130">
        <v>2045</v>
      </c>
      <c r="I134" s="130" t="s">
        <v>773</v>
      </c>
      <c r="J134" s="131">
        <f>4890000+800000</f>
        <v>5690000</v>
      </c>
      <c r="K134" s="131"/>
      <c r="L134" s="131"/>
      <c r="M134" s="131"/>
      <c r="N134" s="341"/>
      <c r="O134" s="341"/>
      <c r="P134" s="341"/>
      <c r="Q134" s="133" t="s">
        <v>774</v>
      </c>
      <c r="R134" s="158"/>
      <c r="S134" s="158"/>
      <c r="T134" s="134"/>
      <c r="U134" s="333">
        <f t="shared" si="10"/>
        <v>0</v>
      </c>
      <c r="V134" s="134"/>
      <c r="W134" s="134"/>
      <c r="X134" s="134"/>
      <c r="Y134" s="134">
        <f>$J$134/18/2</f>
        <v>158055.55555555556</v>
      </c>
      <c r="Z134" s="134">
        <f t="shared" ref="Z134:AO134" si="25">$J$134/18</f>
        <v>316111.11111111112</v>
      </c>
      <c r="AA134" s="134">
        <f t="shared" si="25"/>
        <v>316111.11111111112</v>
      </c>
      <c r="AB134" s="134">
        <f t="shared" si="25"/>
        <v>316111.11111111112</v>
      </c>
      <c r="AC134" s="134">
        <f t="shared" si="25"/>
        <v>316111.11111111112</v>
      </c>
      <c r="AD134" s="134">
        <f t="shared" si="25"/>
        <v>316111.11111111112</v>
      </c>
      <c r="AE134" s="134">
        <f t="shared" si="25"/>
        <v>316111.11111111112</v>
      </c>
      <c r="AF134" s="134">
        <f t="shared" si="25"/>
        <v>316111.11111111112</v>
      </c>
      <c r="AG134" s="134">
        <f t="shared" si="25"/>
        <v>316111.11111111112</v>
      </c>
      <c r="AH134" s="134">
        <f t="shared" si="25"/>
        <v>316111.11111111112</v>
      </c>
      <c r="AI134" s="134">
        <f t="shared" si="25"/>
        <v>316111.11111111112</v>
      </c>
      <c r="AJ134" s="134">
        <f t="shared" si="25"/>
        <v>316111.11111111112</v>
      </c>
      <c r="AK134" s="134">
        <f t="shared" si="25"/>
        <v>316111.11111111112</v>
      </c>
      <c r="AL134" s="134">
        <f t="shared" si="25"/>
        <v>316111.11111111112</v>
      </c>
      <c r="AM134" s="134">
        <f t="shared" si="25"/>
        <v>316111.11111111112</v>
      </c>
      <c r="AN134" s="134">
        <f t="shared" si="25"/>
        <v>316111.11111111112</v>
      </c>
      <c r="AO134" s="134">
        <f t="shared" si="25"/>
        <v>316111.11111111112</v>
      </c>
      <c r="AP134" s="134">
        <f>$J$134/18+$J$134/18/2</f>
        <v>474166.66666666669</v>
      </c>
      <c r="AQ134" s="134"/>
      <c r="AR134" s="134"/>
      <c r="AS134" s="134"/>
      <c r="AT134" s="134"/>
      <c r="AU134" s="134"/>
      <c r="AV134" s="134"/>
      <c r="AW134" s="134"/>
      <c r="AX134" s="134"/>
      <c r="AY134" s="134"/>
      <c r="AZ134" s="136">
        <f>SUM(V134:AY134)</f>
        <v>5689999.9999999991</v>
      </c>
      <c r="BA134" s="334">
        <f t="shared" si="15"/>
        <v>0</v>
      </c>
      <c r="BB134" s="135">
        <f t="shared" si="13"/>
        <v>4583611.1111111101</v>
      </c>
      <c r="BC134" s="136">
        <f t="shared" si="17"/>
        <v>5689999.9999999991</v>
      </c>
      <c r="BE134" s="159" t="b">
        <f t="shared" si="16"/>
        <v>1</v>
      </c>
      <c r="BF134" s="160"/>
    </row>
    <row r="135" spans="2:59" x14ac:dyDescent="0.25">
      <c r="B135" s="161" t="s">
        <v>767</v>
      </c>
      <c r="C135" s="342"/>
      <c r="D135" s="137"/>
      <c r="E135" s="137"/>
      <c r="F135" s="137"/>
      <c r="G135" s="137"/>
      <c r="H135" s="137"/>
      <c r="I135" s="137"/>
      <c r="J135" s="138"/>
      <c r="K135" s="138"/>
      <c r="L135" s="138"/>
      <c r="M135" s="138" t="s">
        <v>963</v>
      </c>
      <c r="N135" s="139">
        <f t="shared" si="22"/>
        <v>5.1029999999999998</v>
      </c>
      <c r="O135" s="139">
        <v>5.1029999999999998</v>
      </c>
      <c r="P135" s="139">
        <f>$P$4</f>
        <v>0</v>
      </c>
      <c r="Q135" s="139" t="s">
        <v>777</v>
      </c>
      <c r="R135" s="164"/>
      <c r="S135" s="164"/>
      <c r="T135" s="140"/>
      <c r="U135" s="335">
        <f t="shared" ref="U135" si="26">V135-T135</f>
        <v>0</v>
      </c>
      <c r="V135" s="140"/>
      <c r="W135" s="140">
        <f>SUM(W134:$AW134)*$N135/100/4</f>
        <v>72590.174999999988</v>
      </c>
      <c r="X135" s="140">
        <f>SUM(X134:$AW134)*$N135/100</f>
        <v>290360.69999999995</v>
      </c>
      <c r="Y135" s="140">
        <f>SUM(Y134:$AW134)*$N135/100</f>
        <v>290360.69999999995</v>
      </c>
      <c r="Z135" s="140">
        <f>SUM(Z134:$AW134)*$N135/100</f>
        <v>282295.12499999994</v>
      </c>
      <c r="AA135" s="140">
        <f>SUM(AA134:$AW134)*$N135/100</f>
        <v>266163.97499999998</v>
      </c>
      <c r="AB135" s="140">
        <f>SUM(AB134:$AW134)*$N135/100</f>
        <v>250032.82499999995</v>
      </c>
      <c r="AC135" s="140">
        <f>SUM(AC134:$AW134)*$N135/100</f>
        <v>233901.67499999993</v>
      </c>
      <c r="AD135" s="140">
        <f>SUM(AD134:$AW134)*$N135/100</f>
        <v>217770.52499999994</v>
      </c>
      <c r="AE135" s="140">
        <f>SUM(AE134:$AW134)*$N135/100</f>
        <v>201639.37499999997</v>
      </c>
      <c r="AF135" s="140">
        <f>SUM(AF134:$AW134)*$N135/100</f>
        <v>185508.22499999998</v>
      </c>
      <c r="AG135" s="140">
        <f>SUM(AG134:$AW134)*$N135/100</f>
        <v>169377.07499999995</v>
      </c>
      <c r="AH135" s="140">
        <f>SUM(AH134:$AW134)*$N135/100</f>
        <v>153245.92499999996</v>
      </c>
      <c r="AI135" s="140">
        <f>SUM(AI134:$AW134)*$N135/100</f>
        <v>137114.77499999999</v>
      </c>
      <c r="AJ135" s="140">
        <f>SUM(AJ134:$AW134)*$N135/100</f>
        <v>120983.62499999999</v>
      </c>
      <c r="AK135" s="140">
        <f>SUM(AK134:$AW134)*$N135/100</f>
        <v>104852.47500000001</v>
      </c>
      <c r="AL135" s="140">
        <f>SUM(AL134:$AW134)*$N135/100</f>
        <v>88721.324999999997</v>
      </c>
      <c r="AM135" s="140">
        <f>SUM(AM134:$AW134)*$N135/100</f>
        <v>72590.175000000003</v>
      </c>
      <c r="AN135" s="140">
        <f>SUM(AN134:$AW134)*$N135/100</f>
        <v>56459.025000000001</v>
      </c>
      <c r="AO135" s="140">
        <f>SUM(AO134:$AW134)*$N135/100</f>
        <v>40327.874999999993</v>
      </c>
      <c r="AP135" s="140">
        <f>SUM(AP134:$AW134)*$N135/100</f>
        <v>24196.724999999999</v>
      </c>
      <c r="AQ135" s="140"/>
      <c r="AR135" s="140"/>
      <c r="AS135" s="140"/>
      <c r="AT135" s="140"/>
      <c r="AU135" s="140"/>
      <c r="AV135" s="140"/>
      <c r="AW135" s="140"/>
      <c r="AX135" s="140"/>
      <c r="AY135" s="140"/>
      <c r="AZ135" s="142">
        <f t="shared" si="12"/>
        <v>3258492.3</v>
      </c>
      <c r="BA135" s="353">
        <f t="shared" si="15"/>
        <v>0</v>
      </c>
      <c r="BB135" s="141">
        <f t="shared" si="13"/>
        <v>1806688.7999999998</v>
      </c>
      <c r="BC135" s="142">
        <f t="shared" si="17"/>
        <v>3258492.3</v>
      </c>
      <c r="BE135" s="159" t="b">
        <f t="shared" si="16"/>
        <v>1</v>
      </c>
    </row>
    <row r="136" spans="2:59" x14ac:dyDescent="0.25">
      <c r="J136" s="165"/>
      <c r="K136" s="165"/>
      <c r="L136" s="165"/>
      <c r="M136" s="165"/>
      <c r="N136" s="166"/>
      <c r="O136" s="166"/>
      <c r="P136" s="166"/>
      <c r="Q136" s="167"/>
      <c r="R136" s="166"/>
      <c r="S136" s="165"/>
      <c r="T136" s="165"/>
      <c r="U136" s="354"/>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75">
        <f t="shared" si="15"/>
        <v>0</v>
      </c>
      <c r="BB136" s="165"/>
      <c r="BC136" s="165"/>
      <c r="BE136" s="159" t="b">
        <f t="shared" si="16"/>
        <v>1</v>
      </c>
    </row>
    <row r="137" spans="2:59" hidden="1" outlineLevel="1" x14ac:dyDescent="0.25">
      <c r="J137" s="168">
        <f>SUM(J6:J135)</f>
        <v>74771824.960000008</v>
      </c>
      <c r="K137" s="165"/>
      <c r="L137" s="165"/>
      <c r="M137" s="165"/>
      <c r="N137" s="166"/>
      <c r="O137" s="166"/>
      <c r="P137" s="166"/>
      <c r="Q137" s="166"/>
      <c r="R137" s="166"/>
      <c r="S137" s="165"/>
      <c r="T137" s="165"/>
      <c r="U137" s="354"/>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75"/>
      <c r="BB137" s="165"/>
      <c r="BC137" s="165"/>
      <c r="BE137" s="159"/>
    </row>
    <row r="138" spans="2:59" s="159" customFormat="1" collapsed="1" x14ac:dyDescent="0.25">
      <c r="H138" s="355"/>
      <c r="I138" s="184"/>
      <c r="J138" s="160"/>
      <c r="K138" s="168">
        <f>SUM(K6:K135)</f>
        <v>51982169.109999999</v>
      </c>
      <c r="L138" s="160"/>
      <c r="M138" s="160"/>
      <c r="N138" s="356">
        <f>AVERAGE(N7:N135)</f>
        <v>4.1256249999999994</v>
      </c>
      <c r="O138" s="357"/>
      <c r="P138" s="357"/>
      <c r="Q138" s="169" t="s">
        <v>774</v>
      </c>
      <c r="R138" s="170">
        <f t="shared" ref="R138:AH139" si="27">SUMIF($Q$6:$Q$135,$Q138,R$6:R$135)</f>
        <v>1072077</v>
      </c>
      <c r="S138" s="170">
        <f t="shared" si="27"/>
        <v>2585053.37</v>
      </c>
      <c r="T138" s="170">
        <f t="shared" si="27"/>
        <v>3657130.37</v>
      </c>
      <c r="U138" s="358">
        <f t="shared" si="27"/>
        <v>67.810000000008301</v>
      </c>
      <c r="V138" s="170">
        <f t="shared" si="27"/>
        <v>3657198.1799999997</v>
      </c>
      <c r="W138" s="170">
        <f t="shared" si="27"/>
        <v>3470406.2268750002</v>
      </c>
      <c r="X138" s="170">
        <f t="shared" si="27"/>
        <v>3501375.9424999999</v>
      </c>
      <c r="Y138" s="170">
        <f t="shared" si="27"/>
        <v>3553544.7313888883</v>
      </c>
      <c r="Z138" s="170">
        <f t="shared" si="27"/>
        <v>3672824.986944444</v>
      </c>
      <c r="AA138" s="170">
        <f t="shared" si="27"/>
        <v>3591914.2500694441</v>
      </c>
      <c r="AB138" s="170">
        <f t="shared" si="27"/>
        <v>3555140.0044444441</v>
      </c>
      <c r="AC138" s="170">
        <f t="shared" si="27"/>
        <v>3468820.864444444</v>
      </c>
      <c r="AD138" s="170">
        <f t="shared" si="27"/>
        <v>2810193.7544444441</v>
      </c>
      <c r="AE138" s="170">
        <f t="shared" si="27"/>
        <v>2606474.0244444441</v>
      </c>
      <c r="AF138" s="170">
        <f t="shared" si="27"/>
        <v>2249393.8044444444</v>
      </c>
      <c r="AG138" s="170">
        <f t="shared" si="27"/>
        <v>2111387.8044444444</v>
      </c>
      <c r="AH138" s="170">
        <f t="shared" si="27"/>
        <v>1943128.7544444446</v>
      </c>
      <c r="AI138" s="170">
        <f t="shared" ref="AI138:AX139" si="28">SUMIF($Q$6:$Q$135,$Q138,AI$6:AI$135)</f>
        <v>1832316.0444444446</v>
      </c>
      <c r="AJ138" s="170">
        <f t="shared" si="28"/>
        <v>1697912.0444444446</v>
      </c>
      <c r="AK138" s="170">
        <f t="shared" si="28"/>
        <v>1625784.0444444446</v>
      </c>
      <c r="AL138" s="170">
        <f t="shared" si="28"/>
        <v>1584734.0844444446</v>
      </c>
      <c r="AM138" s="170">
        <f t="shared" si="28"/>
        <v>1559973.1144444444</v>
      </c>
      <c r="AN138" s="170">
        <f t="shared" si="28"/>
        <v>1500459.111111111</v>
      </c>
      <c r="AO138" s="170">
        <f t="shared" si="28"/>
        <v>1500459.111111111</v>
      </c>
      <c r="AP138" s="170">
        <f t="shared" si="28"/>
        <v>1658514.6666666667</v>
      </c>
      <c r="AQ138" s="170">
        <f t="shared" si="28"/>
        <v>1184348</v>
      </c>
      <c r="AR138" s="170">
        <f t="shared" si="28"/>
        <v>1184348</v>
      </c>
      <c r="AS138" s="170">
        <f t="shared" si="28"/>
        <v>1184348</v>
      </c>
      <c r="AT138" s="170">
        <f t="shared" si="28"/>
        <v>867315.83000000007</v>
      </c>
      <c r="AU138" s="170">
        <f t="shared" si="28"/>
        <v>452632</v>
      </c>
      <c r="AV138" s="170">
        <f t="shared" si="28"/>
        <v>409981</v>
      </c>
      <c r="AW138" s="170">
        <f t="shared" si="28"/>
        <v>55587.92</v>
      </c>
      <c r="AX138" s="170">
        <f t="shared" si="28"/>
        <v>0</v>
      </c>
      <c r="AY138" s="170">
        <f t="shared" ref="AY138:AY139" si="29">SUMIF($Q$6:$Q$135,$Q138,AY$6:AY$135)</f>
        <v>0</v>
      </c>
      <c r="AZ138" s="170">
        <f>SUM(V138:AY138)</f>
        <v>58490516.299999982</v>
      </c>
      <c r="BA138" s="175">
        <f t="shared" si="15"/>
        <v>0</v>
      </c>
      <c r="BB138" s="170">
        <f t="shared" ref="BB138:BB140" si="30">SUM(AC138:AY138)</f>
        <v>33488111.977777787</v>
      </c>
      <c r="BC138" s="170">
        <f t="shared" ref="BC138:BC140" si="31">SUM(V138:AB138,BB138)</f>
        <v>58490516.300000004</v>
      </c>
      <c r="BE138" s="159" t="b">
        <f t="shared" si="16"/>
        <v>1</v>
      </c>
      <c r="BF138" s="160"/>
    </row>
    <row r="139" spans="2:59" x14ac:dyDescent="0.25">
      <c r="H139" s="355"/>
      <c r="J139" s="160"/>
      <c r="K139" s="175"/>
      <c r="L139" s="175"/>
      <c r="M139" s="175"/>
      <c r="Q139" s="171" t="s">
        <v>777</v>
      </c>
      <c r="R139" s="172">
        <f t="shared" si="27"/>
        <v>1074399.5700000005</v>
      </c>
      <c r="S139" s="172">
        <f t="shared" si="27"/>
        <v>1057577.7</v>
      </c>
      <c r="T139" s="172">
        <f t="shared" si="27"/>
        <v>2131977.2700000009</v>
      </c>
      <c r="U139" s="359">
        <f t="shared" si="27"/>
        <v>46637.812334224946</v>
      </c>
      <c r="V139" s="172">
        <f t="shared" si="27"/>
        <v>2178615.0823342255</v>
      </c>
      <c r="W139" s="172">
        <f t="shared" si="27"/>
        <v>2241215.281467</v>
      </c>
      <c r="X139" s="172">
        <f t="shared" si="27"/>
        <v>2309396.5809391686</v>
      </c>
      <c r="Y139" s="172">
        <f t="shared" si="27"/>
        <v>2157928.8765873937</v>
      </c>
      <c r="Z139" s="172">
        <f t="shared" si="27"/>
        <v>2001374.7068122185</v>
      </c>
      <c r="AA139" s="172">
        <f t="shared" si="27"/>
        <v>1838623.1889164443</v>
      </c>
      <c r="AB139" s="172">
        <f t="shared" si="27"/>
        <v>1679261.8073895001</v>
      </c>
      <c r="AC139" s="172">
        <f t="shared" si="27"/>
        <v>1521400.6104854997</v>
      </c>
      <c r="AD139" s="172">
        <f t="shared" si="27"/>
        <v>1367592.2846271002</v>
      </c>
      <c r="AE139" s="172">
        <f t="shared" si="27"/>
        <v>1241038.8427090994</v>
      </c>
      <c r="AF139" s="172">
        <f t="shared" si="27"/>
        <v>1124042.1449494001</v>
      </c>
      <c r="AG139" s="172">
        <f t="shared" si="27"/>
        <v>1022033.0116166001</v>
      </c>
      <c r="AH139" s="172">
        <f t="shared" si="27"/>
        <v>926221.77864379983</v>
      </c>
      <c r="AI139" s="172">
        <f t="shared" si="28"/>
        <v>837831.63125500013</v>
      </c>
      <c r="AJ139" s="172">
        <f t="shared" si="28"/>
        <v>753822.72227100015</v>
      </c>
      <c r="AK139" s="172">
        <f t="shared" si="28"/>
        <v>675771.50826699985</v>
      </c>
      <c r="AL139" s="172">
        <f t="shared" si="28"/>
        <v>600907.595203</v>
      </c>
      <c r="AM139" s="172">
        <f t="shared" si="28"/>
        <v>527827.85213899997</v>
      </c>
      <c r="AN139" s="172">
        <f t="shared" si="28"/>
        <v>455910.62948799995</v>
      </c>
      <c r="AO139" s="172">
        <f t="shared" si="28"/>
        <v>386898.32936799998</v>
      </c>
      <c r="AP139" s="172">
        <f t="shared" si="28"/>
        <v>317886.02924799989</v>
      </c>
      <c r="AQ139" s="172">
        <f t="shared" si="28"/>
        <v>240808.15412799999</v>
      </c>
      <c r="AR139" s="172">
        <f t="shared" si="28"/>
        <v>187927.00400799996</v>
      </c>
      <c r="AS139" s="172">
        <f t="shared" si="28"/>
        <v>135045.85388799998</v>
      </c>
      <c r="AT139" s="172">
        <f t="shared" si="28"/>
        <v>82164.703767999992</v>
      </c>
      <c r="AU139" s="172">
        <f t="shared" si="28"/>
        <v>43306.896070000003</v>
      </c>
      <c r="AV139" s="172">
        <f t="shared" si="28"/>
        <v>22024.558349999996</v>
      </c>
      <c r="AW139" s="172">
        <f t="shared" si="28"/>
        <v>2596.5674300000001</v>
      </c>
      <c r="AX139" s="172">
        <f t="shared" si="28"/>
        <v>0</v>
      </c>
      <c r="AY139" s="172">
        <f t="shared" si="29"/>
        <v>0</v>
      </c>
      <c r="AZ139" s="172">
        <f t="shared" ref="AZ139:AZ140" si="32">SUM(V139:AY139)</f>
        <v>26879474.232358441</v>
      </c>
      <c r="BA139" s="175">
        <f t="shared" ref="BA139:BA140" si="33">AZ139-SUM(V139:AY139)</f>
        <v>0</v>
      </c>
      <c r="BB139" s="172">
        <f t="shared" si="30"/>
        <v>12473058.707912501</v>
      </c>
      <c r="BC139" s="172">
        <f t="shared" si="31"/>
        <v>26879474.232358448</v>
      </c>
      <c r="BE139" s="159" t="b">
        <f t="shared" ref="BE139:BE140" si="34">AZ139=BC139</f>
        <v>1</v>
      </c>
      <c r="BF139" s="160"/>
    </row>
    <row r="140" spans="2:59" s="159" customFormat="1" x14ac:dyDescent="0.25">
      <c r="H140" s="355"/>
      <c r="J140" s="160"/>
      <c r="Q140" s="169" t="s">
        <v>1132</v>
      </c>
      <c r="R140" s="173">
        <f>SUM(R138:R139)</f>
        <v>2146476.5700000003</v>
      </c>
      <c r="S140" s="173">
        <f>SUM(S138:S139)</f>
        <v>3642631.0700000003</v>
      </c>
      <c r="T140" s="173">
        <f t="shared" ref="T140:AY140" si="35">SUM(T138:T139)</f>
        <v>5789107.6400000006</v>
      </c>
      <c r="U140" s="360">
        <f t="shared" si="35"/>
        <v>46705.62233422495</v>
      </c>
      <c r="V140" s="173">
        <f t="shared" si="35"/>
        <v>5835813.2623342257</v>
      </c>
      <c r="W140" s="173">
        <f t="shared" si="35"/>
        <v>5711621.5083419997</v>
      </c>
      <c r="X140" s="173">
        <f t="shared" si="35"/>
        <v>5810772.5234391689</v>
      </c>
      <c r="Y140" s="173">
        <f t="shared" si="35"/>
        <v>5711473.607976282</v>
      </c>
      <c r="Z140" s="173">
        <f t="shared" si="35"/>
        <v>5674199.6937566623</v>
      </c>
      <c r="AA140" s="173">
        <f t="shared" si="35"/>
        <v>5430537.4389858879</v>
      </c>
      <c r="AB140" s="173">
        <f t="shared" si="35"/>
        <v>5234401.8118339442</v>
      </c>
      <c r="AC140" s="173">
        <f t="shared" si="35"/>
        <v>4990221.4749299437</v>
      </c>
      <c r="AD140" s="173">
        <f t="shared" si="35"/>
        <v>4177786.0390715441</v>
      </c>
      <c r="AE140" s="173">
        <f t="shared" si="35"/>
        <v>3847512.8671535435</v>
      </c>
      <c r="AF140" s="173">
        <f t="shared" si="35"/>
        <v>3373435.9493938442</v>
      </c>
      <c r="AG140" s="173">
        <f t="shared" si="35"/>
        <v>3133420.8160610446</v>
      </c>
      <c r="AH140" s="173">
        <f t="shared" si="35"/>
        <v>2869350.5330882445</v>
      </c>
      <c r="AI140" s="173">
        <f t="shared" si="35"/>
        <v>2670147.6756994445</v>
      </c>
      <c r="AJ140" s="173">
        <f t="shared" si="35"/>
        <v>2451734.7667154446</v>
      </c>
      <c r="AK140" s="173">
        <f t="shared" si="35"/>
        <v>2301555.5527114444</v>
      </c>
      <c r="AL140" s="173">
        <f t="shared" si="35"/>
        <v>2185641.6796474447</v>
      </c>
      <c r="AM140" s="173">
        <f t="shared" si="35"/>
        <v>2087800.9665834443</v>
      </c>
      <c r="AN140" s="173">
        <f t="shared" si="35"/>
        <v>1956369.740599111</v>
      </c>
      <c r="AO140" s="173">
        <f t="shared" si="35"/>
        <v>1887357.4404791109</v>
      </c>
      <c r="AP140" s="173">
        <f t="shared" si="35"/>
        <v>1976400.6959146666</v>
      </c>
      <c r="AQ140" s="173">
        <f t="shared" si="35"/>
        <v>1425156.1541279999</v>
      </c>
      <c r="AR140" s="173">
        <f t="shared" si="35"/>
        <v>1372275.004008</v>
      </c>
      <c r="AS140" s="173">
        <f t="shared" si="35"/>
        <v>1319393.8538879999</v>
      </c>
      <c r="AT140" s="173">
        <f t="shared" si="35"/>
        <v>949480.53376800008</v>
      </c>
      <c r="AU140" s="173">
        <f t="shared" si="35"/>
        <v>495938.89607000002</v>
      </c>
      <c r="AV140" s="173">
        <f t="shared" si="35"/>
        <v>432005.55835000001</v>
      </c>
      <c r="AW140" s="173">
        <f t="shared" si="35"/>
        <v>58184.487430000001</v>
      </c>
      <c r="AX140" s="173">
        <f t="shared" si="35"/>
        <v>0</v>
      </c>
      <c r="AY140" s="173">
        <f t="shared" si="35"/>
        <v>0</v>
      </c>
      <c r="AZ140" s="173">
        <f t="shared" si="32"/>
        <v>85369990.532358453</v>
      </c>
      <c r="BA140" s="175">
        <f t="shared" si="33"/>
        <v>0</v>
      </c>
      <c r="BB140" s="173">
        <f t="shared" si="30"/>
        <v>45961170.685690269</v>
      </c>
      <c r="BC140" s="173">
        <f t="shared" si="31"/>
        <v>85369990.532358438</v>
      </c>
      <c r="BE140" s="159" t="b">
        <f t="shared" si="34"/>
        <v>0</v>
      </c>
      <c r="BF140" s="160"/>
      <c r="BG140" s="160">
        <f>SUM(V6:AY135)</f>
        <v>85369990.532358363</v>
      </c>
    </row>
    <row r="141" spans="2:59" x14ac:dyDescent="0.25">
      <c r="K141" s="361">
        <f>K142/K138</f>
        <v>0.58275019451184273</v>
      </c>
      <c r="V141" s="175"/>
      <c r="W141" s="175"/>
      <c r="X141" s="175"/>
      <c r="Y141" s="175"/>
      <c r="Z141" s="175"/>
      <c r="AA141" s="175"/>
      <c r="AB141" s="175"/>
      <c r="BC141" s="175">
        <f>SUM(V141:AB141)</f>
        <v>0</v>
      </c>
      <c r="BG141" s="175">
        <f>BG140-BC140</f>
        <v>0</v>
      </c>
    </row>
    <row r="142" spans="2:59" x14ac:dyDescent="0.25">
      <c r="I142" s="174"/>
      <c r="J142" s="174"/>
      <c r="K142" s="362">
        <f>K125+K124+K119+K118+K113+K112+K111+K110+K107+K106+K105+K104+K97+K96+K79+K78+K77+K76+K75+K74+K71+K70+K59+K58+K55+K54+K35+K34+K33+K32+K19+K18</f>
        <v>30292619.16</v>
      </c>
      <c r="S142" s="175"/>
      <c r="T142" s="175">
        <f>T140-SUM(T6:T135)</f>
        <v>0</v>
      </c>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row>
    <row r="143" spans="2:59" ht="15.75" x14ac:dyDescent="0.25">
      <c r="C143" s="125" t="s">
        <v>1133</v>
      </c>
      <c r="J143" s="175"/>
    </row>
    <row r="144" spans="2:59" ht="60" x14ac:dyDescent="0.25">
      <c r="C144" s="331" t="s">
        <v>749</v>
      </c>
      <c r="D144" s="128" t="s">
        <v>1134</v>
      </c>
      <c r="E144" s="128" t="s">
        <v>1135</v>
      </c>
      <c r="F144" s="128" t="s">
        <v>1136</v>
      </c>
      <c r="G144" s="128" t="s">
        <v>753</v>
      </c>
      <c r="H144" s="128" t="s">
        <v>754</v>
      </c>
      <c r="I144" s="128" t="s">
        <v>755</v>
      </c>
      <c r="J144" s="128" t="s">
        <v>1137</v>
      </c>
      <c r="K144" s="128" t="s">
        <v>757</v>
      </c>
      <c r="L144" s="128" t="s">
        <v>758</v>
      </c>
      <c r="M144" s="128" t="s">
        <v>759</v>
      </c>
      <c r="N144" s="128" t="s">
        <v>760</v>
      </c>
      <c r="O144" s="128" t="s">
        <v>761</v>
      </c>
      <c r="P144" s="128" t="s">
        <v>762</v>
      </c>
      <c r="Q144" s="129" t="s">
        <v>763</v>
      </c>
      <c r="R144" s="129"/>
      <c r="S144" s="129"/>
      <c r="T144" s="128">
        <v>2023</v>
      </c>
      <c r="U144" s="128"/>
      <c r="V144" s="331">
        <v>2024</v>
      </c>
      <c r="W144" s="331">
        <v>2025</v>
      </c>
      <c r="X144" s="331">
        <v>2026</v>
      </c>
      <c r="Y144" s="331">
        <v>2027</v>
      </c>
      <c r="Z144" s="331">
        <v>2028</v>
      </c>
      <c r="AA144" s="331">
        <v>2029</v>
      </c>
      <c r="AB144" s="331">
        <v>2030</v>
      </c>
      <c r="AC144" s="331">
        <v>2031</v>
      </c>
      <c r="AD144" s="331">
        <v>2032</v>
      </c>
      <c r="AE144" s="331">
        <v>2033</v>
      </c>
      <c r="AF144" s="331">
        <v>2034</v>
      </c>
      <c r="AG144" s="331">
        <v>2035</v>
      </c>
      <c r="AH144" s="331">
        <v>2036</v>
      </c>
      <c r="AI144" s="331">
        <v>2037</v>
      </c>
      <c r="AJ144" s="331">
        <v>2038</v>
      </c>
      <c r="AK144" s="331">
        <v>2039</v>
      </c>
      <c r="AL144" s="331">
        <v>2040</v>
      </c>
      <c r="AM144" s="331">
        <v>2041</v>
      </c>
      <c r="AN144" s="331">
        <v>2042</v>
      </c>
      <c r="AO144" s="331">
        <v>2043</v>
      </c>
      <c r="AP144" s="331">
        <v>2044</v>
      </c>
      <c r="AQ144" s="331">
        <v>2045</v>
      </c>
      <c r="AR144" s="331">
        <v>2046</v>
      </c>
      <c r="AS144" s="331">
        <v>2047</v>
      </c>
      <c r="AT144" s="331">
        <v>2048</v>
      </c>
      <c r="AU144" s="331">
        <v>2049</v>
      </c>
      <c r="AV144" s="331">
        <v>2050</v>
      </c>
      <c r="AW144" s="331">
        <v>2051</v>
      </c>
      <c r="AX144" s="331">
        <v>2052</v>
      </c>
      <c r="AY144" s="331">
        <v>2053</v>
      </c>
      <c r="AZ144" s="128" t="s">
        <v>764</v>
      </c>
      <c r="BB144" s="330" t="s">
        <v>765</v>
      </c>
      <c r="BC144" s="128" t="s">
        <v>766</v>
      </c>
    </row>
    <row r="145" spans="2:59" s="159" customFormat="1" x14ac:dyDescent="0.25">
      <c r="B145" s="154"/>
      <c r="C145" s="156">
        <v>1</v>
      </c>
      <c r="D145" s="156" t="s">
        <v>1138</v>
      </c>
      <c r="E145" s="156"/>
      <c r="F145" s="156"/>
      <c r="G145" s="156">
        <v>3.2017000000000002</v>
      </c>
      <c r="H145" s="156">
        <v>3.2031999999999998</v>
      </c>
      <c r="I145" s="156" t="s">
        <v>773</v>
      </c>
      <c r="J145" s="132">
        <v>129553</v>
      </c>
      <c r="K145" s="132"/>
      <c r="L145" s="132"/>
      <c r="M145" s="132"/>
      <c r="N145" s="133"/>
      <c r="O145" s="133"/>
      <c r="P145" s="133"/>
      <c r="Q145" s="133" t="s">
        <v>774</v>
      </c>
      <c r="R145" s="133"/>
      <c r="S145" s="133"/>
      <c r="T145" s="134">
        <v>8936</v>
      </c>
      <c r="U145" s="134"/>
      <c r="V145" s="134">
        <v>8936</v>
      </c>
      <c r="W145" s="134">
        <v>8936</v>
      </c>
      <c r="X145" s="134">
        <v>8936</v>
      </c>
      <c r="Y145" s="134">
        <v>8936</v>
      </c>
      <c r="Z145" s="134">
        <v>8936</v>
      </c>
      <c r="AA145" s="134">
        <v>8936</v>
      </c>
      <c r="AB145" s="134">
        <v>8936</v>
      </c>
      <c r="AC145" s="134">
        <v>8936</v>
      </c>
      <c r="AD145" s="134">
        <v>2234</v>
      </c>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6">
        <f>SUM(V145:AY145)</f>
        <v>73722</v>
      </c>
      <c r="BA145" s="176"/>
      <c r="BB145" s="135">
        <f>SUM(AC145:AY145)</f>
        <v>11170</v>
      </c>
      <c r="BC145" s="136">
        <f>SUM(V145:AB145,BB145)</f>
        <v>73722</v>
      </c>
      <c r="BE145" s="159" t="b">
        <f t="shared" ref="BE145:BE159" si="36">AZ145=BC145</f>
        <v>1</v>
      </c>
    </row>
    <row r="146" spans="2:59" x14ac:dyDescent="0.25">
      <c r="B146" s="161"/>
      <c r="C146" s="137"/>
      <c r="D146" s="137"/>
      <c r="E146" s="137"/>
      <c r="F146" s="137"/>
      <c r="G146" s="137"/>
      <c r="H146" s="137"/>
      <c r="I146" s="137"/>
      <c r="J146" s="138"/>
      <c r="K146" s="138"/>
      <c r="L146" s="138"/>
      <c r="M146" s="138"/>
      <c r="N146" s="139">
        <f t="shared" ref="N146:N156" si="37">SUM(O146:P146)</f>
        <v>3.0089999999999999</v>
      </c>
      <c r="O146" s="139">
        <v>2.7589999999999999</v>
      </c>
      <c r="P146" s="139">
        <v>0.25</v>
      </c>
      <c r="Q146" s="139" t="s">
        <v>777</v>
      </c>
      <c r="R146" s="139"/>
      <c r="S146" s="139"/>
      <c r="T146" s="140">
        <v>2756.0634599999998</v>
      </c>
      <c r="U146" s="140"/>
      <c r="V146" s="140">
        <f>SUM(V145:$AW145)*$N146/100</f>
        <v>2218.2949800000001</v>
      </c>
      <c r="W146" s="140">
        <f>SUM(W145:$AW145)*$N146/100</f>
        <v>1949.41074</v>
      </c>
      <c r="X146" s="140">
        <f>SUM(X145:$AW145)*$N146/100</f>
        <v>1680.5264999999999</v>
      </c>
      <c r="Y146" s="140">
        <f>SUM(Y145:$AW145)*$N146/100</f>
        <v>1411.6422599999999</v>
      </c>
      <c r="Z146" s="140">
        <f>SUM(Z145:$AW145)*$N146/100</f>
        <v>1142.75802</v>
      </c>
      <c r="AA146" s="140">
        <f>SUM(AA145:$AW145)*$N146/100</f>
        <v>873.87378000000001</v>
      </c>
      <c r="AB146" s="140">
        <f>SUM(AB145:$AW145)*$N146/100</f>
        <v>604.98954000000003</v>
      </c>
      <c r="AC146" s="140">
        <f>SUM(AC145:$AW145)*$N146/100</f>
        <v>336.1053</v>
      </c>
      <c r="AD146" s="140">
        <f>SUM(AD145:$AW145)*$N146/100</f>
        <v>67.221059999999994</v>
      </c>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2">
        <f t="shared" ref="AZ146:AZ159" si="38">SUM(V146:AY146)</f>
        <v>10284.822179999999</v>
      </c>
      <c r="BA146" s="147"/>
      <c r="BB146" s="141">
        <f t="shared" ref="BB146:BB158" si="39">SUM(AC146:AY146)</f>
        <v>403.32636000000002</v>
      </c>
      <c r="BC146" s="142">
        <f t="shared" ref="BC146:BC158" si="40">SUM(V146:AB146,BB146)</f>
        <v>10284.822179999999</v>
      </c>
      <c r="BE146" s="124" t="b">
        <f t="shared" si="36"/>
        <v>1</v>
      </c>
    </row>
    <row r="147" spans="2:59" s="159" customFormat="1" x14ac:dyDescent="0.25">
      <c r="B147" s="154"/>
      <c r="C147" s="156">
        <v>2</v>
      </c>
      <c r="D147" s="156" t="s">
        <v>1139</v>
      </c>
      <c r="E147" s="156"/>
      <c r="F147" s="156"/>
      <c r="G147" s="363">
        <v>43832</v>
      </c>
      <c r="H147" s="363">
        <v>45656</v>
      </c>
      <c r="I147" s="156" t="s">
        <v>773</v>
      </c>
      <c r="J147" s="132">
        <v>44681</v>
      </c>
      <c r="K147" s="132"/>
      <c r="L147" s="132"/>
      <c r="M147" s="132"/>
      <c r="N147" s="133"/>
      <c r="O147" s="133"/>
      <c r="P147" s="133"/>
      <c r="Q147" s="133" t="s">
        <v>774</v>
      </c>
      <c r="R147" s="133"/>
      <c r="S147" s="133"/>
      <c r="T147" s="134">
        <v>5976</v>
      </c>
      <c r="U147" s="134"/>
      <c r="V147" s="134">
        <v>5976</v>
      </c>
      <c r="W147" s="134">
        <v>446.95</v>
      </c>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6">
        <f t="shared" si="38"/>
        <v>6422.95</v>
      </c>
      <c r="BA147" s="176"/>
      <c r="BB147" s="135">
        <f t="shared" si="39"/>
        <v>0</v>
      </c>
      <c r="BC147" s="136">
        <f t="shared" si="40"/>
        <v>6422.95</v>
      </c>
      <c r="BE147" s="159" t="b">
        <f t="shared" si="36"/>
        <v>1</v>
      </c>
    </row>
    <row r="148" spans="2:59" x14ac:dyDescent="0.25">
      <c r="B148" s="161"/>
      <c r="C148" s="137"/>
      <c r="D148" s="137" t="s">
        <v>1140</v>
      </c>
      <c r="E148" s="137"/>
      <c r="F148" s="137"/>
      <c r="G148" s="137"/>
      <c r="H148" s="137"/>
      <c r="I148" s="137"/>
      <c r="J148" s="138"/>
      <c r="K148" s="138"/>
      <c r="L148" s="138"/>
      <c r="M148" s="138"/>
      <c r="N148" s="139">
        <f t="shared" si="37"/>
        <v>0.85599999999999998</v>
      </c>
      <c r="O148" s="139">
        <v>0.35599999999999998</v>
      </c>
      <c r="P148" s="139">
        <v>0.5</v>
      </c>
      <c r="Q148" s="139" t="s">
        <v>777</v>
      </c>
      <c r="R148" s="139"/>
      <c r="S148" s="139"/>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2">
        <f t="shared" si="38"/>
        <v>0</v>
      </c>
      <c r="BA148" s="147"/>
      <c r="BB148" s="141">
        <f t="shared" si="39"/>
        <v>0</v>
      </c>
      <c r="BC148" s="142">
        <f t="shared" si="40"/>
        <v>0</v>
      </c>
      <c r="BE148" s="124" t="b">
        <f t="shared" si="36"/>
        <v>1</v>
      </c>
    </row>
    <row r="149" spans="2:59" s="159" customFormat="1" x14ac:dyDescent="0.25">
      <c r="B149" s="154"/>
      <c r="C149" s="156">
        <v>3</v>
      </c>
      <c r="D149" s="156" t="s">
        <v>1141</v>
      </c>
      <c r="E149" s="156"/>
      <c r="F149" s="156"/>
      <c r="G149" s="363">
        <v>44151</v>
      </c>
      <c r="H149" s="363">
        <v>45981</v>
      </c>
      <c r="I149" s="156" t="s">
        <v>773</v>
      </c>
      <c r="J149" s="132">
        <v>82111</v>
      </c>
      <c r="K149" s="132"/>
      <c r="L149" s="132"/>
      <c r="M149" s="132"/>
      <c r="N149" s="133"/>
      <c r="O149" s="133"/>
      <c r="P149" s="133"/>
      <c r="Q149" s="133" t="s">
        <v>774</v>
      </c>
      <c r="R149" s="133"/>
      <c r="S149" s="133"/>
      <c r="T149" s="134">
        <v>15204.36</v>
      </c>
      <c r="U149" s="134"/>
      <c r="V149" s="134">
        <v>15204.36</v>
      </c>
      <c r="W149" s="134">
        <v>13937.16</v>
      </c>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6">
        <f t="shared" si="38"/>
        <v>29141.52</v>
      </c>
      <c r="BA149" s="176"/>
      <c r="BB149" s="135">
        <f t="shared" si="39"/>
        <v>0</v>
      </c>
      <c r="BC149" s="136">
        <f t="shared" si="40"/>
        <v>29141.52</v>
      </c>
      <c r="BE149" s="159" t="b">
        <f t="shared" si="36"/>
        <v>1</v>
      </c>
    </row>
    <row r="150" spans="2:59" x14ac:dyDescent="0.25">
      <c r="B150" s="161"/>
      <c r="C150" s="137"/>
      <c r="D150" s="137" t="s">
        <v>1140</v>
      </c>
      <c r="E150" s="137"/>
      <c r="F150" s="137"/>
      <c r="G150" s="137"/>
      <c r="H150" s="137"/>
      <c r="I150" s="137"/>
      <c r="J150" s="138"/>
      <c r="K150" s="138"/>
      <c r="L150" s="138"/>
      <c r="M150" s="138"/>
      <c r="N150" s="139">
        <f t="shared" si="37"/>
        <v>0.85599999999999998</v>
      </c>
      <c r="O150" s="139">
        <v>0.35599999999999998</v>
      </c>
      <c r="P150" s="139">
        <v>0.5</v>
      </c>
      <c r="Q150" s="139" t="s">
        <v>777</v>
      </c>
      <c r="R150" s="139"/>
      <c r="S150" s="139"/>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2">
        <f t="shared" si="38"/>
        <v>0</v>
      </c>
      <c r="BA150" s="147"/>
      <c r="BB150" s="141">
        <f t="shared" si="39"/>
        <v>0</v>
      </c>
      <c r="BC150" s="142">
        <f t="shared" si="40"/>
        <v>0</v>
      </c>
      <c r="BE150" s="124" t="b">
        <f t="shared" si="36"/>
        <v>1</v>
      </c>
    </row>
    <row r="151" spans="2:59" s="159" customFormat="1" x14ac:dyDescent="0.25">
      <c r="B151" s="154"/>
      <c r="C151" s="156">
        <v>4</v>
      </c>
      <c r="D151" s="156" t="s">
        <v>1142</v>
      </c>
      <c r="E151" s="156"/>
      <c r="F151" s="156"/>
      <c r="G151" s="363">
        <v>44313</v>
      </c>
      <c r="H151" s="363">
        <v>45774</v>
      </c>
      <c r="I151" s="156" t="s">
        <v>773</v>
      </c>
      <c r="J151" s="132">
        <v>33649.81</v>
      </c>
      <c r="K151" s="132"/>
      <c r="L151" s="132"/>
      <c r="M151" s="132"/>
      <c r="N151" s="133"/>
      <c r="O151" s="133"/>
      <c r="P151" s="133"/>
      <c r="Q151" s="133" t="s">
        <v>774</v>
      </c>
      <c r="R151" s="133"/>
      <c r="S151" s="133"/>
      <c r="T151" s="134">
        <v>8424</v>
      </c>
      <c r="U151" s="134"/>
      <c r="V151" s="134">
        <v>8424</v>
      </c>
      <c r="W151" s="134">
        <v>2808</v>
      </c>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6">
        <f t="shared" si="38"/>
        <v>11232</v>
      </c>
      <c r="BA151" s="176"/>
      <c r="BB151" s="135">
        <f t="shared" si="39"/>
        <v>0</v>
      </c>
      <c r="BC151" s="136">
        <f t="shared" si="40"/>
        <v>11232</v>
      </c>
      <c r="BE151" s="159" t="b">
        <f t="shared" si="36"/>
        <v>1</v>
      </c>
    </row>
    <row r="152" spans="2:59" ht="13.9" customHeight="1" x14ac:dyDescent="0.25">
      <c r="B152" s="161"/>
      <c r="C152" s="137"/>
      <c r="D152" s="137" t="s">
        <v>1140</v>
      </c>
      <c r="E152" s="137"/>
      <c r="F152" s="137"/>
      <c r="G152" s="137"/>
      <c r="H152" s="137"/>
      <c r="I152" s="137"/>
      <c r="J152" s="138"/>
      <c r="K152" s="138"/>
      <c r="L152" s="138"/>
      <c r="M152" s="138"/>
      <c r="N152" s="139">
        <f t="shared" si="37"/>
        <v>0.85599999999999998</v>
      </c>
      <c r="O152" s="139">
        <v>0.35599999999999998</v>
      </c>
      <c r="P152" s="139">
        <v>0.5</v>
      </c>
      <c r="Q152" s="139" t="s">
        <v>777</v>
      </c>
      <c r="R152" s="139"/>
      <c r="S152" s="139"/>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2">
        <f t="shared" si="38"/>
        <v>0</v>
      </c>
      <c r="BA152" s="147"/>
      <c r="BB152" s="141">
        <f t="shared" si="39"/>
        <v>0</v>
      </c>
      <c r="BC152" s="142">
        <f t="shared" si="40"/>
        <v>0</v>
      </c>
      <c r="BE152" s="124" t="b">
        <f t="shared" si="36"/>
        <v>1</v>
      </c>
    </row>
    <row r="153" spans="2:59" s="159" customFormat="1" x14ac:dyDescent="0.25">
      <c r="B153" s="154"/>
      <c r="C153" s="156">
        <v>5</v>
      </c>
      <c r="D153" s="156" t="s">
        <v>1138</v>
      </c>
      <c r="E153" s="156"/>
      <c r="F153" s="156"/>
      <c r="G153" s="363">
        <v>44655</v>
      </c>
      <c r="H153" s="363">
        <v>55598</v>
      </c>
      <c r="I153" s="156" t="s">
        <v>773</v>
      </c>
      <c r="J153" s="132">
        <v>2209678</v>
      </c>
      <c r="K153" s="132"/>
      <c r="L153" s="132"/>
      <c r="M153" s="132"/>
      <c r="N153" s="133"/>
      <c r="O153" s="133"/>
      <c r="P153" s="133"/>
      <c r="Q153" s="133" t="s">
        <v>774</v>
      </c>
      <c r="R153" s="133"/>
      <c r="S153" s="133"/>
      <c r="T153" s="134">
        <v>0</v>
      </c>
      <c r="U153" s="134"/>
      <c r="V153" s="134"/>
      <c r="W153" s="134">
        <v>67990</v>
      </c>
      <c r="X153" s="134">
        <v>81588</v>
      </c>
      <c r="Y153" s="134">
        <v>81588</v>
      </c>
      <c r="Z153" s="134">
        <v>81588</v>
      </c>
      <c r="AA153" s="134">
        <v>81588</v>
      </c>
      <c r="AB153" s="134">
        <v>81588</v>
      </c>
      <c r="AC153" s="134">
        <v>81588</v>
      </c>
      <c r="AD153" s="134">
        <v>81588</v>
      </c>
      <c r="AE153" s="134">
        <v>81588</v>
      </c>
      <c r="AF153" s="134">
        <v>81588</v>
      </c>
      <c r="AG153" s="134">
        <v>81588</v>
      </c>
      <c r="AH153" s="134">
        <v>81588</v>
      </c>
      <c r="AI153" s="134">
        <v>81588</v>
      </c>
      <c r="AJ153" s="134">
        <v>81588</v>
      </c>
      <c r="AK153" s="134">
        <v>81588</v>
      </c>
      <c r="AL153" s="134">
        <v>81588</v>
      </c>
      <c r="AM153" s="134">
        <v>81588</v>
      </c>
      <c r="AN153" s="134">
        <v>81588</v>
      </c>
      <c r="AO153" s="134">
        <v>81588</v>
      </c>
      <c r="AP153" s="134">
        <v>81588</v>
      </c>
      <c r="AQ153" s="134">
        <v>81588</v>
      </c>
      <c r="AR153" s="134">
        <v>81588</v>
      </c>
      <c r="AS153" s="134">
        <v>81588</v>
      </c>
      <c r="AT153" s="134">
        <v>81588</v>
      </c>
      <c r="AU153" s="134">
        <v>81588</v>
      </c>
      <c r="AV153" s="134">
        <v>81588</v>
      </c>
      <c r="AW153" s="134">
        <v>81588</v>
      </c>
      <c r="AX153" s="134">
        <v>81588</v>
      </c>
      <c r="AY153" s="134">
        <v>20400</v>
      </c>
      <c r="AZ153" s="136">
        <f t="shared" si="38"/>
        <v>2291266</v>
      </c>
      <c r="BA153" s="176"/>
      <c r="BB153" s="135">
        <f t="shared" si="39"/>
        <v>1815336</v>
      </c>
      <c r="BC153" s="136">
        <f t="shared" si="40"/>
        <v>2291266</v>
      </c>
      <c r="BE153" s="159" t="b">
        <f t="shared" si="36"/>
        <v>1</v>
      </c>
    </row>
    <row r="154" spans="2:59" x14ac:dyDescent="0.25">
      <c r="B154" s="161"/>
      <c r="C154" s="137"/>
      <c r="D154" s="137"/>
      <c r="E154" s="137"/>
      <c r="F154" s="137"/>
      <c r="G154" s="137"/>
      <c r="H154" s="137"/>
      <c r="I154" s="137"/>
      <c r="J154" s="138"/>
      <c r="K154" s="138"/>
      <c r="L154" s="138"/>
      <c r="M154" s="138"/>
      <c r="N154" s="139">
        <f t="shared" si="37"/>
        <v>3.008</v>
      </c>
      <c r="O154" s="139">
        <v>2.758</v>
      </c>
      <c r="P154" s="139">
        <v>0.25</v>
      </c>
      <c r="Q154" s="139" t="s">
        <v>777</v>
      </c>
      <c r="R154" s="139"/>
      <c r="S154" s="139"/>
      <c r="T154" s="140">
        <v>46207.281279999996</v>
      </c>
      <c r="U154" s="140"/>
      <c r="V154" s="140">
        <f>SUM(V153:$AY153)*$N154/100</f>
        <v>68921.281279999996</v>
      </c>
      <c r="W154" s="140">
        <f>SUM(W153:$AY153)*$N154/100</f>
        <v>68921.281279999996</v>
      </c>
      <c r="X154" s="140">
        <f>SUM(X153:$AY153)*$N154/100</f>
        <v>66876.142079999991</v>
      </c>
      <c r="Y154" s="140">
        <f>SUM(Y153:$AY153)*$N154/100</f>
        <v>64421.975039999998</v>
      </c>
      <c r="Z154" s="140">
        <f>SUM(Z153:$AY153)*$N154/100</f>
        <v>61967.807999999997</v>
      </c>
      <c r="AA154" s="140">
        <f>SUM(AA153:$AY153)*$N154/100</f>
        <v>59513.640959999997</v>
      </c>
      <c r="AB154" s="140">
        <f>SUM(AB153:$AY153)*$N154/100</f>
        <v>57059.473919999997</v>
      </c>
      <c r="AC154" s="140">
        <f>SUM(AC153:$AY153)*$N154/100</f>
        <v>54605.306880000004</v>
      </c>
      <c r="AD154" s="140">
        <f>SUM(AD153:$AY153)*$N154/100</f>
        <v>52151.139840000003</v>
      </c>
      <c r="AE154" s="140">
        <f>SUM(AE153:$AY153)*$N154/100</f>
        <v>49696.972800000003</v>
      </c>
      <c r="AF154" s="140">
        <f>SUM(AF153:$AY153)*$N154/100</f>
        <v>47242.805760000003</v>
      </c>
      <c r="AG154" s="140">
        <f>SUM(AG153:$AY153)*$N154/100</f>
        <v>44788.638720000003</v>
      </c>
      <c r="AH154" s="140">
        <f>SUM(AH153:$AY153)*$N154/100</f>
        <v>42334.471679999995</v>
      </c>
      <c r="AI154" s="140">
        <f>SUM(AI153:$AY153)*$N154/100</f>
        <v>39880.304640000002</v>
      </c>
      <c r="AJ154" s="140">
        <f>SUM(AJ153:$AY153)*$N154/100</f>
        <v>37426.137599999995</v>
      </c>
      <c r="AK154" s="140">
        <f>SUM(AK153:$AY153)*$N154/100</f>
        <v>34971.970560000002</v>
      </c>
      <c r="AL154" s="140">
        <f>SUM(AL153:$AY153)*$N154/100</f>
        <v>32517.803520000001</v>
      </c>
      <c r="AM154" s="140">
        <f>SUM(AM153:$AY153)*$N154/100</f>
        <v>30063.636480000001</v>
      </c>
      <c r="AN154" s="140">
        <f>SUM(AN153:$AY153)*$N154/100</f>
        <v>27609.469440000001</v>
      </c>
      <c r="AO154" s="140">
        <f>SUM(AO153:$AY153)*$N154/100</f>
        <v>25155.3024</v>
      </c>
      <c r="AP154" s="140">
        <f>SUM(AP153:$AY153)*$N154/100</f>
        <v>22701.13536</v>
      </c>
      <c r="AQ154" s="140">
        <f>SUM(AQ153:$AY153)*$N154/100</f>
        <v>20246.96832</v>
      </c>
      <c r="AR154" s="140">
        <f>SUM(AR153:$AY153)*$N154/100</f>
        <v>17792.80128</v>
      </c>
      <c r="AS154" s="140">
        <f>SUM(AS153:$AY153)*$N154/100</f>
        <v>15338.634240000001</v>
      </c>
      <c r="AT154" s="140">
        <f>SUM(AT153:$AY153)*$N154/100</f>
        <v>12884.467199999999</v>
      </c>
      <c r="AU154" s="140">
        <f>SUM(AU153:$AY153)*$N154/100</f>
        <v>10430.300159999999</v>
      </c>
      <c r="AV154" s="140">
        <f>SUM(AV153:$AY153)*$N154/100</f>
        <v>7976.1331200000004</v>
      </c>
      <c r="AW154" s="140">
        <f>SUM(AW153:$AY153)*$N154/100</f>
        <v>5521.9660800000001</v>
      </c>
      <c r="AX154" s="140">
        <f>SUM(AX153:$AY153)*$N154/100</f>
        <v>3067.7990399999999</v>
      </c>
      <c r="AY154" s="140">
        <f>SUM(AY153:$AY153)*$N154/100</f>
        <v>613.63199999999995</v>
      </c>
      <c r="AZ154" s="142">
        <f t="shared" si="38"/>
        <v>1082699.39968</v>
      </c>
      <c r="BA154" s="334"/>
      <c r="BB154" s="141">
        <f t="shared" si="39"/>
        <v>635017.79712</v>
      </c>
      <c r="BC154" s="142">
        <f t="shared" si="40"/>
        <v>1082699.39968</v>
      </c>
      <c r="BE154" s="124" t="b">
        <f t="shared" si="36"/>
        <v>1</v>
      </c>
    </row>
    <row r="155" spans="2:59" s="159" customFormat="1" x14ac:dyDescent="0.25">
      <c r="B155" s="154"/>
      <c r="C155" s="156">
        <v>6</v>
      </c>
      <c r="D155" s="156" t="s">
        <v>1143</v>
      </c>
      <c r="E155" s="156"/>
      <c r="F155" s="156"/>
      <c r="G155" s="363">
        <v>45112</v>
      </c>
      <c r="H155" s="363">
        <v>46965</v>
      </c>
      <c r="I155" s="156" t="s">
        <v>773</v>
      </c>
      <c r="J155" s="132">
        <v>134432.07999999999</v>
      </c>
      <c r="K155" s="132"/>
      <c r="L155" s="132"/>
      <c r="M155" s="132"/>
      <c r="N155" s="133"/>
      <c r="O155" s="133"/>
      <c r="P155" s="133"/>
      <c r="Q155" s="133" t="s">
        <v>774</v>
      </c>
      <c r="R155" s="133"/>
      <c r="S155" s="133"/>
      <c r="T155" s="134">
        <v>27121</v>
      </c>
      <c r="U155" s="134"/>
      <c r="V155" s="134">
        <v>24300</v>
      </c>
      <c r="W155" s="134">
        <v>24300</v>
      </c>
      <c r="X155" s="134">
        <v>24300</v>
      </c>
      <c r="Y155" s="134">
        <v>24300</v>
      </c>
      <c r="Z155" s="134">
        <v>10125</v>
      </c>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6">
        <f t="shared" si="38"/>
        <v>107325</v>
      </c>
      <c r="BA155" s="176"/>
      <c r="BB155" s="135">
        <f t="shared" si="39"/>
        <v>0</v>
      </c>
      <c r="BC155" s="136">
        <f t="shared" si="40"/>
        <v>107325</v>
      </c>
      <c r="BE155" s="159" t="b">
        <f t="shared" si="36"/>
        <v>1</v>
      </c>
    </row>
    <row r="156" spans="2:59" x14ac:dyDescent="0.25">
      <c r="B156" s="161"/>
      <c r="C156" s="137"/>
      <c r="D156" s="137"/>
      <c r="E156" s="137"/>
      <c r="F156" s="137"/>
      <c r="G156" s="137"/>
      <c r="H156" s="137"/>
      <c r="I156" s="137"/>
      <c r="J156" s="138"/>
      <c r="K156" s="138"/>
      <c r="L156" s="138"/>
      <c r="M156" s="138"/>
      <c r="N156" s="139">
        <f t="shared" si="37"/>
        <v>3.008</v>
      </c>
      <c r="O156" s="139">
        <v>2.758</v>
      </c>
      <c r="P156" s="139">
        <v>0.25</v>
      </c>
      <c r="Q156" s="139" t="s">
        <v>777</v>
      </c>
      <c r="R156" s="139"/>
      <c r="S156" s="139"/>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2">
        <f t="shared" si="38"/>
        <v>0</v>
      </c>
      <c r="BA156" s="147"/>
      <c r="BB156" s="141">
        <f t="shared" si="39"/>
        <v>0</v>
      </c>
      <c r="BC156" s="142">
        <f t="shared" si="40"/>
        <v>0</v>
      </c>
      <c r="BE156" s="124" t="b">
        <f t="shared" si="36"/>
        <v>1</v>
      </c>
    </row>
    <row r="157" spans="2:59" s="159" customFormat="1" x14ac:dyDescent="0.25">
      <c r="B157" s="154"/>
      <c r="C157" s="156">
        <v>7</v>
      </c>
      <c r="D157" s="130" t="s">
        <v>1138</v>
      </c>
      <c r="E157" s="156"/>
      <c r="F157" s="156"/>
      <c r="G157" s="157" t="s">
        <v>1127</v>
      </c>
      <c r="H157" s="157">
        <v>49572</v>
      </c>
      <c r="I157" s="130" t="s">
        <v>773</v>
      </c>
      <c r="J157" s="131">
        <v>801681</v>
      </c>
      <c r="K157" s="132"/>
      <c r="L157" s="132"/>
      <c r="M157" s="132"/>
      <c r="N157" s="133"/>
      <c r="O157" s="133"/>
      <c r="P157" s="133"/>
      <c r="Q157" s="133" t="s">
        <v>774</v>
      </c>
      <c r="R157" s="133"/>
      <c r="S157" s="133"/>
      <c r="T157" s="134"/>
      <c r="U157" s="134"/>
      <c r="V157" s="134"/>
      <c r="W157" s="134"/>
      <c r="X157" s="134"/>
      <c r="Y157" s="134">
        <f t="shared" ref="Y157:AH157" si="41">$J$157/40*4</f>
        <v>80168.100000000006</v>
      </c>
      <c r="Z157" s="134">
        <f t="shared" si="41"/>
        <v>80168.100000000006</v>
      </c>
      <c r="AA157" s="134">
        <f t="shared" si="41"/>
        <v>80168.100000000006</v>
      </c>
      <c r="AB157" s="134">
        <f t="shared" si="41"/>
        <v>80168.100000000006</v>
      </c>
      <c r="AC157" s="134">
        <f t="shared" si="41"/>
        <v>80168.100000000006</v>
      </c>
      <c r="AD157" s="134">
        <f t="shared" si="41"/>
        <v>80168.100000000006</v>
      </c>
      <c r="AE157" s="134">
        <f t="shared" si="41"/>
        <v>80168.100000000006</v>
      </c>
      <c r="AF157" s="134">
        <f t="shared" si="41"/>
        <v>80168.100000000006</v>
      </c>
      <c r="AG157" s="134">
        <f t="shared" si="41"/>
        <v>80168.100000000006</v>
      </c>
      <c r="AH157" s="134">
        <f t="shared" si="41"/>
        <v>80168.100000000006</v>
      </c>
      <c r="AI157" s="134"/>
      <c r="AJ157" s="134"/>
      <c r="AK157" s="134"/>
      <c r="AL157" s="134"/>
      <c r="AM157" s="134"/>
      <c r="AN157" s="134"/>
      <c r="AO157" s="134"/>
      <c r="AP157" s="134"/>
      <c r="AQ157" s="134"/>
      <c r="AR157" s="134"/>
      <c r="AS157" s="134"/>
      <c r="AT157" s="134"/>
      <c r="AU157" s="134"/>
      <c r="AV157" s="134"/>
      <c r="AW157" s="134"/>
      <c r="AX157" s="134"/>
      <c r="AY157" s="134"/>
      <c r="AZ157" s="136">
        <f t="shared" si="38"/>
        <v>801680.99999999988</v>
      </c>
      <c r="BA157" s="176"/>
      <c r="BB157" s="135">
        <f t="shared" si="39"/>
        <v>481008.6</v>
      </c>
      <c r="BC157" s="136">
        <f t="shared" si="40"/>
        <v>801681</v>
      </c>
      <c r="BE157" s="159" t="b">
        <f t="shared" si="36"/>
        <v>1</v>
      </c>
    </row>
    <row r="158" spans="2:59" x14ac:dyDescent="0.25">
      <c r="B158" s="161"/>
      <c r="C158" s="137"/>
      <c r="D158" s="137" t="s">
        <v>1144</v>
      </c>
      <c r="E158" s="137"/>
      <c r="F158" s="137"/>
      <c r="G158" s="137"/>
      <c r="H158" s="137"/>
      <c r="I158" s="137"/>
      <c r="J158" s="138"/>
      <c r="K158" s="138"/>
      <c r="L158" s="138"/>
      <c r="M158" s="138"/>
      <c r="N158" s="139">
        <f t="shared" ref="N158" si="42">SUM(O158:P158)</f>
        <v>4.915</v>
      </c>
      <c r="O158" s="139">
        <v>4.665</v>
      </c>
      <c r="P158" s="139">
        <v>0.25</v>
      </c>
      <c r="Q158" s="139" t="s">
        <v>777</v>
      </c>
      <c r="R158" s="139"/>
      <c r="S158" s="139"/>
      <c r="T158" s="140"/>
      <c r="U158" s="140"/>
      <c r="V158" s="140">
        <f>SUM(V157:$AY157)*$N158/100</f>
        <v>39402.621149999992</v>
      </c>
      <c r="W158" s="140">
        <f>SUM(W157:$AY157)*$N158/100</f>
        <v>39402.621149999992</v>
      </c>
      <c r="X158" s="140">
        <f>SUM(X157:$AY157)*$N158/100</f>
        <v>39402.621149999992</v>
      </c>
      <c r="Y158" s="140">
        <f>SUM(Y157:$AY157)*$N158/100</f>
        <v>39402.621149999992</v>
      </c>
      <c r="Z158" s="140">
        <f>SUM(Z157:$AY157)*$N158/100</f>
        <v>35462.359034999994</v>
      </c>
      <c r="AA158" s="140">
        <f>SUM(AA157:$AY157)*$N158/100</f>
        <v>31522.096919999996</v>
      </c>
      <c r="AB158" s="140">
        <f>SUM(AB157:$AY157)*$N158/100</f>
        <v>27581.834804999995</v>
      </c>
      <c r="AC158" s="140">
        <f>SUM(AC157:$AY157)*$N158/100</f>
        <v>23641.572689999997</v>
      </c>
      <c r="AD158" s="140">
        <f>SUM(AD157:$AY157)*$N158/100</f>
        <v>19701.310575</v>
      </c>
      <c r="AE158" s="140">
        <f>SUM(AE157:$AY157)*$N158/100</f>
        <v>15761.048460000002</v>
      </c>
      <c r="AF158" s="140">
        <f>SUM(AF157:$AY157)*$N158/100</f>
        <v>11820.786345000002</v>
      </c>
      <c r="AG158" s="140">
        <f>SUM(AG157:$AY157)*$N158/100</f>
        <v>7880.5242300000009</v>
      </c>
      <c r="AH158" s="140">
        <f>SUM(AH157:$AY157)*$N158/100</f>
        <v>3940.2621150000004</v>
      </c>
      <c r="AI158" s="140">
        <f>SUM(AI157:$AY157)*$N158/100</f>
        <v>0</v>
      </c>
      <c r="AJ158" s="140">
        <f>SUM(AJ157:$AY157)*$N158/100</f>
        <v>0</v>
      </c>
      <c r="AK158" s="140">
        <f>SUM(AK157:$AY157)*$N158/100</f>
        <v>0</v>
      </c>
      <c r="AL158" s="140">
        <f>SUM(AL157:$AY157)*$N158/100</f>
        <v>0</v>
      </c>
      <c r="AM158" s="140">
        <f>SUM(AM157:$AY157)*$N158/100</f>
        <v>0</v>
      </c>
      <c r="AN158" s="140">
        <f>SUM(AN157:$AY157)*$N158/100</f>
        <v>0</v>
      </c>
      <c r="AO158" s="140">
        <f>SUM(AO157:$AY157)*$N158/100</f>
        <v>0</v>
      </c>
      <c r="AP158" s="140">
        <f>SUM(AP157:$AY157)*$N158/100</f>
        <v>0</v>
      </c>
      <c r="AQ158" s="140">
        <f>SUM(AQ157:$AY157)*$N158/100</f>
        <v>0</v>
      </c>
      <c r="AR158" s="140">
        <f>SUM(AR157:$AY157)*$N158/100</f>
        <v>0</v>
      </c>
      <c r="AS158" s="140">
        <f>SUM(AS157:$AY157)*$N158/100</f>
        <v>0</v>
      </c>
      <c r="AT158" s="140">
        <f>SUM(AT157:$AY157)*$N158/100</f>
        <v>0</v>
      </c>
      <c r="AU158" s="140">
        <f>SUM(AU157:$AY157)*$N158/100</f>
        <v>0</v>
      </c>
      <c r="AV158" s="140">
        <f>SUM(AV157:$AY157)*$N158/100</f>
        <v>0</v>
      </c>
      <c r="AW158" s="140">
        <f>SUM(AW157:$AY157)*$N158/100</f>
        <v>0</v>
      </c>
      <c r="AX158" s="140">
        <f>SUM(AX157:$AY157)*$N158/100</f>
        <v>0</v>
      </c>
      <c r="AY158" s="140">
        <f>SUM(AY157:$AY157)*$N158/100</f>
        <v>0</v>
      </c>
      <c r="AZ158" s="142">
        <f t="shared" si="38"/>
        <v>334922.279775</v>
      </c>
      <c r="BA158" s="334"/>
      <c r="BB158" s="141">
        <f t="shared" si="39"/>
        <v>82745.504415000003</v>
      </c>
      <c r="BC158" s="142">
        <f t="shared" si="40"/>
        <v>334922.27977499994</v>
      </c>
      <c r="BE158" s="124" t="b">
        <f t="shared" si="36"/>
        <v>1</v>
      </c>
    </row>
    <row r="159" spans="2:59" s="159" customFormat="1" x14ac:dyDescent="0.25">
      <c r="C159" s="176"/>
      <c r="D159" s="176"/>
      <c r="E159" s="176"/>
      <c r="F159" s="176"/>
      <c r="G159" s="176"/>
      <c r="H159" s="176"/>
      <c r="I159" s="176"/>
      <c r="J159" s="176"/>
      <c r="K159" s="176"/>
      <c r="L159" s="176"/>
      <c r="M159" s="176"/>
      <c r="N159" s="176"/>
      <c r="O159" s="176"/>
      <c r="P159" s="176"/>
      <c r="Q159" s="177" t="s">
        <v>1145</v>
      </c>
      <c r="R159" s="177"/>
      <c r="S159" s="176"/>
      <c r="T159" s="178">
        <f>SUM(T145:T158)</f>
        <v>114624.70473999999</v>
      </c>
      <c r="U159" s="178"/>
      <c r="V159" s="178">
        <f t="shared" ref="V159:AY159" si="43">SUM(V145:V158)</f>
        <v>173382.55740999998</v>
      </c>
      <c r="W159" s="178">
        <f>SUM(W145:W158)</f>
        <v>228691.42316999999</v>
      </c>
      <c r="X159" s="178">
        <f t="shared" si="43"/>
        <v>222783.28972999999</v>
      </c>
      <c r="Y159" s="178">
        <f t="shared" si="43"/>
        <v>300228.33844999998</v>
      </c>
      <c r="Z159" s="178">
        <f t="shared" si="43"/>
        <v>279390.02505499998</v>
      </c>
      <c r="AA159" s="178">
        <f t="shared" si="43"/>
        <v>262601.71165999997</v>
      </c>
      <c r="AB159" s="178">
        <f t="shared" si="43"/>
        <v>255938.398265</v>
      </c>
      <c r="AC159" s="178">
        <f t="shared" si="43"/>
        <v>249275.08486999999</v>
      </c>
      <c r="AD159" s="178">
        <f t="shared" si="43"/>
        <v>235909.77147500002</v>
      </c>
      <c r="AE159" s="178">
        <f t="shared" si="43"/>
        <v>227214.12125999999</v>
      </c>
      <c r="AF159" s="178">
        <f t="shared" si="43"/>
        <v>220819.69210499999</v>
      </c>
      <c r="AG159" s="178">
        <f t="shared" si="43"/>
        <v>214425.26295000003</v>
      </c>
      <c r="AH159" s="178">
        <f t="shared" si="43"/>
        <v>208030.83379499998</v>
      </c>
      <c r="AI159" s="178">
        <f t="shared" si="43"/>
        <v>121468.30464</v>
      </c>
      <c r="AJ159" s="178">
        <f t="shared" si="43"/>
        <v>119014.13759999999</v>
      </c>
      <c r="AK159" s="178">
        <f t="shared" si="43"/>
        <v>116559.97056</v>
      </c>
      <c r="AL159" s="178">
        <f t="shared" si="43"/>
        <v>114105.80352</v>
      </c>
      <c r="AM159" s="178">
        <f t="shared" si="43"/>
        <v>111651.63648</v>
      </c>
      <c r="AN159" s="178">
        <f t="shared" si="43"/>
        <v>109197.46944</v>
      </c>
      <c r="AO159" s="178">
        <f t="shared" si="43"/>
        <v>106743.3024</v>
      </c>
      <c r="AP159" s="178">
        <f t="shared" si="43"/>
        <v>104289.13536</v>
      </c>
      <c r="AQ159" s="178">
        <f t="shared" si="43"/>
        <v>101834.96832</v>
      </c>
      <c r="AR159" s="178">
        <f t="shared" si="43"/>
        <v>99380.80128</v>
      </c>
      <c r="AS159" s="178">
        <f t="shared" si="43"/>
        <v>96926.634239999999</v>
      </c>
      <c r="AT159" s="178">
        <f t="shared" si="43"/>
        <v>94472.467199999999</v>
      </c>
      <c r="AU159" s="178">
        <f t="shared" si="43"/>
        <v>92018.300159999999</v>
      </c>
      <c r="AV159" s="178">
        <f t="shared" si="43"/>
        <v>89564.133119999999</v>
      </c>
      <c r="AW159" s="178">
        <f t="shared" si="43"/>
        <v>87109.966079999998</v>
      </c>
      <c r="AX159" s="178">
        <f t="shared" si="43"/>
        <v>84655.799039999998</v>
      </c>
      <c r="AY159" s="178">
        <f t="shared" si="43"/>
        <v>21013.632000000001</v>
      </c>
      <c r="AZ159" s="179">
        <f t="shared" si="38"/>
        <v>4748696.9716349989</v>
      </c>
      <c r="BA159" s="176"/>
      <c r="BB159" s="180">
        <f>SUM(BB145:BB158)</f>
        <v>3025681.227895</v>
      </c>
      <c r="BC159" s="180">
        <f>SUM(BC145:BC158)</f>
        <v>4748696.9716349998</v>
      </c>
      <c r="BE159" s="159" t="b">
        <f t="shared" si="36"/>
        <v>1</v>
      </c>
      <c r="BG159" s="160">
        <f>SUM(V145:AY158)</f>
        <v>4748696.9716349998</v>
      </c>
    </row>
    <row r="160" spans="2:59" x14ac:dyDescent="0.25">
      <c r="BG160" s="175">
        <f>BG159-BC159</f>
        <v>0</v>
      </c>
    </row>
    <row r="162" spans="6:55" ht="30" x14ac:dyDescent="0.25">
      <c r="R162" s="128"/>
      <c r="S162" s="128"/>
      <c r="T162" s="128">
        <v>2023</v>
      </c>
      <c r="U162" s="128"/>
      <c r="V162" s="331">
        <v>2024</v>
      </c>
      <c r="W162" s="331">
        <v>2025</v>
      </c>
      <c r="X162" s="331">
        <v>2026</v>
      </c>
      <c r="Y162" s="331">
        <v>2027</v>
      </c>
      <c r="Z162" s="331">
        <v>2028</v>
      </c>
      <c r="AA162" s="331">
        <v>2029</v>
      </c>
      <c r="AB162" s="331">
        <v>2030</v>
      </c>
      <c r="AC162" s="331">
        <v>2031</v>
      </c>
      <c r="AD162" s="331">
        <v>2032</v>
      </c>
      <c r="AE162" s="331">
        <v>2033</v>
      </c>
      <c r="AF162" s="331">
        <v>2034</v>
      </c>
      <c r="AG162" s="331">
        <v>2035</v>
      </c>
      <c r="AH162" s="331">
        <v>2036</v>
      </c>
      <c r="AI162" s="331">
        <v>2037</v>
      </c>
      <c r="AJ162" s="331">
        <v>2038</v>
      </c>
      <c r="AK162" s="331">
        <v>2039</v>
      </c>
      <c r="AL162" s="331">
        <v>2040</v>
      </c>
      <c r="AM162" s="331">
        <v>2041</v>
      </c>
      <c r="AN162" s="331">
        <v>2042</v>
      </c>
      <c r="AO162" s="331">
        <v>2043</v>
      </c>
      <c r="AP162" s="331">
        <v>2044</v>
      </c>
      <c r="AQ162" s="331">
        <v>2045</v>
      </c>
      <c r="AR162" s="331">
        <v>2046</v>
      </c>
      <c r="AS162" s="331">
        <v>2047</v>
      </c>
      <c r="AT162" s="331">
        <v>2048</v>
      </c>
      <c r="AU162" s="331">
        <v>2049</v>
      </c>
      <c r="AV162" s="331">
        <v>2050</v>
      </c>
      <c r="AW162" s="331">
        <v>2051</v>
      </c>
      <c r="AX162" s="331">
        <v>2052</v>
      </c>
      <c r="AY162" s="331">
        <v>2053</v>
      </c>
      <c r="AZ162" s="128" t="s">
        <v>764</v>
      </c>
      <c r="BB162" s="331" t="s">
        <v>765</v>
      </c>
      <c r="BC162" s="128" t="s">
        <v>766</v>
      </c>
    </row>
    <row r="163" spans="6:55" x14ac:dyDescent="0.25">
      <c r="Q163" s="181" t="s">
        <v>1146</v>
      </c>
      <c r="R163" s="182"/>
      <c r="S163" s="182"/>
      <c r="T163" s="182">
        <f t="shared" ref="T163:AY164" si="44">T138</f>
        <v>3657130.37</v>
      </c>
      <c r="U163" s="182"/>
      <c r="V163" s="182">
        <f t="shared" si="44"/>
        <v>3657198.1799999997</v>
      </c>
      <c r="W163" s="182">
        <f t="shared" si="44"/>
        <v>3470406.2268750002</v>
      </c>
      <c r="X163" s="182">
        <f t="shared" si="44"/>
        <v>3501375.9424999999</v>
      </c>
      <c r="Y163" s="182">
        <f t="shared" si="44"/>
        <v>3553544.7313888883</v>
      </c>
      <c r="Z163" s="182">
        <f t="shared" si="44"/>
        <v>3672824.986944444</v>
      </c>
      <c r="AA163" s="182">
        <f t="shared" si="44"/>
        <v>3591914.2500694441</v>
      </c>
      <c r="AB163" s="182">
        <f t="shared" si="44"/>
        <v>3555140.0044444441</v>
      </c>
      <c r="AC163" s="182">
        <f t="shared" si="44"/>
        <v>3468820.864444444</v>
      </c>
      <c r="AD163" s="182">
        <f t="shared" si="44"/>
        <v>2810193.7544444441</v>
      </c>
      <c r="AE163" s="182">
        <f t="shared" si="44"/>
        <v>2606474.0244444441</v>
      </c>
      <c r="AF163" s="182">
        <f t="shared" si="44"/>
        <v>2249393.8044444444</v>
      </c>
      <c r="AG163" s="182">
        <f t="shared" si="44"/>
        <v>2111387.8044444444</v>
      </c>
      <c r="AH163" s="182">
        <f t="shared" si="44"/>
        <v>1943128.7544444446</v>
      </c>
      <c r="AI163" s="182">
        <f t="shared" si="44"/>
        <v>1832316.0444444446</v>
      </c>
      <c r="AJ163" s="182">
        <f t="shared" si="44"/>
        <v>1697912.0444444446</v>
      </c>
      <c r="AK163" s="182">
        <f t="shared" si="44"/>
        <v>1625784.0444444446</v>
      </c>
      <c r="AL163" s="182">
        <f t="shared" si="44"/>
        <v>1584734.0844444446</v>
      </c>
      <c r="AM163" s="182">
        <f t="shared" si="44"/>
        <v>1559973.1144444444</v>
      </c>
      <c r="AN163" s="182">
        <f t="shared" si="44"/>
        <v>1500459.111111111</v>
      </c>
      <c r="AO163" s="182">
        <f t="shared" si="44"/>
        <v>1500459.111111111</v>
      </c>
      <c r="AP163" s="182">
        <f t="shared" si="44"/>
        <v>1658514.6666666667</v>
      </c>
      <c r="AQ163" s="182">
        <f t="shared" si="44"/>
        <v>1184348</v>
      </c>
      <c r="AR163" s="182">
        <f t="shared" si="44"/>
        <v>1184348</v>
      </c>
      <c r="AS163" s="182">
        <f t="shared" si="44"/>
        <v>1184348</v>
      </c>
      <c r="AT163" s="182">
        <f t="shared" si="44"/>
        <v>867315.83000000007</v>
      </c>
      <c r="AU163" s="182">
        <f t="shared" si="44"/>
        <v>452632</v>
      </c>
      <c r="AV163" s="182">
        <f t="shared" si="44"/>
        <v>409981</v>
      </c>
      <c r="AW163" s="182">
        <f t="shared" si="44"/>
        <v>55587.92</v>
      </c>
      <c r="AX163" s="182">
        <f t="shared" si="44"/>
        <v>0</v>
      </c>
      <c r="AY163" s="182">
        <f t="shared" si="44"/>
        <v>0</v>
      </c>
      <c r="AZ163" s="183">
        <f t="shared" ref="AZ163:AZ166" si="45">SUM(V163:AY163)</f>
        <v>58490516.299999982</v>
      </c>
      <c r="BB163" s="151">
        <f t="shared" ref="BB163:BB165" si="46">SUM(AC163:AY163)</f>
        <v>33488111.977777787</v>
      </c>
      <c r="BC163" s="136">
        <f t="shared" ref="BC163:BC165" si="47">SUM(V163:AB163,BB163)</f>
        <v>58490516.300000004</v>
      </c>
    </row>
    <row r="164" spans="6:55" x14ac:dyDescent="0.25">
      <c r="Q164" s="181" t="s">
        <v>1147</v>
      </c>
      <c r="R164" s="182"/>
      <c r="S164" s="182"/>
      <c r="T164" s="182">
        <f t="shared" si="44"/>
        <v>2131977.2700000009</v>
      </c>
      <c r="U164" s="182"/>
      <c r="V164" s="182">
        <f t="shared" si="44"/>
        <v>2178615.0823342255</v>
      </c>
      <c r="W164" s="182">
        <f t="shared" si="44"/>
        <v>2241215.281467</v>
      </c>
      <c r="X164" s="182">
        <f t="shared" si="44"/>
        <v>2309396.5809391686</v>
      </c>
      <c r="Y164" s="182">
        <f t="shared" si="44"/>
        <v>2157928.8765873937</v>
      </c>
      <c r="Z164" s="182">
        <f t="shared" si="44"/>
        <v>2001374.7068122185</v>
      </c>
      <c r="AA164" s="182">
        <f t="shared" si="44"/>
        <v>1838623.1889164443</v>
      </c>
      <c r="AB164" s="182">
        <f t="shared" si="44"/>
        <v>1679261.8073895001</v>
      </c>
      <c r="AC164" s="182">
        <f t="shared" si="44"/>
        <v>1521400.6104854997</v>
      </c>
      <c r="AD164" s="182">
        <f t="shared" si="44"/>
        <v>1367592.2846271002</v>
      </c>
      <c r="AE164" s="182">
        <f t="shared" si="44"/>
        <v>1241038.8427090994</v>
      </c>
      <c r="AF164" s="182">
        <f t="shared" si="44"/>
        <v>1124042.1449494001</v>
      </c>
      <c r="AG164" s="182">
        <f t="shared" si="44"/>
        <v>1022033.0116166001</v>
      </c>
      <c r="AH164" s="182">
        <f t="shared" si="44"/>
        <v>926221.77864379983</v>
      </c>
      <c r="AI164" s="182">
        <f t="shared" si="44"/>
        <v>837831.63125500013</v>
      </c>
      <c r="AJ164" s="182">
        <f t="shared" si="44"/>
        <v>753822.72227100015</v>
      </c>
      <c r="AK164" s="182">
        <f t="shared" si="44"/>
        <v>675771.50826699985</v>
      </c>
      <c r="AL164" s="182">
        <f t="shared" si="44"/>
        <v>600907.595203</v>
      </c>
      <c r="AM164" s="182">
        <f t="shared" si="44"/>
        <v>527827.85213899997</v>
      </c>
      <c r="AN164" s="182">
        <f t="shared" si="44"/>
        <v>455910.62948799995</v>
      </c>
      <c r="AO164" s="182">
        <f t="shared" si="44"/>
        <v>386898.32936799998</v>
      </c>
      <c r="AP164" s="182">
        <f t="shared" si="44"/>
        <v>317886.02924799989</v>
      </c>
      <c r="AQ164" s="182">
        <f t="shared" si="44"/>
        <v>240808.15412799999</v>
      </c>
      <c r="AR164" s="182">
        <f t="shared" si="44"/>
        <v>187927.00400799996</v>
      </c>
      <c r="AS164" s="182">
        <f t="shared" si="44"/>
        <v>135045.85388799998</v>
      </c>
      <c r="AT164" s="182">
        <f t="shared" si="44"/>
        <v>82164.703767999992</v>
      </c>
      <c r="AU164" s="182">
        <f t="shared" si="44"/>
        <v>43306.896070000003</v>
      </c>
      <c r="AV164" s="182">
        <f t="shared" si="44"/>
        <v>22024.558349999996</v>
      </c>
      <c r="AW164" s="182">
        <f t="shared" si="44"/>
        <v>2596.5674300000001</v>
      </c>
      <c r="AX164" s="182">
        <f t="shared" si="44"/>
        <v>0</v>
      </c>
      <c r="AY164" s="182">
        <f t="shared" si="44"/>
        <v>0</v>
      </c>
      <c r="AZ164" s="183">
        <f t="shared" si="45"/>
        <v>26879474.232358441</v>
      </c>
      <c r="BB164" s="151">
        <f t="shared" si="46"/>
        <v>12473058.707912501</v>
      </c>
      <c r="BC164" s="183">
        <f t="shared" si="47"/>
        <v>26879474.232358448</v>
      </c>
    </row>
    <row r="165" spans="6:55" x14ac:dyDescent="0.25">
      <c r="Q165" s="181" t="s">
        <v>1148</v>
      </c>
      <c r="R165" s="182"/>
      <c r="S165" s="182"/>
      <c r="T165" s="182">
        <f t="shared" ref="T165:AY165" si="48">T159</f>
        <v>114624.70473999999</v>
      </c>
      <c r="U165" s="182"/>
      <c r="V165" s="182">
        <f t="shared" si="48"/>
        <v>173382.55740999998</v>
      </c>
      <c r="W165" s="182">
        <f t="shared" si="48"/>
        <v>228691.42316999999</v>
      </c>
      <c r="X165" s="182">
        <f t="shared" si="48"/>
        <v>222783.28972999999</v>
      </c>
      <c r="Y165" s="182">
        <f t="shared" si="48"/>
        <v>300228.33844999998</v>
      </c>
      <c r="Z165" s="182">
        <f t="shared" si="48"/>
        <v>279390.02505499998</v>
      </c>
      <c r="AA165" s="182">
        <f t="shared" si="48"/>
        <v>262601.71165999997</v>
      </c>
      <c r="AB165" s="182">
        <f t="shared" si="48"/>
        <v>255938.398265</v>
      </c>
      <c r="AC165" s="182">
        <f t="shared" si="48"/>
        <v>249275.08486999999</v>
      </c>
      <c r="AD165" s="182">
        <f t="shared" si="48"/>
        <v>235909.77147500002</v>
      </c>
      <c r="AE165" s="182">
        <f t="shared" si="48"/>
        <v>227214.12125999999</v>
      </c>
      <c r="AF165" s="182">
        <f t="shared" si="48"/>
        <v>220819.69210499999</v>
      </c>
      <c r="AG165" s="182">
        <f t="shared" si="48"/>
        <v>214425.26295000003</v>
      </c>
      <c r="AH165" s="182">
        <f t="shared" si="48"/>
        <v>208030.83379499998</v>
      </c>
      <c r="AI165" s="182">
        <f t="shared" si="48"/>
        <v>121468.30464</v>
      </c>
      <c r="AJ165" s="182">
        <f t="shared" si="48"/>
        <v>119014.13759999999</v>
      </c>
      <c r="AK165" s="182">
        <f t="shared" si="48"/>
        <v>116559.97056</v>
      </c>
      <c r="AL165" s="182">
        <f t="shared" si="48"/>
        <v>114105.80352</v>
      </c>
      <c r="AM165" s="182">
        <f t="shared" si="48"/>
        <v>111651.63648</v>
      </c>
      <c r="AN165" s="182">
        <f t="shared" si="48"/>
        <v>109197.46944</v>
      </c>
      <c r="AO165" s="182">
        <f t="shared" si="48"/>
        <v>106743.3024</v>
      </c>
      <c r="AP165" s="182">
        <f t="shared" si="48"/>
        <v>104289.13536</v>
      </c>
      <c r="AQ165" s="182">
        <f t="shared" si="48"/>
        <v>101834.96832</v>
      </c>
      <c r="AR165" s="182">
        <f t="shared" si="48"/>
        <v>99380.80128</v>
      </c>
      <c r="AS165" s="182">
        <f t="shared" si="48"/>
        <v>96926.634239999999</v>
      </c>
      <c r="AT165" s="182">
        <f t="shared" si="48"/>
        <v>94472.467199999999</v>
      </c>
      <c r="AU165" s="182">
        <f t="shared" si="48"/>
        <v>92018.300159999999</v>
      </c>
      <c r="AV165" s="182">
        <f t="shared" si="48"/>
        <v>89564.133119999999</v>
      </c>
      <c r="AW165" s="182">
        <f t="shared" si="48"/>
        <v>87109.966079999998</v>
      </c>
      <c r="AX165" s="182">
        <f t="shared" si="48"/>
        <v>84655.799039999998</v>
      </c>
      <c r="AY165" s="182">
        <f t="shared" si="48"/>
        <v>21013.632000000001</v>
      </c>
      <c r="AZ165" s="183">
        <f t="shared" si="45"/>
        <v>4748696.9716349989</v>
      </c>
      <c r="BB165" s="140">
        <f t="shared" si="46"/>
        <v>3025681.227895</v>
      </c>
      <c r="BC165" s="183">
        <f t="shared" si="47"/>
        <v>4748696.9716349998</v>
      </c>
    </row>
    <row r="166" spans="6:55" s="159" customFormat="1" x14ac:dyDescent="0.25">
      <c r="Q166" s="184" t="s">
        <v>1149</v>
      </c>
      <c r="R166" s="185"/>
      <c r="S166" s="185"/>
      <c r="T166" s="185">
        <f>SUM(T163:T165)</f>
        <v>5903732.3447400006</v>
      </c>
      <c r="U166" s="185"/>
      <c r="V166" s="185">
        <f>SUM(V163:V165)</f>
        <v>6009195.8197442256</v>
      </c>
      <c r="W166" s="185">
        <f t="shared" ref="W166:AY166" si="49">SUM(W163:W165)</f>
        <v>5940312.931512</v>
      </c>
      <c r="X166" s="185">
        <f t="shared" si="49"/>
        <v>6033555.8131691692</v>
      </c>
      <c r="Y166" s="185">
        <f t="shared" si="49"/>
        <v>6011701.9464262817</v>
      </c>
      <c r="Z166" s="185">
        <f t="shared" si="49"/>
        <v>5953589.7188116619</v>
      </c>
      <c r="AA166" s="185">
        <f t="shared" si="49"/>
        <v>5693139.1506458875</v>
      </c>
      <c r="AB166" s="185">
        <f t="shared" si="49"/>
        <v>5490340.2100989446</v>
      </c>
      <c r="AC166" s="185">
        <f t="shared" si="49"/>
        <v>5239496.5597999441</v>
      </c>
      <c r="AD166" s="185">
        <f t="shared" si="49"/>
        <v>4413695.8105465444</v>
      </c>
      <c r="AE166" s="185">
        <f t="shared" si="49"/>
        <v>4074726.9884135434</v>
      </c>
      <c r="AF166" s="185">
        <f t="shared" si="49"/>
        <v>3594255.6414988441</v>
      </c>
      <c r="AG166" s="185">
        <f t="shared" si="49"/>
        <v>3347846.0790110445</v>
      </c>
      <c r="AH166" s="185">
        <f t="shared" si="49"/>
        <v>3077381.3668832444</v>
      </c>
      <c r="AI166" s="185">
        <f t="shared" si="49"/>
        <v>2791615.9803394447</v>
      </c>
      <c r="AJ166" s="185">
        <f t="shared" si="49"/>
        <v>2570748.9043154446</v>
      </c>
      <c r="AK166" s="185">
        <f t="shared" si="49"/>
        <v>2418115.5232714443</v>
      </c>
      <c r="AL166" s="185">
        <f t="shared" si="49"/>
        <v>2299747.4831674448</v>
      </c>
      <c r="AM166" s="185">
        <f t="shared" si="49"/>
        <v>2199452.6030634441</v>
      </c>
      <c r="AN166" s="185">
        <f t="shared" si="49"/>
        <v>2065567.2100391109</v>
      </c>
      <c r="AO166" s="185">
        <f t="shared" si="49"/>
        <v>1994100.7428791109</v>
      </c>
      <c r="AP166" s="185">
        <f t="shared" si="49"/>
        <v>2080689.8312746666</v>
      </c>
      <c r="AQ166" s="185">
        <f t="shared" si="49"/>
        <v>1526991.1224479999</v>
      </c>
      <c r="AR166" s="185">
        <f t="shared" si="49"/>
        <v>1471655.805288</v>
      </c>
      <c r="AS166" s="185">
        <f t="shared" si="49"/>
        <v>1416320.4881279999</v>
      </c>
      <c r="AT166" s="185">
        <f t="shared" si="49"/>
        <v>1043953.000968</v>
      </c>
      <c r="AU166" s="185">
        <f t="shared" si="49"/>
        <v>587957.19623</v>
      </c>
      <c r="AV166" s="185">
        <f t="shared" si="49"/>
        <v>521569.69147000002</v>
      </c>
      <c r="AW166" s="185">
        <f t="shared" si="49"/>
        <v>145294.45350999999</v>
      </c>
      <c r="AX166" s="185">
        <f t="shared" si="49"/>
        <v>84655.799039999998</v>
      </c>
      <c r="AY166" s="185">
        <f t="shared" si="49"/>
        <v>21013.632000000001</v>
      </c>
      <c r="AZ166" s="185">
        <f t="shared" si="45"/>
        <v>90118687.503993437</v>
      </c>
      <c r="BB166" s="185">
        <f t="shared" ref="BB166:BC166" si="50">SUM(BB163:BB165)</f>
        <v>48986851.913585283</v>
      </c>
      <c r="BC166" s="185">
        <f t="shared" si="50"/>
        <v>90118687.503993452</v>
      </c>
    </row>
    <row r="168" spans="6:55" s="159" customFormat="1" x14ac:dyDescent="0.25">
      <c r="Q168" s="184" t="s">
        <v>1150</v>
      </c>
      <c r="R168" s="186"/>
      <c r="S168" s="186"/>
      <c r="T168" s="186">
        <f t="shared" ref="T168:AY168" si="51">T166/$Q$169</f>
        <v>0.16719597025679936</v>
      </c>
      <c r="U168" s="186"/>
      <c r="V168" s="186">
        <f t="shared" si="51"/>
        <v>0.17018273642442475</v>
      </c>
      <c r="W168" s="186">
        <f t="shared" si="51"/>
        <v>0.16823194654108276</v>
      </c>
      <c r="X168" s="186">
        <f t="shared" si="51"/>
        <v>0.17087262080574522</v>
      </c>
      <c r="Y168" s="186">
        <f t="shared" si="51"/>
        <v>0.17025371089578031</v>
      </c>
      <c r="Z168" s="186">
        <f t="shared" si="51"/>
        <v>0.16860795026293812</v>
      </c>
      <c r="AA168" s="186">
        <f t="shared" si="51"/>
        <v>0.16123189001738694</v>
      </c>
      <c r="AB168" s="186">
        <f t="shared" si="51"/>
        <v>0.15548854603567561</v>
      </c>
      <c r="AC168" s="186">
        <f t="shared" si="51"/>
        <v>0.14838455739840858</v>
      </c>
      <c r="AD168" s="186">
        <f t="shared" si="51"/>
        <v>0.12499756262158243</v>
      </c>
      <c r="AE168" s="186">
        <f t="shared" si="51"/>
        <v>0.11539783522983743</v>
      </c>
      <c r="AF168" s="186">
        <f t="shared" si="51"/>
        <v>0.10179070192211424</v>
      </c>
      <c r="AG168" s="186">
        <f t="shared" si="51"/>
        <v>9.4812288356768998E-2</v>
      </c>
      <c r="AH168" s="186">
        <f t="shared" si="51"/>
        <v>8.7152623703319179E-2</v>
      </c>
      <c r="AI168" s="186">
        <f t="shared" si="51"/>
        <v>7.90596380666026E-2</v>
      </c>
      <c r="AJ168" s="186">
        <f t="shared" si="51"/>
        <v>7.2804597540160637E-2</v>
      </c>
      <c r="AK168" s="186">
        <f t="shared" si="51"/>
        <v>6.8481961494513258E-2</v>
      </c>
      <c r="AL168" s="186">
        <f t="shared" si="51"/>
        <v>6.5129733080869709E-2</v>
      </c>
      <c r="AM168" s="186">
        <f t="shared" si="51"/>
        <v>6.2289343508378635E-2</v>
      </c>
      <c r="AN168" s="186">
        <f t="shared" si="51"/>
        <v>5.8497657692902834E-2</v>
      </c>
      <c r="AO168" s="186">
        <f t="shared" si="51"/>
        <v>5.647369986082261E-2</v>
      </c>
      <c r="AP168" s="186">
        <f t="shared" si="51"/>
        <v>5.8925936141629866E-2</v>
      </c>
      <c r="AQ168" s="186">
        <f t="shared" si="51"/>
        <v>4.3244975785306561E-2</v>
      </c>
      <c r="AR168" s="186">
        <f t="shared" si="51"/>
        <v>4.1677858324387633E-2</v>
      </c>
      <c r="AS168" s="186">
        <f t="shared" si="51"/>
        <v>4.0110740863468698E-2</v>
      </c>
      <c r="AT168" s="186">
        <f t="shared" si="51"/>
        <v>2.9565150434852427E-2</v>
      </c>
      <c r="AU168" s="186">
        <f t="shared" si="51"/>
        <v>1.6651173893533197E-2</v>
      </c>
      <c r="AV168" s="186">
        <f t="shared" si="51"/>
        <v>1.4771054229713153E-2</v>
      </c>
      <c r="AW168" s="186">
        <f t="shared" si="51"/>
        <v>4.1147947957328544E-3</v>
      </c>
      <c r="AX168" s="186">
        <f t="shared" si="51"/>
        <v>2.3974847828201751E-3</v>
      </c>
      <c r="AY168" s="186">
        <f t="shared" si="51"/>
        <v>5.9511413893782424E-4</v>
      </c>
      <c r="BB168" s="187"/>
      <c r="BC168" s="187"/>
    </row>
    <row r="169" spans="6:55" x14ac:dyDescent="0.25">
      <c r="J169" s="188" t="s">
        <v>1151</v>
      </c>
      <c r="Q169" s="364">
        <v>35310255</v>
      </c>
      <c r="R169" s="365"/>
      <c r="S169" s="365"/>
      <c r="T169" s="366"/>
      <c r="U169" s="366"/>
      <c r="W169" s="367"/>
      <c r="X169" s="367"/>
      <c r="Y169" s="367"/>
      <c r="Z169" s="367"/>
      <c r="AA169" s="367"/>
    </row>
    <row r="170" spans="6:55" x14ac:dyDescent="0.25">
      <c r="R170" s="189"/>
      <c r="V170" s="355"/>
    </row>
    <row r="171" spans="6:55" x14ac:dyDescent="0.25">
      <c r="F171" s="368"/>
      <c r="J171" s="190"/>
      <c r="K171" s="369"/>
      <c r="L171" s="369"/>
      <c r="M171" s="369"/>
      <c r="N171" s="369"/>
      <c r="O171" s="369"/>
      <c r="P171" s="369"/>
      <c r="Q171" s="369"/>
      <c r="V171" s="175"/>
      <c r="W171" s="175"/>
      <c r="X171" s="175"/>
      <c r="Y171" s="175"/>
    </row>
    <row r="172" spans="6:55" x14ac:dyDescent="0.25">
      <c r="V172" s="175"/>
    </row>
    <row r="173" spans="6:55" x14ac:dyDescent="0.25">
      <c r="V173" s="355"/>
    </row>
    <row r="174" spans="6:55" x14ac:dyDescent="0.25">
      <c r="V174" s="175"/>
      <c r="W174" s="355"/>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Līgumu saraksts_27062024</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2024-06-14T19:38:46Z</dcterms:created>
  <dcterms:modified xsi:type="dcterms:W3CDTF">2024-06-19T15:24:10Z</dcterms:modified>
</cp:coreProperties>
</file>