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X:\DOMES_SEDES\AVIZEI un MAJAS LAPAI\2020.gads\06_JŪNIJS\"/>
    </mc:Choice>
  </mc:AlternateContent>
  <xr:revisionPtr revIDLastSave="0" documentId="8_{1C5A3007-FAA9-451B-B706-AD539B28E5CA}" xr6:coauthVersionLast="45" xr6:coauthVersionMax="45" xr10:uidLastSave="{00000000-0000-0000-0000-000000000000}"/>
  <bookViews>
    <workbookView xWindow="-120" yWindow="-120" windowWidth="29040" windowHeight="15840" xr2:uid="{00000000-000D-0000-FFFF-FFFF00000000}"/>
  </bookViews>
  <sheets>
    <sheet name="2020.gada budzeta izpilde" sheetId="1" r:id="rId1"/>
  </sheets>
  <externalReferences>
    <externalReference r:id="rId2"/>
    <externalReference r:id="rId3"/>
    <externalReference r:id="rId4"/>
    <externalReference r:id="rId5"/>
  </externalReferences>
  <definedNames>
    <definedName name="_xlnm._FilterDatabase" localSheetId="0" hidden="1">'2020.gada budzeta izpilde'!#REF!</definedName>
    <definedName name="Apmaksa" localSheetId="0">[1]Apmaksa!$A:$A</definedName>
    <definedName name="Apmaksa">[2]Apmaksa!$A$1:$A$65536</definedName>
    <definedName name="Darijums" localSheetId="0">[1]Darijums!$A:$A</definedName>
    <definedName name="Darijums">[2]Darijums!$A$1:$A$65536</definedName>
    <definedName name="Excel_BuiltIn__FilterDatabase" localSheetId="0">[3]Groz_NIN_12_2014!#REF!</definedName>
    <definedName name="Excel_BuiltIn__FilterDatabase">[3]Groz_NIN_12_2014!#REF!</definedName>
    <definedName name="Firmas" localSheetId="0">[1]Firma!$A:$A</definedName>
    <definedName name="Firmas">[2]Firma!$A$1:$A$65536</definedName>
    <definedName name="Parvadataji" localSheetId="0">[1]Ligumi!$A:$A</definedName>
    <definedName name="Parvadataji">[2]Ligumi!$A$1:$A$65536</definedName>
    <definedName name="_xlnm.Print_Area" localSheetId="0">'2020.gada budzeta izpilde'!$C$1:$AJ$234</definedName>
    <definedName name="_xlnm.Print_Titles" localSheetId="0">'2020.gada budzeta izpilde'!$5:$5</definedName>
    <definedName name="Saist_apmers_ar_galvojumu">[2]Ligumi!$A$1:$A$65536</definedName>
    <definedName name="Z_1893421C_DBAA_4C10_AA6C_4D0F39122205_.wvu.FilterData" localSheetId="0">[3]Groz_NIN_12_2014!#REF!</definedName>
    <definedName name="Z_1893421C_DBAA_4C10_AA6C_4D0F39122205_.wvu.FilterData">[3]Groz_NIN_12_2014!#REF!</definedName>
    <definedName name="Z_483F8D4B_D649_4D59_A67B_5E8B6C0D2E28_.wvu.FilterData" localSheetId="0">[3]Groz_NIN_12_2014!#REF!</definedName>
    <definedName name="Z_483F8D4B_D649_4D59_A67B_5E8B6C0D2E28_.wvu.FilterData">[3]Groz_NIN_12_2014!#REF!</definedName>
    <definedName name="Z_56A06D27_97E5_4D01_ADCE_F8E0A2A870EF_.wvu.FilterData" localSheetId="0">[3]Groz_NIN_12_2014!#REF!</definedName>
    <definedName name="Z_56A06D27_97E5_4D01_ADCE_F8E0A2A870EF_.wvu.FilterData">[3]Groz_NIN_12_2014!#REF!</definedName>
    <definedName name="Z_81EB1DB6_89AB_4045_90FA_EF2BA7E792F9_.wvu.FilterData" localSheetId="0">[3]Groz_NIN_12_2014!#REF!</definedName>
    <definedName name="Z_81EB1DB6_89AB_4045_90FA_EF2BA7E792F9_.wvu.FilterData">[3]Groz_NIN_12_2014!#REF!</definedName>
    <definedName name="Z_81EB1DB6_89AB_4045_90FA_EF2BA7E792F9_.wvu.PrintArea" localSheetId="0">[3]Groz_NIN_12_2014!#REF!</definedName>
    <definedName name="Z_81EB1DB6_89AB_4045_90FA_EF2BA7E792F9_.wvu.PrintArea">[3]Groz_NIN_12_2014!#REF!</definedName>
    <definedName name="Z_8545B4E6_A517_4BD7_BFB7_42FEB5F229AD_.wvu.FilterData" localSheetId="0">[3]Groz_NIN_12_2014!#REF!</definedName>
    <definedName name="Z_8545B4E6_A517_4BD7_BFB7_42FEB5F229AD_.wvu.FilterData">[3]Groz_NIN_12_2014!#REF!</definedName>
    <definedName name="Z_877A1030_2452_46B0_88DF_8A068656C08E_.wvu.FilterData" localSheetId="0">[3]Groz_NIN_12_2014!#REF!</definedName>
    <definedName name="Z_877A1030_2452_46B0_88DF_8A068656C08E_.wvu.FilterData">[3]Groz_NIN_12_2014!#REF!</definedName>
    <definedName name="Z_ABD8A783_3A6C_4629_9559_1E4E89E80131_.wvu.FilterData" localSheetId="0">[3]Groz_NIN_12_2014!#REF!</definedName>
    <definedName name="Z_ABD8A783_3A6C_4629_9559_1E4E89E80131_.wvu.FilterData">[3]Groz_NIN_12_2014!#REF!</definedName>
    <definedName name="Z_AF277C95_CBD9_4696_AC72_D010599E9831_.wvu.FilterData" localSheetId="0">[3]Groz_NIN_12_2014!#REF!</definedName>
    <definedName name="Z_AF277C95_CBD9_4696_AC72_D010599E9831_.wvu.FilterData">[3]Groz_NIN_12_2014!#REF!</definedName>
    <definedName name="Z_B7CBCF06_FF41_423A_9AB3_E1D1F70C6FC5_.wvu.FilterData" localSheetId="0">[3]Groz_NIN_12_2014!#REF!</definedName>
    <definedName name="Z_B7CBCF06_FF41_423A_9AB3_E1D1F70C6FC5_.wvu.FilterData">[3]Groz_NIN_12_2014!#REF!</definedName>
    <definedName name="Z_C5511FB8_86C5_41F3_ADCD_B10310F066F5_.wvu.FilterData" localSheetId="0">[3]Groz_NIN_12_2014!#REF!</definedName>
    <definedName name="Z_C5511FB8_86C5_41F3_ADCD_B10310F066F5_.wvu.FilterData">[3]Groz_NIN_12_2014!#REF!</definedName>
    <definedName name="Z_DB8ECBD1_2D44_4F97_BCC9_F610BA0A3109_.wvu.FilterData" localSheetId="0">[3]Groz_NIN_12_2014!#REF!</definedName>
    <definedName name="Z_DB8ECBD1_2D44_4F97_BCC9_F610BA0A3109_.wvu.FilterData">[3]Groz_NIN_12_2014!#REF!</definedName>
    <definedName name="Z_DEE3A27E_689A_4E9F_A3EB_C84F1E3B413E_.wvu.FilterData" localSheetId="0">[3]Groz_NIN_12_2014!#REF!</definedName>
    <definedName name="Z_DEE3A27E_689A_4E9F_A3EB_C84F1E3B413E_.wvu.FilterData">[3]Groz_NIN_12_2014!#REF!</definedName>
    <definedName name="Z_F1F489B9_0F61_4F1F_A151_75EF77465344_.wvu.Cols" localSheetId="0">[3]Groz_NIN_12_2014!#REF!</definedName>
    <definedName name="Z_F1F489B9_0F61_4F1F_A151_75EF77465344_.wvu.Cols">[3]Groz_NIN_12_2014!#REF!</definedName>
    <definedName name="Z_F1F489B9_0F61_4F1F_A151_75EF77465344_.wvu.FilterData" localSheetId="0">[3]Groz_NIN_12_2014!#REF!</definedName>
    <definedName name="Z_F1F489B9_0F61_4F1F_A151_75EF77465344_.wvu.FilterData">[3]Groz_NIN_12_2014!#REF!</definedName>
    <definedName name="Z_F1F489B9_0F61_4F1F_A151_75EF77465344_.wvu.PrintArea" localSheetId="0">[3]Groz_NIN_12_2014!#REF!</definedName>
    <definedName name="Z_F1F489B9_0F61_4F1F_A151_75EF77465344_.wvu.PrintArea">[3]Groz_NIN_12_2014!#REF!</definedName>
    <definedName name="Z_F1F489B9_0F61_4F1F_A151_75EF77465344_.wvu.PrintTitles" localSheetId="0">[3]Groz_NIN_12_2014!#REF!</definedName>
    <definedName name="Z_F1F489B9_0F61_4F1F_A151_75EF77465344_.wvu.PrintTitles">[3]Groz_NIN_12_2014!#REF!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32" i="1" l="1"/>
  <c r="AD232" i="1"/>
  <c r="AE232" i="1" s="1"/>
  <c r="AA232" i="1"/>
  <c r="X232" i="1"/>
  <c r="U232" i="1"/>
  <c r="R232" i="1"/>
  <c r="S232" i="1" s="1"/>
  <c r="Q232" i="1"/>
  <c r="P232" i="1"/>
  <c r="O232" i="1"/>
  <c r="K232" i="1"/>
  <c r="I232" i="1"/>
  <c r="G232" i="1"/>
  <c r="F232" i="1"/>
  <c r="E232" i="1"/>
  <c r="AH231" i="1"/>
  <c r="P231" i="1"/>
  <c r="Q231" i="1" s="1"/>
  <c r="M231" i="1"/>
  <c r="AL230" i="1"/>
  <c r="Q229" i="1"/>
  <c r="R229" i="1" s="1"/>
  <c r="Q228" i="1"/>
  <c r="E228" i="1"/>
  <c r="AI227" i="1"/>
  <c r="AE227" i="1"/>
  <c r="AB227" i="1"/>
  <c r="Y227" i="1"/>
  <c r="V227" i="1"/>
  <c r="S227" i="1"/>
  <c r="AI226" i="1"/>
  <c r="AE226" i="1"/>
  <c r="AB226" i="1"/>
  <c r="Y226" i="1"/>
  <c r="V226" i="1"/>
  <c r="S226" i="1"/>
  <c r="AH225" i="1"/>
  <c r="P225" i="1"/>
  <c r="O225" i="1"/>
  <c r="M225" i="1"/>
  <c r="L225" i="1"/>
  <c r="K225" i="1"/>
  <c r="I225" i="1"/>
  <c r="G225" i="1"/>
  <c r="F225" i="1"/>
  <c r="E225" i="1"/>
  <c r="K224" i="1"/>
  <c r="P223" i="1"/>
  <c r="Q222" i="1"/>
  <c r="P221" i="1"/>
  <c r="Q221" i="1" s="1"/>
  <c r="F221" i="1"/>
  <c r="P220" i="1"/>
  <c r="I220" i="1"/>
  <c r="I213" i="1" s="1"/>
  <c r="E220" i="1"/>
  <c r="Q219" i="1"/>
  <c r="R219" i="1" s="1"/>
  <c r="Q218" i="1"/>
  <c r="R218" i="1" s="1"/>
  <c r="Q217" i="1"/>
  <c r="R217" i="1" s="1"/>
  <c r="S217" i="1" s="1"/>
  <c r="E217" i="1"/>
  <c r="Q216" i="1"/>
  <c r="R216" i="1" s="1"/>
  <c r="U216" i="1" s="1"/>
  <c r="X216" i="1" s="1"/>
  <c r="E216" i="1"/>
  <c r="Q215" i="1"/>
  <c r="R215" i="1" s="1"/>
  <c r="S215" i="1" s="1"/>
  <c r="L214" i="1"/>
  <c r="L213" i="1" s="1"/>
  <c r="K214" i="1"/>
  <c r="E214" i="1"/>
  <c r="AH213" i="1"/>
  <c r="P213" i="1"/>
  <c r="N213" i="1"/>
  <c r="M213" i="1"/>
  <c r="G213" i="1"/>
  <c r="F213" i="1"/>
  <c r="E213" i="1"/>
  <c r="E212" i="1"/>
  <c r="P211" i="1"/>
  <c r="P207" i="1" s="1"/>
  <c r="E211" i="1"/>
  <c r="U210" i="1"/>
  <c r="AI210" i="1" s="1"/>
  <c r="Q210" i="1"/>
  <c r="R210" i="1" s="1"/>
  <c r="S210" i="1" s="1"/>
  <c r="E210" i="1"/>
  <c r="Q209" i="1"/>
  <c r="R209" i="1" s="1"/>
  <c r="E209" i="1"/>
  <c r="L208" i="1"/>
  <c r="K208" i="1"/>
  <c r="AH207" i="1"/>
  <c r="N207" i="1"/>
  <c r="M207" i="1"/>
  <c r="K207" i="1"/>
  <c r="I207" i="1"/>
  <c r="G207" i="1"/>
  <c r="F207" i="1"/>
  <c r="E207" i="1"/>
  <c r="N206" i="1"/>
  <c r="M206" i="1"/>
  <c r="K206" i="1"/>
  <c r="K205" i="1"/>
  <c r="Q205" i="1" s="1"/>
  <c r="AH204" i="1"/>
  <c r="AH198" i="1" s="1"/>
  <c r="P204" i="1"/>
  <c r="P198" i="1" s="1"/>
  <c r="F204" i="1"/>
  <c r="L203" i="1"/>
  <c r="Q203" i="1" s="1"/>
  <c r="K202" i="1"/>
  <c r="I202" i="1"/>
  <c r="P201" i="1"/>
  <c r="N201" i="1"/>
  <c r="I201" i="1"/>
  <c r="F201" i="1"/>
  <c r="K199" i="1"/>
  <c r="N198" i="1"/>
  <c r="G198" i="1"/>
  <c r="F198" i="1"/>
  <c r="E198" i="1"/>
  <c r="P197" i="1"/>
  <c r="Q197" i="1" s="1"/>
  <c r="G197" i="1"/>
  <c r="P196" i="1"/>
  <c r="Q196" i="1" s="1"/>
  <c r="P195" i="1"/>
  <c r="K195" i="1"/>
  <c r="K194" i="1" s="1"/>
  <c r="G195" i="1"/>
  <c r="G194" i="1" s="1"/>
  <c r="AH194" i="1"/>
  <c r="O194" i="1"/>
  <c r="N194" i="1"/>
  <c r="M194" i="1"/>
  <c r="L194" i="1"/>
  <c r="I194" i="1"/>
  <c r="F194" i="1"/>
  <c r="E194" i="1"/>
  <c r="E169" i="1" s="1"/>
  <c r="Q193" i="1"/>
  <c r="R193" i="1" s="1"/>
  <c r="S193" i="1" s="1"/>
  <c r="I193" i="1"/>
  <c r="Q192" i="1"/>
  <c r="R192" i="1" s="1"/>
  <c r="AI191" i="1"/>
  <c r="AE191" i="1"/>
  <c r="AB191" i="1"/>
  <c r="Y191" i="1"/>
  <c r="V191" i="1"/>
  <c r="Q191" i="1"/>
  <c r="S191" i="1" s="1"/>
  <c r="E191" i="1"/>
  <c r="AI190" i="1"/>
  <c r="AE190" i="1"/>
  <c r="AB190" i="1"/>
  <c r="Y190" i="1"/>
  <c r="V190" i="1"/>
  <c r="Q190" i="1"/>
  <c r="E190" i="1"/>
  <c r="AI189" i="1"/>
  <c r="AE189" i="1"/>
  <c r="AB189" i="1"/>
  <c r="Y189" i="1"/>
  <c r="V189" i="1"/>
  <c r="Q189" i="1"/>
  <c r="S189" i="1" s="1"/>
  <c r="E189" i="1"/>
  <c r="AI188" i="1"/>
  <c r="AE188" i="1"/>
  <c r="AB188" i="1"/>
  <c r="Y188" i="1"/>
  <c r="V188" i="1"/>
  <c r="Q188" i="1"/>
  <c r="E188" i="1"/>
  <c r="E187" i="1" s="1"/>
  <c r="P187" i="1"/>
  <c r="P182" i="1" s="1"/>
  <c r="S186" i="1"/>
  <c r="Q186" i="1"/>
  <c r="R186" i="1" s="1"/>
  <c r="U186" i="1" s="1"/>
  <c r="E186" i="1"/>
  <c r="Q185" i="1"/>
  <c r="R185" i="1" s="1"/>
  <c r="E185" i="1"/>
  <c r="Q184" i="1"/>
  <c r="R184" i="1" s="1"/>
  <c r="U184" i="1" s="1"/>
  <c r="E184" i="1"/>
  <c r="L183" i="1"/>
  <c r="L182" i="1" s="1"/>
  <c r="E183" i="1"/>
  <c r="AH182" i="1"/>
  <c r="M182" i="1"/>
  <c r="K182" i="1"/>
  <c r="I182" i="1"/>
  <c r="G182" i="1"/>
  <c r="F182" i="1"/>
  <c r="E182" i="1"/>
  <c r="AI181" i="1"/>
  <c r="AE181" i="1"/>
  <c r="AB181" i="1"/>
  <c r="Y181" i="1"/>
  <c r="V181" i="1"/>
  <c r="S181" i="1"/>
  <c r="N180" i="1"/>
  <c r="K180" i="1"/>
  <c r="E180" i="1"/>
  <c r="Q179" i="1"/>
  <c r="R179" i="1" s="1"/>
  <c r="E179" i="1"/>
  <c r="Q178" i="1"/>
  <c r="R178" i="1" s="1"/>
  <c r="E178" i="1"/>
  <c r="Q177" i="1"/>
  <c r="R177" i="1" s="1"/>
  <c r="E177" i="1"/>
  <c r="E176" i="1" s="1"/>
  <c r="P176" i="1"/>
  <c r="P171" i="1" s="1"/>
  <c r="Q175" i="1"/>
  <c r="E175" i="1"/>
  <c r="Q174" i="1"/>
  <c r="R174" i="1" s="1"/>
  <c r="S174" i="1" s="1"/>
  <c r="E174" i="1"/>
  <c r="Q173" i="1"/>
  <c r="E173" i="1"/>
  <c r="L172" i="1"/>
  <c r="L171" i="1" s="1"/>
  <c r="K172" i="1"/>
  <c r="AH171" i="1"/>
  <c r="N171" i="1"/>
  <c r="I171" i="1"/>
  <c r="H171" i="1"/>
  <c r="G171" i="1"/>
  <c r="F171" i="1"/>
  <c r="E171" i="1"/>
  <c r="P170" i="1"/>
  <c r="Q170" i="1" s="1"/>
  <c r="R170" i="1" s="1"/>
  <c r="U170" i="1" s="1"/>
  <c r="X170" i="1" s="1"/>
  <c r="P168" i="1"/>
  <c r="Q168" i="1" s="1"/>
  <c r="G168" i="1"/>
  <c r="F168" i="1"/>
  <c r="E168" i="1"/>
  <c r="P167" i="1"/>
  <c r="N167" i="1"/>
  <c r="L167" i="1"/>
  <c r="I167" i="1"/>
  <c r="K166" i="1"/>
  <c r="I166" i="1"/>
  <c r="I164" i="1" s="1"/>
  <c r="O164" i="1"/>
  <c r="N164" i="1"/>
  <c r="L164" i="1"/>
  <c r="G164" i="1"/>
  <c r="F164" i="1"/>
  <c r="L163" i="1"/>
  <c r="Q163" i="1" s="1"/>
  <c r="R163" i="1" s="1"/>
  <c r="P162" i="1"/>
  <c r="I162" i="1"/>
  <c r="I161" i="1" s="1"/>
  <c r="G162" i="1"/>
  <c r="G161" i="1" s="1"/>
  <c r="AH161" i="1"/>
  <c r="P161" i="1"/>
  <c r="N161" i="1"/>
  <c r="M161" i="1"/>
  <c r="L161" i="1"/>
  <c r="K161" i="1"/>
  <c r="F161" i="1"/>
  <c r="E161" i="1"/>
  <c r="E160" i="1" s="1"/>
  <c r="AH160" i="1"/>
  <c r="P159" i="1"/>
  <c r="Q159" i="1" s="1"/>
  <c r="R159" i="1" s="1"/>
  <c r="P158" i="1"/>
  <c r="E158" i="1"/>
  <c r="P157" i="1"/>
  <c r="Q157" i="1" s="1"/>
  <c r="R157" i="1" s="1"/>
  <c r="F157" i="1"/>
  <c r="Q156" i="1"/>
  <c r="R156" i="1" s="1"/>
  <c r="S156" i="1" s="1"/>
  <c r="Q155" i="1"/>
  <c r="R155" i="1" s="1"/>
  <c r="U155" i="1" s="1"/>
  <c r="Q154" i="1"/>
  <c r="R154" i="1" s="1"/>
  <c r="S154" i="1" s="1"/>
  <c r="Q153" i="1"/>
  <c r="P152" i="1"/>
  <c r="F152" i="1"/>
  <c r="E152" i="1"/>
  <c r="P151" i="1"/>
  <c r="Q151" i="1" s="1"/>
  <c r="E151" i="1"/>
  <c r="P150" i="1"/>
  <c r="L150" i="1"/>
  <c r="L149" i="1" s="1"/>
  <c r="F150" i="1"/>
  <c r="E150" i="1"/>
  <c r="AH149" i="1"/>
  <c r="N149" i="1"/>
  <c r="M149" i="1"/>
  <c r="K149" i="1"/>
  <c r="I149" i="1"/>
  <c r="G149" i="1"/>
  <c r="AI148" i="1"/>
  <c r="AE148" i="1"/>
  <c r="AB148" i="1"/>
  <c r="Y148" i="1"/>
  <c r="V148" i="1"/>
  <c r="Q148" i="1"/>
  <c r="S148" i="1" s="1"/>
  <c r="AI147" i="1"/>
  <c r="AE147" i="1"/>
  <c r="AB147" i="1"/>
  <c r="Y147" i="1"/>
  <c r="V147" i="1"/>
  <c r="Q147" i="1"/>
  <c r="S147" i="1" s="1"/>
  <c r="N146" i="1"/>
  <c r="N141" i="1" s="1"/>
  <c r="M146" i="1"/>
  <c r="AH144" i="1"/>
  <c r="P144" i="1"/>
  <c r="L144" i="1"/>
  <c r="Q143" i="1"/>
  <c r="R143" i="1" s="1"/>
  <c r="S143" i="1" s="1"/>
  <c r="AH142" i="1"/>
  <c r="P142" i="1"/>
  <c r="K142" i="1"/>
  <c r="I142" i="1"/>
  <c r="I141" i="1"/>
  <c r="G141" i="1"/>
  <c r="F141" i="1"/>
  <c r="E141" i="1"/>
  <c r="Q140" i="1"/>
  <c r="R140" i="1" s="1"/>
  <c r="U140" i="1" s="1"/>
  <c r="V140" i="1" s="1"/>
  <c r="M140" i="1"/>
  <c r="K140" i="1"/>
  <c r="M139" i="1"/>
  <c r="K139" i="1"/>
  <c r="K127" i="1" s="1"/>
  <c r="Q138" i="1"/>
  <c r="Q137" i="1"/>
  <c r="R137" i="1" s="1"/>
  <c r="S137" i="1" s="1"/>
  <c r="N136" i="1"/>
  <c r="M136" i="1"/>
  <c r="N135" i="1"/>
  <c r="Q135" i="1" s="1"/>
  <c r="R135" i="1" s="1"/>
  <c r="U135" i="1" s="1"/>
  <c r="V135" i="1" s="1"/>
  <c r="Q134" i="1"/>
  <c r="R134" i="1" s="1"/>
  <c r="U134" i="1" s="1"/>
  <c r="V134" i="1" s="1"/>
  <c r="Q133" i="1"/>
  <c r="R133" i="1" s="1"/>
  <c r="S133" i="1" s="1"/>
  <c r="E133" i="1"/>
  <c r="Q132" i="1"/>
  <c r="R132" i="1" s="1"/>
  <c r="F132" i="1"/>
  <c r="Q131" i="1"/>
  <c r="R131" i="1" s="1"/>
  <c r="Q130" i="1"/>
  <c r="R130" i="1" s="1"/>
  <c r="U130" i="1" s="1"/>
  <c r="F130" i="1"/>
  <c r="N129" i="1"/>
  <c r="K129" i="1"/>
  <c r="I129" i="1"/>
  <c r="P128" i="1"/>
  <c r="P127" i="1" s="1"/>
  <c r="I128" i="1"/>
  <c r="F128" i="1"/>
  <c r="E128" i="1"/>
  <c r="AH127" i="1"/>
  <c r="N127" i="1"/>
  <c r="L127" i="1"/>
  <c r="H127" i="1"/>
  <c r="G127" i="1"/>
  <c r="P126" i="1"/>
  <c r="E126" i="1"/>
  <c r="H125" i="1"/>
  <c r="G125" i="1"/>
  <c r="P124" i="1"/>
  <c r="E124" i="1"/>
  <c r="P123" i="1"/>
  <c r="O123" i="1"/>
  <c r="K123" i="1"/>
  <c r="F123" i="1"/>
  <c r="G123" i="1" s="1"/>
  <c r="E123" i="1"/>
  <c r="Q122" i="1"/>
  <c r="R122" i="1" s="1"/>
  <c r="I122" i="1"/>
  <c r="G122" i="1"/>
  <c r="P121" i="1"/>
  <c r="M121" i="1"/>
  <c r="L121" i="1"/>
  <c r="F121" i="1"/>
  <c r="E121" i="1"/>
  <c r="P120" i="1"/>
  <c r="AH119" i="1"/>
  <c r="O119" i="1"/>
  <c r="N119" i="1"/>
  <c r="M119" i="1"/>
  <c r="L119" i="1"/>
  <c r="K119" i="1"/>
  <c r="I119" i="1"/>
  <c r="G119" i="1"/>
  <c r="F119" i="1"/>
  <c r="E119" i="1"/>
  <c r="AD118" i="1"/>
  <c r="AA118" i="1"/>
  <c r="X118" i="1"/>
  <c r="U118" i="1"/>
  <c r="V118" i="1" s="1"/>
  <c r="R118" i="1"/>
  <c r="Q118" i="1"/>
  <c r="P118" i="1"/>
  <c r="O118" i="1"/>
  <c r="K118" i="1"/>
  <c r="I118" i="1"/>
  <c r="G118" i="1"/>
  <c r="F118" i="1"/>
  <c r="E118" i="1"/>
  <c r="P117" i="1"/>
  <c r="Q117" i="1" s="1"/>
  <c r="R117" i="1" s="1"/>
  <c r="G117" i="1"/>
  <c r="F117" i="1"/>
  <c r="P116" i="1"/>
  <c r="Q116" i="1" s="1"/>
  <c r="R116" i="1" s="1"/>
  <c r="P115" i="1"/>
  <c r="Q115" i="1" s="1"/>
  <c r="F115" i="1"/>
  <c r="Q114" i="1"/>
  <c r="R114" i="1" s="1"/>
  <c r="U114" i="1" s="1"/>
  <c r="P113" i="1"/>
  <c r="L113" i="1"/>
  <c r="L108" i="1" s="1"/>
  <c r="P112" i="1"/>
  <c r="Q112" i="1" s="1"/>
  <c r="R112" i="1" s="1"/>
  <c r="P111" i="1"/>
  <c r="Q111" i="1" s="1"/>
  <c r="R111" i="1" s="1"/>
  <c r="E111" i="1"/>
  <c r="AH110" i="1"/>
  <c r="P110" i="1"/>
  <c r="Q110" i="1" s="1"/>
  <c r="F110" i="1"/>
  <c r="E110" i="1"/>
  <c r="AH109" i="1"/>
  <c r="P109" i="1"/>
  <c r="G109" i="1"/>
  <c r="F109" i="1"/>
  <c r="E109" i="1"/>
  <c r="E108" i="1" s="1"/>
  <c r="N108" i="1"/>
  <c r="M108" i="1"/>
  <c r="K108" i="1"/>
  <c r="I108" i="1"/>
  <c r="Q101" i="1"/>
  <c r="R101" i="1" s="1"/>
  <c r="S101" i="1" s="1"/>
  <c r="Q100" i="1"/>
  <c r="R100" i="1" s="1"/>
  <c r="S100" i="1" s="1"/>
  <c r="Q99" i="1"/>
  <c r="R99" i="1" s="1"/>
  <c r="Q98" i="1"/>
  <c r="R98" i="1" s="1"/>
  <c r="U98" i="1" s="1"/>
  <c r="Q97" i="1"/>
  <c r="R97" i="1" s="1"/>
  <c r="U97" i="1" s="1"/>
  <c r="AH96" i="1"/>
  <c r="Q96" i="1"/>
  <c r="R96" i="1" s="1"/>
  <c r="Q95" i="1"/>
  <c r="R95" i="1" s="1"/>
  <c r="Q94" i="1"/>
  <c r="R94" i="1" s="1"/>
  <c r="S94" i="1" s="1"/>
  <c r="AH93" i="1"/>
  <c r="Q93" i="1"/>
  <c r="R93" i="1" s="1"/>
  <c r="S93" i="1" s="1"/>
  <c r="Q92" i="1"/>
  <c r="R92" i="1" s="1"/>
  <c r="U92" i="1" s="1"/>
  <c r="AI91" i="1"/>
  <c r="AE91" i="1"/>
  <c r="AB91" i="1"/>
  <c r="Y91" i="1"/>
  <c r="V91" i="1"/>
  <c r="Q91" i="1"/>
  <c r="S91" i="1" s="1"/>
  <c r="P90" i="1"/>
  <c r="O90" i="1"/>
  <c r="N90" i="1"/>
  <c r="M90" i="1"/>
  <c r="L90" i="1"/>
  <c r="K90" i="1"/>
  <c r="I90" i="1"/>
  <c r="G90" i="1"/>
  <c r="F90" i="1"/>
  <c r="E90" i="1"/>
  <c r="K89" i="1"/>
  <c r="Q89" i="1" s="1"/>
  <c r="R89" i="1" s="1"/>
  <c r="S89" i="1" s="1"/>
  <c r="U88" i="1"/>
  <c r="V88" i="1" s="1"/>
  <c r="AH87" i="1"/>
  <c r="P87" i="1"/>
  <c r="O87" i="1"/>
  <c r="I87" i="1"/>
  <c r="G87" i="1"/>
  <c r="F87" i="1"/>
  <c r="E87" i="1"/>
  <c r="AL86" i="1"/>
  <c r="Q85" i="1"/>
  <c r="R85" i="1" s="1"/>
  <c r="AH84" i="1"/>
  <c r="Q84" i="1"/>
  <c r="R84" i="1" s="1"/>
  <c r="S84" i="1" s="1"/>
  <c r="Q83" i="1"/>
  <c r="R83" i="1" s="1"/>
  <c r="S83" i="1" s="1"/>
  <c r="R82" i="1"/>
  <c r="S82" i="1" s="1"/>
  <c r="Q82" i="1"/>
  <c r="AH81" i="1"/>
  <c r="P81" i="1"/>
  <c r="O81" i="1"/>
  <c r="N81" i="1"/>
  <c r="M81" i="1"/>
  <c r="L81" i="1"/>
  <c r="K81" i="1"/>
  <c r="I81" i="1"/>
  <c r="G81" i="1"/>
  <c r="F81" i="1"/>
  <c r="E81" i="1"/>
  <c r="E76" i="1" s="1"/>
  <c r="Q80" i="1"/>
  <c r="R80" i="1" s="1"/>
  <c r="Q79" i="1"/>
  <c r="R79" i="1" s="1"/>
  <c r="Q78" i="1"/>
  <c r="R78" i="1" s="1"/>
  <c r="AH77" i="1"/>
  <c r="P77" i="1"/>
  <c r="O77" i="1"/>
  <c r="M77" i="1"/>
  <c r="L77" i="1"/>
  <c r="L76" i="1" s="1"/>
  <c r="K77" i="1"/>
  <c r="I77" i="1"/>
  <c r="I76" i="1" s="1"/>
  <c r="G77" i="1"/>
  <c r="F77" i="1"/>
  <c r="E77" i="1"/>
  <c r="Q75" i="1"/>
  <c r="R75" i="1" s="1"/>
  <c r="P74" i="1"/>
  <c r="Q74" i="1" s="1"/>
  <c r="AH73" i="1"/>
  <c r="O73" i="1"/>
  <c r="M73" i="1"/>
  <c r="L73" i="1"/>
  <c r="K73" i="1"/>
  <c r="I73" i="1"/>
  <c r="G73" i="1"/>
  <c r="F73" i="1"/>
  <c r="E73" i="1"/>
  <c r="AH72" i="1"/>
  <c r="AH57" i="1" s="1"/>
  <c r="M72" i="1"/>
  <c r="M167" i="1" s="1"/>
  <c r="K72" i="1"/>
  <c r="K167" i="1" s="1"/>
  <c r="Q71" i="1"/>
  <c r="R71" i="1" s="1"/>
  <c r="M70" i="1"/>
  <c r="M224" i="1" s="1"/>
  <c r="Q224" i="1" s="1"/>
  <c r="Q69" i="1"/>
  <c r="R69" i="1" s="1"/>
  <c r="M68" i="1"/>
  <c r="M202" i="1" s="1"/>
  <c r="I68" i="1"/>
  <c r="Q67" i="1"/>
  <c r="R67" i="1" s="1"/>
  <c r="Q66" i="1"/>
  <c r="R66" i="1" s="1"/>
  <c r="S66" i="1" s="1"/>
  <c r="Q65" i="1"/>
  <c r="R65" i="1" s="1"/>
  <c r="Q64" i="1"/>
  <c r="R64" i="1" s="1"/>
  <c r="M63" i="1"/>
  <c r="M180" i="1" s="1"/>
  <c r="AK62" i="1"/>
  <c r="Q62" i="1"/>
  <c r="R62" i="1" s="1"/>
  <c r="Q61" i="1"/>
  <c r="R61" i="1" s="1"/>
  <c r="Q60" i="1"/>
  <c r="R60" i="1" s="1"/>
  <c r="M59" i="1"/>
  <c r="M166" i="1" s="1"/>
  <c r="Q58" i="1"/>
  <c r="R58" i="1" s="1"/>
  <c r="F58" i="1"/>
  <c r="AL57" i="1"/>
  <c r="P57" i="1"/>
  <c r="O57" i="1"/>
  <c r="O40" i="1" s="1"/>
  <c r="N57" i="1"/>
  <c r="N40" i="1" s="1"/>
  <c r="L57" i="1"/>
  <c r="I57" i="1"/>
  <c r="G57" i="1"/>
  <c r="F57" i="1"/>
  <c r="E57" i="1"/>
  <c r="AH56" i="1"/>
  <c r="Q56" i="1"/>
  <c r="R56" i="1" s="1"/>
  <c r="I56" i="1"/>
  <c r="F56" i="1"/>
  <c r="L55" i="1"/>
  <c r="L145" i="1" s="1"/>
  <c r="K55" i="1"/>
  <c r="K145" i="1" s="1"/>
  <c r="Q54" i="1"/>
  <c r="R54" i="1" s="1"/>
  <c r="K54" i="1"/>
  <c r="K144" i="1" s="1"/>
  <c r="Q53" i="1"/>
  <c r="R53" i="1" s="1"/>
  <c r="Q52" i="1"/>
  <c r="R52" i="1" s="1"/>
  <c r="Q51" i="1"/>
  <c r="R51" i="1" s="1"/>
  <c r="E51" i="1"/>
  <c r="Q50" i="1"/>
  <c r="R50" i="1" s="1"/>
  <c r="Q49" i="1"/>
  <c r="R49" i="1" s="1"/>
  <c r="I49" i="1"/>
  <c r="L48" i="1"/>
  <c r="Q48" i="1" s="1"/>
  <c r="R48" i="1" s="1"/>
  <c r="F48" i="1"/>
  <c r="E48" i="1"/>
  <c r="L47" i="1"/>
  <c r="F47" i="1"/>
  <c r="E47" i="1"/>
  <c r="L46" i="1"/>
  <c r="Q46" i="1" s="1"/>
  <c r="F46" i="1"/>
  <c r="E46" i="1"/>
  <c r="AH45" i="1"/>
  <c r="AH3" i="1" s="1"/>
  <c r="P45" i="1"/>
  <c r="O45" i="1"/>
  <c r="M45" i="1"/>
  <c r="K45" i="1"/>
  <c r="I45" i="1"/>
  <c r="G45" i="1"/>
  <c r="Q44" i="1"/>
  <c r="R44" i="1" s="1"/>
  <c r="F44" i="1"/>
  <c r="AH43" i="1"/>
  <c r="L43" i="1"/>
  <c r="L200" i="1" s="1"/>
  <c r="Q200" i="1" s="1"/>
  <c r="F43" i="1"/>
  <c r="Q42" i="1"/>
  <c r="R42" i="1" s="1"/>
  <c r="AL41" i="1"/>
  <c r="Q41" i="1"/>
  <c r="R41" i="1" s="1"/>
  <c r="U41" i="1" s="1"/>
  <c r="F41" i="1"/>
  <c r="E41" i="1"/>
  <c r="P39" i="1"/>
  <c r="Q39" i="1" s="1"/>
  <c r="R39" i="1" s="1"/>
  <c r="I39" i="1"/>
  <c r="Q38" i="1"/>
  <c r="R38" i="1" s="1"/>
  <c r="F38" i="1"/>
  <c r="E38" i="1"/>
  <c r="E36" i="1" s="1"/>
  <c r="Q37" i="1"/>
  <c r="R37" i="1" s="1"/>
  <c r="F37" i="1"/>
  <c r="F36" i="1" s="1"/>
  <c r="AH36" i="1"/>
  <c r="P36" i="1"/>
  <c r="O36" i="1"/>
  <c r="M36" i="1"/>
  <c r="L36" i="1"/>
  <c r="K36" i="1"/>
  <c r="I36" i="1"/>
  <c r="G36" i="1"/>
  <c r="Q35" i="1"/>
  <c r="R35" i="1" s="1"/>
  <c r="U35" i="1" s="1"/>
  <c r="Q34" i="1"/>
  <c r="AH33" i="1"/>
  <c r="P33" i="1"/>
  <c r="O33" i="1"/>
  <c r="M33" i="1"/>
  <c r="L33" i="1"/>
  <c r="K33" i="1"/>
  <c r="I33" i="1"/>
  <c r="G33" i="1"/>
  <c r="F33" i="1"/>
  <c r="E33" i="1"/>
  <c r="Q32" i="1"/>
  <c r="R32" i="1" s="1"/>
  <c r="F32" i="1"/>
  <c r="Q31" i="1"/>
  <c r="R31" i="1" s="1"/>
  <c r="Q30" i="1"/>
  <c r="R30" i="1" s="1"/>
  <c r="F30" i="1"/>
  <c r="Q29" i="1"/>
  <c r="R29" i="1" s="1"/>
  <c r="U29" i="1" s="1"/>
  <c r="Q28" i="1"/>
  <c r="R28" i="1" s="1"/>
  <c r="U28" i="1" s="1"/>
  <c r="AH27" i="1"/>
  <c r="AH26" i="1" s="1"/>
  <c r="Q27" i="1"/>
  <c r="R27" i="1" s="1"/>
  <c r="S27" i="1" s="1"/>
  <c r="P26" i="1"/>
  <c r="P21" i="1" s="1"/>
  <c r="O26" i="1"/>
  <c r="M26" i="1"/>
  <c r="L26" i="1"/>
  <c r="K26" i="1"/>
  <c r="I26" i="1"/>
  <c r="G26" i="1"/>
  <c r="E26" i="1"/>
  <c r="Q25" i="1"/>
  <c r="R25" i="1" s="1"/>
  <c r="Q24" i="1"/>
  <c r="R24" i="1" s="1"/>
  <c r="F24" i="1"/>
  <c r="F22" i="1" s="1"/>
  <c r="Q23" i="1"/>
  <c r="R23" i="1" s="1"/>
  <c r="AH22" i="1"/>
  <c r="P22" i="1"/>
  <c r="O22" i="1"/>
  <c r="M22" i="1"/>
  <c r="L22" i="1"/>
  <c r="L21" i="1" s="1"/>
  <c r="K22" i="1"/>
  <c r="I22" i="1"/>
  <c r="G22" i="1"/>
  <c r="E22" i="1"/>
  <c r="E21" i="1" s="1"/>
  <c r="P20" i="1"/>
  <c r="Q20" i="1" s="1"/>
  <c r="R20" i="1" s="1"/>
  <c r="U20" i="1" s="1"/>
  <c r="P19" i="1"/>
  <c r="Q19" i="1" s="1"/>
  <c r="R19" i="1" s="1"/>
  <c r="E19" i="1"/>
  <c r="P18" i="1"/>
  <c r="Q18" i="1" s="1"/>
  <c r="R18" i="1" s="1"/>
  <c r="E18" i="1"/>
  <c r="AH17" i="1"/>
  <c r="O17" i="1"/>
  <c r="N17" i="1"/>
  <c r="M17" i="1"/>
  <c r="L17" i="1"/>
  <c r="K17" i="1"/>
  <c r="I17" i="1"/>
  <c r="G17" i="1"/>
  <c r="F17" i="1"/>
  <c r="P16" i="1"/>
  <c r="Q16" i="1" s="1"/>
  <c r="F16" i="1"/>
  <c r="E16" i="1"/>
  <c r="P15" i="1"/>
  <c r="Q15" i="1" s="1"/>
  <c r="R15" i="1" s="1"/>
  <c r="F15" i="1"/>
  <c r="F14" i="1" s="1"/>
  <c r="E15" i="1"/>
  <c r="AH14" i="1"/>
  <c r="O14" i="1"/>
  <c r="N14" i="1"/>
  <c r="M14" i="1"/>
  <c r="L14" i="1"/>
  <c r="K14" i="1"/>
  <c r="I14" i="1"/>
  <c r="G14" i="1"/>
  <c r="P13" i="1"/>
  <c r="Q13" i="1" s="1"/>
  <c r="F13" i="1"/>
  <c r="E13" i="1"/>
  <c r="P12" i="1"/>
  <c r="Q12" i="1" s="1"/>
  <c r="R12" i="1" s="1"/>
  <c r="U12" i="1" s="1"/>
  <c r="F12" i="1"/>
  <c r="E12" i="1"/>
  <c r="AH11" i="1"/>
  <c r="O11" i="1"/>
  <c r="N11" i="1"/>
  <c r="M11" i="1"/>
  <c r="L11" i="1"/>
  <c r="K11" i="1"/>
  <c r="I11" i="1"/>
  <c r="G11" i="1"/>
  <c r="P10" i="1"/>
  <c r="Q10" i="1" s="1"/>
  <c r="R10" i="1" s="1"/>
  <c r="P9" i="1"/>
  <c r="Q9" i="1" s="1"/>
  <c r="R9" i="1" s="1"/>
  <c r="P8" i="1"/>
  <c r="AH7" i="1"/>
  <c r="O7" i="1"/>
  <c r="N7" i="1"/>
  <c r="M7" i="1"/>
  <c r="L7" i="1"/>
  <c r="L6" i="1" s="1"/>
  <c r="K7" i="1"/>
  <c r="I7" i="1"/>
  <c r="G7" i="1"/>
  <c r="F7" i="1"/>
  <c r="E7" i="1"/>
  <c r="I4" i="1"/>
  <c r="M3" i="1"/>
  <c r="I3" i="1"/>
  <c r="AI2" i="1"/>
  <c r="AH2" i="1"/>
  <c r="M2" i="1"/>
  <c r="M1" i="1"/>
  <c r="O201" i="1"/>
  <c r="O211" i="1"/>
  <c r="O212" i="1"/>
  <c r="O121" i="1"/>
  <c r="O109" i="1"/>
  <c r="O142" i="1"/>
  <c r="O150" i="1"/>
  <c r="O124" i="1"/>
  <c r="O176" i="1"/>
  <c r="O204" i="1"/>
  <c r="O223" i="1"/>
  <c r="O162" i="1"/>
  <c r="O220" i="1"/>
  <c r="O126" i="1"/>
  <c r="O158" i="1"/>
  <c r="O128" i="1"/>
  <c r="O152" i="1"/>
  <c r="O187" i="1"/>
  <c r="F4" i="1" l="1"/>
  <c r="I6" i="1"/>
  <c r="E17" i="1"/>
  <c r="AH21" i="1"/>
  <c r="AH40" i="1"/>
  <c r="L199" i="1"/>
  <c r="Q70" i="1"/>
  <c r="R70" i="1" s="1"/>
  <c r="P76" i="1"/>
  <c r="U94" i="1"/>
  <c r="X94" i="1" s="1"/>
  <c r="AA94" i="1" s="1"/>
  <c r="E127" i="1"/>
  <c r="O146" i="1"/>
  <c r="N169" i="1"/>
  <c r="Q183" i="1"/>
  <c r="R183" i="1" s="1"/>
  <c r="L45" i="1"/>
  <c r="L141" i="1"/>
  <c r="L125" i="1" s="1"/>
  <c r="P40" i="1"/>
  <c r="N125" i="1"/>
  <c r="G40" i="1"/>
  <c r="E215" i="1"/>
  <c r="E11" i="1"/>
  <c r="S177" i="1"/>
  <c r="U177" i="1"/>
  <c r="S132" i="1"/>
  <c r="U132" i="1"/>
  <c r="AI132" i="1" s="1"/>
  <c r="U60" i="1"/>
  <c r="S60" i="1"/>
  <c r="U67" i="1"/>
  <c r="S67" i="1"/>
  <c r="F11" i="1"/>
  <c r="K6" i="1"/>
  <c r="F26" i="1"/>
  <c r="Q33" i="1"/>
  <c r="E45" i="1"/>
  <c r="F45" i="1"/>
  <c r="Q68" i="1"/>
  <c r="R68" i="1" s="1"/>
  <c r="X88" i="1"/>
  <c r="AA88" i="1" s="1"/>
  <c r="AB88" i="1" s="1"/>
  <c r="V94" i="1"/>
  <c r="U101" i="1"/>
  <c r="G108" i="1"/>
  <c r="Y118" i="1"/>
  <c r="O136" i="1"/>
  <c r="M127" i="1"/>
  <c r="M141" i="1"/>
  <c r="F149" i="1"/>
  <c r="L160" i="1"/>
  <c r="G169" i="1"/>
  <c r="U174" i="1"/>
  <c r="V174" i="1" s="1"/>
  <c r="AH169" i="1"/>
  <c r="AB232" i="1"/>
  <c r="E125" i="1"/>
  <c r="I21" i="1"/>
  <c r="AH76" i="1"/>
  <c r="AH86" i="1" s="1"/>
  <c r="O76" i="1"/>
  <c r="AH90" i="1"/>
  <c r="I127" i="1"/>
  <c r="I125" i="1" s="1"/>
  <c r="E149" i="1"/>
  <c r="E230" i="1" s="1"/>
  <c r="E233" i="1" s="1"/>
  <c r="F160" i="1"/>
  <c r="E172" i="1"/>
  <c r="O6" i="1"/>
  <c r="O21" i="1"/>
  <c r="O86" i="1" s="1"/>
  <c r="O102" i="1" s="1"/>
  <c r="AH6" i="1"/>
  <c r="G21" i="1"/>
  <c r="M21" i="1"/>
  <c r="F40" i="1"/>
  <c r="G76" i="1"/>
  <c r="M76" i="1"/>
  <c r="S98" i="1"/>
  <c r="AH141" i="1"/>
  <c r="AH125" i="1" s="1"/>
  <c r="S184" i="1"/>
  <c r="V232" i="1"/>
  <c r="K21" i="1"/>
  <c r="F76" i="1"/>
  <c r="N160" i="1"/>
  <c r="P7" i="1"/>
  <c r="P4" i="1" s="1"/>
  <c r="E14" i="1"/>
  <c r="I40" i="1"/>
  <c r="I86" i="1" s="1"/>
  <c r="I102" i="1" s="1"/>
  <c r="K76" i="1"/>
  <c r="Q8" i="1"/>
  <c r="R8" i="1" s="1"/>
  <c r="P14" i="1"/>
  <c r="P141" i="1"/>
  <c r="P125" i="1" s="1"/>
  <c r="P149" i="1"/>
  <c r="P194" i="1"/>
  <c r="P169" i="1" s="1"/>
  <c r="K198" i="1"/>
  <c r="S99" i="1"/>
  <c r="U99" i="1"/>
  <c r="U50" i="1"/>
  <c r="S50" i="1"/>
  <c r="S95" i="1"/>
  <c r="U95" i="1"/>
  <c r="U37" i="1"/>
  <c r="X37" i="1" s="1"/>
  <c r="Y37" i="1" s="1"/>
  <c r="S37" i="1"/>
  <c r="S96" i="1"/>
  <c r="U96" i="1"/>
  <c r="X96" i="1" s="1"/>
  <c r="Y96" i="1" s="1"/>
  <c r="U112" i="1"/>
  <c r="AI112" i="1" s="1"/>
  <c r="S112" i="1"/>
  <c r="S179" i="1"/>
  <c r="U179" i="1"/>
  <c r="AI179" i="1" s="1"/>
  <c r="G86" i="1"/>
  <c r="G102" i="1" s="1"/>
  <c r="N86" i="1"/>
  <c r="N102" i="1" s="1"/>
  <c r="Q22" i="1"/>
  <c r="R34" i="1"/>
  <c r="R33" i="1" s="1"/>
  <c r="Q36" i="1"/>
  <c r="L40" i="1"/>
  <c r="L86" i="1" s="1"/>
  <c r="L102" i="1" s="1"/>
  <c r="M57" i="1"/>
  <c r="M40" i="1" s="1"/>
  <c r="M86" i="1" s="1"/>
  <c r="M102" i="1" s="1"/>
  <c r="Q63" i="1"/>
  <c r="R63" i="1" s="1"/>
  <c r="U63" i="1" s="1"/>
  <c r="O167" i="1"/>
  <c r="S92" i="1"/>
  <c r="U100" i="1"/>
  <c r="Q113" i="1"/>
  <c r="R113" i="1" s="1"/>
  <c r="Q123" i="1"/>
  <c r="R123" i="1" s="1"/>
  <c r="U123" i="1" s="1"/>
  <c r="F127" i="1"/>
  <c r="F125" i="1" s="1"/>
  <c r="U133" i="1"/>
  <c r="AI133" i="1" s="1"/>
  <c r="U154" i="1"/>
  <c r="AI154" i="1" s="1"/>
  <c r="G160" i="1"/>
  <c r="G230" i="1" s="1"/>
  <c r="G233" i="1" s="1"/>
  <c r="Q195" i="1"/>
  <c r="G3" i="1"/>
  <c r="G6" i="1"/>
  <c r="M6" i="1"/>
  <c r="Q47" i="1"/>
  <c r="AK47" i="1" s="1"/>
  <c r="Q81" i="1"/>
  <c r="F108" i="1"/>
  <c r="S118" i="1"/>
  <c r="AE118" i="1"/>
  <c r="I160" i="1"/>
  <c r="F169" i="1"/>
  <c r="O206" i="1"/>
  <c r="E208" i="1"/>
  <c r="Q214" i="1"/>
  <c r="R214" i="1" s="1"/>
  <c r="Y232" i="1"/>
  <c r="AI232" i="1"/>
  <c r="G4" i="1"/>
  <c r="P11" i="1"/>
  <c r="P17" i="1"/>
  <c r="F21" i="1"/>
  <c r="Q26" i="1"/>
  <c r="E40" i="1"/>
  <c r="K57" i="1"/>
  <c r="K40" i="1" s="1"/>
  <c r="K86" i="1" s="1"/>
  <c r="I123" i="1"/>
  <c r="Q129" i="1"/>
  <c r="R129" i="1" s="1"/>
  <c r="Q172" i="1"/>
  <c r="R172" i="1" s="1"/>
  <c r="I198" i="1"/>
  <c r="I169" i="1" s="1"/>
  <c r="Q121" i="1"/>
  <c r="Q126" i="1"/>
  <c r="Q109" i="1"/>
  <c r="O108" i="1"/>
  <c r="Q124" i="1"/>
  <c r="Q128" i="1"/>
  <c r="O127" i="1"/>
  <c r="Q158" i="1"/>
  <c r="Q162" i="1"/>
  <c r="O161" i="1"/>
  <c r="O160" i="1" s="1"/>
  <c r="Q187" i="1"/>
  <c r="O182" i="1"/>
  <c r="O149" i="1"/>
  <c r="Q152" i="1"/>
  <c r="Q204" i="1"/>
  <c r="Q176" i="1"/>
  <c r="Q201" i="1"/>
  <c r="O198" i="1"/>
  <c r="Q223" i="1"/>
  <c r="O207" i="1"/>
  <c r="Q211" i="1"/>
  <c r="Q212" i="1"/>
  <c r="Q220" i="1"/>
  <c r="O213" i="1"/>
  <c r="U10" i="1"/>
  <c r="S10" i="1"/>
  <c r="U25" i="1"/>
  <c r="S25" i="1"/>
  <c r="R16" i="1"/>
  <c r="Q14" i="1"/>
  <c r="R22" i="1"/>
  <c r="R26" i="1"/>
  <c r="X28" i="1"/>
  <c r="V28" i="1"/>
  <c r="U30" i="1"/>
  <c r="S30" i="1"/>
  <c r="U38" i="1"/>
  <c r="S38" i="1"/>
  <c r="R36" i="1"/>
  <c r="S36" i="1" s="1"/>
  <c r="X41" i="1"/>
  <c r="V41" i="1"/>
  <c r="R46" i="1"/>
  <c r="U48" i="1"/>
  <c r="S48" i="1"/>
  <c r="S19" i="1"/>
  <c r="U19" i="1"/>
  <c r="U15" i="1"/>
  <c r="S15" i="1"/>
  <c r="R14" i="1"/>
  <c r="U18" i="1"/>
  <c r="S18" i="1"/>
  <c r="R17" i="1"/>
  <c r="U31" i="1"/>
  <c r="S31" i="1"/>
  <c r="X35" i="1"/>
  <c r="V35" i="1"/>
  <c r="X12" i="1"/>
  <c r="V12" i="1"/>
  <c r="U32" i="1"/>
  <c r="S32" i="1"/>
  <c r="U44" i="1"/>
  <c r="S44" i="1"/>
  <c r="U9" i="1"/>
  <c r="S9" i="1"/>
  <c r="R13" i="1"/>
  <c r="Q11" i="1"/>
  <c r="X20" i="1"/>
  <c r="V20" i="1"/>
  <c r="U24" i="1"/>
  <c r="S24" i="1"/>
  <c r="X29" i="1"/>
  <c r="V29" i="1"/>
  <c r="S39" i="1"/>
  <c r="U39" i="1"/>
  <c r="U42" i="1"/>
  <c r="S42" i="1"/>
  <c r="U49" i="1"/>
  <c r="S49" i="1"/>
  <c r="S12" i="1"/>
  <c r="Q17" i="1"/>
  <c r="S20" i="1"/>
  <c r="S23" i="1"/>
  <c r="U27" i="1"/>
  <c r="S28" i="1"/>
  <c r="S29" i="1"/>
  <c r="S35" i="1"/>
  <c r="S41" i="1"/>
  <c r="R200" i="1"/>
  <c r="U56" i="1"/>
  <c r="S56" i="1"/>
  <c r="U61" i="1"/>
  <c r="S61" i="1"/>
  <c r="S63" i="1"/>
  <c r="U75" i="1"/>
  <c r="S75" i="1"/>
  <c r="U79" i="1"/>
  <c r="S79" i="1"/>
  <c r="U85" i="1"/>
  <c r="S85" i="1"/>
  <c r="X97" i="1"/>
  <c r="V97" i="1"/>
  <c r="S116" i="1"/>
  <c r="U116" i="1"/>
  <c r="U23" i="1"/>
  <c r="U34" i="1"/>
  <c r="Q43" i="1"/>
  <c r="U62" i="1"/>
  <c r="S62" i="1"/>
  <c r="U64" i="1"/>
  <c r="S64" i="1"/>
  <c r="U70" i="1"/>
  <c r="S70" i="1"/>
  <c r="U80" i="1"/>
  <c r="S80" i="1"/>
  <c r="F6" i="1"/>
  <c r="L198" i="1"/>
  <c r="Q199" i="1"/>
  <c r="U52" i="1"/>
  <c r="S52" i="1"/>
  <c r="S53" i="1"/>
  <c r="U53" i="1"/>
  <c r="U54" i="1"/>
  <c r="S54" i="1"/>
  <c r="X60" i="1"/>
  <c r="V60" i="1"/>
  <c r="U65" i="1"/>
  <c r="S65" i="1"/>
  <c r="X67" i="1"/>
  <c r="V67" i="1"/>
  <c r="U68" i="1"/>
  <c r="S68" i="1"/>
  <c r="U71" i="1"/>
  <c r="S71" i="1"/>
  <c r="AD94" i="1"/>
  <c r="AE94" i="1" s="1"/>
  <c r="AB94" i="1"/>
  <c r="AA96" i="1"/>
  <c r="E86" i="1"/>
  <c r="E102" i="1" s="1"/>
  <c r="U51" i="1"/>
  <c r="S51" i="1"/>
  <c r="U58" i="1"/>
  <c r="S58" i="1"/>
  <c r="U69" i="1"/>
  <c r="S69" i="1"/>
  <c r="Q73" i="1"/>
  <c r="R74" i="1"/>
  <c r="R77" i="1"/>
  <c r="U78" i="1"/>
  <c r="S78" i="1"/>
  <c r="X92" i="1"/>
  <c r="V92" i="1"/>
  <c r="Q55" i="1"/>
  <c r="R55" i="1" s="1"/>
  <c r="Q59" i="1"/>
  <c r="U66" i="1"/>
  <c r="P73" i="1"/>
  <c r="U82" i="1"/>
  <c r="U83" i="1"/>
  <c r="U84" i="1"/>
  <c r="Y88" i="1"/>
  <c r="U93" i="1"/>
  <c r="Y94" i="1"/>
  <c r="V96" i="1"/>
  <c r="S97" i="1"/>
  <c r="X98" i="1"/>
  <c r="V98" i="1"/>
  <c r="V101" i="1"/>
  <c r="X101" i="1"/>
  <c r="P108" i="1"/>
  <c r="U111" i="1"/>
  <c r="S111" i="1"/>
  <c r="AB118" i="1"/>
  <c r="X130" i="1"/>
  <c r="AI130" i="1"/>
  <c r="S131" i="1"/>
  <c r="U131" i="1"/>
  <c r="R153" i="1"/>
  <c r="O180" i="1"/>
  <c r="O171" i="1" s="1"/>
  <c r="M171" i="1"/>
  <c r="Q202" i="1"/>
  <c r="M198" i="1"/>
  <c r="R224" i="1"/>
  <c r="Q167" i="1"/>
  <c r="Q77" i="1"/>
  <c r="Q76" i="1" s="1"/>
  <c r="R81" i="1"/>
  <c r="Q90" i="1"/>
  <c r="R110" i="1"/>
  <c r="V130" i="1"/>
  <c r="R138" i="1"/>
  <c r="Q142" i="1"/>
  <c r="K141" i="1"/>
  <c r="K125" i="1" s="1"/>
  <c r="R90" i="1"/>
  <c r="V99" i="1"/>
  <c r="X99" i="1"/>
  <c r="AI114" i="1"/>
  <c r="X114" i="1"/>
  <c r="V114" i="1"/>
  <c r="S117" i="1"/>
  <c r="U117" i="1"/>
  <c r="Q146" i="1"/>
  <c r="R151" i="1"/>
  <c r="P165" i="1"/>
  <c r="M164" i="1"/>
  <c r="M160" i="1" s="1"/>
  <c r="Q72" i="1"/>
  <c r="R72" i="1" s="1"/>
  <c r="U89" i="1"/>
  <c r="R87" i="1"/>
  <c r="V100" i="1"/>
  <c r="X100" i="1"/>
  <c r="S114" i="1"/>
  <c r="R115" i="1"/>
  <c r="Q120" i="1"/>
  <c r="P119" i="1"/>
  <c r="S122" i="1"/>
  <c r="U122" i="1"/>
  <c r="V133" i="1"/>
  <c r="X133" i="1"/>
  <c r="AI118" i="1"/>
  <c r="S130" i="1"/>
  <c r="S134" i="1"/>
  <c r="S135" i="1"/>
  <c r="Q136" i="1"/>
  <c r="S140" i="1"/>
  <c r="Q150" i="1"/>
  <c r="S155" i="1"/>
  <c r="U163" i="1"/>
  <c r="S163" i="1"/>
  <c r="Q166" i="1"/>
  <c r="R168" i="1"/>
  <c r="AH108" i="1"/>
  <c r="U137" i="1"/>
  <c r="Q139" i="1"/>
  <c r="U143" i="1"/>
  <c r="N230" i="1"/>
  <c r="N233" i="1" s="1"/>
  <c r="N234" i="1" s="1"/>
  <c r="AI134" i="1"/>
  <c r="X134" i="1"/>
  <c r="X135" i="1"/>
  <c r="AI135" i="1"/>
  <c r="X140" i="1"/>
  <c r="AI140" i="1"/>
  <c r="AI155" i="1"/>
  <c r="X155" i="1"/>
  <c r="V155" i="1"/>
  <c r="U157" i="1"/>
  <c r="S157" i="1"/>
  <c r="U159" i="1"/>
  <c r="S159" i="1"/>
  <c r="U156" i="1"/>
  <c r="V177" i="1"/>
  <c r="X177" i="1"/>
  <c r="U185" i="1"/>
  <c r="S185" i="1"/>
  <c r="S188" i="1"/>
  <c r="Q194" i="1"/>
  <c r="R195" i="1"/>
  <c r="R205" i="1"/>
  <c r="U205" i="1" s="1"/>
  <c r="V170" i="1"/>
  <c r="K171" i="1"/>
  <c r="S172" i="1"/>
  <c r="X174" i="1"/>
  <c r="R175" i="1"/>
  <c r="S178" i="1"/>
  <c r="U178" i="1"/>
  <c r="AI186" i="1"/>
  <c r="X186" i="1"/>
  <c r="V186" i="1"/>
  <c r="K164" i="1"/>
  <c r="K160" i="1" s="1"/>
  <c r="Y170" i="1"/>
  <c r="AI170" i="1"/>
  <c r="U172" i="1"/>
  <c r="AI174" i="1"/>
  <c r="AI177" i="1"/>
  <c r="U183" i="1"/>
  <c r="S183" i="1"/>
  <c r="R196" i="1"/>
  <c r="S170" i="1"/>
  <c r="AA170" i="1"/>
  <c r="R173" i="1"/>
  <c r="V179" i="1"/>
  <c r="X179" i="1"/>
  <c r="Q180" i="1"/>
  <c r="Q182" i="1"/>
  <c r="AI184" i="1"/>
  <c r="X184" i="1"/>
  <c r="V184" i="1"/>
  <c r="S192" i="1"/>
  <c r="Q206" i="1"/>
  <c r="L207" i="1"/>
  <c r="L169" i="1" s="1"/>
  <c r="L230" i="1" s="1"/>
  <c r="L233" i="1" s="1"/>
  <c r="Q208" i="1"/>
  <c r="U219" i="1"/>
  <c r="S219" i="1"/>
  <c r="S190" i="1"/>
  <c r="R197" i="1"/>
  <c r="R203" i="1"/>
  <c r="AA216" i="1"/>
  <c r="Y216" i="1"/>
  <c r="U218" i="1"/>
  <c r="S218" i="1"/>
  <c r="R222" i="1"/>
  <c r="U229" i="1"/>
  <c r="S229" i="1"/>
  <c r="R231" i="1"/>
  <c r="U193" i="1"/>
  <c r="U209" i="1"/>
  <c r="S209" i="1"/>
  <c r="K213" i="1"/>
  <c r="X210" i="1"/>
  <c r="V210" i="1"/>
  <c r="Q225" i="1"/>
  <c r="U215" i="1"/>
  <c r="V216" i="1"/>
  <c r="AI216" i="1"/>
  <c r="U217" i="1"/>
  <c r="R221" i="1"/>
  <c r="R228" i="1"/>
  <c r="S216" i="1"/>
  <c r="O144" i="1"/>
  <c r="O145" i="1"/>
  <c r="E6" i="1" l="1"/>
  <c r="S33" i="1"/>
  <c r="Q7" i="1"/>
  <c r="Q4" i="1" s="1"/>
  <c r="Q149" i="1"/>
  <c r="S14" i="1"/>
  <c r="V112" i="1"/>
  <c r="AK86" i="1"/>
  <c r="AH102" i="1"/>
  <c r="X154" i="1"/>
  <c r="X132" i="1"/>
  <c r="Y132" i="1" s="1"/>
  <c r="S34" i="1"/>
  <c r="S26" i="1"/>
  <c r="F86" i="1"/>
  <c r="F102" i="1" s="1"/>
  <c r="Q213" i="1"/>
  <c r="V154" i="1"/>
  <c r="V132" i="1"/>
  <c r="O169" i="1"/>
  <c r="AD88" i="1"/>
  <c r="AI88" i="1" s="1"/>
  <c r="I230" i="1"/>
  <c r="M125" i="1"/>
  <c r="S81" i="1"/>
  <c r="G234" i="1"/>
  <c r="X112" i="1"/>
  <c r="Y112" i="1" s="1"/>
  <c r="P86" i="1"/>
  <c r="P102" i="1" s="1"/>
  <c r="K169" i="1"/>
  <c r="K230" i="1" s="1"/>
  <c r="K233" i="1" s="1"/>
  <c r="P6" i="1"/>
  <c r="K102" i="1"/>
  <c r="K88" i="1"/>
  <c r="Q88" i="1" s="1"/>
  <c r="Q87" i="1" s="1"/>
  <c r="S87" i="1" s="1"/>
  <c r="AA37" i="1"/>
  <c r="AB37" i="1" s="1"/>
  <c r="Q45" i="1"/>
  <c r="Q3" i="1" s="1"/>
  <c r="V50" i="1"/>
  <c r="X50" i="1"/>
  <c r="L234" i="1"/>
  <c r="V37" i="1"/>
  <c r="R47" i="1"/>
  <c r="F230" i="1"/>
  <c r="F233" i="1" s="1"/>
  <c r="F234" i="1" s="1"/>
  <c r="X95" i="1"/>
  <c r="V95" i="1"/>
  <c r="X122" i="1"/>
  <c r="Q21" i="1"/>
  <c r="O141" i="1"/>
  <c r="O125" i="1" s="1"/>
  <c r="O230" i="1" s="1"/>
  <c r="Q144" i="1"/>
  <c r="Q145" i="1"/>
  <c r="V123" i="1"/>
  <c r="AI123" i="1"/>
  <c r="Y122" i="1"/>
  <c r="AB216" i="1"/>
  <c r="AD216" i="1"/>
  <c r="AE216" i="1" s="1"/>
  <c r="S175" i="1"/>
  <c r="U175" i="1"/>
  <c r="U221" i="1"/>
  <c r="S221" i="1"/>
  <c r="X183" i="1"/>
  <c r="AI183" i="1"/>
  <c r="V183" i="1"/>
  <c r="AA174" i="1"/>
  <c r="Y174" i="1"/>
  <c r="S115" i="1"/>
  <c r="U115" i="1"/>
  <c r="Y130" i="1"/>
  <c r="AA130" i="1"/>
  <c r="U55" i="1"/>
  <c r="S55" i="1"/>
  <c r="U74" i="1"/>
  <c r="R73" i="1"/>
  <c r="S73" i="1" s="1"/>
  <c r="S74" i="1"/>
  <c r="X51" i="1"/>
  <c r="V51" i="1"/>
  <c r="AA67" i="1"/>
  <c r="Y67" i="1"/>
  <c r="AA60" i="1"/>
  <c r="Y60" i="1"/>
  <c r="V75" i="1"/>
  <c r="X75" i="1"/>
  <c r="S13" i="1"/>
  <c r="R11" i="1"/>
  <c r="S11" i="1" s="1"/>
  <c r="U13" i="1"/>
  <c r="V44" i="1"/>
  <c r="X44" i="1"/>
  <c r="AA35" i="1"/>
  <c r="Y35" i="1"/>
  <c r="S17" i="1"/>
  <c r="U46" i="1"/>
  <c r="S46" i="1"/>
  <c r="R45" i="1"/>
  <c r="AA41" i="1"/>
  <c r="Y41" i="1"/>
  <c r="Q6" i="1"/>
  <c r="X10" i="1"/>
  <c r="V10" i="1"/>
  <c r="R211" i="1"/>
  <c r="R201" i="1"/>
  <c r="R152" i="1"/>
  <c r="R109" i="1"/>
  <c r="Q108" i="1"/>
  <c r="AA184" i="1"/>
  <c r="Y184" i="1"/>
  <c r="AI205" i="1"/>
  <c r="V205" i="1"/>
  <c r="X205" i="1"/>
  <c r="X159" i="1"/>
  <c r="V159" i="1"/>
  <c r="AI159" i="1"/>
  <c r="V209" i="1"/>
  <c r="AI209" i="1"/>
  <c r="X209" i="1"/>
  <c r="R206" i="1"/>
  <c r="AD170" i="1"/>
  <c r="AB170" i="1"/>
  <c r="R194" i="1"/>
  <c r="S194" i="1" s="1"/>
  <c r="U195" i="1"/>
  <c r="S195" i="1"/>
  <c r="AA155" i="1"/>
  <c r="Y155" i="1"/>
  <c r="AA135" i="1"/>
  <c r="Y135" i="1"/>
  <c r="U168" i="1"/>
  <c r="S168" i="1"/>
  <c r="R136" i="1"/>
  <c r="R146" i="1"/>
  <c r="U153" i="1"/>
  <c r="S153" i="1"/>
  <c r="E234" i="1"/>
  <c r="X71" i="1"/>
  <c r="V71" i="1"/>
  <c r="Y97" i="1"/>
  <c r="AA97" i="1"/>
  <c r="U47" i="1"/>
  <c r="S47" i="1"/>
  <c r="X217" i="1"/>
  <c r="V217" i="1"/>
  <c r="AI217" i="1"/>
  <c r="Y210" i="1"/>
  <c r="AA210" i="1"/>
  <c r="V193" i="1"/>
  <c r="AI193" i="1"/>
  <c r="AI229" i="1"/>
  <c r="X229" i="1"/>
  <c r="V229" i="1"/>
  <c r="X218" i="1"/>
  <c r="V218" i="1"/>
  <c r="AI218" i="1"/>
  <c r="S173" i="1"/>
  <c r="U173" i="1"/>
  <c r="V172" i="1"/>
  <c r="X172" i="1"/>
  <c r="AI172" i="1"/>
  <c r="AA186" i="1"/>
  <c r="Y186" i="1"/>
  <c r="V178" i="1"/>
  <c r="AI178" i="1"/>
  <c r="X178" i="1"/>
  <c r="Y177" i="1"/>
  <c r="AA177" i="1"/>
  <c r="AI157" i="1"/>
  <c r="X157" i="1"/>
  <c r="V157" i="1"/>
  <c r="AA140" i="1"/>
  <c r="Y140" i="1"/>
  <c r="AA134" i="1"/>
  <c r="Y134" i="1"/>
  <c r="R139" i="1"/>
  <c r="R150" i="1"/>
  <c r="Y133" i="1"/>
  <c r="AA133" i="1"/>
  <c r="X89" i="1"/>
  <c r="V89" i="1"/>
  <c r="P164" i="1"/>
  <c r="P160" i="1" s="1"/>
  <c r="P230" i="1" s="1"/>
  <c r="P233" i="1" s="1"/>
  <c r="Q165" i="1"/>
  <c r="S113" i="1"/>
  <c r="U113" i="1"/>
  <c r="S90" i="1"/>
  <c r="R104" i="1"/>
  <c r="R142" i="1"/>
  <c r="M169" i="1"/>
  <c r="V131" i="1"/>
  <c r="X131" i="1"/>
  <c r="AI131" i="1"/>
  <c r="X111" i="1"/>
  <c r="AI111" i="1"/>
  <c r="V111" i="1"/>
  <c r="U87" i="1"/>
  <c r="V87" i="1" s="1"/>
  <c r="AB96" i="1"/>
  <c r="AD96" i="1"/>
  <c r="X70" i="1"/>
  <c r="V70" i="1"/>
  <c r="X62" i="1"/>
  <c r="V62" i="1"/>
  <c r="X23" i="1"/>
  <c r="V23" i="1"/>
  <c r="U22" i="1"/>
  <c r="V116" i="1"/>
  <c r="AI116" i="1"/>
  <c r="X116" i="1"/>
  <c r="X79" i="1"/>
  <c r="V79" i="1"/>
  <c r="U200" i="1"/>
  <c r="S200" i="1"/>
  <c r="U26" i="1"/>
  <c r="V26" i="1" s="1"/>
  <c r="X27" i="1"/>
  <c r="V27" i="1"/>
  <c r="V42" i="1"/>
  <c r="X42" i="1"/>
  <c r="AA20" i="1"/>
  <c r="Y20" i="1"/>
  <c r="AA12" i="1"/>
  <c r="Y12" i="1"/>
  <c r="AD37" i="1"/>
  <c r="V15" i="1"/>
  <c r="X15" i="1"/>
  <c r="V30" i="1"/>
  <c r="X30" i="1"/>
  <c r="S22" i="1"/>
  <c r="R21" i="1"/>
  <c r="Q161" i="1"/>
  <c r="R162" i="1"/>
  <c r="R128" i="1"/>
  <c r="Q127" i="1"/>
  <c r="R126" i="1"/>
  <c r="U197" i="1"/>
  <c r="S197" i="1"/>
  <c r="X156" i="1"/>
  <c r="V156" i="1"/>
  <c r="AI156" i="1"/>
  <c r="X215" i="1"/>
  <c r="V215" i="1"/>
  <c r="AI215" i="1"/>
  <c r="U214" i="1"/>
  <c r="S214" i="1"/>
  <c r="S196" i="1"/>
  <c r="U196" i="1"/>
  <c r="I233" i="1"/>
  <c r="I234" i="1" s="1"/>
  <c r="X163" i="1"/>
  <c r="V163" i="1"/>
  <c r="AI163" i="1"/>
  <c r="V117" i="1"/>
  <c r="AI117" i="1"/>
  <c r="X117" i="1"/>
  <c r="AA112" i="1"/>
  <c r="R202" i="1"/>
  <c r="Y101" i="1"/>
  <c r="AA101" i="1"/>
  <c r="U81" i="1"/>
  <c r="V81" i="1" s="1"/>
  <c r="X82" i="1"/>
  <c r="V82" i="1"/>
  <c r="AA92" i="1"/>
  <c r="Y92" i="1"/>
  <c r="X34" i="1"/>
  <c r="V34" i="1"/>
  <c r="U33" i="1"/>
  <c r="V33" i="1" s="1"/>
  <c r="V61" i="1"/>
  <c r="X61" i="1"/>
  <c r="U228" i="1"/>
  <c r="S228" i="1"/>
  <c r="R225" i="1"/>
  <c r="S225" i="1" s="1"/>
  <c r="U231" i="1"/>
  <c r="S231" i="1"/>
  <c r="U222" i="1"/>
  <c r="S222" i="1"/>
  <c r="U203" i="1"/>
  <c r="S203" i="1"/>
  <c r="V219" i="1"/>
  <c r="AI219" i="1"/>
  <c r="X219" i="1"/>
  <c r="R208" i="1"/>
  <c r="Q207" i="1"/>
  <c r="X193" i="1"/>
  <c r="U192" i="1"/>
  <c r="R180" i="1"/>
  <c r="Q171" i="1"/>
  <c r="V143" i="1"/>
  <c r="AI143" i="1"/>
  <c r="X143" i="1"/>
  <c r="V137" i="1"/>
  <c r="AI137" i="1"/>
  <c r="X137" i="1"/>
  <c r="AH230" i="1"/>
  <c r="R166" i="1"/>
  <c r="S123" i="1"/>
  <c r="X123" i="1" s="1"/>
  <c r="R120" i="1"/>
  <c r="Q119" i="1"/>
  <c r="Y100" i="1"/>
  <c r="AA100" i="1"/>
  <c r="U110" i="1"/>
  <c r="S110" i="1"/>
  <c r="S224" i="1"/>
  <c r="U224" i="1"/>
  <c r="X84" i="1"/>
  <c r="V84" i="1"/>
  <c r="X66" i="1"/>
  <c r="V66" i="1"/>
  <c r="X78" i="1"/>
  <c r="V78" i="1"/>
  <c r="U77" i="1"/>
  <c r="X58" i="1"/>
  <c r="V58" i="1"/>
  <c r="X68" i="1"/>
  <c r="V68" i="1"/>
  <c r="X65" i="1"/>
  <c r="V65" i="1"/>
  <c r="X54" i="1"/>
  <c r="V54" i="1"/>
  <c r="X52" i="1"/>
  <c r="V52" i="1"/>
  <c r="X80" i="1"/>
  <c r="V80" i="1"/>
  <c r="R43" i="1"/>
  <c r="X85" i="1"/>
  <c r="V85" i="1"/>
  <c r="X63" i="1"/>
  <c r="V63" i="1"/>
  <c r="U8" i="1"/>
  <c r="R7" i="1"/>
  <c r="S8" i="1"/>
  <c r="AA29" i="1"/>
  <c r="Y29" i="1"/>
  <c r="V24" i="1"/>
  <c r="X24" i="1"/>
  <c r="V9" i="1"/>
  <c r="X9" i="1"/>
  <c r="X32" i="1"/>
  <c r="V32" i="1"/>
  <c r="V18" i="1"/>
  <c r="U17" i="1"/>
  <c r="V17" i="1" s="1"/>
  <c r="X18" i="1"/>
  <c r="X19" i="1"/>
  <c r="V19" i="1"/>
  <c r="V48" i="1"/>
  <c r="X48" i="1"/>
  <c r="V25" i="1"/>
  <c r="X25" i="1"/>
  <c r="R220" i="1"/>
  <c r="R213" i="1" s="1"/>
  <c r="S213" i="1" s="1"/>
  <c r="R223" i="1"/>
  <c r="R176" i="1"/>
  <c r="R158" i="1"/>
  <c r="R124" i="1"/>
  <c r="Y179" i="1"/>
  <c r="AA179" i="1"/>
  <c r="X185" i="1"/>
  <c r="AI185" i="1"/>
  <c r="V185" i="1"/>
  <c r="Y154" i="1"/>
  <c r="AA154" i="1"/>
  <c r="U129" i="1"/>
  <c r="S129" i="1"/>
  <c r="V122" i="1"/>
  <c r="AI122" i="1"/>
  <c r="U72" i="1"/>
  <c r="S72" i="1"/>
  <c r="U151" i="1"/>
  <c r="S151" i="1"/>
  <c r="AA114" i="1"/>
  <c r="Y114" i="1"/>
  <c r="Y99" i="1"/>
  <c r="AA99" i="1"/>
  <c r="U138" i="1"/>
  <c r="S138" i="1"/>
  <c r="R167" i="1"/>
  <c r="AA98" i="1"/>
  <c r="Y98" i="1"/>
  <c r="X93" i="1"/>
  <c r="V93" i="1"/>
  <c r="X83" i="1"/>
  <c r="V83" i="1"/>
  <c r="R59" i="1"/>
  <c r="Q57" i="1"/>
  <c r="U90" i="1"/>
  <c r="S77" i="1"/>
  <c r="R76" i="1"/>
  <c r="S76" i="1" s="1"/>
  <c r="X69" i="1"/>
  <c r="V69" i="1"/>
  <c r="AE88" i="1"/>
  <c r="V53" i="1"/>
  <c r="X53" i="1"/>
  <c r="R199" i="1"/>
  <c r="Q198" i="1"/>
  <c r="X64" i="1"/>
  <c r="V64" i="1"/>
  <c r="X56" i="1"/>
  <c r="V56" i="1"/>
  <c r="X49" i="1"/>
  <c r="V49" i="1"/>
  <c r="X39" i="1"/>
  <c r="V39" i="1"/>
  <c r="V31" i="1"/>
  <c r="X31" i="1"/>
  <c r="V38" i="1"/>
  <c r="U36" i="1"/>
  <c r="V36" i="1" s="1"/>
  <c r="X38" i="1"/>
  <c r="AA28" i="1"/>
  <c r="Y28" i="1"/>
  <c r="U16" i="1"/>
  <c r="U14" i="1" s="1"/>
  <c r="V14" i="1" s="1"/>
  <c r="S16" i="1"/>
  <c r="R212" i="1"/>
  <c r="R204" i="1"/>
  <c r="R187" i="1"/>
  <c r="R121" i="1"/>
  <c r="M230" i="1" l="1"/>
  <c r="M233" i="1" s="1"/>
  <c r="M234" i="1" s="1"/>
  <c r="P234" i="1"/>
  <c r="K234" i="1"/>
  <c r="Q40" i="1"/>
  <c r="Q86" i="1" s="1"/>
  <c r="Q102" i="1" s="1"/>
  <c r="AA132" i="1"/>
  <c r="Q141" i="1"/>
  <c r="Q125" i="1" s="1"/>
  <c r="S88" i="1"/>
  <c r="S21" i="1"/>
  <c r="AA123" i="1"/>
  <c r="AB123" i="1" s="1"/>
  <c r="AA50" i="1"/>
  <c r="Y50" i="1"/>
  <c r="AA122" i="1"/>
  <c r="AB122" i="1" s="1"/>
  <c r="Y95" i="1"/>
  <c r="AA95" i="1"/>
  <c r="O233" i="1"/>
  <c r="U187" i="1"/>
  <c r="S187" i="1"/>
  <c r="R182" i="1"/>
  <c r="S182" i="1" s="1"/>
  <c r="Y39" i="1"/>
  <c r="AA39" i="1"/>
  <c r="U121" i="1"/>
  <c r="S121" i="1"/>
  <c r="AA31" i="1"/>
  <c r="Y31" i="1"/>
  <c r="AA69" i="1"/>
  <c r="Y69" i="1"/>
  <c r="AI138" i="1"/>
  <c r="X138" i="1"/>
  <c r="V138" i="1"/>
  <c r="AD114" i="1"/>
  <c r="AE114" i="1" s="1"/>
  <c r="AB114" i="1"/>
  <c r="V72" i="1"/>
  <c r="X72" i="1"/>
  <c r="AA25" i="1"/>
  <c r="Y25" i="1"/>
  <c r="AA9" i="1"/>
  <c r="Y9" i="1"/>
  <c r="V8" i="1"/>
  <c r="X8" i="1"/>
  <c r="U7" i="1"/>
  <c r="AA85" i="1"/>
  <c r="Y85" i="1"/>
  <c r="AA80" i="1"/>
  <c r="Y80" i="1"/>
  <c r="AH233" i="1"/>
  <c r="Y143" i="1"/>
  <c r="AA143" i="1"/>
  <c r="S180" i="1"/>
  <c r="U180" i="1"/>
  <c r="AA61" i="1"/>
  <c r="Y61" i="1"/>
  <c r="X33" i="1"/>
  <c r="Y33" i="1" s="1"/>
  <c r="AA34" i="1"/>
  <c r="Y34" i="1"/>
  <c r="AD112" i="1"/>
  <c r="AE112" i="1" s="1"/>
  <c r="AB112" i="1"/>
  <c r="X196" i="1"/>
  <c r="V196" i="1"/>
  <c r="AI196" i="1"/>
  <c r="X197" i="1"/>
  <c r="V197" i="1"/>
  <c r="U162" i="1"/>
  <c r="R161" i="1"/>
  <c r="S162" i="1"/>
  <c r="AA30" i="1"/>
  <c r="Y30" i="1"/>
  <c r="AE37" i="1"/>
  <c r="AI37" i="1"/>
  <c r="AA79" i="1"/>
  <c r="Y79" i="1"/>
  <c r="U21" i="1"/>
  <c r="V21" i="1" s="1"/>
  <c r="V22" i="1"/>
  <c r="AA70" i="1"/>
  <c r="Y70" i="1"/>
  <c r="AD140" i="1"/>
  <c r="AE140" i="1" s="1"/>
  <c r="AB140" i="1"/>
  <c r="AB177" i="1"/>
  <c r="AD177" i="1"/>
  <c r="AE177" i="1" s="1"/>
  <c r="AI173" i="1"/>
  <c r="X173" i="1"/>
  <c r="V173" i="1"/>
  <c r="AD210" i="1"/>
  <c r="AE210" i="1" s="1"/>
  <c r="AB210" i="1"/>
  <c r="Y217" i="1"/>
  <c r="AA217" i="1"/>
  <c r="AA209" i="1"/>
  <c r="Y209" i="1"/>
  <c r="S109" i="1"/>
  <c r="R108" i="1"/>
  <c r="U109" i="1"/>
  <c r="U201" i="1"/>
  <c r="S201" i="1"/>
  <c r="AA75" i="1"/>
  <c r="Y75" i="1"/>
  <c r="X55" i="1"/>
  <c r="V55" i="1"/>
  <c r="V221" i="1"/>
  <c r="AI221" i="1"/>
  <c r="X221" i="1"/>
  <c r="AD28" i="1"/>
  <c r="AB28" i="1"/>
  <c r="AA64" i="1"/>
  <c r="Y64" i="1"/>
  <c r="S204" i="1"/>
  <c r="U204" i="1"/>
  <c r="AA38" i="1"/>
  <c r="Y38" i="1"/>
  <c r="X36" i="1"/>
  <c r="Y36" i="1" s="1"/>
  <c r="X16" i="1"/>
  <c r="V16" i="1"/>
  <c r="AA49" i="1"/>
  <c r="Y49" i="1"/>
  <c r="AA56" i="1"/>
  <c r="Y56" i="1"/>
  <c r="U59" i="1"/>
  <c r="S59" i="1"/>
  <c r="R57" i="1"/>
  <c r="S57" i="1" s="1"/>
  <c r="Y93" i="1"/>
  <c r="AA93" i="1"/>
  <c r="AB99" i="1"/>
  <c r="AD99" i="1"/>
  <c r="AI129" i="1"/>
  <c r="V129" i="1"/>
  <c r="X129" i="1"/>
  <c r="U158" i="1"/>
  <c r="S158" i="1"/>
  <c r="U223" i="1"/>
  <c r="S223" i="1"/>
  <c r="AD29" i="1"/>
  <c r="AB29" i="1"/>
  <c r="S43" i="1"/>
  <c r="U43" i="1"/>
  <c r="R40" i="1"/>
  <c r="AA54" i="1"/>
  <c r="Y54" i="1"/>
  <c r="AA68" i="1"/>
  <c r="Y68" i="1"/>
  <c r="X77" i="1"/>
  <c r="AA78" i="1"/>
  <c r="Y78" i="1"/>
  <c r="Y84" i="1"/>
  <c r="AA84" i="1"/>
  <c r="X110" i="1"/>
  <c r="V110" i="1"/>
  <c r="AI110" i="1"/>
  <c r="S120" i="1"/>
  <c r="R119" i="1"/>
  <c r="S119" i="1" s="1"/>
  <c r="U120" i="1"/>
  <c r="Y137" i="1"/>
  <c r="AA137" i="1"/>
  <c r="X222" i="1"/>
  <c r="V222" i="1"/>
  <c r="Y82" i="1"/>
  <c r="X81" i="1"/>
  <c r="Y81" i="1" s="1"/>
  <c r="AA82" i="1"/>
  <c r="AA163" i="1"/>
  <c r="Y163" i="1"/>
  <c r="S128" i="1"/>
  <c r="R127" i="1"/>
  <c r="S127" i="1" s="1"/>
  <c r="U128" i="1"/>
  <c r="AD20" i="1"/>
  <c r="AB20" i="1"/>
  <c r="Y116" i="1"/>
  <c r="AA116" i="1"/>
  <c r="AE96" i="1"/>
  <c r="AI96" i="1"/>
  <c r="AA131" i="1"/>
  <c r="Y131" i="1"/>
  <c r="AB132" i="1"/>
  <c r="AD132" i="1"/>
  <c r="AE132" i="1" s="1"/>
  <c r="S150" i="1"/>
  <c r="U150" i="1"/>
  <c r="R149" i="1"/>
  <c r="S149" i="1" s="1"/>
  <c r="Y218" i="1"/>
  <c r="AA218" i="1"/>
  <c r="X153" i="1"/>
  <c r="AI153" i="1"/>
  <c r="V153" i="1"/>
  <c r="U136" i="1"/>
  <c r="S136" i="1"/>
  <c r="AD135" i="1"/>
  <c r="AE135" i="1" s="1"/>
  <c r="AB135" i="1"/>
  <c r="V195" i="1"/>
  <c r="AI195" i="1"/>
  <c r="U194" i="1"/>
  <c r="X195" i="1"/>
  <c r="AE170" i="1"/>
  <c r="AA159" i="1"/>
  <c r="Y159" i="1"/>
  <c r="AA10" i="1"/>
  <c r="Y10" i="1"/>
  <c r="S45" i="1"/>
  <c r="S3" i="1" s="1"/>
  <c r="R3" i="1"/>
  <c r="X13" i="1"/>
  <c r="V13" i="1"/>
  <c r="U11" i="1"/>
  <c r="V11" i="1" s="1"/>
  <c r="AD67" i="1"/>
  <c r="AB67" i="1"/>
  <c r="AD130" i="1"/>
  <c r="AE130" i="1" s="1"/>
  <c r="AB130" i="1"/>
  <c r="AI175" i="1"/>
  <c r="V175" i="1"/>
  <c r="X175" i="1"/>
  <c r="R145" i="1"/>
  <c r="U145" i="1" s="1"/>
  <c r="S199" i="1"/>
  <c r="R198" i="1"/>
  <c r="S198" i="1" s="1"/>
  <c r="U199" i="1"/>
  <c r="U167" i="1"/>
  <c r="S167" i="1"/>
  <c r="AI151" i="1"/>
  <c r="X151" i="1"/>
  <c r="V151" i="1"/>
  <c r="AB154" i="1"/>
  <c r="AD154" i="1"/>
  <c r="AE154" i="1" s="1"/>
  <c r="AA185" i="1"/>
  <c r="Y185" i="1"/>
  <c r="S124" i="1"/>
  <c r="U124" i="1"/>
  <c r="S176" i="1"/>
  <c r="U176" i="1"/>
  <c r="R171" i="1"/>
  <c r="U220" i="1"/>
  <c r="U213" i="1" s="1"/>
  <c r="S220" i="1"/>
  <c r="Y19" i="1"/>
  <c r="AA19" i="1"/>
  <c r="AA24" i="1"/>
  <c r="Y24" i="1"/>
  <c r="AA63" i="1"/>
  <c r="Y63" i="1"/>
  <c r="AA58" i="1"/>
  <c r="Y58" i="1"/>
  <c r="X224" i="1"/>
  <c r="V224" i="1"/>
  <c r="AI224" i="1"/>
  <c r="AB100" i="1"/>
  <c r="AD100" i="1"/>
  <c r="U166" i="1"/>
  <c r="S166" i="1"/>
  <c r="V192" i="1"/>
  <c r="X192" i="1" s="1"/>
  <c r="AI192" i="1"/>
  <c r="S208" i="1"/>
  <c r="R207" i="1"/>
  <c r="S207" i="1" s="1"/>
  <c r="U208" i="1"/>
  <c r="AD92" i="1"/>
  <c r="AB92" i="1"/>
  <c r="U202" i="1"/>
  <c r="S202" i="1"/>
  <c r="Y117" i="1"/>
  <c r="AA117" i="1"/>
  <c r="Y156" i="1"/>
  <c r="AA156" i="1"/>
  <c r="AD12" i="1"/>
  <c r="AB12" i="1"/>
  <c r="AA42" i="1"/>
  <c r="Y42" i="1"/>
  <c r="V200" i="1"/>
  <c r="X200" i="1"/>
  <c r="X22" i="1"/>
  <c r="AA23" i="1"/>
  <c r="Y23" i="1"/>
  <c r="AA62" i="1"/>
  <c r="Y62" i="1"/>
  <c r="S142" i="1"/>
  <c r="U142" i="1"/>
  <c r="V113" i="1"/>
  <c r="X113" i="1"/>
  <c r="AI113" i="1"/>
  <c r="AA89" i="1"/>
  <c r="Y89" i="1"/>
  <c r="X87" i="1"/>
  <c r="Y87" i="1" s="1"/>
  <c r="AD134" i="1"/>
  <c r="AE134" i="1" s="1"/>
  <c r="AB134" i="1"/>
  <c r="AA157" i="1"/>
  <c r="Y157" i="1"/>
  <c r="AA172" i="1"/>
  <c r="Y172" i="1"/>
  <c r="V47" i="1"/>
  <c r="X47" i="1"/>
  <c r="AA71" i="1"/>
  <c r="Y71" i="1"/>
  <c r="AA205" i="1"/>
  <c r="Y205" i="1"/>
  <c r="AD184" i="1"/>
  <c r="AE184" i="1" s="1"/>
  <c r="AB184" i="1"/>
  <c r="S152" i="1"/>
  <c r="U152" i="1"/>
  <c r="AD35" i="1"/>
  <c r="AB35" i="1"/>
  <c r="V74" i="1"/>
  <c r="X74" i="1"/>
  <c r="U73" i="1"/>
  <c r="V73" i="1" s="1"/>
  <c r="AB174" i="1"/>
  <c r="AD174" i="1"/>
  <c r="AE174" i="1" s="1"/>
  <c r="AA183" i="1"/>
  <c r="Y183" i="1"/>
  <c r="R144" i="1"/>
  <c r="U212" i="1"/>
  <c r="S212" i="1"/>
  <c r="Y53" i="1"/>
  <c r="AA53" i="1"/>
  <c r="U104" i="1"/>
  <c r="V90" i="1"/>
  <c r="Y83" i="1"/>
  <c r="AA83" i="1"/>
  <c r="AD98" i="1"/>
  <c r="AE98" i="1" s="1"/>
  <c r="AB98" i="1"/>
  <c r="AB179" i="1"/>
  <c r="AD179" i="1"/>
  <c r="AE179" i="1" s="1"/>
  <c r="AA48" i="1"/>
  <c r="Y48" i="1"/>
  <c r="AA18" i="1"/>
  <c r="Y18" i="1"/>
  <c r="X17" i="1"/>
  <c r="Y17" i="1" s="1"/>
  <c r="AA32" i="1"/>
  <c r="Y32" i="1"/>
  <c r="S7" i="1"/>
  <c r="S4" i="1" s="1"/>
  <c r="R6" i="1"/>
  <c r="S6" i="1" s="1"/>
  <c r="R4" i="1"/>
  <c r="AA52" i="1"/>
  <c r="Y52" i="1"/>
  <c r="AA65" i="1"/>
  <c r="Y65" i="1"/>
  <c r="U76" i="1"/>
  <c r="V76" i="1" s="1"/>
  <c r="V77" i="1"/>
  <c r="Y66" i="1"/>
  <c r="AA66" i="1"/>
  <c r="Y123" i="1"/>
  <c r="AD123" i="1" s="1"/>
  <c r="AE123" i="1" s="1"/>
  <c r="Q169" i="1"/>
  <c r="Y193" i="1"/>
  <c r="AA193" i="1" s="1"/>
  <c r="AB193" i="1" s="1"/>
  <c r="AA219" i="1"/>
  <c r="Y219" i="1"/>
  <c r="X203" i="1"/>
  <c r="V203" i="1"/>
  <c r="AI203" i="1"/>
  <c r="X231" i="1"/>
  <c r="V231" i="1"/>
  <c r="AI231" i="1"/>
  <c r="U225" i="1"/>
  <c r="V228" i="1"/>
  <c r="X228" i="1"/>
  <c r="X90" i="1"/>
  <c r="AB101" i="1"/>
  <c r="AD101" i="1"/>
  <c r="V214" i="1"/>
  <c r="AI214" i="1"/>
  <c r="X214" i="1"/>
  <c r="Y215" i="1"/>
  <c r="AA215" i="1"/>
  <c r="U126" i="1"/>
  <c r="S126" i="1"/>
  <c r="AA15" i="1"/>
  <c r="Y15" i="1"/>
  <c r="X14" i="1"/>
  <c r="Y14" i="1" s="1"/>
  <c r="Y27" i="1"/>
  <c r="X26" i="1"/>
  <c r="Y26" i="1" s="1"/>
  <c r="AA27" i="1"/>
  <c r="AA111" i="1"/>
  <c r="Y111" i="1"/>
  <c r="R165" i="1"/>
  <c r="Q164" i="1"/>
  <c r="Q160" i="1" s="1"/>
  <c r="AB133" i="1"/>
  <c r="AD133" i="1"/>
  <c r="AE133" i="1" s="1"/>
  <c r="S139" i="1"/>
  <c r="U139" i="1"/>
  <c r="Y178" i="1"/>
  <c r="AA178" i="1"/>
  <c r="AD186" i="1"/>
  <c r="AE186" i="1" s="1"/>
  <c r="AB186" i="1"/>
  <c r="AA229" i="1"/>
  <c r="Y229" i="1"/>
  <c r="AD97" i="1"/>
  <c r="AB97" i="1"/>
  <c r="U146" i="1"/>
  <c r="S146" i="1"/>
  <c r="V168" i="1"/>
  <c r="AI168" i="1"/>
  <c r="X168" i="1"/>
  <c r="AD155" i="1"/>
  <c r="AE155" i="1" s="1"/>
  <c r="AB155" i="1"/>
  <c r="S206" i="1"/>
  <c r="U206" i="1"/>
  <c r="S211" i="1"/>
  <c r="U211" i="1"/>
  <c r="AD41" i="1"/>
  <c r="AB41" i="1"/>
  <c r="U45" i="1"/>
  <c r="X46" i="1"/>
  <c r="V46" i="1"/>
  <c r="AA44" i="1"/>
  <c r="Y44" i="1"/>
  <c r="AD60" i="1"/>
  <c r="AE60" i="1" s="1"/>
  <c r="AB60" i="1"/>
  <c r="AA51" i="1"/>
  <c r="Y51" i="1"/>
  <c r="V115" i="1"/>
  <c r="X115" i="1"/>
  <c r="AI115" i="1"/>
  <c r="AA90" i="1" l="1"/>
  <c r="S40" i="1"/>
  <c r="R86" i="1"/>
  <c r="AD193" i="1"/>
  <c r="AE193" i="1" s="1"/>
  <c r="AD122" i="1"/>
  <c r="AE122" i="1" s="1"/>
  <c r="AD95" i="1"/>
  <c r="AB95" i="1"/>
  <c r="AB50" i="1"/>
  <c r="AD50" i="1"/>
  <c r="AI97" i="1"/>
  <c r="AE97" i="1"/>
  <c r="AD111" i="1"/>
  <c r="AE111" i="1" s="1"/>
  <c r="AB111" i="1"/>
  <c r="AE101" i="1"/>
  <c r="AI101" i="1"/>
  <c r="AD66" i="1"/>
  <c r="AE66" i="1" s="1"/>
  <c r="AB66" i="1"/>
  <c r="AB18" i="1"/>
  <c r="AA17" i="1"/>
  <c r="AB17" i="1" s="1"/>
  <c r="AD18" i="1"/>
  <c r="V152" i="1"/>
  <c r="AI152" i="1"/>
  <c r="X152" i="1"/>
  <c r="AB24" i="1"/>
  <c r="AD24" i="1"/>
  <c r="AA153" i="1"/>
  <c r="Y153" i="1"/>
  <c r="AD84" i="1"/>
  <c r="AB84" i="1"/>
  <c r="AD54" i="1"/>
  <c r="AB54" i="1"/>
  <c r="AD217" i="1"/>
  <c r="AE217" i="1" s="1"/>
  <c r="AB217" i="1"/>
  <c r="AD70" i="1"/>
  <c r="AB70" i="1"/>
  <c r="V180" i="1"/>
  <c r="AI180" i="1"/>
  <c r="X180" i="1"/>
  <c r="AB31" i="1"/>
  <c r="AD31" i="1"/>
  <c r="O234" i="1"/>
  <c r="AI41" i="1"/>
  <c r="AE41" i="1"/>
  <c r="AA26" i="1"/>
  <c r="AB26" i="1" s="1"/>
  <c r="AD27" i="1"/>
  <c r="AB27" i="1"/>
  <c r="AA214" i="1"/>
  <c r="Y214" i="1"/>
  <c r="V225" i="1"/>
  <c r="AI225" i="1"/>
  <c r="AB219" i="1"/>
  <c r="AD219" i="1"/>
  <c r="AE219" i="1" s="1"/>
  <c r="AD65" i="1"/>
  <c r="AE65" i="1" s="1"/>
  <c r="AB65" i="1"/>
  <c r="AD32" i="1"/>
  <c r="AB32" i="1"/>
  <c r="AD205" i="1"/>
  <c r="AE205" i="1" s="1"/>
  <c r="AB205" i="1"/>
  <c r="Y113" i="1"/>
  <c r="AA113" i="1"/>
  <c r="AD23" i="1"/>
  <c r="AB23" i="1"/>
  <c r="AA22" i="1"/>
  <c r="AI12" i="1"/>
  <c r="AE12" i="1"/>
  <c r="AI202" i="1"/>
  <c r="X202" i="1"/>
  <c r="V202" i="1"/>
  <c r="U207" i="1"/>
  <c r="X208" i="1"/>
  <c r="V208" i="1"/>
  <c r="AI208" i="1"/>
  <c r="AD105" i="1"/>
  <c r="AE100" i="1"/>
  <c r="AI100" i="1"/>
  <c r="Y224" i="1"/>
  <c r="AA224" i="1"/>
  <c r="AD19" i="1"/>
  <c r="AB19" i="1"/>
  <c r="S171" i="1"/>
  <c r="R169" i="1"/>
  <c r="S169" i="1" s="1"/>
  <c r="Y13" i="1"/>
  <c r="AA13" i="1"/>
  <c r="X11" i="1"/>
  <c r="Y11" i="1" s="1"/>
  <c r="AD10" i="1"/>
  <c r="AB10" i="1"/>
  <c r="X136" i="1"/>
  <c r="AI136" i="1"/>
  <c r="V136" i="1"/>
  <c r="AD218" i="1"/>
  <c r="AE218" i="1" s="1"/>
  <c r="AB218" i="1"/>
  <c r="AB131" i="1"/>
  <c r="AD131" i="1"/>
  <c r="AE131" i="1" s="1"/>
  <c r="AI29" i="1"/>
  <c r="AE29" i="1"/>
  <c r="AI158" i="1"/>
  <c r="X158" i="1"/>
  <c r="V158" i="1"/>
  <c r="AE99" i="1"/>
  <c r="AI99" i="1"/>
  <c r="AD49" i="1"/>
  <c r="AB49" i="1"/>
  <c r="AA221" i="1"/>
  <c r="Y221" i="1"/>
  <c r="AA55" i="1"/>
  <c r="Y55" i="1"/>
  <c r="Y173" i="1"/>
  <c r="AA173" i="1"/>
  <c r="AB30" i="1"/>
  <c r="AD30" i="1"/>
  <c r="AJ169" i="1"/>
  <c r="AJ149" i="1"/>
  <c r="AJ160" i="1"/>
  <c r="AJ231" i="1"/>
  <c r="AH234" i="1"/>
  <c r="AD85" i="1"/>
  <c r="AB85" i="1"/>
  <c r="AA72" i="1"/>
  <c r="Y72" i="1"/>
  <c r="AD69" i="1"/>
  <c r="AE69" i="1" s="1"/>
  <c r="AB69" i="1"/>
  <c r="X166" i="1"/>
  <c r="V166" i="1"/>
  <c r="AI166" i="1"/>
  <c r="AD58" i="1"/>
  <c r="AB58" i="1"/>
  <c r="V124" i="1"/>
  <c r="AI124" i="1"/>
  <c r="X124" i="1"/>
  <c r="Y175" i="1"/>
  <c r="AA175" i="1"/>
  <c r="V150" i="1"/>
  <c r="AI150" i="1"/>
  <c r="X150" i="1"/>
  <c r="U149" i="1"/>
  <c r="AB137" i="1"/>
  <c r="AD137" i="1"/>
  <c r="AE137" i="1" s="1"/>
  <c r="Y77" i="1"/>
  <c r="X76" i="1"/>
  <c r="Y76" i="1" s="1"/>
  <c r="AD79" i="1"/>
  <c r="AB79" i="1"/>
  <c r="AB25" i="1"/>
  <c r="AD25" i="1"/>
  <c r="Y192" i="1"/>
  <c r="AA192" i="1" s="1"/>
  <c r="AB192" i="1" s="1"/>
  <c r="V45" i="1"/>
  <c r="V3" i="1" s="1"/>
  <c r="U3" i="1"/>
  <c r="X126" i="1"/>
  <c r="AI126" i="1"/>
  <c r="V126" i="1"/>
  <c r="AD51" i="1"/>
  <c r="AB51" i="1"/>
  <c r="AB44" i="1"/>
  <c r="AD44" i="1"/>
  <c r="X211" i="1"/>
  <c r="V211" i="1"/>
  <c r="AI211" i="1"/>
  <c r="X206" i="1"/>
  <c r="V206" i="1"/>
  <c r="AI206" i="1"/>
  <c r="AA168" i="1"/>
  <c r="Y168" i="1"/>
  <c r="X146" i="1"/>
  <c r="AI146" i="1"/>
  <c r="V146" i="1"/>
  <c r="AB229" i="1"/>
  <c r="AD229" i="1"/>
  <c r="AE229" i="1" s="1"/>
  <c r="AB15" i="1"/>
  <c r="AD15" i="1"/>
  <c r="AD215" i="1"/>
  <c r="AE215" i="1" s="1"/>
  <c r="AB215" i="1"/>
  <c r="X104" i="1"/>
  <c r="Y90" i="1"/>
  <c r="AB48" i="1"/>
  <c r="AD48" i="1"/>
  <c r="V212" i="1"/>
  <c r="X212" i="1"/>
  <c r="AI212" i="1"/>
  <c r="AD183" i="1"/>
  <c r="AB183" i="1"/>
  <c r="AI35" i="1"/>
  <c r="AE35" i="1"/>
  <c r="AD157" i="1"/>
  <c r="AE157" i="1" s="1"/>
  <c r="AB157" i="1"/>
  <c r="Y22" i="1"/>
  <c r="X21" i="1"/>
  <c r="Y21" i="1" s="1"/>
  <c r="AB42" i="1"/>
  <c r="AD42" i="1"/>
  <c r="AB117" i="1"/>
  <c r="AD117" i="1"/>
  <c r="AD63" i="1"/>
  <c r="AB63" i="1"/>
  <c r="V176" i="1"/>
  <c r="AI176" i="1"/>
  <c r="X176" i="1"/>
  <c r="U171" i="1"/>
  <c r="X167" i="1"/>
  <c r="V167" i="1"/>
  <c r="AI167" i="1"/>
  <c r="X145" i="1"/>
  <c r="AI145" i="1"/>
  <c r="V145" i="1"/>
  <c r="AI67" i="1"/>
  <c r="AE67" i="1"/>
  <c r="X194" i="1"/>
  <c r="Y194" i="1" s="1"/>
  <c r="AA195" i="1"/>
  <c r="Y195" i="1"/>
  <c r="AI128" i="1"/>
  <c r="V128" i="1"/>
  <c r="U127" i="1"/>
  <c r="X128" i="1"/>
  <c r="AD163" i="1"/>
  <c r="AE163" i="1" s="1"/>
  <c r="AB163" i="1"/>
  <c r="V120" i="1"/>
  <c r="U119" i="1"/>
  <c r="X120" i="1"/>
  <c r="AI120" i="1"/>
  <c r="AD68" i="1"/>
  <c r="AB68" i="1"/>
  <c r="X43" i="1"/>
  <c r="V43" i="1"/>
  <c r="AA129" i="1"/>
  <c r="Y129" i="1"/>
  <c r="AB38" i="1"/>
  <c r="AD38" i="1"/>
  <c r="AA36" i="1"/>
  <c r="AB36" i="1" s="1"/>
  <c r="AD64" i="1"/>
  <c r="AB64" i="1"/>
  <c r="AI201" i="1"/>
  <c r="V201" i="1"/>
  <c r="X201" i="1"/>
  <c r="Y196" i="1"/>
  <c r="AA196" i="1"/>
  <c r="AB61" i="1"/>
  <c r="AD61" i="1"/>
  <c r="AE61" i="1" s="1"/>
  <c r="AB143" i="1"/>
  <c r="AD143" i="1"/>
  <c r="AE143" i="1" s="1"/>
  <c r="V7" i="1"/>
  <c r="V4" i="1" s="1"/>
  <c r="U6" i="1"/>
  <c r="V6" i="1" s="1"/>
  <c r="U4" i="1"/>
  <c r="AB9" i="1"/>
  <c r="AD9" i="1"/>
  <c r="AA138" i="1"/>
  <c r="Y138" i="1"/>
  <c r="X121" i="1"/>
  <c r="AI121" i="1"/>
  <c r="V121" i="1"/>
  <c r="AA46" i="1"/>
  <c r="Y46" i="1"/>
  <c r="X45" i="1"/>
  <c r="V213" i="1"/>
  <c r="AI213" i="1"/>
  <c r="AA231" i="1"/>
  <c r="Y231" i="1"/>
  <c r="AA47" i="1"/>
  <c r="Y47" i="1"/>
  <c r="V142" i="1"/>
  <c r="X142" i="1"/>
  <c r="AI142" i="1"/>
  <c r="AE92" i="1"/>
  <c r="AI220" i="1"/>
  <c r="V220" i="1"/>
  <c r="X220" i="1"/>
  <c r="AB116" i="1"/>
  <c r="AD116" i="1"/>
  <c r="AE116" i="1" s="1"/>
  <c r="AI28" i="1"/>
  <c r="AE28" i="1"/>
  <c r="S108" i="1"/>
  <c r="AI162" i="1"/>
  <c r="X162" i="1"/>
  <c r="U161" i="1"/>
  <c r="V162" i="1"/>
  <c r="Q230" i="1"/>
  <c r="AB178" i="1"/>
  <c r="AD178" i="1"/>
  <c r="AE178" i="1" s="1"/>
  <c r="U165" i="1"/>
  <c r="S165" i="1"/>
  <c r="Y115" i="1"/>
  <c r="AA115" i="1"/>
  <c r="V139" i="1"/>
  <c r="X139" i="1"/>
  <c r="AI139" i="1"/>
  <c r="R164" i="1"/>
  <c r="AA228" i="1"/>
  <c r="Y228" i="1"/>
  <c r="X225" i="1"/>
  <c r="Y225" i="1" s="1"/>
  <c r="AA203" i="1"/>
  <c r="Y203" i="1"/>
  <c r="AD52" i="1"/>
  <c r="AE52" i="1" s="1"/>
  <c r="AB52" i="1"/>
  <c r="S86" i="1"/>
  <c r="R102" i="1"/>
  <c r="AD83" i="1"/>
  <c r="AB83" i="1"/>
  <c r="AB53" i="1"/>
  <c r="AD53" i="1"/>
  <c r="U144" i="1"/>
  <c r="U141" i="1" s="1"/>
  <c r="S144" i="1"/>
  <c r="AA74" i="1"/>
  <c r="X73" i="1"/>
  <c r="Y73" i="1" s="1"/>
  <c r="Y74" i="1"/>
  <c r="AD71" i="1"/>
  <c r="AE71" i="1" s="1"/>
  <c r="AB71" i="1"/>
  <c r="AB172" i="1"/>
  <c r="AD172" i="1"/>
  <c r="AD89" i="1"/>
  <c r="AB89" i="1"/>
  <c r="AA87" i="1"/>
  <c r="AB87" i="1" s="1"/>
  <c r="R141" i="1"/>
  <c r="AE62" i="1"/>
  <c r="AB62" i="1"/>
  <c r="AA200" i="1"/>
  <c r="Y200" i="1"/>
  <c r="AD156" i="1"/>
  <c r="AE156" i="1" s="1"/>
  <c r="AB156" i="1"/>
  <c r="AA104" i="1"/>
  <c r="AB90" i="1"/>
  <c r="AD185" i="1"/>
  <c r="AE185" i="1" s="1"/>
  <c r="AB185" i="1"/>
  <c r="AA151" i="1"/>
  <c r="Y151" i="1"/>
  <c r="X199" i="1"/>
  <c r="V199" i="1"/>
  <c r="AI199" i="1"/>
  <c r="U198" i="1"/>
  <c r="AD159" i="1"/>
  <c r="AE159" i="1" s="1"/>
  <c r="AB159" i="1"/>
  <c r="V194" i="1"/>
  <c r="AI194" i="1"/>
  <c r="AI20" i="1"/>
  <c r="AE20" i="1"/>
  <c r="AA81" i="1"/>
  <c r="AB81" i="1" s="1"/>
  <c r="AD82" i="1"/>
  <c r="AB82" i="1"/>
  <c r="AA222" i="1"/>
  <c r="Y222" i="1"/>
  <c r="AA110" i="1"/>
  <c r="Y110" i="1"/>
  <c r="AD78" i="1"/>
  <c r="AB78" i="1"/>
  <c r="AA77" i="1"/>
  <c r="X223" i="1"/>
  <c r="V223" i="1"/>
  <c r="AI223" i="1"/>
  <c r="AD93" i="1"/>
  <c r="AB93" i="1"/>
  <c r="X59" i="1"/>
  <c r="V59" i="1"/>
  <c r="U57" i="1"/>
  <c r="V57" i="1" s="1"/>
  <c r="AD56" i="1"/>
  <c r="AB56" i="1"/>
  <c r="AA16" i="1"/>
  <c r="Y16" i="1"/>
  <c r="X204" i="1"/>
  <c r="V204" i="1"/>
  <c r="AI204" i="1"/>
  <c r="AB75" i="1"/>
  <c r="AD75" i="1"/>
  <c r="AE75" i="1" s="1"/>
  <c r="V109" i="1"/>
  <c r="U108" i="1"/>
  <c r="X109" i="1"/>
  <c r="AI109" i="1"/>
  <c r="AB209" i="1"/>
  <c r="AD209" i="1"/>
  <c r="AE209" i="1" s="1"/>
  <c r="R160" i="1"/>
  <c r="S160" i="1" s="1"/>
  <c r="S161" i="1"/>
  <c r="AA197" i="1"/>
  <c r="Y197" i="1"/>
  <c r="AD34" i="1"/>
  <c r="AB34" i="1"/>
  <c r="AA33" i="1"/>
  <c r="AB33" i="1" s="1"/>
  <c r="AD80" i="1"/>
  <c r="AB80" i="1"/>
  <c r="AA8" i="1"/>
  <c r="X7" i="1"/>
  <c r="Y8" i="1"/>
  <c r="AD39" i="1"/>
  <c r="AB39" i="1"/>
  <c r="AI187" i="1"/>
  <c r="X187" i="1"/>
  <c r="V187" i="1"/>
  <c r="U182" i="1"/>
  <c r="AE95" i="1" l="1"/>
  <c r="AI95" i="1"/>
  <c r="AI50" i="1"/>
  <c r="AE50" i="1"/>
  <c r="V141" i="1"/>
  <c r="AI141" i="1"/>
  <c r="AE93" i="1"/>
  <c r="AI93" i="1"/>
  <c r="AA76" i="1"/>
  <c r="AB76" i="1" s="1"/>
  <c r="AB77" i="1"/>
  <c r="AD110" i="1"/>
  <c r="AE110" i="1" s="1"/>
  <c r="AB110" i="1"/>
  <c r="AE82" i="1"/>
  <c r="AD81" i="1"/>
  <c r="AI82" i="1"/>
  <c r="V198" i="1"/>
  <c r="AI198" i="1"/>
  <c r="AI89" i="1"/>
  <c r="AE89" i="1"/>
  <c r="AD87" i="1"/>
  <c r="AB74" i="1"/>
  <c r="AD74" i="1"/>
  <c r="AA73" i="1"/>
  <c r="AB73" i="1" s="1"/>
  <c r="AD203" i="1"/>
  <c r="AE203" i="1" s="1"/>
  <c r="AB203" i="1"/>
  <c r="X165" i="1"/>
  <c r="V165" i="1"/>
  <c r="AI165" i="1"/>
  <c r="Y142" i="1"/>
  <c r="AA142" i="1"/>
  <c r="AB47" i="1"/>
  <c r="AD47" i="1"/>
  <c r="AD138" i="1"/>
  <c r="AE138" i="1" s="1"/>
  <c r="AB138" i="1"/>
  <c r="AA167" i="1"/>
  <c r="Y167" i="1"/>
  <c r="AE117" i="1"/>
  <c r="AE183" i="1"/>
  <c r="AI48" i="1"/>
  <c r="AE48" i="1"/>
  <c r="AD192" i="1"/>
  <c r="AE192" i="1" s="1"/>
  <c r="Y124" i="1"/>
  <c r="AA124" i="1"/>
  <c r="AA166" i="1"/>
  <c r="Y166" i="1"/>
  <c r="AD173" i="1"/>
  <c r="AE173" i="1" s="1"/>
  <c r="AB173" i="1"/>
  <c r="AD22" i="1"/>
  <c r="AI23" i="1"/>
  <c r="AE23" i="1"/>
  <c r="Y180" i="1"/>
  <c r="AA180" i="1"/>
  <c r="AI70" i="1"/>
  <c r="AE70" i="1"/>
  <c r="AI54" i="1"/>
  <c r="AE54" i="1"/>
  <c r="Y152" i="1"/>
  <c r="AA152" i="1"/>
  <c r="AE39" i="1"/>
  <c r="AI39" i="1"/>
  <c r="AA187" i="1"/>
  <c r="Y187" i="1"/>
  <c r="X182" i="1"/>
  <c r="Y182" i="1" s="1"/>
  <c r="AD151" i="1"/>
  <c r="AE151" i="1" s="1"/>
  <c r="AB151" i="1"/>
  <c r="S141" i="1"/>
  <c r="R125" i="1"/>
  <c r="U164" i="1"/>
  <c r="U160" i="1" s="1"/>
  <c r="S164" i="1"/>
  <c r="AB115" i="1"/>
  <c r="AD115" i="1"/>
  <c r="AE115" i="1" s="1"/>
  <c r="AI161" i="1"/>
  <c r="V161" i="1"/>
  <c r="Y45" i="1"/>
  <c r="Y3" i="1" s="1"/>
  <c r="X3" i="1"/>
  <c r="AI9" i="1"/>
  <c r="AE9" i="1"/>
  <c r="AA201" i="1"/>
  <c r="Y201" i="1"/>
  <c r="AI64" i="1"/>
  <c r="AE64" i="1"/>
  <c r="Y43" i="1"/>
  <c r="AA43" i="1"/>
  <c r="Y120" i="1"/>
  <c r="X119" i="1"/>
  <c r="Y119" i="1" s="1"/>
  <c r="AA120" i="1"/>
  <c r="AA145" i="1"/>
  <c r="Y145" i="1"/>
  <c r="V171" i="1"/>
  <c r="AI171" i="1"/>
  <c r="U169" i="1"/>
  <c r="AA146" i="1"/>
  <c r="Y146" i="1"/>
  <c r="Y211" i="1"/>
  <c r="AA211" i="1"/>
  <c r="AI51" i="1"/>
  <c r="AE51" i="1"/>
  <c r="AA126" i="1"/>
  <c r="Y126" i="1"/>
  <c r="AI79" i="1"/>
  <c r="AE79" i="1"/>
  <c r="AE58" i="1"/>
  <c r="AB72" i="1"/>
  <c r="AD72" i="1"/>
  <c r="AB221" i="1"/>
  <c r="AD221" i="1"/>
  <c r="AE221" i="1" s="1"/>
  <c r="AA136" i="1"/>
  <c r="Y136" i="1"/>
  <c r="AD13" i="1"/>
  <c r="AB13" i="1"/>
  <c r="AA11" i="1"/>
  <c r="AB11" i="1" s="1"/>
  <c r="AA202" i="1"/>
  <c r="Y202" i="1"/>
  <c r="AB113" i="1"/>
  <c r="AD113" i="1"/>
  <c r="AE113" i="1" s="1"/>
  <c r="AE27" i="1"/>
  <c r="AD26" i="1"/>
  <c r="AI27" i="1"/>
  <c r="AD153" i="1"/>
  <c r="AE153" i="1" s="1"/>
  <c r="AB153" i="1"/>
  <c r="AD33" i="1"/>
  <c r="AI34" i="1"/>
  <c r="AE34" i="1"/>
  <c r="V108" i="1"/>
  <c r="AI108" i="1"/>
  <c r="AD16" i="1"/>
  <c r="AD14" i="1" s="1"/>
  <c r="AB16" i="1"/>
  <c r="Y7" i="1"/>
  <c r="Y4" i="1" s="1"/>
  <c r="X6" i="1"/>
  <c r="Y6" i="1" s="1"/>
  <c r="X4" i="1"/>
  <c r="AD197" i="1"/>
  <c r="AE197" i="1" s="1"/>
  <c r="AB197" i="1"/>
  <c r="AA59" i="1"/>
  <c r="Y59" i="1"/>
  <c r="X57" i="1"/>
  <c r="Y57" i="1" s="1"/>
  <c r="AD77" i="1"/>
  <c r="AI78" i="1"/>
  <c r="AE78" i="1"/>
  <c r="AD222" i="1"/>
  <c r="AE222" i="1" s="1"/>
  <c r="AB222" i="1"/>
  <c r="AB200" i="1"/>
  <c r="AD200" i="1"/>
  <c r="AE200" i="1" s="1"/>
  <c r="AE172" i="1"/>
  <c r="X144" i="1"/>
  <c r="AI144" i="1"/>
  <c r="V144" i="1"/>
  <c r="AE83" i="1"/>
  <c r="AI83" i="1"/>
  <c r="AA162" i="1"/>
  <c r="X161" i="1"/>
  <c r="Y162" i="1"/>
  <c r="AA220" i="1"/>
  <c r="AA213" i="1" s="1"/>
  <c r="Y220" i="1"/>
  <c r="AD90" i="1"/>
  <c r="AD231" i="1"/>
  <c r="AB231" i="1"/>
  <c r="AA121" i="1"/>
  <c r="Y121" i="1"/>
  <c r="AD129" i="1"/>
  <c r="AE129" i="1" s="1"/>
  <c r="AB129" i="1"/>
  <c r="AI119" i="1"/>
  <c r="V119" i="1"/>
  <c r="Y128" i="1"/>
  <c r="X127" i="1"/>
  <c r="Y127" i="1" s="1"/>
  <c r="AA128" i="1"/>
  <c r="Y176" i="1"/>
  <c r="AA176" i="1"/>
  <c r="X171" i="1"/>
  <c r="AI63" i="1"/>
  <c r="AE63" i="1"/>
  <c r="AI42" i="1"/>
  <c r="AE42" i="1"/>
  <c r="AA212" i="1"/>
  <c r="Y212" i="1"/>
  <c r="AI15" i="1"/>
  <c r="AE15" i="1"/>
  <c r="Y206" i="1"/>
  <c r="AA206" i="1"/>
  <c r="AI44" i="1"/>
  <c r="AE44" i="1"/>
  <c r="AI25" i="1"/>
  <c r="AE25" i="1"/>
  <c r="V149" i="1"/>
  <c r="AI149" i="1"/>
  <c r="AB175" i="1"/>
  <c r="AD175" i="1"/>
  <c r="AE175" i="1" s="1"/>
  <c r="AI30" i="1"/>
  <c r="AE30" i="1"/>
  <c r="AE19" i="1"/>
  <c r="AI19" i="1"/>
  <c r="Y208" i="1"/>
  <c r="X207" i="1"/>
  <c r="Y207" i="1" s="1"/>
  <c r="AA208" i="1"/>
  <c r="AA21" i="1"/>
  <c r="AB21" i="1" s="1"/>
  <c r="AB22" i="1"/>
  <c r="AI32" i="1"/>
  <c r="AE32" i="1"/>
  <c r="AB214" i="1"/>
  <c r="AD214" i="1"/>
  <c r="AI31" i="1"/>
  <c r="AE31" i="1"/>
  <c r="AE84" i="1"/>
  <c r="AI84" i="1"/>
  <c r="AI24" i="1"/>
  <c r="AE24" i="1"/>
  <c r="Y109" i="1"/>
  <c r="X108" i="1"/>
  <c r="AA109" i="1"/>
  <c r="AI80" i="1"/>
  <c r="AE80" i="1"/>
  <c r="AI182" i="1"/>
  <c r="V182" i="1"/>
  <c r="AB8" i="1"/>
  <c r="AD8" i="1"/>
  <c r="AA7" i="1"/>
  <c r="AA204" i="1"/>
  <c r="Y204" i="1"/>
  <c r="AI56" i="1"/>
  <c r="AE56" i="1"/>
  <c r="AA223" i="1"/>
  <c r="Y223" i="1"/>
  <c r="Y199" i="1"/>
  <c r="AA199" i="1"/>
  <c r="X198" i="1"/>
  <c r="Y198" i="1" s="1"/>
  <c r="AE53" i="1"/>
  <c r="AI53" i="1"/>
  <c r="S102" i="1"/>
  <c r="AA225" i="1"/>
  <c r="AB225" i="1" s="1"/>
  <c r="AD228" i="1"/>
  <c r="AB228" i="1"/>
  <c r="Y139" i="1"/>
  <c r="AA139" i="1"/>
  <c r="Q233" i="1"/>
  <c r="AK230" i="1" s="1"/>
  <c r="AA45" i="1"/>
  <c r="AD46" i="1"/>
  <c r="AB46" i="1"/>
  <c r="AD196" i="1"/>
  <c r="AE196" i="1" s="1"/>
  <c r="AB196" i="1"/>
  <c r="AI38" i="1"/>
  <c r="AE38" i="1"/>
  <c r="AD36" i="1"/>
  <c r="U40" i="1"/>
  <c r="AI68" i="1"/>
  <c r="AE68" i="1"/>
  <c r="V127" i="1"/>
  <c r="AI127" i="1"/>
  <c r="AB195" i="1"/>
  <c r="AA194" i="1"/>
  <c r="AB194" i="1" s="1"/>
  <c r="AD195" i="1"/>
  <c r="AA14" i="1"/>
  <c r="AB14" i="1" s="1"/>
  <c r="AB168" i="1"/>
  <c r="AD168" i="1"/>
  <c r="AE168" i="1" s="1"/>
  <c r="U125" i="1"/>
  <c r="Y150" i="1"/>
  <c r="AA150" i="1"/>
  <c r="X149" i="1"/>
  <c r="Y149" i="1" s="1"/>
  <c r="AI85" i="1"/>
  <c r="AE85" i="1"/>
  <c r="AD55" i="1"/>
  <c r="AB55" i="1"/>
  <c r="AI49" i="1"/>
  <c r="AE49" i="1"/>
  <c r="AA158" i="1"/>
  <c r="Y158" i="1"/>
  <c r="AI10" i="1"/>
  <c r="AE10" i="1"/>
  <c r="AD224" i="1"/>
  <c r="AE224" i="1" s="1"/>
  <c r="AB224" i="1"/>
  <c r="V207" i="1"/>
  <c r="AI207" i="1"/>
  <c r="X213" i="1"/>
  <c r="Y213" i="1" s="1"/>
  <c r="AI18" i="1"/>
  <c r="AE18" i="1"/>
  <c r="AD17" i="1"/>
  <c r="V125" i="1" l="1"/>
  <c r="AI125" i="1"/>
  <c r="AI36" i="1"/>
  <c r="AE36" i="1"/>
  <c r="AD199" i="1"/>
  <c r="AA198" i="1"/>
  <c r="AB198" i="1" s="1"/>
  <c r="AB199" i="1"/>
  <c r="Y108" i="1"/>
  <c r="AD104" i="1"/>
  <c r="AE90" i="1"/>
  <c r="AI90" i="1"/>
  <c r="AE33" i="1"/>
  <c r="AI33" i="1"/>
  <c r="AE13" i="1"/>
  <c r="AI13" i="1"/>
  <c r="AD11" i="1"/>
  <c r="AE17" i="1"/>
  <c r="AI17" i="1"/>
  <c r="AD158" i="1"/>
  <c r="AE158" i="1" s="1"/>
  <c r="AB158" i="1"/>
  <c r="AI55" i="1"/>
  <c r="AE55" i="1"/>
  <c r="AB150" i="1"/>
  <c r="AD150" i="1"/>
  <c r="AA149" i="1"/>
  <c r="AB149" i="1" s="1"/>
  <c r="AI46" i="1"/>
  <c r="AE46" i="1"/>
  <c r="AD45" i="1"/>
  <c r="AB139" i="1"/>
  <c r="AD139" i="1"/>
  <c r="AE139" i="1" s="1"/>
  <c r="AB213" i="1"/>
  <c r="Y171" i="1"/>
  <c r="X169" i="1"/>
  <c r="Y169" i="1" s="1"/>
  <c r="AD220" i="1"/>
  <c r="AE220" i="1" s="1"/>
  <c r="AB220" i="1"/>
  <c r="AA144" i="1"/>
  <c r="AA141" i="1" s="1"/>
  <c r="Y144" i="1"/>
  <c r="AD59" i="1"/>
  <c r="AB59" i="1"/>
  <c r="AA57" i="1"/>
  <c r="AB57" i="1" s="1"/>
  <c r="AI16" i="1"/>
  <c r="AE16" i="1"/>
  <c r="AD136" i="1"/>
  <c r="AE136" i="1" s="1"/>
  <c r="AB136" i="1"/>
  <c r="AB120" i="1"/>
  <c r="AA119" i="1"/>
  <c r="AB119" i="1" s="1"/>
  <c r="AD120" i="1"/>
  <c r="AD43" i="1"/>
  <c r="AB43" i="1"/>
  <c r="AI164" i="1"/>
  <c r="X164" i="1"/>
  <c r="X160" i="1" s="1"/>
  <c r="Y160" i="1" s="1"/>
  <c r="V164" i="1"/>
  <c r="AB180" i="1"/>
  <c r="AD180" i="1"/>
  <c r="AE180" i="1" s="1"/>
  <c r="AD166" i="1"/>
  <c r="AE166" i="1" s="1"/>
  <c r="AB166" i="1"/>
  <c r="X141" i="1"/>
  <c r="Y141" i="1" s="1"/>
  <c r="AB7" i="1"/>
  <c r="AB4" i="1" s="1"/>
  <c r="AA6" i="1"/>
  <c r="AB6" i="1" s="1"/>
  <c r="AA4" i="1"/>
  <c r="Y161" i="1"/>
  <c r="V40" i="1"/>
  <c r="U86" i="1"/>
  <c r="AB45" i="1"/>
  <c r="AB3" i="1" s="1"/>
  <c r="AA3" i="1"/>
  <c r="AD223" i="1"/>
  <c r="AE223" i="1" s="1"/>
  <c r="AB223" i="1"/>
  <c r="AD204" i="1"/>
  <c r="AE204" i="1" s="1"/>
  <c r="AB204" i="1"/>
  <c r="AB109" i="1"/>
  <c r="AA108" i="1"/>
  <c r="AD109" i="1"/>
  <c r="AD206" i="1"/>
  <c r="AE206" i="1" s="1"/>
  <c r="AB206" i="1"/>
  <c r="AB176" i="1"/>
  <c r="AD176" i="1"/>
  <c r="AA171" i="1"/>
  <c r="AE231" i="1"/>
  <c r="AE77" i="1"/>
  <c r="AI77" i="1"/>
  <c r="AD76" i="1"/>
  <c r="AD146" i="1"/>
  <c r="AE146" i="1" s="1"/>
  <c r="AB146" i="1"/>
  <c r="AD201" i="1"/>
  <c r="AE201" i="1" s="1"/>
  <c r="AB201" i="1"/>
  <c r="S125" i="1"/>
  <c r="R230" i="1"/>
  <c r="AE22" i="1"/>
  <c r="AD21" i="1"/>
  <c r="AI22" i="1"/>
  <c r="AB124" i="1"/>
  <c r="AD124" i="1"/>
  <c r="AE124" i="1" s="1"/>
  <c r="AB142" i="1"/>
  <c r="AD142" i="1"/>
  <c r="AA165" i="1"/>
  <c r="Y165" i="1"/>
  <c r="AI74" i="1"/>
  <c r="AD73" i="1"/>
  <c r="AE74" i="1"/>
  <c r="AE81" i="1"/>
  <c r="AI81" i="1"/>
  <c r="AD194" i="1"/>
  <c r="AE194" i="1" s="1"/>
  <c r="AE195" i="1"/>
  <c r="AA207" i="1"/>
  <c r="AB207" i="1" s="1"/>
  <c r="AD208" i="1"/>
  <c r="AB208" i="1"/>
  <c r="AE26" i="1"/>
  <c r="AI26" i="1"/>
  <c r="AD211" i="1"/>
  <c r="AE211" i="1" s="1"/>
  <c r="AB211" i="1"/>
  <c r="V160" i="1"/>
  <c r="AI160" i="1"/>
  <c r="AB152" i="1"/>
  <c r="AD152" i="1"/>
  <c r="AE152" i="1" s="1"/>
  <c r="AI47" i="1"/>
  <c r="AE47" i="1"/>
  <c r="AK233" i="1"/>
  <c r="AK226" i="1"/>
  <c r="AK227" i="1"/>
  <c r="AK229" i="1"/>
  <c r="AK181" i="1"/>
  <c r="AK189" i="1"/>
  <c r="AK111" i="1"/>
  <c r="AK148" i="1"/>
  <c r="AK147" i="1"/>
  <c r="AK118" i="1"/>
  <c r="AK153" i="1"/>
  <c r="AK110" i="1"/>
  <c r="AK154" i="1"/>
  <c r="AK122" i="1"/>
  <c r="AK173" i="1"/>
  <c r="AK116" i="1"/>
  <c r="AK133" i="1"/>
  <c r="AK183" i="1"/>
  <c r="AK177" i="1"/>
  <c r="AK196" i="1"/>
  <c r="AK231" i="1"/>
  <c r="AK232" i="1"/>
  <c r="AK200" i="1"/>
  <c r="AK117" i="1"/>
  <c r="AK138" i="1"/>
  <c r="AK113" i="1"/>
  <c r="AK151" i="1"/>
  <c r="AK137" i="1"/>
  <c r="AK143" i="1"/>
  <c r="AK156" i="1"/>
  <c r="AK157" i="1"/>
  <c r="AK195" i="1"/>
  <c r="AK205" i="1"/>
  <c r="AK172" i="1"/>
  <c r="AK192" i="1"/>
  <c r="AK210" i="1"/>
  <c r="AK219" i="1"/>
  <c r="AK134" i="1"/>
  <c r="AK155" i="1"/>
  <c r="AK188" i="1"/>
  <c r="AK179" i="1"/>
  <c r="AK163" i="1"/>
  <c r="AK184" i="1"/>
  <c r="AK209" i="1"/>
  <c r="AK218" i="1"/>
  <c r="AK135" i="1"/>
  <c r="AK186" i="1"/>
  <c r="AK123" i="1"/>
  <c r="AK115" i="1"/>
  <c r="AK112" i="1"/>
  <c r="AK130" i="1"/>
  <c r="AK168" i="1"/>
  <c r="AK131" i="1"/>
  <c r="AK174" i="1"/>
  <c r="AK159" i="1"/>
  <c r="AK185" i="1"/>
  <c r="AK193" i="1"/>
  <c r="AK214" i="1"/>
  <c r="AK203" i="1"/>
  <c r="AK216" i="1"/>
  <c r="AK215" i="1"/>
  <c r="AK129" i="1"/>
  <c r="AK114" i="1"/>
  <c r="AK132" i="1"/>
  <c r="AK178" i="1"/>
  <c r="AK191" i="1"/>
  <c r="AK221" i="1"/>
  <c r="AK175" i="1"/>
  <c r="AK222" i="1"/>
  <c r="AK224" i="1"/>
  <c r="AK140" i="1"/>
  <c r="AK190" i="1"/>
  <c r="AK197" i="1"/>
  <c r="AK170" i="1"/>
  <c r="AK228" i="1"/>
  <c r="AK217" i="1"/>
  <c r="AK152" i="1"/>
  <c r="AK162" i="1"/>
  <c r="AK220" i="1"/>
  <c r="AK176" i="1"/>
  <c r="AK124" i="1"/>
  <c r="AK121" i="1"/>
  <c r="AK211" i="1"/>
  <c r="AK206" i="1"/>
  <c r="AK146" i="1"/>
  <c r="AK182" i="1"/>
  <c r="AK194" i="1"/>
  <c r="AK150" i="1"/>
  <c r="AK128" i="1"/>
  <c r="AK149" i="1"/>
  <c r="AK120" i="1"/>
  <c r="AK187" i="1"/>
  <c r="AK201" i="1"/>
  <c r="AK109" i="1"/>
  <c r="AK142" i="1"/>
  <c r="AK126" i="1"/>
  <c r="AK202" i="1"/>
  <c r="AK208" i="1"/>
  <c r="AK180" i="1"/>
  <c r="AK166" i="1"/>
  <c r="AK213" i="1"/>
  <c r="AK167" i="1"/>
  <c r="AK199" i="1"/>
  <c r="AK204" i="1"/>
  <c r="AK136" i="1"/>
  <c r="AK139" i="1"/>
  <c r="AK225" i="1"/>
  <c r="AK223" i="1"/>
  <c r="AK158" i="1"/>
  <c r="AK212" i="1"/>
  <c r="Q234" i="1"/>
  <c r="AK234" i="1" s="1"/>
  <c r="AK207" i="1"/>
  <c r="AK145" i="1"/>
  <c r="AK165" i="1"/>
  <c r="AK198" i="1"/>
  <c r="AK125" i="1"/>
  <c r="AK141" i="1"/>
  <c r="AK144" i="1"/>
  <c r="AK108" i="1"/>
  <c r="AK119" i="1"/>
  <c r="AK127" i="1"/>
  <c r="AK161" i="1"/>
  <c r="AK171" i="1"/>
  <c r="AK160" i="1"/>
  <c r="AK169" i="1"/>
  <c r="AK164" i="1"/>
  <c r="AE228" i="1"/>
  <c r="AD225" i="1"/>
  <c r="AE225" i="1" s="1"/>
  <c r="AD7" i="1"/>
  <c r="AE8" i="1"/>
  <c r="AE214" i="1"/>
  <c r="AI14" i="1"/>
  <c r="AE14" i="1"/>
  <c r="AB212" i="1"/>
  <c r="AD212" i="1"/>
  <c r="AE212" i="1" s="1"/>
  <c r="AB128" i="1"/>
  <c r="AA127" i="1"/>
  <c r="AB127" i="1" s="1"/>
  <c r="AD128" i="1"/>
  <c r="AD121" i="1"/>
  <c r="AE121" i="1" s="1"/>
  <c r="AB121" i="1"/>
  <c r="AD162" i="1"/>
  <c r="AA161" i="1"/>
  <c r="AB162" i="1"/>
  <c r="U230" i="1"/>
  <c r="AD202" i="1"/>
  <c r="AE202" i="1" s="1"/>
  <c r="AB202" i="1"/>
  <c r="AE72" i="1"/>
  <c r="AI72" i="1"/>
  <c r="AD126" i="1"/>
  <c r="AB126" i="1"/>
  <c r="V169" i="1"/>
  <c r="AI169" i="1"/>
  <c r="AD145" i="1"/>
  <c r="AE145" i="1" s="1"/>
  <c r="AB145" i="1"/>
  <c r="X40" i="1"/>
  <c r="AD187" i="1"/>
  <c r="AB187" i="1"/>
  <c r="AA182" i="1"/>
  <c r="AB182" i="1" s="1"/>
  <c r="AD167" i="1"/>
  <c r="AE167" i="1" s="1"/>
  <c r="AB167" i="1"/>
  <c r="AI87" i="1"/>
  <c r="AE87" i="1"/>
  <c r="AA40" i="1" l="1"/>
  <c r="AA86" i="1" s="1"/>
  <c r="AB141" i="1"/>
  <c r="X125" i="1"/>
  <c r="Y125" i="1" s="1"/>
  <c r="AD213" i="1"/>
  <c r="AE213" i="1" s="1"/>
  <c r="AE208" i="1"/>
  <c r="AD207" i="1"/>
  <c r="AE207" i="1" s="1"/>
  <c r="R233" i="1"/>
  <c r="S230" i="1"/>
  <c r="AB171" i="1"/>
  <c r="AA169" i="1"/>
  <c r="AB169" i="1" s="1"/>
  <c r="AE109" i="1"/>
  <c r="AD108" i="1"/>
  <c r="AA102" i="1"/>
  <c r="AE120" i="1"/>
  <c r="AD119" i="1"/>
  <c r="AE119" i="1" s="1"/>
  <c r="AA125" i="1"/>
  <c r="AB161" i="1"/>
  <c r="AE128" i="1"/>
  <c r="AD127" i="1"/>
  <c r="AE127" i="1" s="1"/>
  <c r="AD165" i="1"/>
  <c r="AE165" i="1" s="1"/>
  <c r="AB165" i="1"/>
  <c r="AI21" i="1"/>
  <c r="AE21" i="1"/>
  <c r="AB108" i="1"/>
  <c r="U102" i="1"/>
  <c r="V86" i="1"/>
  <c r="AB40" i="1"/>
  <c r="AI59" i="1"/>
  <c r="AE59" i="1"/>
  <c r="AD57" i="1"/>
  <c r="Y40" i="1"/>
  <c r="X86" i="1"/>
  <c r="V230" i="1"/>
  <c r="U233" i="1"/>
  <c r="AI230" i="1"/>
  <c r="AE7" i="1"/>
  <c r="AE4" i="1" s="1"/>
  <c r="AD6" i="1"/>
  <c r="AI7" i="1"/>
  <c r="AD4" i="1"/>
  <c r="AE176" i="1"/>
  <c r="AD171" i="1"/>
  <c r="AE187" i="1"/>
  <c r="AD182" i="1"/>
  <c r="AE182" i="1" s="1"/>
  <c r="AE126" i="1"/>
  <c r="AD161" i="1"/>
  <c r="AE162" i="1"/>
  <c r="AE73" i="1"/>
  <c r="AI73" i="1"/>
  <c r="AE142" i="1"/>
  <c r="AE76" i="1"/>
  <c r="AI76" i="1"/>
  <c r="AA164" i="1"/>
  <c r="AA160" i="1" s="1"/>
  <c r="AB160" i="1" s="1"/>
  <c r="Y164" i="1"/>
  <c r="AE43" i="1"/>
  <c r="AI43" i="1"/>
  <c r="AD144" i="1"/>
  <c r="AE144" i="1" s="1"/>
  <c r="AB144" i="1"/>
  <c r="AE45" i="1"/>
  <c r="AE3" i="1" s="1"/>
  <c r="AI45" i="1"/>
  <c r="AD3" i="1"/>
  <c r="AE150" i="1"/>
  <c r="AD149" i="1"/>
  <c r="AE149" i="1" s="1"/>
  <c r="AI11" i="1"/>
  <c r="AE11" i="1"/>
  <c r="AE199" i="1"/>
  <c r="AD198" i="1"/>
  <c r="AE198" i="1" s="1"/>
  <c r="X230" i="1" l="1"/>
  <c r="AB125" i="1"/>
  <c r="X233" i="1"/>
  <c r="Y233" i="1" s="1"/>
  <c r="Y230" i="1"/>
  <c r="Y86" i="1"/>
  <c r="X102" i="1"/>
  <c r="S233" i="1"/>
  <c r="R234" i="1"/>
  <c r="S234" i="1" s="1"/>
  <c r="AE171" i="1"/>
  <c r="AD169" i="1"/>
  <c r="AE169" i="1" s="1"/>
  <c r="AE6" i="1"/>
  <c r="AI6" i="1"/>
  <c r="V233" i="1"/>
  <c r="AI233" i="1"/>
  <c r="AA230" i="1"/>
  <c r="AB86" i="1"/>
  <c r="AD141" i="1"/>
  <c r="AE57" i="1"/>
  <c r="AI57" i="1"/>
  <c r="AD40" i="1"/>
  <c r="AD164" i="1"/>
  <c r="AE164" i="1" s="1"/>
  <c r="AB164" i="1"/>
  <c r="AE161" i="1"/>
  <c r="U234" i="1"/>
  <c r="V102" i="1"/>
  <c r="AE108" i="1"/>
  <c r="AD160" i="1" l="1"/>
  <c r="AE160" i="1" s="1"/>
  <c r="AB230" i="1"/>
  <c r="AA233" i="1"/>
  <c r="X234" i="1"/>
  <c r="Y234" i="1" s="1"/>
  <c r="Y102" i="1"/>
  <c r="V234" i="1"/>
  <c r="AI234" i="1"/>
  <c r="AE141" i="1"/>
  <c r="AD125" i="1"/>
  <c r="AB102" i="1"/>
  <c r="AI40" i="1"/>
  <c r="AE40" i="1"/>
  <c r="AD86" i="1"/>
  <c r="AB233" i="1" l="1"/>
  <c r="AA234" i="1"/>
  <c r="AB234" i="1" s="1"/>
  <c r="AE86" i="1"/>
  <c r="AD102" i="1"/>
  <c r="AI86" i="1"/>
  <c r="AE125" i="1"/>
  <c r="AD230" i="1"/>
  <c r="AD233" i="1" l="1"/>
  <c r="AE233" i="1" s="1"/>
  <c r="AE230" i="1"/>
  <c r="AE102" i="1"/>
  <c r="AI102" i="1"/>
  <c r="AD234" i="1" l="1"/>
  <c r="AE2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K44" authorId="0" shapeId="0" xr:uid="{00000000-0006-0000-0000-000001000000}">
      <text>
        <r>
          <rPr>
            <b/>
            <sz val="9"/>
            <color indexed="81"/>
            <rFont val="Tahoma"/>
            <family val="2"/>
            <charset val="186"/>
          </rPr>
          <t>Sarmīte Mūze:</t>
        </r>
        <r>
          <rPr>
            <sz val="9"/>
            <color indexed="81"/>
            <rFont val="Tahoma"/>
            <family val="2"/>
            <charset val="186"/>
          </rPr>
          <t xml:space="preserve">
Viss 0910</t>
        </r>
      </text>
    </comment>
    <comment ref="L44" authorId="0" shapeId="0" xr:uid="{00000000-0006-0000-0000-000002000000}">
      <text>
        <r>
          <rPr>
            <b/>
            <sz val="9"/>
            <color indexed="81"/>
            <rFont val="Tahoma"/>
            <family val="2"/>
            <charset val="186"/>
          </rPr>
          <t>Sarmīte Mūze:</t>
        </r>
        <r>
          <rPr>
            <sz val="9"/>
            <color indexed="81"/>
            <rFont val="Tahoma"/>
            <family val="2"/>
            <charset val="186"/>
          </rPr>
          <t xml:space="preserve">
0950 EUR 26'886 (EKK 2370 EUUR 21'886; EKK 5233 EUR 5'000); 0910 EUR 3'394 EKK 2370; 0920 EUR 1'484 EKK 2370</t>
        </r>
      </text>
    </comment>
    <comment ref="G46" authorId="0" shapeId="0" xr:uid="{00000000-0006-0000-0000-000003000000}">
      <text>
        <r>
          <rPr>
            <b/>
            <sz val="9"/>
            <color indexed="81"/>
            <rFont val="Tahoma"/>
            <family val="2"/>
          </rPr>
          <t>Sarmīte Mūze:</t>
        </r>
        <r>
          <rPr>
            <sz val="9"/>
            <color indexed="81"/>
            <rFont val="Tahoma"/>
            <family val="2"/>
          </rPr>
          <t xml:space="preserve">
EUR 136'105 ĀPII; EUR 48'751 KPII</t>
        </r>
      </text>
    </comment>
    <comment ref="H46" authorId="0" shapeId="0" xr:uid="{00000000-0006-0000-0000-000004000000}">
      <text>
        <r>
          <rPr>
            <b/>
            <sz val="9"/>
            <color indexed="81"/>
            <rFont val="Tahoma"/>
            <family val="2"/>
          </rPr>
          <t>Sarmīte Mūze:</t>
        </r>
        <r>
          <rPr>
            <sz val="9"/>
            <color indexed="81"/>
            <rFont val="Tahoma"/>
            <family val="2"/>
          </rPr>
          <t xml:space="preserve">
EUR 136'105 ĀPII; EUR 48'751 KPII</t>
        </r>
      </text>
    </comment>
    <comment ref="L46" authorId="0" shapeId="0" xr:uid="{00000000-0006-0000-0000-000005000000}">
      <text>
        <r>
          <rPr>
            <b/>
            <sz val="9"/>
            <color indexed="81"/>
            <rFont val="Tahoma"/>
            <family val="2"/>
            <charset val="186"/>
          </rPr>
          <t>Sarmīte Mūze:</t>
        </r>
        <r>
          <rPr>
            <sz val="9"/>
            <color indexed="81"/>
            <rFont val="Tahoma"/>
            <family val="2"/>
            <charset val="186"/>
          </rPr>
          <t xml:space="preserve">
EUR 211'674,48 ĀPII
EUR 71'513,52 KPII</t>
        </r>
      </text>
    </comment>
    <comment ref="K72" authorId="0" shapeId="0" xr:uid="{00000000-0006-0000-0000-000006000000}">
      <text>
        <r>
          <rPr>
            <b/>
            <sz val="9"/>
            <color indexed="81"/>
            <rFont val="Tahoma"/>
            <family val="2"/>
            <charset val="186"/>
          </rPr>
          <t>Sarmīte Mūze:</t>
        </r>
        <r>
          <rPr>
            <sz val="9"/>
            <color indexed="81"/>
            <rFont val="Tahoma"/>
            <family val="2"/>
            <charset val="186"/>
          </rPr>
          <t xml:space="preserve">
EUR 450 - būvniecība; EUR 4'504 - pakalpojumi
</t>
        </r>
      </text>
    </comment>
    <comment ref="M72" authorId="0" shapeId="0" xr:uid="{00000000-0006-0000-0000-000007000000}">
      <text>
        <r>
          <rPr>
            <b/>
            <sz val="9"/>
            <color indexed="81"/>
            <rFont val="Tahoma"/>
            <family val="2"/>
            <charset val="186"/>
          </rPr>
          <t>Sarmīte Mūze:</t>
        </r>
        <r>
          <rPr>
            <sz val="9"/>
            <color indexed="81"/>
            <rFont val="Tahoma"/>
            <family val="2"/>
            <charset val="186"/>
          </rPr>
          <t xml:space="preserve">
Klāt arī pakalpojumu finansējums</t>
        </r>
      </text>
    </comment>
    <comment ref="K167" authorId="0" shapeId="0" xr:uid="{00000000-0006-0000-0000-000008000000}">
      <text>
        <r>
          <rPr>
            <b/>
            <sz val="9"/>
            <color indexed="81"/>
            <rFont val="Tahoma"/>
            <family val="2"/>
            <charset val="186"/>
          </rPr>
          <t>Sarmīte Mūze:</t>
        </r>
        <r>
          <rPr>
            <sz val="9"/>
            <color indexed="81"/>
            <rFont val="Tahoma"/>
            <family val="2"/>
            <charset val="186"/>
          </rPr>
          <t xml:space="preserve">
EUR 450 - būvniecība; EUR 4'504 - pakalpojumi</t>
        </r>
      </text>
    </comment>
    <comment ref="O228" authorId="0" shapeId="0" xr:uid="{00000000-0006-0000-0000-000009000000}">
      <text>
        <r>
          <rPr>
            <b/>
            <sz val="9"/>
            <color indexed="81"/>
            <rFont val="Tahoma"/>
            <family val="2"/>
            <charset val="186"/>
          </rPr>
          <t>Sarmīte Mūze:</t>
        </r>
        <r>
          <rPr>
            <sz val="9"/>
            <color indexed="81"/>
            <rFont val="Tahoma"/>
            <family val="2"/>
            <charset val="186"/>
          </rPr>
          <t xml:space="preserve">
EUR 82'000 no DRN KA un 15'000 no februāra ieskaita 2017</t>
        </r>
      </text>
    </comment>
    <comment ref="P228" authorId="0" shapeId="0" xr:uid="{00000000-0006-0000-0000-00000A000000}">
      <text>
        <r>
          <rPr>
            <b/>
            <sz val="9"/>
            <color indexed="81"/>
            <rFont val="Tahoma"/>
            <family val="2"/>
            <charset val="186"/>
          </rPr>
          <t>Sarmīte Mūze:</t>
        </r>
        <r>
          <rPr>
            <sz val="9"/>
            <color indexed="81"/>
            <rFont val="Tahoma"/>
            <family val="2"/>
            <charset val="186"/>
          </rPr>
          <t xml:space="preserve">
EUR 82'000 no DRN KA un 15'000 no februāra ieskaita 2017</t>
        </r>
      </text>
    </comment>
  </commentList>
</comments>
</file>

<file path=xl/sharedStrings.xml><?xml version="1.0" encoding="utf-8"?>
<sst xmlns="http://schemas.openxmlformats.org/spreadsheetml/2006/main" count="671" uniqueCount="525">
  <si>
    <t>Ādažu novada pašvaldības budžeta projekts 2019. gads</t>
  </si>
  <si>
    <t xml:space="preserve">Ieņēmumu daļa </t>
  </si>
  <si>
    <t xml:space="preserve">N.p.k. </t>
  </si>
  <si>
    <t>Sadaļa</t>
  </si>
  <si>
    <t xml:space="preserve">16.12.2014. </t>
  </si>
  <si>
    <t xml:space="preserve">12.2015. </t>
  </si>
  <si>
    <t>27.12.2016. grozījumi</t>
  </si>
  <si>
    <t>22.12.2017. grozījumi</t>
  </si>
  <si>
    <t>27.12.2018. grozījumi</t>
  </si>
  <si>
    <t>17.12.2019. grozījumi</t>
  </si>
  <si>
    <t>KA 31.12.2019.</t>
  </si>
  <si>
    <t>Valsts finansējums (mērķdotācijas)</t>
  </si>
  <si>
    <t>Projektu finansējums</t>
  </si>
  <si>
    <t>Aizņēmumi</t>
  </si>
  <si>
    <t>2020. ĀND investīcijas</t>
  </si>
  <si>
    <t>2020. ĀND bāze</t>
  </si>
  <si>
    <t>2020. kopā</t>
  </si>
  <si>
    <t>25.02.2020. grozījumi</t>
  </si>
  <si>
    <t>Izmaiņa 25.02.2020. - 28.01.2020.</t>
  </si>
  <si>
    <t xml:space="preserve">Komentāri </t>
  </si>
  <si>
    <t>24.03.2020. grozījumi</t>
  </si>
  <si>
    <t>Izmaiņa 24.03.2020. - 25.02.2020.</t>
  </si>
  <si>
    <t>28.04.2020. grozījumi</t>
  </si>
  <si>
    <t>Izmaiņa 28.04.2020. - 24.03.2020.</t>
  </si>
  <si>
    <t>26.05.2020. grozījumi</t>
  </si>
  <si>
    <t>Izmaiņa 26.05.2020. - 28.04.2020.</t>
  </si>
  <si>
    <t>30.06.2020. grozījumi</t>
  </si>
  <si>
    <t>Izmaiņa 30.06.2020. - 26.05.2020.</t>
  </si>
  <si>
    <t>25.06.2020. fakts</t>
  </si>
  <si>
    <t>25.06.2020. fakts (%) pret 2020. plānu</t>
  </si>
  <si>
    <t>Komentāri par izpildi</t>
  </si>
  <si>
    <t>1., 2., 3., 4., 5.</t>
  </si>
  <si>
    <t>Nodokļu ieņēmumi</t>
  </si>
  <si>
    <t>1.1.1.0.</t>
  </si>
  <si>
    <t>1.</t>
  </si>
  <si>
    <t>Iedzīvotāju ienākuma nodoklis</t>
  </si>
  <si>
    <t>PB</t>
  </si>
  <si>
    <t>18.6.4.0.</t>
  </si>
  <si>
    <t>1.1.</t>
  </si>
  <si>
    <t>speciālā IIN dotācija</t>
  </si>
  <si>
    <t>01.1.1.2.</t>
  </si>
  <si>
    <t>1.2.</t>
  </si>
  <si>
    <t>pārskata gada</t>
  </si>
  <si>
    <t>I ceturksnī – 22%, II ceturksnī – 24%, III ceturksnī – 26%,  IV ceturksnī  - 28%</t>
  </si>
  <si>
    <t>1.3.</t>
  </si>
  <si>
    <t>saņemts no Valsts kases sadales konta iepriekšējā gada nesadalītais iedzīvotāju ienākuma nodokļa atlikums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</si>
  <si>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</si>
  <si>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</si>
  <si>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</si>
  <si>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</si>
  <si>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</si>
  <si>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</si>
  <si>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</si>
  <si>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</si>
  <si>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</si>
  <si>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</si>
  <si>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</si>
  <si>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</si>
  <si>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</si>
  <si>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</si>
  <si>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</si>
  <si>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</si>
  <si>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</si>
  <si>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</si>
  <si>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</si>
  <si>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</si>
  <si>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</si>
  <si>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</si>
  <si>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</si>
  <si>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05.4.1.0.</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</si>
  <si>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</si>
  <si>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</si>
  <si>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</si>
  <si>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</si>
  <si>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</si>
  <si>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</si>
  <si>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</si>
  <si>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</si>
  <si>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</si>
  <si>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</si>
  <si>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</si>
  <si>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</si>
  <si>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</si>
  <si>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r>
      <rPr>
        <sz val="10"/>
        <color indexed="9"/>
        <rFont val="Times New Roman"/>
        <family val="1"/>
        <charset val="186"/>
      </rPr>
      <t>t.sk.:</t>
    </r>
    <r>
      <rPr>
        <sz val="10"/>
        <rFont val="Times New Roman"/>
        <family val="1"/>
        <charset val="186"/>
      </rPr>
      <t xml:space="preserve"> - par civilstāvokļa aktu reģistrēšanu, grozīšanu un papildināšanu</t>
    </r>
  </si>
  <si>
    <t>09.4.9.0.</t>
  </si>
  <si>
    <t>6.1.3.</t>
  </si>
  <si>
    <r>
      <rPr>
        <sz val="10"/>
        <color indexed="9"/>
        <rFont val="Times New Roman"/>
        <family val="1"/>
        <charset val="186"/>
      </rPr>
      <t xml:space="preserve">t.sk.: </t>
    </r>
    <r>
      <rPr>
        <sz val="10"/>
        <rFont val="Times New Roman"/>
        <family val="1"/>
        <charset val="186"/>
      </rPr>
      <t>- pārējās valsts nodevas, kuras ieskaita pašvaldību budžetā</t>
    </r>
  </si>
  <si>
    <t>9.5.0.0.</t>
  </si>
  <si>
    <t>6.2.</t>
  </si>
  <si>
    <t>pašvaldību nodevas</t>
  </si>
  <si>
    <t>09.5.1.1.</t>
  </si>
  <si>
    <t>6.2.1.</t>
  </si>
  <si>
    <t>t.sk.: - nodeva par domes izstrādāto oficiālo dokumentu saņemšanu</t>
  </si>
  <si>
    <t>09.5.1.4.</t>
  </si>
  <si>
    <t>6.2.2.</t>
  </si>
  <si>
    <r>
      <t>t.sk.:</t>
    </r>
    <r>
      <rPr>
        <sz val="10"/>
        <rFont val="Times New Roman"/>
        <family val="1"/>
        <charset val="186"/>
      </rPr>
      <t xml:space="preserve"> - nodeva par tirdzniecību publiskās vietās</t>
    </r>
  </si>
  <si>
    <t>09.5.1.5.</t>
  </si>
  <si>
    <t>6.2.3.</t>
  </si>
  <si>
    <r>
      <rPr>
        <sz val="10"/>
        <color indexed="9"/>
        <rFont val="Times New Roman"/>
        <family val="1"/>
        <charset val="186"/>
      </rPr>
      <t>t.sk.:</t>
    </r>
    <r>
      <rPr>
        <sz val="10"/>
        <rFont val="Times New Roman"/>
        <family val="1"/>
        <charset val="186"/>
      </rPr>
      <t xml:space="preserve"> - nodeva par dzīvnieku turēšanu</t>
    </r>
  </si>
  <si>
    <t>09.5.1.7.</t>
  </si>
  <si>
    <t>6.2.4.</t>
  </si>
  <si>
    <r>
      <rPr>
        <sz val="10"/>
        <color indexed="9"/>
        <rFont val="Times New Roman"/>
        <family val="1"/>
        <charset val="186"/>
      </rPr>
      <t>t.sk.:</t>
    </r>
    <r>
      <rPr>
        <sz val="10"/>
        <rFont val="Times New Roman"/>
        <family val="1"/>
        <charset val="186"/>
      </rPr>
      <t xml:space="preserve"> - nodeva par reklāmas, afišu un sludinājumu izvietošanu publiskās vietās</t>
    </r>
  </si>
  <si>
    <t>09.5.2.1.</t>
  </si>
  <si>
    <t>6.2.5.</t>
  </si>
  <si>
    <r>
      <rPr>
        <sz val="10"/>
        <color indexed="9"/>
        <rFont val="Times New Roman"/>
        <family val="1"/>
        <charset val="186"/>
      </rPr>
      <t>t.sk.:</t>
    </r>
    <r>
      <rPr>
        <sz val="10"/>
        <rFont val="Times New Roman"/>
        <family val="1"/>
        <charset val="186"/>
      </rPr>
      <t xml:space="preserve"> - nodeva par būvatļaujas saņemšanu</t>
    </r>
  </si>
  <si>
    <t>09.5.2.9.</t>
  </si>
  <si>
    <t>6.2.6.</t>
  </si>
  <si>
    <r>
      <rPr>
        <sz val="10"/>
        <color indexed="9"/>
        <rFont val="Times New Roman"/>
        <family val="1"/>
        <charset val="186"/>
      </rPr>
      <t>t.sk.:</t>
    </r>
    <r>
      <rPr>
        <sz val="10"/>
        <rFont val="Times New Roman"/>
        <family val="1"/>
        <charset val="186"/>
      </rPr>
      <t xml:space="preserve"> - pārējās nodevas</t>
    </r>
  </si>
  <si>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</si>
  <si>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</si>
  <si>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</si>
  <si>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</si>
  <si>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</si>
  <si>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</si>
  <si>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</si>
  <si>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</si>
  <si>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</si>
  <si>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</si>
  <si>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</si>
  <si>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</si>
  <si>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</si>
  <si>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</si>
  <si>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EUR 27'719,06 atmaksātais PVN no skolas būvniecības.</t>
  </si>
  <si>
    <t>12.3.9.5.</t>
  </si>
  <si>
    <t>8.2.</t>
  </si>
  <si>
    <t>līgumsodi un procentu maksājumi par saistību neizpildi</t>
  </si>
  <si>
    <t>13.1.0.0.</t>
  </si>
  <si>
    <t>9.</t>
  </si>
  <si>
    <t>Ieņēmumi no pašvaldības īpašuma pārdošana</t>
  </si>
  <si>
    <t>EUR 7'000 plānotā dzīvokļa izsole Vējupes ielā 13. Papildus projekta "Sabiedrība ar dvēseli" finansējumam  (Fin.kom. 18.02.2020.)</t>
  </si>
  <si>
    <t>10.</t>
  </si>
  <si>
    <t>Valsts budžeta transferti un projektu finansējums</t>
  </si>
  <si>
    <t>mērķdotācija</t>
  </si>
  <si>
    <t>18.6.2.3.</t>
  </si>
  <si>
    <t>10.1.</t>
  </si>
  <si>
    <t>dotācija mākslas skolas algām</t>
  </si>
  <si>
    <t>Preciēts, saskaņā ar līgumu starp Latvijas nacionālo kultūras centru un Ādažu novada domi</t>
  </si>
  <si>
    <t>18.6.2.4.</t>
  </si>
  <si>
    <t>10.2.</t>
  </si>
  <si>
    <t>dotācija sporta skolai</t>
  </si>
  <si>
    <t>18.6.2.10.; 18.6.2.11</t>
  </si>
  <si>
    <t>10.3.</t>
  </si>
  <si>
    <t>dotācija skolēnu ēdināšanai</t>
  </si>
  <si>
    <t>18.6.2.5.</t>
  </si>
  <si>
    <t>10.4.</t>
  </si>
  <si>
    <t>dotācija mācību grāmatām</t>
  </si>
  <si>
    <t>Piešķirtais mērķdotāciju apjoms 2020.gadam EUR 34'534 (izdevumos ĀPII - EUR 4'177; KPII - EUR 1'484; ĀVSK - EUR 28'873)</t>
  </si>
  <si>
    <t>18.6.2.0.</t>
  </si>
  <si>
    <t>10.5.</t>
  </si>
  <si>
    <t>dotācijas pedagogu algām (vsk., PII)</t>
  </si>
  <si>
    <t>18.6.2.2.</t>
  </si>
  <si>
    <t>10.5.1.</t>
  </si>
  <si>
    <t>t.sk.: - piecgadīgo bērnu apmācība</t>
  </si>
  <si>
    <t>18.6.2.1.</t>
  </si>
  <si>
    <t>10.5.2.</t>
  </si>
  <si>
    <r>
      <rPr>
        <sz val="10"/>
        <color indexed="9"/>
        <rFont val="Times New Roman"/>
        <family val="1"/>
        <charset val="186"/>
      </rPr>
      <t xml:space="preserve">t.sk.: </t>
    </r>
    <r>
      <rPr>
        <sz val="10"/>
        <rFont val="Times New Roman"/>
        <family val="1"/>
        <charset val="186"/>
      </rPr>
      <t>- skolotāju algām</t>
    </r>
  </si>
  <si>
    <t>10.5.3.</t>
  </si>
  <si>
    <r>
      <rPr>
        <sz val="10"/>
        <color indexed="9"/>
        <rFont val="Times New Roman"/>
        <family val="1"/>
        <charset val="186"/>
      </rPr>
      <t xml:space="preserve">t.sk.: </t>
    </r>
    <r>
      <rPr>
        <sz val="10"/>
        <rFont val="Times New Roman"/>
        <family val="1"/>
        <charset val="186"/>
      </rPr>
      <t>- interešu izglītība</t>
    </r>
  </si>
  <si>
    <t>18.6.2.9.</t>
  </si>
  <si>
    <t>10.6.</t>
  </si>
  <si>
    <t>dotācija māksliniecisko kolektīvu vadītāju atalgojumam</t>
  </si>
  <si>
    <t>18.6.3.1.</t>
  </si>
  <si>
    <t>10.7.</t>
  </si>
  <si>
    <t>Projekts "Skolas soma"</t>
  </si>
  <si>
    <t>18.6.2.7.</t>
  </si>
  <si>
    <t>10.8.</t>
  </si>
  <si>
    <t>dotācija asistenta pakalpojumu nodrošināšanai</t>
  </si>
  <si>
    <t>10.9.</t>
  </si>
  <si>
    <t>dotācija sociālajiem darbiniekiem, kuri strādā ar ģimenēm un bērniem</t>
  </si>
  <si>
    <t>10.10.</t>
  </si>
  <si>
    <t>AM līdzfinansējums Mežaparka ceļa izbūvei</t>
  </si>
  <si>
    <t>Vienošanās procesā.</t>
  </si>
  <si>
    <t>10.11.</t>
  </si>
  <si>
    <t>valsts dotācija ceļu uzturēšanai</t>
  </si>
  <si>
    <t>10.12.</t>
  </si>
  <si>
    <t>ieņēmumi no dabas resursu nodokļa</t>
  </si>
  <si>
    <t>18.6.2.14.;</t>
  </si>
  <si>
    <t>10.13.</t>
  </si>
  <si>
    <t>pārējās dotācijas</t>
  </si>
  <si>
    <t>EUR 5'200 plānotā valsts dotāciju dziesmu un deju svētku ēdināšanas pakalpojumu apmaksai. Izdevumos zem ĀMMS izdevumu sadaļās "Dziesmu un deju svētki"</t>
  </si>
  <si>
    <t>EUR 440 - Saskaņā ar FM 06.03.2020. rīkojumu "Par līdzekļu peišķiršanu", lai segtu faktiskos izdevumus, sniedzot atskurbināšanas pakalpojumus 2019.gadā.</t>
  </si>
  <si>
    <r>
      <t xml:space="preserve">Piešķirti Zivju fonda projekta līdzekļi zivju resursu pavairošanai Mazajā Baltezerā, Vējupē un Lilastes ezerā </t>
    </r>
    <r>
      <rPr>
        <b/>
        <sz val="11"/>
        <rFont val="Times New Roman"/>
        <family val="1"/>
        <charset val="186"/>
      </rPr>
      <t>EUR 6'564</t>
    </r>
    <r>
      <rPr>
        <sz val="11"/>
        <rFont val="Times New Roman"/>
        <family val="1"/>
        <charset val="186"/>
      </rPr>
      <t xml:space="preserve"> apmērā (ĀND finansējums EUR 1'744,91, kopā EUR 8'309,07).</t>
    </r>
  </si>
  <si>
    <t>ES struktūrfondu līdzekļi un aktivitāšu līdzfinansējumi</t>
  </si>
  <si>
    <t>Par projektiem priekšsēdētājs ziņos Domes sēdē</t>
  </si>
  <si>
    <t>Projekts</t>
  </si>
  <si>
    <t>21.1.9.2.</t>
  </si>
  <si>
    <t>10.13.1.</t>
  </si>
  <si>
    <r>
      <rPr>
        <sz val="11"/>
        <color indexed="9"/>
        <rFont val="Times New Roman"/>
        <family val="1"/>
        <charset val="186"/>
      </rPr>
      <t xml:space="preserve">t.sk.: </t>
    </r>
    <r>
      <rPr>
        <sz val="11"/>
        <rFont val="Times New Roman"/>
        <family val="1"/>
        <charset val="186"/>
      </rPr>
      <t>Norvēģu finanšu instruments</t>
    </r>
  </si>
  <si>
    <t>18.6.2.6.1.</t>
  </si>
  <si>
    <t>10.13.2.</t>
  </si>
  <si>
    <r>
      <rPr>
        <sz val="11"/>
        <color indexed="9"/>
        <rFont val="Times New Roman"/>
        <family val="1"/>
        <charset val="186"/>
      </rPr>
      <t xml:space="preserve">t.sk.:   </t>
    </r>
    <r>
      <rPr>
        <sz val="11"/>
        <rFont val="Times New Roman"/>
        <family val="1"/>
        <charset val="186"/>
      </rPr>
      <t>Dotācija nodarbinātības pasākumiem</t>
    </r>
  </si>
  <si>
    <t>Saskaņā ar 09.01.2020. vienošanos Nr. 35.9.3-1/4-1 kopsumma bezdarbnieku un koordinatora atlīdzībai 13.01.-30.12.2020. EUR 6'425 un soc. Nod. (ĀND finansējums) (papildus EUR 1'637)</t>
  </si>
  <si>
    <t>18.6…..</t>
  </si>
  <si>
    <t>10.13.3.</t>
  </si>
  <si>
    <r>
      <rPr>
        <sz val="11"/>
        <color indexed="9"/>
        <rFont val="Times New Roman"/>
        <family val="1"/>
        <charset val="186"/>
      </rPr>
      <t>t.sk.:</t>
    </r>
    <r>
      <rPr>
        <sz val="11"/>
        <rFont val="Times New Roman"/>
        <family val="1"/>
        <charset val="186"/>
      </rPr>
      <t xml:space="preserve"> LEADER</t>
    </r>
  </si>
  <si>
    <t>18.6.3.6.</t>
  </si>
  <si>
    <t>10.13.4.</t>
  </si>
  <si>
    <r>
      <rPr>
        <sz val="11"/>
        <color indexed="9"/>
        <rFont val="Times New Roman"/>
        <family val="1"/>
        <charset val="186"/>
      </rPr>
      <t xml:space="preserve">t.sk.: </t>
    </r>
    <r>
      <rPr>
        <sz val="11"/>
        <rFont val="Times New Roman"/>
        <family val="1"/>
        <charset val="186"/>
      </rPr>
      <t>Plūdu risku projekts</t>
    </r>
  </si>
  <si>
    <t>Uz šo brīdi projekta izmaksas ir pārtrauktas</t>
  </si>
  <si>
    <t>18.6.3.10.</t>
  </si>
  <si>
    <t>10.13.5.</t>
  </si>
  <si>
    <r>
      <rPr>
        <sz val="11"/>
        <color theme="0"/>
        <rFont val="Times New Roman"/>
        <family val="1"/>
        <charset val="186"/>
      </rPr>
      <t>t.sk.:</t>
    </r>
    <r>
      <rPr>
        <sz val="11"/>
        <rFont val="Times New Roman"/>
        <family val="1"/>
        <charset val="186"/>
      </rPr>
      <t xml:space="preserve"> Muižas ielas rekonstrukcija</t>
    </r>
  </si>
  <si>
    <t>18.6.3.11.</t>
  </si>
  <si>
    <t>10.13.6.</t>
  </si>
  <si>
    <r>
      <rPr>
        <sz val="11"/>
        <color theme="0"/>
        <rFont val="Times New Roman"/>
        <family val="1"/>
        <charset val="186"/>
      </rPr>
      <t xml:space="preserve">t.sk.: </t>
    </r>
    <r>
      <rPr>
        <sz val="11"/>
        <rFont val="Times New Roman"/>
        <family val="1"/>
        <charset val="186"/>
      </rPr>
      <t>SAM 4.2.2. ĀPII siltināšanas projekts</t>
    </r>
  </si>
  <si>
    <t>10.13.7.</t>
  </si>
  <si>
    <r>
      <rPr>
        <sz val="11"/>
        <color theme="0"/>
        <rFont val="Times New Roman"/>
        <family val="1"/>
        <charset val="186"/>
      </rPr>
      <t xml:space="preserve">t.sk.: </t>
    </r>
    <r>
      <rPr>
        <sz val="11"/>
        <rFont val="Times New Roman"/>
        <family val="1"/>
        <charset val="186"/>
      </rPr>
      <t>SAM 3.3.1. Infrastruktūras projekts Ataru ceļa pārbūve Ādažu novadā</t>
    </r>
  </si>
  <si>
    <t>18.6.3.4</t>
  </si>
  <si>
    <t>10.13.8.</t>
  </si>
  <si>
    <r>
      <rPr>
        <sz val="11"/>
        <color theme="0"/>
        <rFont val="Times New Roman"/>
        <family val="1"/>
        <charset val="186"/>
      </rPr>
      <t xml:space="preserve">t.sk.: </t>
    </r>
    <r>
      <rPr>
        <sz val="11"/>
        <rFont val="Times New Roman"/>
        <family val="1"/>
        <charset val="186"/>
      </rPr>
      <t>Jaunās skolas būvniecība</t>
    </r>
  </si>
  <si>
    <t xml:space="preserve">18.6.3.12.  </t>
  </si>
  <si>
    <t>10.13.9.</t>
  </si>
  <si>
    <r>
      <rPr>
        <sz val="11"/>
        <color theme="0"/>
        <rFont val="Times New Roman"/>
        <family val="1"/>
        <charset val="186"/>
      </rPr>
      <t>t.sk.:</t>
    </r>
    <r>
      <rPr>
        <sz val="11"/>
        <rFont val="Times New Roman"/>
        <family val="1"/>
        <charset val="186"/>
      </rPr>
      <t xml:space="preserve"> LAD projekts Laveru ceļš</t>
    </r>
  </si>
  <si>
    <t xml:space="preserve">18.6.3.13. </t>
  </si>
  <si>
    <t>10.13.10.</t>
  </si>
  <si>
    <r>
      <rPr>
        <sz val="11"/>
        <color theme="0"/>
        <rFont val="Times New Roman"/>
        <family val="1"/>
        <charset val="186"/>
      </rPr>
      <t xml:space="preserve">t.sk.: </t>
    </r>
    <r>
      <rPr>
        <sz val="11"/>
        <rFont val="Times New Roman"/>
        <family val="1"/>
        <charset val="186"/>
      </rPr>
      <t>SAM 9.2.4.2. projekts "Pasākumi vietējās sabiedrības veselības veicināšanai Ādažu novadā"</t>
    </r>
  </si>
  <si>
    <t>18.6.3.7.</t>
  </si>
  <si>
    <t>10.13.11.</t>
  </si>
  <si>
    <r>
      <rPr>
        <sz val="11"/>
        <color indexed="9"/>
        <rFont val="Times New Roman"/>
        <family val="1"/>
        <charset val="186"/>
      </rPr>
      <t>t.sk.:</t>
    </r>
    <r>
      <rPr>
        <sz val="11"/>
        <rFont val="Times New Roman"/>
        <family val="1"/>
        <charset val="186"/>
      </rPr>
      <t xml:space="preserve"> Izglītības Sadarbības Programma "Erasmus+"</t>
    </r>
  </si>
  <si>
    <t>Budžetā likta 2020.gada paredzētie realizācijas apjomi.</t>
  </si>
  <si>
    <t>10.13.12.</t>
  </si>
  <si>
    <r>
      <rPr>
        <sz val="11"/>
        <color theme="0"/>
        <rFont val="Times New Roman"/>
        <family val="1"/>
        <charset val="186"/>
      </rPr>
      <t xml:space="preserve">t.sk.: </t>
    </r>
    <r>
      <rPr>
        <sz val="11"/>
        <rFont val="Times New Roman"/>
        <family val="1"/>
        <charset val="186"/>
      </rPr>
      <t>ES HORIZON 2020 energoefektivitātes projekts "SUNSHINE"</t>
    </r>
  </si>
  <si>
    <t xml:space="preserve">18.6.3.14.  </t>
  </si>
  <si>
    <t>10.13.13.</t>
  </si>
  <si>
    <r>
      <rPr>
        <sz val="11"/>
        <color theme="0"/>
        <rFont val="Times New Roman"/>
        <family val="1"/>
        <charset val="186"/>
      </rPr>
      <t xml:space="preserve">t.sk.: </t>
    </r>
    <r>
      <rPr>
        <sz val="11"/>
        <rFont val="Times New Roman"/>
        <family val="1"/>
        <charset val="186"/>
      </rPr>
      <t>VISA projekts "Atbalsts izglītojamo individuālo kompetenču attīstībai"</t>
    </r>
  </si>
  <si>
    <t>10.13.14.</t>
  </si>
  <si>
    <t>10.13.15.</t>
  </si>
  <si>
    <r>
      <rPr>
        <sz val="11"/>
        <color theme="0"/>
        <rFont val="Times New Roman"/>
        <family val="1"/>
        <charset val="186"/>
      </rPr>
      <t xml:space="preserve">t.sk.: </t>
    </r>
    <r>
      <rPr>
        <sz val="11"/>
        <rFont val="Times New Roman"/>
        <family val="1"/>
        <charset val="186"/>
      </rPr>
      <t>SAM 9311 Deinstitucionalizācija - Dienas centrs - pakalpojumi; būvniecība</t>
    </r>
  </si>
  <si>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</si>
  <si>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</si>
  <si>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</si>
  <si>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</si>
  <si>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</si>
  <si>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</si>
  <si>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</si>
  <si>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</si>
  <si>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</si>
  <si>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</si>
  <si>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</si>
  <si>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</si>
  <si>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</si>
  <si>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21.3.5.1.</t>
  </si>
  <si>
    <t>12.1.1.</t>
  </si>
  <si>
    <t>t.sk.: mācību maksa (PII pulciņi)</t>
  </si>
  <si>
    <t>21.3.5.2.</t>
  </si>
  <si>
    <t>12.1.2.</t>
  </si>
  <si>
    <r>
      <rPr>
        <sz val="11"/>
        <color indexed="9"/>
        <rFont val="Times New Roman"/>
        <family val="1"/>
        <charset val="186"/>
      </rPr>
      <t>t.sk.:</t>
    </r>
    <r>
      <rPr>
        <sz val="11"/>
        <rFont val="Times New Roman"/>
        <family val="1"/>
        <charset val="186"/>
      </rPr>
      <t xml:space="preserve"> ieņēmumi no vecāku maksām (ĀBJSS)</t>
    </r>
  </si>
  <si>
    <t>Iespējamais ieņēmums samazinājums Marta-Maija COVID ierobežojumu rezultātā.</t>
  </si>
  <si>
    <t>21.3.5.9.</t>
  </si>
  <si>
    <t>12.1.3.</t>
  </si>
  <si>
    <r>
      <rPr>
        <sz val="11"/>
        <color indexed="9"/>
        <rFont val="Times New Roman"/>
        <family val="1"/>
        <charset val="186"/>
      </rPr>
      <t xml:space="preserve">t.sk.: </t>
    </r>
    <r>
      <rPr>
        <sz val="11"/>
        <rFont val="Times New Roman"/>
        <family val="1"/>
        <charset val="186"/>
      </rPr>
      <t>pārējie ieņēmumi par izglītības pakalpojumiem (PII baseins)</t>
    </r>
  </si>
  <si>
    <t>21.3.8.0.</t>
  </si>
  <si>
    <t>12.2.</t>
  </si>
  <si>
    <t>ieņēmumi par nomu un īri</t>
  </si>
  <si>
    <t>21.3.8.1.</t>
  </si>
  <si>
    <t>12.2.1.</t>
  </si>
  <si>
    <t>t.sk.: ieņēmumi par telpu nomu</t>
  </si>
  <si>
    <t>21.3.8.4.</t>
  </si>
  <si>
    <t>12.2.2.</t>
  </si>
  <si>
    <r>
      <rPr>
        <sz val="11"/>
        <color indexed="9"/>
        <rFont val="Times New Roman"/>
        <family val="1"/>
        <charset val="186"/>
      </rPr>
      <t>t.sk.:</t>
    </r>
    <r>
      <rPr>
        <sz val="11"/>
        <rFont val="Times New Roman"/>
        <family val="1"/>
        <charset val="186"/>
      </rPr>
      <t xml:space="preserve"> ieņēmumi par zemes nomu</t>
    </r>
  </si>
  <si>
    <t>Atcelto Gaujas svētku laikā plānotie ieņēmumi netiks iekasēti.</t>
  </si>
  <si>
    <t>21.3.9.0.</t>
  </si>
  <si>
    <t>12.3.</t>
  </si>
  <si>
    <t>budžeta iestāžu maksas pakalpojumi</t>
  </si>
  <si>
    <t>21.4.9.9.</t>
  </si>
  <si>
    <t>12.4.</t>
  </si>
  <si>
    <t>pārējie ieņēmumi</t>
  </si>
  <si>
    <t>KOPĀ IEŅĒMUMI:</t>
  </si>
  <si>
    <t>13.</t>
  </si>
  <si>
    <t>Naudas līdzekļu atlikums gada sākumā</t>
  </si>
  <si>
    <t>13.1.</t>
  </si>
  <si>
    <t>Naudas atlikums iezīmētiem mērķiem</t>
  </si>
  <si>
    <t>Precizēti grāmatvedības dati, nauda ceļā, maksājumu attiecināšana uz gada beigām.</t>
  </si>
  <si>
    <t>13.2.</t>
  </si>
  <si>
    <t>Naudas atlikums pašvaldības līdzekļi</t>
  </si>
  <si>
    <t xml:space="preserve">14. </t>
  </si>
  <si>
    <t>Valsts Kases kredīti</t>
  </si>
  <si>
    <t>14.1.1.</t>
  </si>
  <si>
    <t>Gaujas ielas rekonstrukcija</t>
  </si>
  <si>
    <t>14.1.2.</t>
  </si>
  <si>
    <t>Attekas ielas būvniecība</t>
  </si>
  <si>
    <t>14.1.3.</t>
  </si>
  <si>
    <t>Skolas būvniecība</t>
  </si>
  <si>
    <t>14.1.4.</t>
  </si>
  <si>
    <t>Muižas ielas rekonstrukcija</t>
  </si>
  <si>
    <t>14.1.5.</t>
  </si>
  <si>
    <t>SAM 3.3.1. Infrastruktūras projekts Ataru ceļa pārbūve Ādažu novadā</t>
  </si>
  <si>
    <t>14.1.6.</t>
  </si>
  <si>
    <t>SAM 4.2.2. ĀPII</t>
  </si>
  <si>
    <t>14.1.7.</t>
  </si>
  <si>
    <t>SAM 4.2.2. Gaujas 16</t>
  </si>
  <si>
    <t>LAD projekts Laveru ceļš</t>
  </si>
  <si>
    <t>14.1.8.</t>
  </si>
  <si>
    <t>SAM 5.1.1. Pretplūdu pasākumi Ādažu centra polderī, Ādažu novadā (I kārta)</t>
  </si>
  <si>
    <t>Uz šo brīdi aizņēmuma izmaksas ir pārtrauktas</t>
  </si>
  <si>
    <t>14.1.9.</t>
  </si>
  <si>
    <t>Ādažu vidusskolas remonts - pirmsskolas izglītības nodrošināšanai</t>
  </si>
  <si>
    <t>Precizēta naudas plūsma PI nodrošināšanas projektam ĀVSK, balstoties uz MK noteikumiem par projektā atbalstāmajām aktivitātēm.</t>
  </si>
  <si>
    <t>14.1.10.</t>
  </si>
  <si>
    <t>SAM 9311 Deinstitucionalizācija - Dienas centrs</t>
  </si>
  <si>
    <t>PAVISAM KOPĀ IEŅĒMUMI:</t>
  </si>
  <si>
    <t>Izdevumi:</t>
  </si>
  <si>
    <t xml:space="preserve">Izdevumu daļa </t>
  </si>
  <si>
    <t>KA</t>
  </si>
  <si>
    <t>16.12.2014. grozījumi</t>
  </si>
  <si>
    <t>12.2015. grozījumi</t>
  </si>
  <si>
    <t>KA 31.12.2018.</t>
  </si>
  <si>
    <t>2019. ĀND investīcijas</t>
  </si>
  <si>
    <t>2019. ĀND bāze</t>
  </si>
  <si>
    <t>2019. kopā</t>
  </si>
  <si>
    <t>Komentāri</t>
  </si>
  <si>
    <t>Vispārējie valdības dienesti</t>
  </si>
  <si>
    <t>pārvalde</t>
  </si>
  <si>
    <t>deputāti</t>
  </si>
  <si>
    <t>administratīvā komisija</t>
  </si>
  <si>
    <t>1.4.</t>
  </si>
  <si>
    <t>iepirkumu komisija</t>
  </si>
  <si>
    <t>1.5.</t>
  </si>
  <si>
    <t>vēlēšanu komisija</t>
  </si>
  <si>
    <t>1.6.</t>
  </si>
  <si>
    <t xml:space="preserve">nepilngadīgo lietu  komisija </t>
  </si>
  <si>
    <t>pārējās komisijas</t>
  </si>
  <si>
    <t>1.7.</t>
  </si>
  <si>
    <t>aizņēmumu procentu maksājumi</t>
  </si>
  <si>
    <t>Precizēta naudas plūsma PI nodrošināšanas projektam ĀVSK, balstoties uz MK noteikumiem par projektā atbalstāmajām aktivitātēm - palielināta aizņēmumu summa, līdz ar to procentu maksājumu pieaugums.</t>
  </si>
  <si>
    <t>Mainīgā likme.</t>
  </si>
  <si>
    <t>1.8.</t>
  </si>
  <si>
    <t>Iemaksas PFIF</t>
  </si>
  <si>
    <t>Pārējie vispārēja rakstura transferti</t>
  </si>
  <si>
    <t>Izdevumi neparedzētiem gadījumiem</t>
  </si>
  <si>
    <t>Sabiedriskā kārtība un drošība</t>
  </si>
  <si>
    <t>Līgums par optiskā kabeļa pieslēgšanu (EUR 423,5 un apkalpošanu (mēnesī EUR 121*6 mēn 2020.gadā)). EUR 1'150 uz 0340 (EKK 2210 EUR 726, EKK 2244 EUR 424); EUR 1'150 uz 0641 (EKK 2210 EUR 726, EKK 2244 EUR 424); EUR 1'150 uz 1010 (EKK 2210 EUR 726, EKK 2244 EUR 424) no 0648/EKK 5238.</t>
  </si>
  <si>
    <t>Noslēdzas iepirkums par kosmētiskiem remontiem Depo ielā 2. Lētākais piedāvājums 13,431 EUR (ar PVN). Budžetā bija plānoti EUR 10'890. Papildus nepieciešams EUR 2'631.</t>
  </si>
  <si>
    <t>Ādažu glābšanas dienests</t>
  </si>
  <si>
    <t>Ādažu pašvaldības policija</t>
  </si>
  <si>
    <t>Sabiedriskās attiecības, laikraksts</t>
  </si>
  <si>
    <t>Pašvaldības teritoriju un mājokļu apsaimniekošana</t>
  </si>
  <si>
    <t>5.1.</t>
  </si>
  <si>
    <t>Būvvalde</t>
  </si>
  <si>
    <t>5.2.</t>
  </si>
  <si>
    <t>Attīstības un informācijas daļa</t>
  </si>
  <si>
    <t>5.2.1.</t>
  </si>
  <si>
    <t>nodaļa</t>
  </si>
  <si>
    <t>Papildus EUR 7'000 projekta "Sabiedrība ar dvēseli" no plānotās dzīvokļa izsoles Vējupes ielā 13. (Fin.kom. 18.02.2020.)</t>
  </si>
  <si>
    <t>EUR 6'850 pensionāru aktivitātēm paredzētā nauda no 1010/EKK 6421 uz 0630/EKK 6423, jo attiecināma uz Iniciatīvu projektiem.</t>
  </si>
  <si>
    <t xml:space="preserve">Liela finansējuma daļa par ziemas dekoriem, kas realizēsies gada beigās, kā arī dārzkopības līgums, kur samaksas lielākā daļa 3.ceturksnī. Arī laukumiņu projekta gala norēķins vēl nav bijis. </t>
  </si>
  <si>
    <t>5.2.2.</t>
  </si>
  <si>
    <t xml:space="preserve"> Tirgus laukuma rekonstrukcija</t>
  </si>
  <si>
    <t>5.2.4.</t>
  </si>
  <si>
    <t>Draudzības ielas rekonstrukcija</t>
  </si>
  <si>
    <t>Tehniskā projekta izstrāde un būvniecība (gājēju celiņš un apgaismojums) Gaujas ielas posmam (skola – Remarka ciemats)</t>
  </si>
  <si>
    <t>Līgo laukuma labiekārtošana</t>
  </si>
  <si>
    <t xml:space="preserve">Plūdu risku projekta </t>
  </si>
  <si>
    <t>5.2.3.</t>
  </si>
  <si>
    <t>SAM 3.3.1. Infrastrukntūras projekts - Muižas ielas rekonstrukcija</t>
  </si>
  <si>
    <t>5.2.5.</t>
  </si>
  <si>
    <t>SAM 4.2.2. ĀPII siltināšanas projekts</t>
  </si>
  <si>
    <t>5.2.6.</t>
  </si>
  <si>
    <t>SAM 9.2.4.2. projekts "Pasākumi vietējās sabiedrības veselības veicināšanai Ādažu novadā"</t>
  </si>
  <si>
    <t>ES HORIZON 2020 energoefektivitātes projekts "SUNSHINE"</t>
  </si>
  <si>
    <t>5.3.</t>
  </si>
  <si>
    <t>Objektu un teritorijas apsaimniekošana un uzturēšana</t>
  </si>
  <si>
    <t>5.3.1.</t>
  </si>
  <si>
    <t>Saimniecības un infrastruktūras daļa</t>
  </si>
  <si>
    <r>
      <rPr>
        <b/>
        <sz val="11"/>
        <rFont val="Times New Roman"/>
        <family val="1"/>
        <charset val="186"/>
      </rPr>
      <t xml:space="preserve">1. </t>
    </r>
    <r>
      <rPr>
        <sz val="11"/>
        <rFont val="Times New Roman"/>
        <family val="1"/>
        <charset val="186"/>
      </rPr>
      <t xml:space="preserve">Piešķirti Zivju fonda projekta līdzekļi zivju resursu pavairošanai Mazajā Baltezerā, Vējupē un Lilastes ezerā </t>
    </r>
    <r>
      <rPr>
        <b/>
        <sz val="11"/>
        <rFont val="Times New Roman"/>
        <family val="1"/>
        <charset val="186"/>
      </rPr>
      <t>EUR 6'564</t>
    </r>
    <r>
      <rPr>
        <sz val="11"/>
        <rFont val="Times New Roman"/>
        <family val="1"/>
        <charset val="186"/>
      </rPr>
      <t xml:space="preserve"> apmērā (ĀND finansējums EUR 1'744,91, kopā EUR 8'309,07).</t>
    </r>
    <r>
      <rPr>
        <b/>
        <sz val="11"/>
        <rFont val="Times New Roman"/>
        <family val="1"/>
        <charset val="186"/>
      </rPr>
      <t xml:space="preserve"> 2.</t>
    </r>
    <r>
      <rPr>
        <sz val="11"/>
        <rFont val="Times New Roman"/>
        <family val="1"/>
        <charset val="186"/>
      </rPr>
      <t xml:space="preserve"> EUR 4'021 no EKK 2350/0643 uz EKK 5250/0641 remontdarbiem Pirmās ielas 42/42A telpu remontiem, jo pēc iepirkuma Gaujas ielas 33a remontdarbiem  ietaupījums būs ~EUR 6'000.</t>
    </r>
  </si>
  <si>
    <t xml:space="preserve">Līgums par "Industriālā interneta" pieslēgšanu EUR 1'271 (EUR 423,5 EKK 2244 un apkalpošanu (mēnesī EUR 121*7 mēn 2020.gadā EKK 2210 ) no 0648/EKK 5238 uz Bibliotēku un ĀPII /EKK 2210 un EKK 2244. </t>
  </si>
  <si>
    <t>5.3.2.</t>
  </si>
  <si>
    <t>Ceļu uzturēšana</t>
  </si>
  <si>
    <t>5.3.3.</t>
  </si>
  <si>
    <t>Dabas resursu nodokļa izlietojums</t>
  </si>
  <si>
    <t>Saskaņā ar lēmumprojektu "Par SIA "Garkalnes ūdens" pamatkapitāla palielināšanu EUR 28'651 no DRN konta uz GŪ pamatkapitāla palielināšanu.</t>
  </si>
  <si>
    <t>5.3.4.</t>
  </si>
  <si>
    <t>Saskaņā ar lēmumu par 1.daļas 2.kārtas tehniskajiem risinājumiem, EUR 373'000 ir jāparedz no ĀND budžeta. Aizņēmuma pamatsummas precizējums, balstoties uz faktiskajiem aizņēmumumu atmaksas grafikiem un plānoto aizņēmumu pamatsummas atmaksu plānojot veikt no 2021.gada.</t>
  </si>
  <si>
    <t>5.3.5.</t>
  </si>
  <si>
    <t>LAD C+Ā meliorācijas projekts</t>
  </si>
  <si>
    <t>5.3.6.</t>
  </si>
  <si>
    <t>Atpūta, kultūra un reliģija</t>
  </si>
  <si>
    <t>Kultūras centrs</t>
  </si>
  <si>
    <t>EUR 905 no Gaujas svētku budžeta uz 0981/2239 - skolēnu pārtikas paku nodrošināšanai.</t>
  </si>
  <si>
    <t>Bibliotēka</t>
  </si>
  <si>
    <t xml:space="preserve">Līgums par "Industriālā interneta" pieslēgšanu EUR 1'271 (EUR 423,5 EKK 2244 un apkalpošanu (mēnesī EUR 121*7 mēn 2020.gadā EKK 2210 ) no 0648/EKK 5238 uz 0830/EKK 2210 un EKK 2244. </t>
  </si>
  <si>
    <t>6.3.</t>
  </si>
  <si>
    <t>Sporta daļa</t>
  </si>
  <si>
    <t>7.3.1.</t>
  </si>
  <si>
    <t>sporta funkcijas nodrošināšana</t>
  </si>
  <si>
    <t>7.3.2.</t>
  </si>
  <si>
    <t>uzturēšanas izdevumi</t>
  </si>
  <si>
    <t>7.3.2.1.</t>
  </si>
  <si>
    <t>t.sk.: komunālie maksājumi</t>
  </si>
  <si>
    <t>7.3.3.</t>
  </si>
  <si>
    <t>Leader projekts - basketbola laukuma labiekārtošana</t>
  </si>
  <si>
    <t>6.4.</t>
  </si>
  <si>
    <t>Evaņģēliski luteriskās draudzes</t>
  </si>
  <si>
    <t>Baltezera baznīca nav parakstījusi līgumu.</t>
  </si>
  <si>
    <t>6.5.</t>
  </si>
  <si>
    <t>Muzejs</t>
  </si>
  <si>
    <t>6.6.</t>
  </si>
  <si>
    <t>Multihalle</t>
  </si>
  <si>
    <t>Sociālā aizsardzība</t>
  </si>
  <si>
    <t>Sociālais dienests</t>
  </si>
  <si>
    <t>7.1.1.</t>
  </si>
  <si>
    <t>Sociālās funkcijas nodrošināšana</t>
  </si>
  <si>
    <t>7.1.2.</t>
  </si>
  <si>
    <t>Asistentu pakalpojumi</t>
  </si>
  <si>
    <t>Stipendiāti / bezdarbnieki</t>
  </si>
  <si>
    <t>7.2.1.</t>
  </si>
  <si>
    <t>Domes finansējums</t>
  </si>
  <si>
    <t>7.2.2.</t>
  </si>
  <si>
    <t>NVA finansējums</t>
  </si>
  <si>
    <t>7.3.</t>
  </si>
  <si>
    <t>7.4.</t>
  </si>
  <si>
    <t>Bāriņtiesa</t>
  </si>
  <si>
    <t>Izglītība</t>
  </si>
  <si>
    <t>7210 (0940; 0970)</t>
  </si>
  <si>
    <t>Norēķini ar pašvaldību budžetiem par izglītības iestāžu pakalpojumiem</t>
  </si>
  <si>
    <t>Norēķini notiek reizi ceturksnī.</t>
  </si>
  <si>
    <t>Ādažu Pirmsskolas izglītības iestāde</t>
  </si>
  <si>
    <t>8.2.1.</t>
  </si>
  <si>
    <t>pedagogu algas, grāmatas (mērķdotācija)</t>
  </si>
  <si>
    <t>8.2.1.1.</t>
  </si>
  <si>
    <t>t.sk. - Domes finansējums</t>
  </si>
  <si>
    <t>8.2.1.2.</t>
  </si>
  <si>
    <r>
      <rPr>
        <sz val="10"/>
        <color indexed="9"/>
        <rFont val="Times New Roman"/>
        <family val="1"/>
        <charset val="186"/>
      </rPr>
      <t xml:space="preserve">t.sk. </t>
    </r>
    <r>
      <rPr>
        <sz val="10"/>
        <rFont val="Times New Roman"/>
        <family val="1"/>
        <charset val="186"/>
      </rPr>
      <t>- mērķdotācijas</t>
    </r>
  </si>
  <si>
    <t>8.2.1.2.1.</t>
  </si>
  <si>
    <t>t.sk. piecgadīgo bērnu apmācība</t>
  </si>
  <si>
    <t>8.2.2.</t>
  </si>
  <si>
    <t>pārējās izmaksas</t>
  </si>
  <si>
    <t xml:space="preserve">Līgums par "Industriālā interneta" pieslēgšanu EUR 1'271 (EUR 423,5 EKK 2244 un apkalpošanu (mēnesī EUR 121*7 mēn 2020.gadā EKK 2210 ) no 0648/EKK 5238 uz 0910/EKK 2210 un EKK 2244. </t>
  </si>
  <si>
    <t>8.2.2.1.</t>
  </si>
  <si>
    <t>t.sk. - atalgojums</t>
  </si>
  <si>
    <t>8.2.2.2.</t>
  </si>
  <si>
    <r>
      <rPr>
        <sz val="10"/>
        <color indexed="9"/>
        <rFont val="Times New Roman"/>
        <family val="1"/>
        <charset val="186"/>
      </rPr>
      <t xml:space="preserve">t.sk. </t>
    </r>
    <r>
      <rPr>
        <sz val="10"/>
        <rFont val="Times New Roman"/>
        <family val="1"/>
        <charset val="186"/>
      </rPr>
      <t>- komunālie maksājumi</t>
    </r>
  </si>
  <si>
    <t>8.2.2.3.</t>
  </si>
  <si>
    <r>
      <rPr>
        <sz val="10"/>
        <color indexed="9"/>
        <rFont val="Times New Roman"/>
        <family val="1"/>
        <charset val="186"/>
      </rPr>
      <t xml:space="preserve">t.sk. </t>
    </r>
    <r>
      <rPr>
        <sz val="10"/>
        <rFont val="Times New Roman"/>
        <family val="1"/>
        <charset val="186"/>
      </rPr>
      <t>- pārējas uzturēšanas izmaksas</t>
    </r>
  </si>
  <si>
    <t>8.2.3.</t>
  </si>
  <si>
    <t>8.2.4.</t>
  </si>
  <si>
    <t>mērķdotācija mācību līdzekļu iegādei</t>
  </si>
  <si>
    <t>8.3.</t>
  </si>
  <si>
    <t>Kadagas PII</t>
  </si>
  <si>
    <t>8.3.1.</t>
  </si>
  <si>
    <t>8.3.1.1.</t>
  </si>
  <si>
    <t>8.3.1.2.</t>
  </si>
  <si>
    <t>8.3.1.2.1.</t>
  </si>
  <si>
    <t>8.3.2.</t>
  </si>
  <si>
    <t>8.3.2.1.</t>
  </si>
  <si>
    <t>8.3.2.2.</t>
  </si>
  <si>
    <t>8.3.2.3.</t>
  </si>
  <si>
    <r>
      <rPr>
        <sz val="10"/>
        <color indexed="9"/>
        <rFont val="Times New Roman"/>
        <family val="1"/>
        <charset val="186"/>
      </rPr>
      <t xml:space="preserve">t.sk. </t>
    </r>
    <r>
      <rPr>
        <sz val="10"/>
        <rFont val="Times New Roman"/>
        <family val="1"/>
        <charset val="186"/>
      </rPr>
      <t>- pārējās uzturēšanas izmaksas</t>
    </r>
  </si>
  <si>
    <t>8.3.3.</t>
  </si>
  <si>
    <t>ēdināšana</t>
  </si>
  <si>
    <t>8.3.4.</t>
  </si>
  <si>
    <t>Līdzfinansējums Aizsardzības ministrijai</t>
  </si>
  <si>
    <t>8.4.</t>
  </si>
  <si>
    <t>Privātās izglītības iestādes</t>
  </si>
  <si>
    <t>8.4.1.</t>
  </si>
  <si>
    <t>ĀBVS</t>
  </si>
  <si>
    <t>8.4.2.</t>
  </si>
  <si>
    <t>Privātās skolas</t>
  </si>
  <si>
    <t>8.4.3.</t>
  </si>
  <si>
    <t>Pārējās privātās PII</t>
  </si>
  <si>
    <t>8.5.</t>
  </si>
  <si>
    <t>Ādažu vidusskola</t>
  </si>
  <si>
    <t>8.5.1.</t>
  </si>
  <si>
    <t>8.5.2.</t>
  </si>
  <si>
    <t>ēdināšana (mērķdotācija)</t>
  </si>
  <si>
    <t>8.5.3.</t>
  </si>
  <si>
    <t>Precizēta naudas plūsma PI nodrošināšanas projektam ĀVSK, balstoties uz MK noteikumiem par projektā atbalstāmajām aktivitātēm</t>
  </si>
  <si>
    <t>8.5.4.</t>
  </si>
  <si>
    <t>projekts Erasmus+</t>
  </si>
  <si>
    <t>8.5.5.</t>
  </si>
  <si>
    <t>projekts "Skolas soma"</t>
  </si>
  <si>
    <t>8.5.6.</t>
  </si>
  <si>
    <t>sākumskolas uzturēšanas izmaksas</t>
  </si>
  <si>
    <t>8.5.7.</t>
  </si>
  <si>
    <t>sākumskolas ēdināšana (mērķdotācija)</t>
  </si>
  <si>
    <t>8.6.</t>
  </si>
  <si>
    <t>Jaunās skolas būvniecība</t>
  </si>
  <si>
    <t>8.7.</t>
  </si>
  <si>
    <t>Ādažu Mākslas un mūzikas skola</t>
  </si>
  <si>
    <t>8.7.1.</t>
  </si>
  <si>
    <t>pedagogu algas (mērķdotācija)</t>
  </si>
  <si>
    <t>8.6.1.1.</t>
  </si>
  <si>
    <t>t.sk. - mērķdotācijas</t>
  </si>
  <si>
    <t>8.6.1.2.</t>
  </si>
  <si>
    <r>
      <rPr>
        <sz val="10"/>
        <color indexed="9"/>
        <rFont val="Times New Roman"/>
        <family val="1"/>
        <charset val="186"/>
      </rPr>
      <t xml:space="preserve">t.sk. </t>
    </r>
    <r>
      <rPr>
        <sz val="10"/>
        <rFont val="Times New Roman"/>
        <family val="1"/>
        <charset val="186"/>
      </rPr>
      <t>- Domes finansējums</t>
    </r>
  </si>
  <si>
    <t>8.7.2.</t>
  </si>
  <si>
    <t>8.7.3.</t>
  </si>
  <si>
    <t>Dziesmu un deju svētki</t>
  </si>
  <si>
    <t>8.8.</t>
  </si>
  <si>
    <t>Sporta skola</t>
  </si>
  <si>
    <t>8.8.1.</t>
  </si>
  <si>
    <t>8.7.1.1.</t>
  </si>
  <si>
    <t>8.7.1.1.1</t>
  </si>
  <si>
    <r>
      <rPr>
        <sz val="11"/>
        <color indexed="9"/>
        <rFont val="Times New Roman"/>
        <family val="1"/>
        <charset val="186"/>
      </rPr>
      <t>t.sk.</t>
    </r>
    <r>
      <rPr>
        <sz val="11"/>
        <rFont val="Times New Roman"/>
        <family val="1"/>
        <charset val="186"/>
      </rPr>
      <t>t.sk. - mērķdotācijas</t>
    </r>
  </si>
  <si>
    <t>8.7.1.1.2</t>
  </si>
  <si>
    <r>
      <rPr>
        <sz val="11"/>
        <color indexed="9"/>
        <rFont val="Times New Roman"/>
        <family val="1"/>
        <charset val="186"/>
      </rPr>
      <t>t.sk.t.sk.</t>
    </r>
    <r>
      <rPr>
        <sz val="11"/>
        <rFont val="Times New Roman"/>
        <family val="1"/>
        <charset val="186"/>
      </rPr>
      <t xml:space="preserve"> - domes finansējums</t>
    </r>
  </si>
  <si>
    <t>8.7.1.2.</t>
  </si>
  <si>
    <r>
      <rPr>
        <sz val="11"/>
        <color indexed="9"/>
        <rFont val="Times New Roman"/>
        <family val="1"/>
        <charset val="186"/>
      </rPr>
      <t>t.sk.</t>
    </r>
    <r>
      <rPr>
        <sz val="11"/>
        <rFont val="Times New Roman"/>
        <family val="1"/>
        <charset val="186"/>
      </rPr>
      <t xml:space="preserve"> - sporta sekcijas </t>
    </r>
  </si>
  <si>
    <t>8.7.1.3.</t>
  </si>
  <si>
    <r>
      <rPr>
        <sz val="11"/>
        <color indexed="9"/>
        <rFont val="Times New Roman"/>
        <family val="1"/>
        <charset val="186"/>
      </rPr>
      <t>t.sk.</t>
    </r>
    <r>
      <rPr>
        <sz val="11"/>
        <rFont val="Times New Roman"/>
        <family val="1"/>
        <charset val="186"/>
      </rPr>
      <t xml:space="preserve"> - tautas sports</t>
    </r>
  </si>
  <si>
    <t>8.8.2.</t>
  </si>
  <si>
    <t>Pašvaldības finansējums</t>
  </si>
  <si>
    <t>8.9.</t>
  </si>
  <si>
    <t>Pierīgas izglītības un sporta pārvalde</t>
  </si>
  <si>
    <t>8.10.</t>
  </si>
  <si>
    <t>Projekts "Proti un dari"</t>
  </si>
  <si>
    <t>8.11.</t>
  </si>
  <si>
    <t>Izglītības un jauniešu lietu pārvalde</t>
  </si>
  <si>
    <t>8.12.</t>
  </si>
  <si>
    <t>VISA projekts "Atbalsts izglītojamo individuālo kompetenču attīstībai"</t>
  </si>
  <si>
    <t>Ieguldījumi uzņēmumu pamatkapitālā</t>
  </si>
  <si>
    <t>SIA "Ādažu slimnīca"</t>
  </si>
  <si>
    <t>SIA "Namsaimnieks"</t>
  </si>
  <si>
    <t>9.1.</t>
  </si>
  <si>
    <t>SIA "Ādažu ūdens"</t>
  </si>
  <si>
    <t>9.2.</t>
  </si>
  <si>
    <t>SIA "Garkalnes ūdens"</t>
  </si>
  <si>
    <t>KOPĀ IZDEVUMI:</t>
  </si>
  <si>
    <t>Kredītu pamatsummas atmaksa</t>
  </si>
  <si>
    <t>Aizņēmuma pamatsummas precizējums, balstoties uz faktiskajiem aizņēmumumu atmaksas grafikiem un plānoto aizņēmumu pamatsummas atmaksu plānojot veikt no 2021.gada.</t>
  </si>
  <si>
    <t>Aizņēmumu atmaksa VK un VIF</t>
  </si>
  <si>
    <t>PAVISAM KOPĀ IZDEVUMI:</t>
  </si>
  <si>
    <t>-</t>
  </si>
  <si>
    <t>Naudas līdzekļu atlikums uz gada beigām</t>
  </si>
  <si>
    <t>Šis aiziet kopējos ieņēmumos un izdevumos aizņēmumu atmaksā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</si>
</sst>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
    <numFmt numFmtId="166" formatCode="0.0%"/>
  </numFmts>
  <fonts count="48"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11"/>
      <color indexed="56"/>
      <name val="Times New Roman"/>
      <family val="1"/>
      <charset val="186"/>
    </font>
    <font>
      <sz val="11"/>
      <color indexed="10"/>
      <name val="Times New Roman"/>
      <family val="1"/>
      <charset val="186"/>
    </font>
    <font>
      <sz val="11"/>
      <color theme="9" tint="-0.499984740745262"/>
      <name val="Times New Roman"/>
      <family val="1"/>
      <charset val="186"/>
    </font>
    <font>
      <sz val="9"/>
      <color theme="1"/>
      <name val="Arial"/>
      <family val="2"/>
      <charset val="186"/>
    </font>
    <font>
      <sz val="11"/>
      <color indexed="8"/>
      <name val="Calibri"/>
      <family val="2"/>
      <charset val="186"/>
    </font>
    <font>
      <sz val="11"/>
      <color rgb="FFC00000"/>
      <name val="Times New Roman"/>
      <family val="1"/>
      <charset val="186"/>
    </font>
    <font>
      <b/>
      <sz val="11"/>
      <name val="Times New Roman"/>
      <family val="1"/>
      <charset val="186"/>
    </font>
    <font>
      <b/>
      <sz val="16"/>
      <color theme="1"/>
      <name val="Times New Roman"/>
      <family val="1"/>
      <charset val="186"/>
    </font>
    <font>
      <b/>
      <sz val="11"/>
      <color theme="9" tint="-0.499984740745262"/>
      <name val="Times New Roman"/>
      <family val="1"/>
      <charset val="186"/>
    </font>
    <font>
      <sz val="10"/>
      <name val="Arial"/>
      <family val="2"/>
      <charset val="186"/>
    </font>
    <font>
      <b/>
      <sz val="11"/>
      <color indexed="56"/>
      <name val="Times New Roman"/>
      <family val="1"/>
      <charset val="186"/>
    </font>
    <font>
      <b/>
      <sz val="11"/>
      <color theme="3"/>
      <name val="Times New Roman"/>
      <family val="1"/>
      <charset val="186"/>
    </font>
    <font>
      <b/>
      <sz val="11"/>
      <color rgb="FFC00000"/>
      <name val="Times New Roman"/>
      <family val="1"/>
      <charset val="186"/>
    </font>
    <font>
      <sz val="11"/>
      <color indexed="8"/>
      <name val="Times New Roman"/>
      <family val="1"/>
      <charset val="186"/>
    </font>
    <font>
      <sz val="11"/>
      <color theme="3"/>
      <name val="Times New Roman"/>
      <family val="1"/>
      <charset val="186"/>
    </font>
    <font>
      <sz val="11"/>
      <color theme="3" tint="-0.499984740745262"/>
      <name val="Times New Roman"/>
      <family val="1"/>
      <charset val="186"/>
    </font>
    <font>
      <sz val="10"/>
      <name val="Times New Roman"/>
      <family val="1"/>
      <charset val="186"/>
    </font>
    <font>
      <sz val="10"/>
      <color indexed="9"/>
      <name val="Times New Roman"/>
      <family val="1"/>
      <charset val="186"/>
    </font>
    <font>
      <sz val="11"/>
      <color theme="6" tint="-0.499984740745262"/>
      <name val="Times New Roman"/>
      <family val="1"/>
      <charset val="186"/>
    </font>
    <font>
      <sz val="10"/>
      <color indexed="56"/>
      <name val="Times New Roman"/>
      <family val="1"/>
      <charset val="186"/>
    </font>
    <font>
      <sz val="10"/>
      <color theme="6" tint="-0.499984740745262"/>
      <name val="Times New Roman"/>
      <family val="1"/>
      <charset val="186"/>
    </font>
    <font>
      <sz val="10"/>
      <color theme="9" tint="-0.499984740745262"/>
      <name val="Times New Roman"/>
      <family val="1"/>
      <charset val="186"/>
    </font>
    <font>
      <sz val="10"/>
      <color rgb="FFC00000"/>
      <name val="Times New Roman"/>
      <family val="1"/>
      <charset val="186"/>
    </font>
    <font>
      <sz val="10"/>
      <color theme="3"/>
      <name val="Times New Roman"/>
      <family val="1"/>
      <charset val="186"/>
    </font>
    <font>
      <sz val="11"/>
      <color indexed="9"/>
      <name val="Times New Roman"/>
      <family val="1"/>
      <charset val="186"/>
    </font>
    <font>
      <sz val="11"/>
      <color rgb="FFFF0000"/>
      <name val="Times New Roman"/>
      <family val="1"/>
      <charset val="186"/>
    </font>
    <font>
      <sz val="11"/>
      <color theme="0"/>
      <name val="Times New Roman"/>
      <family val="1"/>
      <charset val="186"/>
    </font>
    <font>
      <i/>
      <sz val="11"/>
      <name val="Times New Roman"/>
      <family val="1"/>
      <charset val="186"/>
    </font>
    <font>
      <b/>
      <sz val="11"/>
      <color theme="1"/>
      <name val="Times New Roman"/>
      <family val="1"/>
      <charset val="186"/>
    </font>
    <font>
      <sz val="11"/>
      <color theme="1"/>
      <name val="Times New Roman"/>
      <family val="1"/>
      <charset val="186"/>
    </font>
    <font>
      <sz val="11"/>
      <color theme="3"/>
      <name val="Times New Roman"/>
      <family val="1"/>
    </font>
    <font>
      <b/>
      <sz val="11"/>
      <name val="Times New Roman"/>
      <family val="1"/>
    </font>
    <font>
      <b/>
      <sz val="11"/>
      <color indexed="10"/>
      <name val="Times New Roman"/>
      <family val="1"/>
      <charset val="186"/>
    </font>
    <font>
      <b/>
      <sz val="9"/>
      <color indexed="81"/>
      <name val="Tahoma"/>
      <family val="2"/>
      <charset val="186"/>
    </font>
    <font>
      <sz val="9"/>
      <color indexed="81"/>
      <name val="Tahoma"/>
      <family val="2"/>
      <charset val="186"/>
    </font>
    <font>
      <b/>
      <sz val="9"/>
      <color indexed="81"/>
      <name val="Tahoma"/>
      <family val="2"/>
    </font>
    <font>
      <sz val="9"/>
      <color indexed="81"/>
      <name val="Tahoma"/>
      <family val="2"/>
    </font>
    <font>
      <b/>
      <sz val="11"/>
      <color theme="0"/>
      <name val="Times New Roman"/>
      <family val="1"/>
    </font>
    <font>
      <sz val="11"/>
      <color theme="0"/>
      <name val="Times New Roman"/>
      <family val="1"/>
    </font>
    <font>
      <b/>
      <sz val="11"/>
      <color theme="0"/>
      <name val="Times New Roman"/>
      <family val="1"/>
      <charset val="186"/>
    </font>
    <font>
      <sz val="12"/>
      <color theme="0"/>
      <name val="Times New Roman"/>
      <family val="1"/>
      <charset val="186"/>
    </font>
    <font>
      <b/>
      <sz val="10"/>
      <color theme="0"/>
      <name val="Times New Roman"/>
      <family val="1"/>
      <charset val="186"/>
    </font>
    <font>
      <sz val="10"/>
      <color theme="0"/>
      <name val="Times New Roman"/>
      <family val="1"/>
      <charset val="186"/>
    </font>
  </fonts>
  <fills count="13">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0000"/>
        <bgColor indexed="64"/>
      </patternFill>
    </fill>
    <fill>
      <patternFill patternType="solid">
        <fgColor indexed="42"/>
        <bgColor indexed="64"/>
      </patternFill>
    </fill>
    <fill>
      <patternFill patternType="solid">
        <fgColor theme="0"/>
        <bgColor indexed="64"/>
      </patternFill>
    </fill>
    <fill>
      <patternFill patternType="solid">
        <fgColor indexed="10"/>
        <bgColor indexed="64"/>
      </patternFill>
    </fill>
    <fill>
      <patternFill patternType="solid">
        <fgColor theme="0" tint="-0.249977111117893"/>
        <bgColor indexed="64"/>
      </patternFill>
    </fill>
    <fill>
      <patternFill patternType="solid">
        <fgColor indexed="13"/>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s>
  <cellStyleXfs count="17">
    <xf numFmtId="0" fontId="0" fillId="0" borderId="0"/>
    <xf numFmtId="43"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4" fillId="0" borderId="0"/>
    <xf numFmtId="43" fontId="9" fillId="0" borderId="0" applyFont="0" applyFill="0" applyBorder="0" applyAlignment="0" applyProtection="0"/>
    <xf numFmtId="9" fontId="9" fillId="0" borderId="0" applyFont="0" applyFill="0" applyBorder="0" applyAlignment="0" applyProtection="0"/>
    <xf numFmtId="0" fontId="14" fillId="0" borderId="0"/>
    <xf numFmtId="43" fontId="14" fillId="0" borderId="0" applyFont="0" applyFill="0" applyBorder="0" applyAlignment="0" applyProtection="0"/>
    <xf numFmtId="43" fontId="9" fillId="0" borderId="0" applyFont="0" applyFill="0" applyBorder="0" applyAlignment="0" applyProtection="0"/>
    <xf numFmtId="0" fontId="1" fillId="0" borderId="0"/>
    <xf numFmtId="9" fontId="14" fillId="0" borderId="0" applyFont="0" applyFill="0" applyBorder="0" applyAlignment="0" applyProtection="0"/>
    <xf numFmtId="0" fontId="9" fillId="0" borderId="0"/>
  </cellStyleXfs>
  <cellXfs count="421">
    <xf numFmtId="0" fontId="0" fillId="0" borderId="0" xfId="0"/>
    <xf numFmtId="0" fontId="3" fillId="0" borderId="0" xfId="3" applyFont="1"/>
    <xf numFmtId="0" fontId="5" fillId="0" borderId="0" xfId="3" applyFont="1" applyAlignment="1">
      <alignment wrapText="1"/>
    </xf>
    <xf numFmtId="0" fontId="6" fillId="0" borderId="0" xfId="3" applyFont="1" applyAlignment="1">
      <alignment wrapText="1"/>
    </xf>
    <xf numFmtId="0" fontId="7" fillId="0" borderId="0" xfId="3" applyFont="1" applyAlignment="1">
      <alignment wrapText="1"/>
    </xf>
    <xf numFmtId="0" fontId="3" fillId="0" borderId="0" xfId="3" applyFont="1" applyAlignment="1">
      <alignment wrapText="1"/>
    </xf>
    <xf numFmtId="43" fontId="3" fillId="0" borderId="0" xfId="1" applyFont="1" applyAlignment="1">
      <alignment horizontal="right" wrapText="1"/>
    </xf>
    <xf numFmtId="9" fontId="3" fillId="0" borderId="0" xfId="5" applyFont="1" applyAlignment="1">
      <alignment wrapText="1"/>
    </xf>
    <xf numFmtId="3" fontId="3" fillId="0" borderId="0" xfId="3" applyNumberFormat="1" applyFont="1" applyAlignment="1">
      <alignment wrapText="1"/>
    </xf>
    <xf numFmtId="9" fontId="10" fillId="0" borderId="0" xfId="5" applyFont="1" applyAlignment="1">
      <alignment wrapText="1"/>
    </xf>
    <xf numFmtId="0" fontId="11" fillId="0" borderId="0" xfId="3" applyFont="1"/>
    <xf numFmtId="0" fontId="3" fillId="0" borderId="0" xfId="3" applyFont="1" applyFill="1"/>
    <xf numFmtId="0" fontId="11" fillId="0" borderId="0" xfId="4" applyFont="1" applyFill="1"/>
    <xf numFmtId="0" fontId="3" fillId="0" borderId="0" xfId="4" applyFont="1" applyFill="1" applyAlignment="1">
      <alignment wrapText="1"/>
    </xf>
    <xf numFmtId="3" fontId="5" fillId="0" borderId="0" xfId="3" applyNumberFormat="1" applyFont="1" applyFill="1"/>
    <xf numFmtId="3" fontId="6" fillId="0" borderId="0" xfId="3" applyNumberFormat="1" applyFont="1" applyFill="1"/>
    <xf numFmtId="3" fontId="7" fillId="0" borderId="0" xfId="3" applyNumberFormat="1" applyFont="1" applyFill="1"/>
    <xf numFmtId="3" fontId="3" fillId="0" borderId="0" xfId="3" applyNumberFormat="1" applyFont="1" applyFill="1"/>
    <xf numFmtId="43" fontId="3" fillId="0" borderId="0" xfId="1" applyFont="1" applyFill="1" applyAlignment="1">
      <alignment horizontal="right"/>
    </xf>
    <xf numFmtId="9" fontId="3" fillId="0" borderId="0" xfId="5" applyFont="1" applyFill="1"/>
    <xf numFmtId="1" fontId="3" fillId="0" borderId="0" xfId="5" applyNumberFormat="1" applyFont="1" applyFill="1"/>
    <xf numFmtId="9" fontId="10" fillId="0" borderId="0" xfId="5" applyFont="1" applyFill="1"/>
    <xf numFmtId="164" fontId="5" fillId="0" borderId="0" xfId="6" applyNumberFormat="1" applyFont="1"/>
    <xf numFmtId="164" fontId="6" fillId="0" borderId="0" xfId="6" applyNumberFormat="1" applyFont="1"/>
    <xf numFmtId="9" fontId="3" fillId="0" borderId="0" xfId="5" applyFont="1"/>
    <xf numFmtId="9" fontId="10" fillId="0" borderId="0" xfId="5" applyFont="1"/>
    <xf numFmtId="9" fontId="5" fillId="0" borderId="0" xfId="7" applyFont="1"/>
    <xf numFmtId="9" fontId="6" fillId="0" borderId="0" xfId="5" applyFont="1"/>
    <xf numFmtId="9" fontId="3" fillId="0" borderId="0" xfId="7" applyFont="1"/>
    <xf numFmtId="3" fontId="3" fillId="0" borderId="0" xfId="7" applyNumberFormat="1" applyFont="1"/>
    <xf numFmtId="0" fontId="11" fillId="0" borderId="1" xfId="3" applyFont="1" applyBorder="1" applyAlignment="1">
      <alignment horizontal="center" vertical="center"/>
    </xf>
    <xf numFmtId="0" fontId="11" fillId="0" borderId="2" xfId="3" applyFont="1" applyBorder="1" applyAlignment="1">
      <alignment horizontal="center" vertical="center" wrapText="1"/>
    </xf>
    <xf numFmtId="0" fontId="15" fillId="0" borderId="3" xfId="8" applyFont="1" applyBorder="1" applyAlignment="1">
      <alignment horizontal="center" vertical="center" wrapText="1"/>
    </xf>
    <xf numFmtId="0" fontId="13" fillId="0" borderId="3" xfId="8" applyFont="1" applyBorder="1" applyAlignment="1">
      <alignment horizontal="center" vertical="center" wrapText="1"/>
    </xf>
    <xf numFmtId="0" fontId="11" fillId="0" borderId="3" xfId="8" applyFont="1" applyBorder="1" applyAlignment="1">
      <alignment horizontal="center" vertical="center" wrapText="1"/>
    </xf>
    <xf numFmtId="9" fontId="11" fillId="0" borderId="3" xfId="5" applyFont="1" applyBorder="1" applyAlignment="1">
      <alignment horizontal="center" vertical="center" wrapText="1"/>
    </xf>
    <xf numFmtId="0" fontId="11" fillId="2" borderId="4" xfId="3" applyFont="1" applyFill="1" applyBorder="1"/>
    <xf numFmtId="0" fontId="11" fillId="2" borderId="5" xfId="3" applyFont="1" applyFill="1" applyBorder="1" applyAlignment="1">
      <alignment wrapText="1"/>
    </xf>
    <xf numFmtId="3" fontId="15" fillId="2" borderId="6" xfId="3" applyNumberFormat="1" applyFont="1" applyFill="1" applyBorder="1"/>
    <xf numFmtId="3" fontId="16" fillId="2" borderId="6" xfId="3" applyNumberFormat="1" applyFont="1" applyFill="1" applyBorder="1"/>
    <xf numFmtId="3" fontId="13" fillId="2" borderId="6" xfId="3" applyNumberFormat="1" applyFont="1" applyFill="1" applyBorder="1"/>
    <xf numFmtId="3" fontId="11" fillId="2" borderId="6" xfId="3" applyNumberFormat="1" applyFont="1" applyFill="1" applyBorder="1"/>
    <xf numFmtId="164" fontId="11" fillId="2" borderId="6" xfId="1" applyNumberFormat="1" applyFont="1" applyFill="1" applyBorder="1"/>
    <xf numFmtId="9" fontId="3" fillId="2" borderId="6" xfId="5" applyFont="1" applyFill="1" applyBorder="1" applyAlignment="1">
      <alignment wrapText="1"/>
    </xf>
    <xf numFmtId="9" fontId="11" fillId="2" borderId="6" xfId="5" applyFont="1" applyFill="1" applyBorder="1"/>
    <xf numFmtId="9" fontId="10" fillId="2" borderId="6" xfId="5" applyFont="1" applyFill="1" applyBorder="1" applyAlignment="1">
      <alignment wrapText="1"/>
    </xf>
    <xf numFmtId="0" fontId="11" fillId="3" borderId="4" xfId="3" quotePrefix="1" applyFont="1" applyFill="1" applyBorder="1"/>
    <xf numFmtId="0" fontId="11" fillId="3" borderId="5" xfId="3" applyFont="1" applyFill="1" applyBorder="1" applyAlignment="1">
      <alignment wrapText="1"/>
    </xf>
    <xf numFmtId="3" fontId="15" fillId="3" borderId="6" xfId="3" applyNumberFormat="1" applyFont="1" applyFill="1" applyBorder="1"/>
    <xf numFmtId="3" fontId="16" fillId="3" borderId="6" xfId="3" applyNumberFormat="1" applyFont="1" applyFill="1" applyBorder="1"/>
    <xf numFmtId="3" fontId="13" fillId="3" borderId="6" xfId="3" applyNumberFormat="1" applyFont="1" applyFill="1" applyBorder="1"/>
    <xf numFmtId="3" fontId="11" fillId="3" borderId="6" xfId="3" applyNumberFormat="1" applyFont="1" applyFill="1" applyBorder="1"/>
    <xf numFmtId="9" fontId="11" fillId="3" borderId="6" xfId="5" applyFont="1" applyFill="1" applyBorder="1"/>
    <xf numFmtId="9" fontId="17" fillId="3" borderId="6" xfId="5" applyFont="1" applyFill="1" applyBorder="1"/>
    <xf numFmtId="0" fontId="18" fillId="0" borderId="0" xfId="3" applyFont="1"/>
    <xf numFmtId="0" fontId="3" fillId="0" borderId="7" xfId="3" applyFont="1" applyBorder="1" applyAlignment="1">
      <alignment horizontal="left" indent="1"/>
    </xf>
    <xf numFmtId="0" fontId="3" fillId="0" borderId="8" xfId="3" applyFont="1" applyBorder="1" applyAlignment="1">
      <alignment horizontal="left" wrapText="1" indent="2"/>
    </xf>
    <xf numFmtId="3" fontId="5" fillId="0" borderId="9" xfId="3" applyNumberFormat="1" applyFont="1" applyFill="1" applyBorder="1"/>
    <xf numFmtId="3" fontId="19" fillId="0" borderId="9" xfId="3" applyNumberFormat="1" applyFont="1" applyFill="1" applyBorder="1"/>
    <xf numFmtId="3" fontId="7" fillId="0" borderId="9" xfId="3" applyNumberFormat="1" applyFont="1" applyFill="1" applyBorder="1"/>
    <xf numFmtId="3" fontId="3" fillId="0" borderId="9" xfId="3" applyNumberFormat="1" applyFont="1" applyFill="1" applyBorder="1"/>
    <xf numFmtId="164" fontId="3" fillId="0" borderId="9" xfId="6" applyNumberFormat="1" applyFont="1" applyFill="1" applyBorder="1"/>
    <xf numFmtId="164" fontId="3" fillId="0" borderId="9" xfId="1" applyNumberFormat="1" applyFont="1" applyFill="1" applyBorder="1"/>
    <xf numFmtId="9" fontId="3" fillId="0" borderId="9" xfId="5" applyFont="1" applyFill="1" applyBorder="1"/>
    <xf numFmtId="9" fontId="10" fillId="0" borderId="9" xfId="5" applyFont="1" applyFill="1" applyBorder="1"/>
    <xf numFmtId="164" fontId="5" fillId="0" borderId="9" xfId="6" applyNumberFormat="1" applyFont="1" applyFill="1" applyBorder="1"/>
    <xf numFmtId="164" fontId="19" fillId="0" borderId="9" xfId="6" applyNumberFormat="1" applyFont="1" applyFill="1" applyBorder="1"/>
    <xf numFmtId="0" fontId="11" fillId="3" borderId="7" xfId="3" applyFont="1" applyFill="1" applyBorder="1"/>
    <xf numFmtId="0" fontId="11" fillId="3" borderId="8" xfId="3" applyFont="1" applyFill="1" applyBorder="1" applyAlignment="1">
      <alignment wrapText="1"/>
    </xf>
    <xf numFmtId="3" fontId="15" fillId="3" borderId="9" xfId="3" applyNumberFormat="1" applyFont="1" applyFill="1" applyBorder="1"/>
    <xf numFmtId="3" fontId="16" fillId="3" borderId="9" xfId="3" applyNumberFormat="1" applyFont="1" applyFill="1" applyBorder="1"/>
    <xf numFmtId="3" fontId="13" fillId="3" borderId="9" xfId="3" applyNumberFormat="1" applyFont="1" applyFill="1" applyBorder="1"/>
    <xf numFmtId="3" fontId="11" fillId="3" borderId="9" xfId="3" applyNumberFormat="1" applyFont="1" applyFill="1" applyBorder="1"/>
    <xf numFmtId="9" fontId="11" fillId="3" borderId="9" xfId="5" applyFont="1" applyFill="1" applyBorder="1"/>
    <xf numFmtId="9" fontId="17" fillId="3" borderId="9" xfId="5" applyFont="1" applyFill="1" applyBorder="1"/>
    <xf numFmtId="3" fontId="5" fillId="0" borderId="9" xfId="3" applyNumberFormat="1" applyFont="1" applyBorder="1"/>
    <xf numFmtId="3" fontId="19" fillId="0" borderId="9" xfId="3" applyNumberFormat="1" applyFont="1" applyBorder="1"/>
    <xf numFmtId="3" fontId="7" fillId="0" borderId="9" xfId="3" applyNumberFormat="1" applyFont="1" applyBorder="1"/>
    <xf numFmtId="3" fontId="3" fillId="0" borderId="9" xfId="3" applyNumberFormat="1" applyFont="1" applyBorder="1"/>
    <xf numFmtId="9" fontId="3" fillId="0" borderId="9" xfId="5" applyFont="1" applyBorder="1"/>
    <xf numFmtId="9" fontId="10" fillId="0" borderId="9" xfId="5" applyFont="1" applyBorder="1"/>
    <xf numFmtId="3" fontId="5" fillId="0" borderId="10" xfId="3" applyNumberFormat="1" applyFont="1" applyFill="1" applyBorder="1"/>
    <xf numFmtId="3" fontId="19" fillId="0" borderId="10" xfId="3" applyNumberFormat="1" applyFont="1" applyFill="1" applyBorder="1"/>
    <xf numFmtId="3" fontId="7" fillId="0" borderId="10" xfId="3" applyNumberFormat="1" applyFont="1" applyFill="1" applyBorder="1"/>
    <xf numFmtId="3" fontId="7" fillId="0" borderId="11" xfId="3" applyNumberFormat="1" applyFont="1" applyFill="1" applyBorder="1"/>
    <xf numFmtId="3" fontId="3" fillId="0" borderId="10" xfId="3" applyNumberFormat="1" applyFont="1" applyFill="1" applyBorder="1"/>
    <xf numFmtId="9" fontId="3" fillId="0" borderId="10" xfId="5" applyFont="1" applyFill="1" applyBorder="1"/>
    <xf numFmtId="9" fontId="10" fillId="0" borderId="10" xfId="5" applyFont="1" applyFill="1" applyBorder="1"/>
    <xf numFmtId="3" fontId="20" fillId="0" borderId="9" xfId="3" applyNumberFormat="1" applyFont="1" applyFill="1" applyBorder="1"/>
    <xf numFmtId="0" fontId="2" fillId="0" borderId="0" xfId="3"/>
    <xf numFmtId="9" fontId="3" fillId="3" borderId="9" xfId="5" applyFont="1" applyFill="1" applyBorder="1" applyAlignment="1">
      <alignment wrapText="1"/>
    </xf>
    <xf numFmtId="0" fontId="21" fillId="0" borderId="7" xfId="3" applyFont="1" applyBorder="1" applyAlignment="1">
      <alignment horizontal="left" indent="2"/>
    </xf>
    <xf numFmtId="0" fontId="21" fillId="0" borderId="8" xfId="3" applyFont="1" applyBorder="1" applyAlignment="1">
      <alignment horizontal="left" wrapText="1" indent="3"/>
    </xf>
    <xf numFmtId="0" fontId="21" fillId="0" borderId="8" xfId="3" applyFont="1" applyFill="1" applyBorder="1" applyAlignment="1">
      <alignment horizontal="left" wrapText="1" indent="3"/>
    </xf>
    <xf numFmtId="0" fontId="22" fillId="0" borderId="8" xfId="3" applyFont="1" applyBorder="1" applyAlignment="1">
      <alignment horizontal="left" wrapText="1" indent="3"/>
    </xf>
    <xf numFmtId="3" fontId="11" fillId="0" borderId="9" xfId="3" applyNumberFormat="1" applyFont="1" applyFill="1" applyBorder="1"/>
    <xf numFmtId="0" fontId="3" fillId="4" borderId="8" xfId="3" applyFont="1" applyFill="1" applyBorder="1" applyAlignment="1">
      <alignment horizontal="left" wrapText="1" indent="2"/>
    </xf>
    <xf numFmtId="3" fontId="3" fillId="4" borderId="9" xfId="3" applyNumberFormat="1" applyFont="1" applyFill="1" applyBorder="1"/>
    <xf numFmtId="9" fontId="3" fillId="0" borderId="9" xfId="5" applyFont="1" applyFill="1" applyBorder="1" applyAlignment="1">
      <alignment wrapText="1"/>
    </xf>
    <xf numFmtId="0" fontId="3" fillId="0" borderId="7" xfId="3" applyFont="1" applyFill="1" applyBorder="1" applyAlignment="1">
      <alignment horizontal="left" indent="1"/>
    </xf>
    <xf numFmtId="0" fontId="3" fillId="0" borderId="8" xfId="3" applyFont="1" applyFill="1" applyBorder="1" applyAlignment="1">
      <alignment horizontal="left" wrapText="1" indent="2"/>
    </xf>
    <xf numFmtId="0" fontId="11" fillId="3" borderId="7" xfId="3" quotePrefix="1" applyFont="1" applyFill="1" applyBorder="1"/>
    <xf numFmtId="3" fontId="11" fillId="0" borderId="0" xfId="3" applyNumberFormat="1" applyFont="1"/>
    <xf numFmtId="3" fontId="23" fillId="5" borderId="9" xfId="3" applyNumberFormat="1" applyFont="1" applyFill="1" applyBorder="1"/>
    <xf numFmtId="3" fontId="3" fillId="0" borderId="9" xfId="5" applyNumberFormat="1" applyFont="1" applyFill="1" applyBorder="1"/>
    <xf numFmtId="3" fontId="3" fillId="0" borderId="9" xfId="5" applyNumberFormat="1" applyFont="1" applyFill="1" applyBorder="1" applyAlignment="1">
      <alignment wrapText="1"/>
    </xf>
    <xf numFmtId="3" fontId="19" fillId="5" borderId="9" xfId="3" applyNumberFormat="1" applyFont="1" applyFill="1" applyBorder="1"/>
    <xf numFmtId="0" fontId="1" fillId="0" borderId="0" xfId="3" applyFont="1"/>
    <xf numFmtId="3" fontId="7" fillId="5" borderId="9" xfId="3" applyNumberFormat="1" applyFont="1" applyFill="1" applyBorder="1"/>
    <xf numFmtId="3" fontId="3" fillId="5" borderId="9" xfId="3" applyNumberFormat="1" applyFont="1" applyFill="1" applyBorder="1"/>
    <xf numFmtId="3" fontId="24" fillId="6" borderId="9" xfId="3" applyNumberFormat="1" applyFont="1" applyFill="1" applyBorder="1"/>
    <xf numFmtId="3" fontId="25" fillId="6" borderId="9" xfId="3" applyNumberFormat="1" applyFont="1" applyFill="1" applyBorder="1"/>
    <xf numFmtId="3" fontId="26" fillId="6" borderId="9" xfId="3" applyNumberFormat="1" applyFont="1" applyFill="1" applyBorder="1"/>
    <xf numFmtId="3" fontId="21" fillId="7" borderId="9" xfId="3" applyNumberFormat="1" applyFont="1" applyFill="1" applyBorder="1"/>
    <xf numFmtId="164" fontId="21" fillId="6" borderId="9" xfId="1" applyNumberFormat="1" applyFont="1" applyFill="1" applyBorder="1"/>
    <xf numFmtId="3" fontId="21" fillId="6" borderId="9" xfId="3" applyNumberFormat="1" applyFont="1" applyFill="1" applyBorder="1"/>
    <xf numFmtId="9" fontId="21" fillId="6" borderId="9" xfId="5" applyFont="1" applyFill="1" applyBorder="1"/>
    <xf numFmtId="9" fontId="27" fillId="6" borderId="9" xfId="5" applyFont="1" applyFill="1" applyBorder="1"/>
    <xf numFmtId="0" fontId="21" fillId="0" borderId="0" xfId="3" applyFont="1"/>
    <xf numFmtId="3" fontId="28" fillId="6" borderId="9" xfId="3" applyNumberFormat="1" applyFont="1" applyFill="1" applyBorder="1"/>
    <xf numFmtId="3" fontId="24" fillId="8" borderId="9" xfId="3" applyNumberFormat="1" applyFont="1" applyFill="1" applyBorder="1"/>
    <xf numFmtId="3" fontId="28" fillId="8" borderId="9" xfId="3" applyNumberFormat="1" applyFont="1" applyFill="1" applyBorder="1"/>
    <xf numFmtId="3" fontId="26" fillId="8" borderId="9" xfId="3" applyNumberFormat="1" applyFont="1" applyFill="1" applyBorder="1"/>
    <xf numFmtId="3" fontId="21" fillId="8" borderId="9" xfId="3" applyNumberFormat="1" applyFont="1" applyFill="1" applyBorder="1"/>
    <xf numFmtId="9" fontId="21" fillId="8" borderId="9" xfId="5" applyFont="1" applyFill="1" applyBorder="1"/>
    <xf numFmtId="9" fontId="27" fillId="8" borderId="9" xfId="5" applyFont="1" applyFill="1" applyBorder="1"/>
    <xf numFmtId="3" fontId="3" fillId="7" borderId="9" xfId="3" applyNumberFormat="1" applyFont="1" applyFill="1" applyBorder="1"/>
    <xf numFmtId="9" fontId="3" fillId="9" borderId="9" xfId="5" applyFont="1" applyFill="1" applyBorder="1" applyAlignment="1">
      <alignment wrapText="1"/>
    </xf>
    <xf numFmtId="0" fontId="3" fillId="2" borderId="7" xfId="3" applyFont="1" applyFill="1" applyBorder="1" applyAlignment="1">
      <alignment horizontal="left" indent="1"/>
    </xf>
    <xf numFmtId="0" fontId="3" fillId="2" borderId="8" xfId="3" applyFont="1" applyFill="1" applyBorder="1" applyAlignment="1">
      <alignment horizontal="left" wrapText="1" indent="2"/>
    </xf>
    <xf numFmtId="3" fontId="5" fillId="2" borderId="9" xfId="3" applyNumberFormat="1" applyFont="1" applyFill="1" applyBorder="1"/>
    <xf numFmtId="3" fontId="19" fillId="2" borderId="9" xfId="3" applyNumberFormat="1" applyFont="1" applyFill="1" applyBorder="1"/>
    <xf numFmtId="3" fontId="7" fillId="2" borderId="9" xfId="3" applyNumberFormat="1" applyFont="1" applyFill="1" applyBorder="1"/>
    <xf numFmtId="3" fontId="3" fillId="2" borderId="9" xfId="3" applyNumberFormat="1" applyFont="1" applyFill="1" applyBorder="1"/>
    <xf numFmtId="9" fontId="3" fillId="2" borderId="9" xfId="5" applyFont="1" applyFill="1" applyBorder="1" applyAlignment="1">
      <alignment wrapText="1"/>
    </xf>
    <xf numFmtId="9" fontId="3" fillId="2" borderId="9" xfId="5" applyFont="1" applyFill="1" applyBorder="1"/>
    <xf numFmtId="0" fontId="3" fillId="0" borderId="7" xfId="3" applyFont="1" applyBorder="1" applyAlignment="1">
      <alignment horizontal="left" indent="2"/>
    </xf>
    <xf numFmtId="3" fontId="30" fillId="0" borderId="9" xfId="3" applyNumberFormat="1" applyFont="1" applyFill="1" applyBorder="1"/>
    <xf numFmtId="0" fontId="3" fillId="4" borderId="8" xfId="3" applyFont="1" applyFill="1" applyBorder="1" applyAlignment="1">
      <alignment horizontal="left" wrapText="1" indent="3"/>
    </xf>
    <xf numFmtId="164" fontId="5" fillId="0" borderId="10" xfId="9" applyNumberFormat="1" applyFont="1" applyFill="1" applyBorder="1"/>
    <xf numFmtId="164" fontId="19" fillId="0" borderId="10" xfId="9" applyNumberFormat="1" applyFont="1" applyFill="1" applyBorder="1"/>
    <xf numFmtId="164" fontId="7" fillId="0" borderId="10" xfId="9" applyNumberFormat="1" applyFont="1" applyFill="1" applyBorder="1"/>
    <xf numFmtId="164" fontId="3" fillId="0" borderId="10" xfId="9" applyNumberFormat="1" applyFont="1" applyFill="1" applyBorder="1"/>
    <xf numFmtId="164" fontId="3" fillId="0" borderId="10" xfId="1" applyNumberFormat="1" applyFont="1" applyFill="1" applyBorder="1"/>
    <xf numFmtId="0" fontId="3" fillId="0" borderId="8" xfId="3" applyFont="1" applyFill="1" applyBorder="1" applyAlignment="1">
      <alignment horizontal="left" wrapText="1" indent="3"/>
    </xf>
    <xf numFmtId="3" fontId="23" fillId="0" borderId="10" xfId="3" applyNumberFormat="1" applyFont="1" applyFill="1" applyBorder="1"/>
    <xf numFmtId="0" fontId="3" fillId="4" borderId="7" xfId="3" applyFont="1" applyFill="1" applyBorder="1" applyAlignment="1">
      <alignment horizontal="left" indent="2"/>
    </xf>
    <xf numFmtId="3" fontId="5" fillId="0" borderId="11" xfId="3" applyNumberFormat="1" applyFont="1" applyFill="1" applyBorder="1"/>
    <xf numFmtId="3" fontId="19" fillId="0" borderId="11" xfId="3" applyNumberFormat="1" applyFont="1" applyFill="1" applyBorder="1"/>
    <xf numFmtId="3" fontId="3" fillId="0" borderId="11" xfId="3" applyNumberFormat="1" applyFont="1" applyFill="1" applyBorder="1"/>
    <xf numFmtId="164" fontId="3" fillId="0" borderId="11" xfId="1" applyNumberFormat="1" applyFont="1" applyFill="1" applyBorder="1"/>
    <xf numFmtId="9" fontId="3" fillId="0" borderId="10" xfId="5" applyFont="1" applyFill="1" applyBorder="1" applyAlignment="1">
      <alignment wrapText="1"/>
    </xf>
    <xf numFmtId="9" fontId="10" fillId="0" borderId="10" xfId="5" applyFont="1" applyFill="1" applyBorder="1" applyAlignment="1">
      <alignment wrapText="1"/>
    </xf>
    <xf numFmtId="9" fontId="3" fillId="0" borderId="10" xfId="5" applyFont="1" applyFill="1" applyBorder="1" applyAlignment="1">
      <alignment horizontal="left" wrapText="1"/>
    </xf>
    <xf numFmtId="0" fontId="3" fillId="0" borderId="7" xfId="3" applyFont="1" applyFill="1" applyBorder="1" applyAlignment="1">
      <alignment horizontal="left" indent="2"/>
    </xf>
    <xf numFmtId="0" fontId="30" fillId="0" borderId="0" xfId="3" applyFont="1"/>
    <xf numFmtId="9" fontId="3" fillId="0" borderId="11" xfId="5" applyFont="1" applyFill="1" applyBorder="1"/>
    <xf numFmtId="0" fontId="11" fillId="0" borderId="14" xfId="3" applyFont="1" applyBorder="1"/>
    <xf numFmtId="0" fontId="11" fillId="0" borderId="15" xfId="3" applyFont="1" applyBorder="1" applyAlignment="1">
      <alignment horizontal="right" wrapText="1"/>
    </xf>
    <xf numFmtId="3" fontId="15" fillId="0" borderId="3" xfId="3" applyNumberFormat="1" applyFont="1" applyBorder="1"/>
    <xf numFmtId="3" fontId="16" fillId="0" borderId="3" xfId="3" applyNumberFormat="1" applyFont="1" applyBorder="1"/>
    <xf numFmtId="3" fontId="13" fillId="0" borderId="3" xfId="3" applyNumberFormat="1" applyFont="1" applyBorder="1"/>
    <xf numFmtId="3" fontId="11" fillId="0" borderId="3" xfId="3" applyNumberFormat="1" applyFont="1" applyBorder="1"/>
    <xf numFmtId="9" fontId="11" fillId="0" borderId="3" xfId="5" applyFont="1" applyBorder="1"/>
    <xf numFmtId="9" fontId="17" fillId="0" borderId="3" xfId="5" applyFont="1" applyBorder="1"/>
    <xf numFmtId="0" fontId="11" fillId="0" borderId="16" xfId="3" quotePrefix="1" applyFont="1" applyFill="1" applyBorder="1"/>
    <xf numFmtId="0" fontId="11" fillId="0" borderId="17" xfId="3" applyFont="1" applyFill="1" applyBorder="1" applyAlignment="1">
      <alignment wrapText="1"/>
    </xf>
    <xf numFmtId="3" fontId="15" fillId="0" borderId="18" xfId="3" applyNumberFormat="1" applyFont="1" applyFill="1" applyBorder="1"/>
    <xf numFmtId="3" fontId="16" fillId="0" borderId="18" xfId="3" applyNumberFormat="1" applyFont="1" applyFill="1" applyBorder="1"/>
    <xf numFmtId="3" fontId="13" fillId="0" borderId="18" xfId="3" applyNumberFormat="1" applyFont="1" applyFill="1" applyBorder="1"/>
    <xf numFmtId="3" fontId="11" fillId="0" borderId="18" xfId="3" applyNumberFormat="1" applyFont="1" applyFill="1" applyBorder="1"/>
    <xf numFmtId="9" fontId="11" fillId="0" borderId="18" xfId="5" applyFont="1" applyFill="1" applyBorder="1"/>
    <xf numFmtId="9" fontId="17" fillId="0" borderId="18" xfId="5" applyFont="1" applyFill="1" applyBorder="1"/>
    <xf numFmtId="3" fontId="3" fillId="0" borderId="0" xfId="3" applyNumberFormat="1" applyFont="1"/>
    <xf numFmtId="49" fontId="3" fillId="0" borderId="8" xfId="3" applyNumberFormat="1" applyFont="1" applyBorder="1" applyAlignment="1">
      <alignment horizontal="left" wrapText="1" indent="4"/>
    </xf>
    <xf numFmtId="9" fontId="10" fillId="0" borderId="9" xfId="5" applyFont="1" applyFill="1" applyBorder="1" applyAlignment="1">
      <alignment wrapText="1"/>
    </xf>
    <xf numFmtId="9" fontId="21" fillId="0" borderId="9" xfId="5" applyFont="1" applyFill="1" applyBorder="1" applyAlignment="1">
      <alignment wrapText="1"/>
    </xf>
    <xf numFmtId="49" fontId="3" fillId="0" borderId="19" xfId="3" applyNumberFormat="1" applyFont="1" applyBorder="1" applyAlignment="1">
      <alignment horizontal="left" wrapText="1" indent="4"/>
    </xf>
    <xf numFmtId="3" fontId="5" fillId="0" borderId="6" xfId="3" applyNumberFormat="1" applyFont="1" applyFill="1" applyBorder="1"/>
    <xf numFmtId="3" fontId="19" fillId="0" borderId="6" xfId="3" applyNumberFormat="1" applyFont="1" applyFill="1" applyBorder="1"/>
    <xf numFmtId="3" fontId="7" fillId="0" borderId="6" xfId="3" applyNumberFormat="1" applyFont="1" applyFill="1" applyBorder="1"/>
    <xf numFmtId="3" fontId="3" fillId="0" borderId="6" xfId="3" applyNumberFormat="1" applyFont="1" applyFill="1" applyBorder="1"/>
    <xf numFmtId="9" fontId="3" fillId="0" borderId="6" xfId="5" applyFont="1" applyFill="1" applyBorder="1"/>
    <xf numFmtId="9" fontId="3" fillId="0" borderId="6" xfId="5" applyFont="1" applyFill="1" applyBorder="1" applyAlignment="1">
      <alignment wrapText="1"/>
    </xf>
    <xf numFmtId="0" fontId="3" fillId="4" borderId="4" xfId="3" applyFont="1" applyFill="1" applyBorder="1" applyAlignment="1">
      <alignment horizontal="left" indent="2"/>
    </xf>
    <xf numFmtId="9" fontId="3" fillId="0" borderId="20" xfId="5" applyFont="1" applyFill="1" applyBorder="1"/>
    <xf numFmtId="9" fontId="3" fillId="0" borderId="20" xfId="5" applyFont="1" applyFill="1" applyBorder="1" applyAlignment="1">
      <alignment wrapText="1"/>
    </xf>
    <xf numFmtId="3" fontId="30" fillId="0" borderId="10" xfId="3" applyNumberFormat="1" applyFont="1" applyFill="1" applyBorder="1"/>
    <xf numFmtId="49" fontId="3" fillId="0" borderId="21" xfId="3" applyNumberFormat="1" applyFont="1" applyBorder="1" applyAlignment="1">
      <alignment horizontal="left" wrapText="1" indent="4"/>
    </xf>
    <xf numFmtId="3" fontId="5" fillId="0" borderId="20" xfId="3" applyNumberFormat="1" applyFont="1" applyFill="1" applyBorder="1"/>
    <xf numFmtId="3" fontId="19" fillId="0" borderId="20" xfId="3" applyNumberFormat="1" applyFont="1" applyFill="1" applyBorder="1"/>
    <xf numFmtId="3" fontId="7" fillId="0" borderId="20" xfId="3" applyNumberFormat="1" applyFont="1" applyFill="1" applyBorder="1"/>
    <xf numFmtId="3" fontId="3" fillId="0" borderId="20" xfId="3" applyNumberFormat="1" applyFont="1" applyFill="1" applyBorder="1"/>
    <xf numFmtId="3" fontId="30" fillId="0" borderId="20" xfId="3" applyNumberFormat="1" applyFont="1" applyFill="1" applyBorder="1"/>
    <xf numFmtId="0" fontId="5" fillId="0" borderId="0" xfId="3" applyFont="1"/>
    <xf numFmtId="0" fontId="6" fillId="0" borderId="0" xfId="3" applyFont="1"/>
    <xf numFmtId="0" fontId="7" fillId="0" borderId="0" xfId="3" applyFont="1"/>
    <xf numFmtId="3" fontId="7" fillId="0" borderId="0" xfId="3" applyNumberFormat="1" applyFont="1"/>
    <xf numFmtId="9" fontId="6" fillId="0" borderId="0" xfId="7" applyFont="1"/>
    <xf numFmtId="10" fontId="5" fillId="0" borderId="0" xfId="10" applyNumberFormat="1" applyFont="1"/>
    <xf numFmtId="10" fontId="6" fillId="0" borderId="0" xfId="10" applyNumberFormat="1" applyFont="1"/>
    <xf numFmtId="10" fontId="7" fillId="0" borderId="0" xfId="10" applyNumberFormat="1" applyFont="1"/>
    <xf numFmtId="43" fontId="7" fillId="0" borderId="0" xfId="1" applyFont="1"/>
    <xf numFmtId="10" fontId="3" fillId="0" borderId="0" xfId="10" applyNumberFormat="1" applyFont="1"/>
    <xf numFmtId="49" fontId="11" fillId="3" borderId="22" xfId="3" applyNumberFormat="1" applyFont="1" applyFill="1" applyBorder="1" applyAlignment="1">
      <alignment horizontal="left" indent="2"/>
    </xf>
    <xf numFmtId="49" fontId="11" fillId="3" borderId="23" xfId="3" applyNumberFormat="1" applyFont="1" applyFill="1" applyBorder="1" applyAlignment="1">
      <alignment wrapText="1"/>
    </xf>
    <xf numFmtId="3" fontId="15" fillId="3" borderId="24" xfId="3" applyNumberFormat="1" applyFont="1" applyFill="1" applyBorder="1"/>
    <xf numFmtId="3" fontId="16" fillId="3" borderId="24" xfId="3" applyNumberFormat="1" applyFont="1" applyFill="1" applyBorder="1"/>
    <xf numFmtId="3" fontId="13" fillId="3" borderId="24" xfId="3" applyNumberFormat="1" applyFont="1" applyFill="1" applyBorder="1"/>
    <xf numFmtId="3" fontId="11" fillId="3" borderId="24" xfId="3" applyNumberFormat="1" applyFont="1" applyFill="1" applyBorder="1"/>
    <xf numFmtId="9" fontId="11" fillId="3" borderId="24" xfId="5" applyFont="1" applyFill="1" applyBorder="1"/>
    <xf numFmtId="49" fontId="3" fillId="2" borderId="7" xfId="3" applyNumberFormat="1" applyFont="1" applyFill="1" applyBorder="1" applyAlignment="1">
      <alignment horizontal="left" indent="1"/>
    </xf>
    <xf numFmtId="49" fontId="3" fillId="2" borderId="8" xfId="3" applyNumberFormat="1" applyFont="1" applyFill="1" applyBorder="1" applyAlignment="1">
      <alignment horizontal="left" wrapText="1" indent="2"/>
    </xf>
    <xf numFmtId="3" fontId="30" fillId="2" borderId="9" xfId="3" applyNumberFormat="1" applyFont="1" applyFill="1" applyBorder="1"/>
    <xf numFmtId="3" fontId="5" fillId="10" borderId="9" xfId="3" applyNumberFormat="1" applyFont="1" applyFill="1" applyBorder="1"/>
    <xf numFmtId="3" fontId="6" fillId="10" borderId="9" xfId="3" applyNumberFormat="1" applyFont="1" applyFill="1" applyBorder="1"/>
    <xf numFmtId="3" fontId="7" fillId="10" borderId="9" xfId="3" applyNumberFormat="1" applyFont="1" applyFill="1" applyBorder="1"/>
    <xf numFmtId="3" fontId="3" fillId="10" borderId="9" xfId="3" applyNumberFormat="1" applyFont="1" applyFill="1" applyBorder="1"/>
    <xf numFmtId="9" fontId="3" fillId="10" borderId="9" xfId="5" applyFont="1" applyFill="1" applyBorder="1"/>
    <xf numFmtId="3" fontId="30" fillId="10" borderId="9" xfId="3" applyNumberFormat="1" applyFont="1" applyFill="1" applyBorder="1"/>
    <xf numFmtId="0" fontId="3" fillId="10" borderId="0" xfId="3" applyFont="1" applyFill="1"/>
    <xf numFmtId="49" fontId="11" fillId="3" borderId="7" xfId="3" applyNumberFormat="1" applyFont="1" applyFill="1" applyBorder="1"/>
    <xf numFmtId="49" fontId="11" fillId="3" borderId="8" xfId="3" applyNumberFormat="1" applyFont="1" applyFill="1" applyBorder="1" applyAlignment="1">
      <alignment wrapText="1"/>
    </xf>
    <xf numFmtId="9" fontId="11" fillId="3" borderId="24" xfId="2" applyFont="1" applyFill="1" applyBorder="1"/>
    <xf numFmtId="49" fontId="11" fillId="2" borderId="8" xfId="3" applyNumberFormat="1" applyFont="1" applyFill="1" applyBorder="1" applyAlignment="1">
      <alignment horizontal="left" wrapText="1" indent="2"/>
    </xf>
    <xf numFmtId="3" fontId="15" fillId="2" borderId="9" xfId="3" applyNumberFormat="1" applyFont="1" applyFill="1" applyBorder="1"/>
    <xf numFmtId="3" fontId="13" fillId="2" borderId="9" xfId="3" applyNumberFormat="1" applyFont="1" applyFill="1" applyBorder="1"/>
    <xf numFmtId="3" fontId="11" fillId="2" borderId="9" xfId="3" applyNumberFormat="1" applyFont="1" applyFill="1" applyBorder="1"/>
    <xf numFmtId="9" fontId="11" fillId="2" borderId="9" xfId="5" applyFont="1" applyFill="1" applyBorder="1"/>
    <xf numFmtId="9" fontId="10" fillId="2" borderId="9" xfId="5" applyFont="1" applyFill="1" applyBorder="1" applyAlignment="1">
      <alignment wrapText="1"/>
    </xf>
    <xf numFmtId="9" fontId="17" fillId="2" borderId="9" xfId="5" applyFont="1" applyFill="1" applyBorder="1"/>
    <xf numFmtId="49" fontId="3" fillId="0" borderId="7" xfId="3" applyNumberFormat="1" applyFont="1" applyBorder="1" applyAlignment="1">
      <alignment horizontal="left" indent="2"/>
    </xf>
    <xf numFmtId="9" fontId="3" fillId="0" borderId="9" xfId="5" applyFont="1" applyBorder="1" applyAlignment="1">
      <alignment wrapText="1"/>
    </xf>
    <xf numFmtId="0" fontId="3" fillId="7" borderId="0" xfId="3" applyFont="1" applyFill="1"/>
    <xf numFmtId="49" fontId="3" fillId="7" borderId="7" xfId="3" applyNumberFormat="1" applyFont="1" applyFill="1" applyBorder="1" applyAlignment="1">
      <alignment horizontal="left" indent="2"/>
    </xf>
    <xf numFmtId="49" fontId="3" fillId="7" borderId="8" xfId="3" applyNumberFormat="1" applyFont="1" applyFill="1" applyBorder="1" applyAlignment="1">
      <alignment horizontal="left" wrapText="1" indent="4"/>
    </xf>
    <xf numFmtId="3" fontId="5" fillId="7" borderId="11" xfId="3" applyNumberFormat="1" applyFont="1" applyFill="1" applyBorder="1"/>
    <xf numFmtId="3" fontId="7" fillId="7" borderId="9" xfId="3" applyNumberFormat="1" applyFont="1" applyFill="1" applyBorder="1"/>
    <xf numFmtId="3" fontId="10" fillId="0" borderId="9" xfId="3" applyNumberFormat="1" applyFont="1" applyBorder="1"/>
    <xf numFmtId="49" fontId="18" fillId="7" borderId="8" xfId="3" applyNumberFormat="1" applyFont="1" applyFill="1" applyBorder="1" applyAlignment="1">
      <alignment horizontal="left" wrapText="1" indent="4"/>
    </xf>
    <xf numFmtId="3" fontId="5" fillId="7" borderId="10" xfId="3" applyNumberFormat="1" applyFont="1" applyFill="1" applyBorder="1"/>
    <xf numFmtId="9" fontId="3" fillId="7" borderId="9" xfId="5" applyFont="1" applyFill="1" applyBorder="1" applyAlignment="1">
      <alignment wrapText="1"/>
    </xf>
    <xf numFmtId="3" fontId="10" fillId="7" borderId="9" xfId="3" applyNumberFormat="1" applyFont="1" applyFill="1" applyBorder="1"/>
    <xf numFmtId="9" fontId="3" fillId="7" borderId="9" xfId="5" applyFont="1" applyFill="1" applyBorder="1"/>
    <xf numFmtId="0" fontId="18" fillId="7" borderId="0" xfId="3" applyFont="1" applyFill="1"/>
    <xf numFmtId="3" fontId="5" fillId="7" borderId="25" xfId="3" applyNumberFormat="1" applyFont="1" applyFill="1" applyBorder="1"/>
    <xf numFmtId="3" fontId="7" fillId="0" borderId="6" xfId="3" applyNumberFormat="1" applyFont="1" applyBorder="1"/>
    <xf numFmtId="3" fontId="3" fillId="7" borderId="6" xfId="3" applyNumberFormat="1" applyFont="1" applyFill="1" applyBorder="1"/>
    <xf numFmtId="3" fontId="3" fillId="7" borderId="26" xfId="3" applyNumberFormat="1" applyFont="1" applyFill="1" applyBorder="1"/>
    <xf numFmtId="0" fontId="18" fillId="7" borderId="27" xfId="3" applyFont="1" applyFill="1" applyBorder="1"/>
    <xf numFmtId="0" fontId="18" fillId="7" borderId="28" xfId="3" applyFont="1" applyFill="1" applyBorder="1"/>
    <xf numFmtId="49" fontId="3" fillId="7" borderId="4" xfId="3" applyNumberFormat="1" applyFont="1" applyFill="1" applyBorder="1" applyAlignment="1">
      <alignment horizontal="left" indent="2"/>
    </xf>
    <xf numFmtId="49" fontId="3" fillId="7" borderId="5" xfId="3" applyNumberFormat="1" applyFont="1" applyFill="1" applyBorder="1" applyAlignment="1">
      <alignment horizontal="left" wrapText="1" indent="4"/>
    </xf>
    <xf numFmtId="3" fontId="5" fillId="7" borderId="6" xfId="3" applyNumberFormat="1" applyFont="1" applyFill="1" applyBorder="1"/>
    <xf numFmtId="0" fontId="3" fillId="7" borderId="0" xfId="3" applyFont="1" applyFill="1" applyBorder="1"/>
    <xf numFmtId="0" fontId="3" fillId="7" borderId="29" xfId="3" applyFont="1" applyFill="1" applyBorder="1"/>
    <xf numFmtId="3" fontId="5" fillId="7" borderId="9" xfId="3" applyNumberFormat="1" applyFont="1" applyFill="1" applyBorder="1"/>
    <xf numFmtId="3" fontId="3" fillId="7" borderId="11" xfId="3" applyNumberFormat="1" applyFont="1" applyFill="1" applyBorder="1"/>
    <xf numFmtId="0" fontId="3" fillId="7" borderId="8" xfId="3" applyFont="1" applyFill="1" applyBorder="1" applyAlignment="1">
      <alignment horizontal="left" wrapText="1" indent="3"/>
    </xf>
    <xf numFmtId="3" fontId="3" fillId="7" borderId="10" xfId="3" applyNumberFormat="1" applyFont="1" applyFill="1" applyBorder="1"/>
    <xf numFmtId="0" fontId="3" fillId="7" borderId="30" xfId="3" applyFont="1" applyFill="1" applyBorder="1"/>
    <xf numFmtId="0" fontId="3" fillId="7" borderId="31" xfId="3" applyFont="1" applyFill="1" applyBorder="1"/>
    <xf numFmtId="3" fontId="10" fillId="0" borderId="10" xfId="3" applyNumberFormat="1" applyFont="1" applyBorder="1"/>
    <xf numFmtId="3" fontId="3" fillId="0" borderId="10" xfId="3" applyNumberFormat="1" applyFont="1" applyBorder="1"/>
    <xf numFmtId="0" fontId="3" fillId="9" borderId="8" xfId="3" applyFont="1" applyFill="1" applyBorder="1" applyAlignment="1">
      <alignment horizontal="left" wrapText="1" indent="3"/>
    </xf>
    <xf numFmtId="3" fontId="3" fillId="0" borderId="11" xfId="3" applyNumberFormat="1" applyFont="1" applyBorder="1"/>
    <xf numFmtId="3" fontId="11" fillId="11" borderId="9" xfId="3" applyNumberFormat="1" applyFont="1" applyFill="1" applyBorder="1"/>
    <xf numFmtId="3" fontId="13" fillId="11" borderId="9" xfId="3" applyNumberFormat="1" applyFont="1" applyFill="1" applyBorder="1"/>
    <xf numFmtId="9" fontId="32" fillId="9" borderId="9" xfId="5" applyFont="1" applyFill="1" applyBorder="1" applyAlignment="1">
      <alignment wrapText="1"/>
    </xf>
    <xf numFmtId="3" fontId="10" fillId="0" borderId="11" xfId="3" applyNumberFormat="1" applyFont="1" applyBorder="1"/>
    <xf numFmtId="3" fontId="33" fillId="3" borderId="9" xfId="3" applyNumberFormat="1" applyFont="1" applyFill="1" applyBorder="1"/>
    <xf numFmtId="9" fontId="17" fillId="3" borderId="24" xfId="5" applyFont="1" applyFill="1" applyBorder="1"/>
    <xf numFmtId="3" fontId="34" fillId="2" borderId="9" xfId="3" applyNumberFormat="1" applyFont="1" applyFill="1" applyBorder="1"/>
    <xf numFmtId="9" fontId="32" fillId="2" borderId="9" xfId="5" applyFont="1" applyFill="1" applyBorder="1" applyAlignment="1">
      <alignment wrapText="1"/>
    </xf>
    <xf numFmtId="9" fontId="10" fillId="2" borderId="9" xfId="5" applyFont="1" applyFill="1" applyBorder="1"/>
    <xf numFmtId="3" fontId="10" fillId="10" borderId="9" xfId="3" applyNumberFormat="1" applyFont="1" applyFill="1" applyBorder="1"/>
    <xf numFmtId="9" fontId="10" fillId="10" borderId="9" xfId="5" applyFont="1" applyFill="1" applyBorder="1"/>
    <xf numFmtId="3" fontId="7" fillId="2" borderId="0" xfId="3" applyNumberFormat="1" applyFont="1" applyFill="1" applyBorder="1"/>
    <xf numFmtId="0" fontId="10" fillId="0" borderId="0" xfId="3" applyFont="1"/>
    <xf numFmtId="0" fontId="18" fillId="9" borderId="0" xfId="3" applyFont="1" applyFill="1"/>
    <xf numFmtId="0" fontId="18" fillId="9" borderId="8" xfId="3" applyFont="1" applyFill="1" applyBorder="1" applyAlignment="1">
      <alignment horizontal="left" indent="2"/>
    </xf>
    <xf numFmtId="0" fontId="18" fillId="9" borderId="32" xfId="3" applyFont="1" applyFill="1" applyBorder="1" applyAlignment="1">
      <alignment horizontal="left" indent="3"/>
    </xf>
    <xf numFmtId="3" fontId="5" fillId="9" borderId="9" xfId="3" applyNumberFormat="1" applyFont="1" applyFill="1" applyBorder="1"/>
    <xf numFmtId="3" fontId="3" fillId="9" borderId="9" xfId="3" applyNumberFormat="1" applyFont="1" applyFill="1" applyBorder="1"/>
    <xf numFmtId="3" fontId="7" fillId="9" borderId="9" xfId="3" applyNumberFormat="1" applyFont="1" applyFill="1" applyBorder="1"/>
    <xf numFmtId="9" fontId="3" fillId="9" borderId="9" xfId="5" applyFont="1" applyFill="1" applyBorder="1"/>
    <xf numFmtId="9" fontId="10" fillId="9" borderId="9" xfId="5" applyFont="1" applyFill="1" applyBorder="1"/>
    <xf numFmtId="3" fontId="10" fillId="9" borderId="9" xfId="3" applyNumberFormat="1" applyFont="1" applyFill="1" applyBorder="1"/>
    <xf numFmtId="3" fontId="3" fillId="11" borderId="9" xfId="3" applyNumberFormat="1" applyFont="1" applyFill="1" applyBorder="1"/>
    <xf numFmtId="0" fontId="3" fillId="0" borderId="0" xfId="3" applyFont="1" applyAlignment="1">
      <alignment horizontal="right"/>
    </xf>
    <xf numFmtId="3" fontId="29" fillId="4" borderId="9" xfId="3" applyNumberFormat="1" applyFont="1" applyFill="1" applyBorder="1"/>
    <xf numFmtId="3" fontId="19" fillId="4" borderId="9" xfId="3" applyNumberFormat="1" applyFont="1" applyFill="1" applyBorder="1"/>
    <xf numFmtId="3" fontId="7" fillId="4" borderId="9" xfId="3" applyNumberFormat="1" applyFont="1" applyFill="1" applyBorder="1"/>
    <xf numFmtId="9" fontId="3" fillId="4" borderId="9" xfId="5" applyFont="1" applyFill="1" applyBorder="1"/>
    <xf numFmtId="9" fontId="10" fillId="4" borderId="9" xfId="5" applyFont="1" applyFill="1" applyBorder="1"/>
    <xf numFmtId="0" fontId="29" fillId="0" borderId="0" xfId="3" applyFont="1"/>
    <xf numFmtId="0" fontId="19" fillId="0" borderId="0" xfId="3" applyFont="1"/>
    <xf numFmtId="3" fontId="7" fillId="4" borderId="0" xfId="3" applyNumberFormat="1" applyFont="1" applyFill="1" applyBorder="1"/>
    <xf numFmtId="9" fontId="32" fillId="4" borderId="9" xfId="5" applyFont="1" applyFill="1" applyBorder="1" applyAlignment="1">
      <alignment wrapText="1"/>
    </xf>
    <xf numFmtId="3" fontId="22" fillId="0" borderId="9" xfId="3" applyNumberFormat="1" applyFont="1" applyFill="1" applyBorder="1"/>
    <xf numFmtId="3" fontId="28" fillId="0" borderId="9" xfId="3" applyNumberFormat="1" applyFont="1" applyFill="1" applyBorder="1"/>
    <xf numFmtId="3" fontId="26" fillId="0" borderId="9" xfId="3" applyNumberFormat="1" applyFont="1" applyFill="1" applyBorder="1"/>
    <xf numFmtId="3" fontId="21" fillId="0" borderId="9" xfId="3" applyNumberFormat="1" applyFont="1" applyFill="1" applyBorder="1"/>
    <xf numFmtId="9" fontId="21" fillId="0" borderId="9" xfId="5" applyFont="1" applyFill="1" applyBorder="1"/>
    <xf numFmtId="3" fontId="3" fillId="10" borderId="0" xfId="3" applyNumberFormat="1" applyFont="1" applyFill="1" applyBorder="1"/>
    <xf numFmtId="3" fontId="29" fillId="0" borderId="9" xfId="3" applyNumberFormat="1" applyFont="1" applyFill="1" applyBorder="1"/>
    <xf numFmtId="3" fontId="7" fillId="0" borderId="0" xfId="3" applyNumberFormat="1" applyFont="1" applyFill="1" applyBorder="1"/>
    <xf numFmtId="3" fontId="27" fillId="0" borderId="9" xfId="3" applyNumberFormat="1" applyFont="1" applyFill="1" applyBorder="1"/>
    <xf numFmtId="9" fontId="27" fillId="0" borderId="9" xfId="5" applyFont="1" applyFill="1" applyBorder="1"/>
    <xf numFmtId="49" fontId="3" fillId="4" borderId="7" xfId="3" applyNumberFormat="1" applyFont="1" applyFill="1" applyBorder="1" applyAlignment="1">
      <alignment horizontal="left" indent="2"/>
    </xf>
    <xf numFmtId="49" fontId="11" fillId="4" borderId="8" xfId="3" applyNumberFormat="1" applyFont="1" applyFill="1" applyBorder="1" applyAlignment="1">
      <alignment horizontal="left" wrapText="1" indent="2"/>
    </xf>
    <xf numFmtId="3" fontId="5" fillId="4" borderId="9" xfId="3" applyNumberFormat="1" applyFont="1" applyFill="1" applyBorder="1"/>
    <xf numFmtId="3" fontId="10" fillId="4" borderId="9" xfId="3" applyNumberFormat="1" applyFont="1" applyFill="1" applyBorder="1"/>
    <xf numFmtId="0" fontId="3" fillId="4" borderId="0" xfId="3" applyFont="1" applyFill="1"/>
    <xf numFmtId="49" fontId="3" fillId="4" borderId="8" xfId="3" applyNumberFormat="1" applyFont="1" applyFill="1" applyBorder="1" applyAlignment="1">
      <alignment horizontal="left" wrapText="1" indent="4"/>
    </xf>
    <xf numFmtId="49" fontId="11" fillId="2" borderId="7" xfId="3" applyNumberFormat="1" applyFont="1" applyFill="1" applyBorder="1" applyAlignment="1">
      <alignment horizontal="left" indent="1"/>
    </xf>
    <xf numFmtId="3" fontId="16" fillId="2" borderId="9" xfId="3" applyNumberFormat="1" applyFont="1" applyFill="1" applyBorder="1"/>
    <xf numFmtId="49" fontId="19" fillId="0" borderId="7" xfId="3" applyNumberFormat="1" applyFont="1" applyBorder="1" applyAlignment="1">
      <alignment horizontal="left" indent="2"/>
    </xf>
    <xf numFmtId="3" fontId="35" fillId="0" borderId="9" xfId="3" applyNumberFormat="1" applyFont="1" applyFill="1" applyBorder="1"/>
    <xf numFmtId="3" fontId="10" fillId="0" borderId="9" xfId="3" applyNumberFormat="1" applyFont="1" applyFill="1" applyBorder="1"/>
    <xf numFmtId="3" fontId="16" fillId="0" borderId="9" xfId="3" applyNumberFormat="1" applyFont="1" applyFill="1" applyBorder="1"/>
    <xf numFmtId="3" fontId="13" fillId="0" borderId="9" xfId="3" applyNumberFormat="1" applyFont="1" applyFill="1" applyBorder="1"/>
    <xf numFmtId="49" fontId="3" fillId="0" borderId="8" xfId="3" applyNumberFormat="1" applyFont="1" applyFill="1" applyBorder="1" applyAlignment="1">
      <alignment horizontal="left" wrapText="1" indent="4"/>
    </xf>
    <xf numFmtId="49" fontId="36" fillId="2" borderId="7" xfId="3" applyNumberFormat="1" applyFont="1" applyFill="1" applyBorder="1" applyAlignment="1">
      <alignment horizontal="left" indent="1"/>
    </xf>
    <xf numFmtId="49" fontId="3" fillId="0" borderId="7" xfId="3" applyNumberFormat="1" applyFont="1" applyFill="1" applyBorder="1" applyAlignment="1">
      <alignment horizontal="left" indent="2"/>
    </xf>
    <xf numFmtId="3" fontId="6" fillId="0" borderId="9" xfId="3" applyNumberFormat="1" applyFont="1" applyFill="1" applyBorder="1"/>
    <xf numFmtId="3" fontId="29" fillId="12" borderId="9" xfId="3" applyNumberFormat="1" applyFont="1" applyFill="1" applyBorder="1"/>
    <xf numFmtId="3" fontId="6" fillId="12" borderId="9" xfId="3" applyNumberFormat="1" applyFont="1" applyFill="1" applyBorder="1"/>
    <xf numFmtId="3" fontId="3" fillId="12" borderId="9" xfId="3" applyNumberFormat="1" applyFont="1" applyFill="1" applyBorder="1"/>
    <xf numFmtId="9" fontId="3" fillId="12" borderId="9" xfId="5" applyFont="1" applyFill="1" applyBorder="1"/>
    <xf numFmtId="9" fontId="10" fillId="12" borderId="9" xfId="5" applyFont="1" applyFill="1" applyBorder="1"/>
    <xf numFmtId="0" fontId="3" fillId="12" borderId="0" xfId="3" applyFont="1" applyFill="1"/>
    <xf numFmtId="164" fontId="3" fillId="0" borderId="0" xfId="1" applyNumberFormat="1" applyFont="1"/>
    <xf numFmtId="3" fontId="10" fillId="2" borderId="9" xfId="3" applyNumberFormat="1" applyFont="1" applyFill="1" applyBorder="1"/>
    <xf numFmtId="49" fontId="11" fillId="0" borderId="14" xfId="3" applyNumberFormat="1" applyFont="1" applyBorder="1"/>
    <xf numFmtId="49" fontId="11" fillId="0" borderId="15" xfId="3" applyNumberFormat="1" applyFont="1" applyBorder="1" applyAlignment="1">
      <alignment horizontal="right" wrapText="1"/>
    </xf>
    <xf numFmtId="3" fontId="15" fillId="0" borderId="33" xfId="3" applyNumberFormat="1" applyFont="1" applyBorder="1"/>
    <xf numFmtId="3" fontId="16" fillId="0" borderId="33" xfId="3" applyNumberFormat="1" applyFont="1" applyBorder="1"/>
    <xf numFmtId="3" fontId="13" fillId="0" borderId="33" xfId="3" applyNumberFormat="1" applyFont="1" applyBorder="1"/>
    <xf numFmtId="3" fontId="11" fillId="0" borderId="33" xfId="3" applyNumberFormat="1" applyFont="1" applyBorder="1"/>
    <xf numFmtId="9" fontId="11" fillId="0" borderId="33" xfId="5" applyFont="1" applyBorder="1"/>
    <xf numFmtId="9" fontId="17" fillId="0" borderId="33" xfId="5" applyFont="1" applyBorder="1"/>
    <xf numFmtId="3" fontId="5" fillId="12" borderId="9" xfId="3" applyNumberFormat="1" applyFont="1" applyFill="1" applyBorder="1"/>
    <xf numFmtId="3" fontId="19" fillId="12" borderId="9" xfId="3" applyNumberFormat="1" applyFont="1" applyFill="1" applyBorder="1"/>
    <xf numFmtId="3" fontId="7" fillId="12" borderId="9" xfId="3" applyNumberFormat="1" applyFont="1" applyFill="1" applyBorder="1"/>
    <xf numFmtId="3" fontId="15" fillId="0" borderId="34" xfId="3" applyNumberFormat="1" applyFont="1" applyBorder="1"/>
    <xf numFmtId="3" fontId="16" fillId="0" borderId="34" xfId="3" applyNumberFormat="1" applyFont="1" applyBorder="1"/>
    <xf numFmtId="3" fontId="13" fillId="0" borderId="34" xfId="3" applyNumberFormat="1" applyFont="1" applyBorder="1"/>
    <xf numFmtId="3" fontId="11" fillId="0" borderId="34" xfId="3" applyNumberFormat="1" applyFont="1" applyBorder="1"/>
    <xf numFmtId="9" fontId="11" fillId="0" borderId="34" xfId="5" applyFont="1" applyBorder="1"/>
    <xf numFmtId="9" fontId="17" fillId="0" borderId="34" xfId="5" applyFont="1" applyBorder="1"/>
    <xf numFmtId="49" fontId="11" fillId="3" borderId="35" xfId="3" applyNumberFormat="1" applyFont="1" applyFill="1" applyBorder="1" applyAlignment="1">
      <alignment horizontal="center"/>
    </xf>
    <xf numFmtId="49" fontId="11" fillId="3" borderId="36" xfId="3" applyNumberFormat="1" applyFont="1" applyFill="1" applyBorder="1" applyAlignment="1">
      <alignment wrapText="1"/>
    </xf>
    <xf numFmtId="3" fontId="15" fillId="3" borderId="37" xfId="3" applyNumberFormat="1" applyFont="1" applyFill="1" applyBorder="1"/>
    <xf numFmtId="3" fontId="16" fillId="3" borderId="37" xfId="3" applyNumberFormat="1" applyFont="1" applyFill="1" applyBorder="1"/>
    <xf numFmtId="3" fontId="13" fillId="3" borderId="37" xfId="3" applyNumberFormat="1" applyFont="1" applyFill="1" applyBorder="1"/>
    <xf numFmtId="3" fontId="11" fillId="3" borderId="37" xfId="3" applyNumberFormat="1" applyFont="1" applyFill="1" applyBorder="1"/>
    <xf numFmtId="9" fontId="11" fillId="3" borderId="37" xfId="5" applyFont="1" applyFill="1" applyBorder="1"/>
    <xf numFmtId="9" fontId="17" fillId="3" borderId="37" xfId="5" applyFont="1" applyFill="1" applyBorder="1"/>
    <xf numFmtId="0" fontId="3" fillId="0" borderId="0" xfId="3" applyFont="1" applyFill="1" applyAlignment="1">
      <alignment wrapText="1"/>
    </xf>
    <xf numFmtId="3" fontId="15" fillId="0" borderId="0" xfId="3" applyNumberFormat="1" applyFont="1"/>
    <xf numFmtId="3" fontId="37" fillId="0" borderId="0" xfId="3" applyNumberFormat="1" applyFont="1"/>
    <xf numFmtId="3" fontId="13" fillId="0" borderId="0" xfId="3" applyNumberFormat="1" applyFont="1"/>
    <xf numFmtId="9" fontId="11" fillId="0" borderId="0" xfId="5" applyFont="1"/>
    <xf numFmtId="9" fontId="17" fillId="0" borderId="0" xfId="5" applyFont="1"/>
    <xf numFmtId="164" fontId="42" fillId="0" borderId="0" xfId="6" applyNumberFormat="1" applyFont="1"/>
    <xf numFmtId="164" fontId="43" fillId="0" borderId="0" xfId="6" applyNumberFormat="1" applyFont="1"/>
    <xf numFmtId="0" fontId="43" fillId="0" borderId="0" xfId="3" applyFont="1"/>
    <xf numFmtId="43" fontId="43" fillId="0" borderId="0" xfId="1" applyFont="1" applyAlignment="1">
      <alignment horizontal="right"/>
    </xf>
    <xf numFmtId="43" fontId="43" fillId="0" borderId="0" xfId="1" applyFont="1"/>
    <xf numFmtId="9" fontId="43" fillId="0" borderId="0" xfId="5" applyFont="1"/>
    <xf numFmtId="9" fontId="43" fillId="0" borderId="0" xfId="7" applyFont="1"/>
    <xf numFmtId="3" fontId="31" fillId="0" borderId="0" xfId="3" applyNumberFormat="1" applyFont="1" applyAlignment="1">
      <alignment wrapText="1"/>
    </xf>
    <xf numFmtId="3" fontId="31" fillId="0" borderId="0" xfId="3" applyNumberFormat="1" applyFont="1" applyFill="1"/>
    <xf numFmtId="9" fontId="31" fillId="0" borderId="0" xfId="5" applyFont="1" applyFill="1"/>
    <xf numFmtId="164" fontId="44" fillId="0" borderId="0" xfId="6" applyNumberFormat="1" applyFont="1"/>
    <xf numFmtId="9" fontId="31" fillId="0" borderId="0" xfId="5" applyFont="1"/>
    <xf numFmtId="0" fontId="44" fillId="0" borderId="0" xfId="3" applyFont="1" applyFill="1"/>
    <xf numFmtId="0" fontId="31" fillId="0" borderId="0" xfId="3" applyFont="1" applyFill="1"/>
    <xf numFmtId="164" fontId="44" fillId="0" borderId="0" xfId="1" applyNumberFormat="1" applyFont="1" applyFill="1"/>
    <xf numFmtId="165" fontId="31" fillId="0" borderId="0" xfId="2" applyNumberFormat="1" applyFont="1" applyFill="1"/>
    <xf numFmtId="0" fontId="45" fillId="0" borderId="0" xfId="0" applyFont="1" applyFill="1"/>
    <xf numFmtId="164" fontId="31" fillId="0" borderId="0" xfId="3" applyNumberFormat="1" applyFont="1" applyFill="1"/>
    <xf numFmtId="3" fontId="44" fillId="0" borderId="0" xfId="3" applyNumberFormat="1" applyFont="1" applyFill="1"/>
    <xf numFmtId="0" fontId="46" fillId="0" borderId="0" xfId="3" applyFont="1" applyFill="1"/>
    <xf numFmtId="0" fontId="47" fillId="0" borderId="0" xfId="3" applyFont="1" applyFill="1"/>
    <xf numFmtId="3" fontId="46" fillId="0" borderId="0" xfId="3" applyNumberFormat="1" applyFont="1" applyFill="1"/>
    <xf numFmtId="9" fontId="44" fillId="0" borderId="0" xfId="2" applyFont="1" applyFill="1"/>
    <xf numFmtId="0" fontId="31" fillId="0" borderId="27" xfId="3" applyFont="1" applyFill="1" applyBorder="1"/>
    <xf numFmtId="0" fontId="31" fillId="0" borderId="0" xfId="3" applyFont="1" applyFill="1" applyBorder="1"/>
    <xf numFmtId="0" fontId="31" fillId="0" borderId="30" xfId="3" applyFont="1" applyFill="1" applyBorder="1"/>
    <xf numFmtId="166" fontId="31" fillId="0" borderId="0" xfId="2" applyNumberFormat="1" applyFont="1" applyFill="1"/>
    <xf numFmtId="9" fontId="21" fillId="6" borderId="38" xfId="5" applyFont="1" applyFill="1" applyBorder="1"/>
    <xf numFmtId="9" fontId="21" fillId="8" borderId="26" xfId="5" applyFont="1" applyFill="1" applyBorder="1"/>
    <xf numFmtId="9" fontId="3" fillId="0" borderId="38" xfId="5" applyFont="1" applyFill="1" applyBorder="1"/>
    <xf numFmtId="9" fontId="3" fillId="0" borderId="26" xfId="5" applyFont="1" applyFill="1" applyBorder="1" applyAlignment="1">
      <alignment wrapText="1"/>
    </xf>
    <xf numFmtId="9" fontId="3" fillId="0" borderId="29" xfId="5" applyFont="1" applyFill="1" applyBorder="1" applyAlignment="1">
      <alignment wrapText="1"/>
    </xf>
    <xf numFmtId="9" fontId="3" fillId="0" borderId="11" xfId="5" applyFont="1" applyBorder="1" applyAlignment="1">
      <alignment wrapText="1"/>
    </xf>
    <xf numFmtId="9" fontId="3" fillId="0" borderId="11" xfId="5" applyFont="1" applyBorder="1"/>
    <xf numFmtId="9" fontId="32" fillId="9" borderId="11" xfId="5" applyFont="1" applyFill="1" applyBorder="1" applyAlignment="1">
      <alignment wrapText="1"/>
    </xf>
    <xf numFmtId="9" fontId="3" fillId="0" borderId="11" xfId="5" applyFont="1" applyFill="1" applyBorder="1" applyAlignment="1">
      <alignment wrapText="1"/>
    </xf>
    <xf numFmtId="9" fontId="3" fillId="0" borderId="26" xfId="5" applyFont="1" applyFill="1" applyBorder="1"/>
    <xf numFmtId="9" fontId="3" fillId="12" borderId="0" xfId="5" applyFont="1" applyFill="1" applyBorder="1"/>
    <xf numFmtId="9" fontId="3" fillId="0" borderId="0" xfId="5" applyFont="1" applyFill="1" applyBorder="1"/>
    <xf numFmtId="0" fontId="12" fillId="0" borderId="0" xfId="4" applyFont="1"/>
    <xf numFmtId="0" fontId="2" fillId="0" borderId="0" xfId="3"/>
    <xf numFmtId="3" fontId="3" fillId="0" borderId="12" xfId="3" applyNumberFormat="1" applyFont="1" applyFill="1" applyBorder="1" applyAlignment="1">
      <alignment horizontal="right"/>
    </xf>
    <xf numFmtId="3" fontId="3" fillId="0" borderId="13" xfId="3" applyNumberFormat="1" applyFont="1" applyFill="1" applyBorder="1" applyAlignment="1">
      <alignment horizontal="right"/>
    </xf>
    <xf numFmtId="9" fontId="3" fillId="0" borderId="12" xfId="5" applyFont="1" applyFill="1" applyBorder="1" applyAlignment="1">
      <alignment horizontal="right"/>
    </xf>
    <xf numFmtId="9" fontId="3" fillId="0" borderId="13" xfId="5" applyFont="1" applyFill="1" applyBorder="1" applyAlignment="1">
      <alignment horizontal="right"/>
    </xf>
    <xf numFmtId="9" fontId="3" fillId="0" borderId="12" xfId="5" applyFont="1" applyFill="1" applyBorder="1" applyAlignment="1">
      <alignment horizontal="center" wrapText="1"/>
    </xf>
    <xf numFmtId="9" fontId="3" fillId="0" borderId="13" xfId="5" applyFont="1" applyFill="1" applyBorder="1" applyAlignment="1">
      <alignment horizontal="center" wrapText="1"/>
    </xf>
    <xf numFmtId="0" fontId="4" fillId="0" borderId="0" xfId="4" applyFont="1"/>
    <xf numFmtId="3" fontId="21" fillId="6" borderId="12" xfId="3" applyNumberFormat="1" applyFont="1" applyFill="1" applyBorder="1" applyAlignment="1">
      <alignment horizontal="right" vertical="center"/>
    </xf>
    <xf numFmtId="3" fontId="21" fillId="6" borderId="13" xfId="3" applyNumberFormat="1" applyFont="1" applyFill="1" applyBorder="1" applyAlignment="1">
      <alignment horizontal="right" vertical="center"/>
    </xf>
    <xf numFmtId="9" fontId="21" fillId="6" borderId="12" xfId="5" applyFont="1" applyFill="1" applyBorder="1" applyAlignment="1">
      <alignment horizontal="right" vertical="center"/>
    </xf>
    <xf numFmtId="9" fontId="21" fillId="6" borderId="13" xfId="5" applyFont="1" applyFill="1" applyBorder="1" applyAlignment="1">
      <alignment horizontal="right" vertical="center"/>
    </xf>
    <xf numFmtId="3" fontId="3" fillId="0" borderId="12" xfId="3" applyNumberFormat="1" applyFont="1" applyFill="1" applyBorder="1" applyAlignment="1">
      <alignment horizontal="right" vertical="center"/>
    </xf>
    <xf numFmtId="3" fontId="3" fillId="0" borderId="13" xfId="3" applyNumberFormat="1" applyFont="1" applyFill="1" applyBorder="1" applyAlignment="1">
      <alignment horizontal="right" vertical="center"/>
    </xf>
    <xf numFmtId="9" fontId="3" fillId="0" borderId="12" xfId="5" applyFont="1" applyFill="1" applyBorder="1" applyAlignment="1">
      <alignment horizontal="right" vertical="center"/>
    </xf>
    <xf numFmtId="9" fontId="3" fillId="0" borderId="13" xfId="5" applyFont="1" applyFill="1" applyBorder="1" applyAlignment="1">
      <alignment horizontal="right" vertical="center"/>
    </xf>
  </cellXfs>
  <cellStyles count="17">
    <cellStyle name="Comma" xfId="1" builtinId="3"/>
    <cellStyle name="Comma 3 3" xfId="13" xr:uid="{00000000-0005-0000-0000-000000000000}"/>
    <cellStyle name="Comma 4 2" xfId="12" xr:uid="{00000000-0005-0000-0000-000001000000}"/>
    <cellStyle name="Comma 5" xfId="9" xr:uid="{00000000-0005-0000-0000-000002000000}"/>
    <cellStyle name="Komats 10" xfId="6" xr:uid="{00000000-0005-0000-0000-000004000000}"/>
    <cellStyle name="Normal" xfId="0" builtinId="0"/>
    <cellStyle name="Normal 2 2" xfId="8" xr:uid="{00000000-0005-0000-0000-000005000000}"/>
    <cellStyle name="Normal 2 2 2 2" xfId="16" xr:uid="{00000000-0005-0000-0000-000006000000}"/>
    <cellStyle name="Normal 4" xfId="11" xr:uid="{00000000-0005-0000-0000-000007000000}"/>
    <cellStyle name="Parasts 2 2 2 2" xfId="14" xr:uid="{00000000-0005-0000-0000-000009000000}"/>
    <cellStyle name="Parasts 2 2 5" xfId="3" xr:uid="{00000000-0005-0000-0000-00000A000000}"/>
    <cellStyle name="Parasts 2 2 5 2" xfId="4" xr:uid="{00000000-0005-0000-0000-00000B000000}"/>
    <cellStyle name="Percent" xfId="2" builtinId="5"/>
    <cellStyle name="Percent 3 2" xfId="15" xr:uid="{00000000-0005-0000-0000-00000C000000}"/>
    <cellStyle name="Percent 4" xfId="10" xr:uid="{00000000-0005-0000-0000-00000D000000}"/>
    <cellStyle name="Procenti 2 3" xfId="5" xr:uid="{00000000-0005-0000-0000-00000F000000}"/>
    <cellStyle name="Procenti 5" xfId="7" xr:uid="{00000000-0005-0000-0000-000010000000}"/>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mite\Desktop\2010\2020\30062020\Budzets_2020_30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row r="33">
          <cell r="F33">
            <v>80353</v>
          </cell>
        </row>
        <row r="35">
          <cell r="F35">
            <v>272018</v>
          </cell>
        </row>
        <row r="36">
          <cell r="F36">
            <v>21343</v>
          </cell>
        </row>
        <row r="38">
          <cell r="F38">
            <v>237440</v>
          </cell>
        </row>
        <row r="39">
          <cell r="F39">
            <v>33383</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ka"/>
      <sheetName val="EKK"/>
      <sheetName val="Apraksts"/>
      <sheetName val="Izmaksu_veidi"/>
      <sheetName val="Baze_2020_ar linkiem"/>
      <sheetName val="Baze_2020"/>
      <sheetName val="Baze_2018__2019"/>
      <sheetName val="Baze2017_2018"/>
      <sheetName val="Pivot_investicijas"/>
      <sheetName val="Investicijas"/>
      <sheetName val="Invest_izpilde_25062020"/>
      <sheetName val="Kopsavilkums"/>
      <sheetName val="2020.gada budzeta plans"/>
      <sheetName val="Grafiki"/>
      <sheetName val="2016_2025_092016"/>
      <sheetName val="2.Pielikums_Spec_budzets_2019"/>
      <sheetName val="4.pielikums_Saistibas_EUR_2020"/>
      <sheetName val="KA_31122019"/>
      <sheetName val="Vertetie_ienemumi"/>
      <sheetName val="Lidzfinansējums PrivPII"/>
      <sheetName val="PrivatasII"/>
      <sheetName val="Algas_2020"/>
      <sheetName val="Algas_2019"/>
      <sheetName val="Deputāti"/>
      <sheetName val="Velesanu_komis"/>
      <sheetName val="Adm_komisija"/>
      <sheetName val="Iepirk_komisija"/>
      <sheetName val="Komisijas"/>
    </sheetNames>
    <sheetDataSet>
      <sheetData sheetId="0"/>
      <sheetData sheetId="1"/>
      <sheetData sheetId="2"/>
      <sheetData sheetId="3"/>
      <sheetData sheetId="4"/>
      <sheetData sheetId="5">
        <row r="9">
          <cell r="D9">
            <v>11684101</v>
          </cell>
        </row>
        <row r="10">
          <cell r="D10">
            <v>174051.82</v>
          </cell>
        </row>
        <row r="12">
          <cell r="D12">
            <v>935535</v>
          </cell>
        </row>
        <row r="13">
          <cell r="D13">
            <v>45761.5605</v>
          </cell>
        </row>
        <row r="15">
          <cell r="D15">
            <v>222708</v>
          </cell>
        </row>
        <row r="16">
          <cell r="D16">
            <v>20175.328000000001</v>
          </cell>
        </row>
        <row r="18">
          <cell r="D18">
            <v>200500</v>
          </cell>
        </row>
        <row r="19">
          <cell r="D19">
            <v>26935.845499999999</v>
          </cell>
        </row>
        <row r="20">
          <cell r="D20">
            <v>4300</v>
          </cell>
        </row>
        <row r="24">
          <cell r="D24">
            <v>5856</v>
          </cell>
        </row>
        <row r="34">
          <cell r="D34">
            <v>180000</v>
          </cell>
        </row>
        <row r="45">
          <cell r="D45">
            <v>1013085</v>
          </cell>
        </row>
        <row r="50">
          <cell r="D50">
            <v>243414</v>
          </cell>
        </row>
        <row r="51">
          <cell r="D51">
            <v>52065</v>
          </cell>
        </row>
        <row r="56">
          <cell r="D56">
            <v>42790</v>
          </cell>
        </row>
        <row r="57">
          <cell r="D57">
            <v>3723</v>
          </cell>
        </row>
        <row r="59">
          <cell r="D59">
            <v>72512</v>
          </cell>
        </row>
        <row r="60">
          <cell r="D60">
            <v>101882.81501173525</v>
          </cell>
        </row>
        <row r="61">
          <cell r="D61">
            <v>965221</v>
          </cell>
        </row>
        <row r="62">
          <cell r="D62">
            <v>40000</v>
          </cell>
        </row>
        <row r="63">
          <cell r="D63">
            <v>455588</v>
          </cell>
        </row>
        <row r="68">
          <cell r="D68">
            <v>83519</v>
          </cell>
        </row>
        <row r="79">
          <cell r="D79">
            <v>283438</v>
          </cell>
        </row>
        <row r="84">
          <cell r="D84">
            <v>345447</v>
          </cell>
        </row>
        <row r="91">
          <cell r="D91">
            <v>347242</v>
          </cell>
        </row>
        <row r="96">
          <cell r="D96">
            <v>34935</v>
          </cell>
        </row>
        <row r="99">
          <cell r="D99">
            <v>101905</v>
          </cell>
        </row>
        <row r="103">
          <cell r="D103">
            <v>304095</v>
          </cell>
        </row>
        <row r="113">
          <cell r="D113">
            <v>44292</v>
          </cell>
        </row>
        <row r="117">
          <cell r="D117">
            <v>57697</v>
          </cell>
        </row>
        <row r="121">
          <cell r="D121">
            <v>584389</v>
          </cell>
        </row>
        <row r="126">
          <cell r="D126">
            <v>232950</v>
          </cell>
        </row>
        <row r="130">
          <cell r="D130">
            <v>209804</v>
          </cell>
        </row>
        <row r="134">
          <cell r="D134">
            <v>35595</v>
          </cell>
        </row>
        <row r="140">
          <cell r="D140">
            <v>399041</v>
          </cell>
        </row>
        <row r="152">
          <cell r="D152">
            <v>106000</v>
          </cell>
        </row>
        <row r="157">
          <cell r="D157">
            <v>363993</v>
          </cell>
        </row>
        <row r="162">
          <cell r="D162">
            <v>3000</v>
          </cell>
        </row>
        <row r="163">
          <cell r="D163">
            <v>28880</v>
          </cell>
        </row>
        <row r="175">
          <cell r="D175">
            <v>470273</v>
          </cell>
        </row>
        <row r="183">
          <cell r="D183">
            <v>76733</v>
          </cell>
        </row>
        <row r="192">
          <cell r="D192">
            <v>85911</v>
          </cell>
        </row>
        <row r="203">
          <cell r="D203">
            <v>300000</v>
          </cell>
        </row>
        <row r="204">
          <cell r="D204">
            <v>1247373</v>
          </cell>
        </row>
        <row r="210">
          <cell r="D210">
            <v>19228</v>
          </cell>
        </row>
        <row r="214">
          <cell r="D214">
            <v>823441</v>
          </cell>
        </row>
        <row r="221">
          <cell r="D221">
            <v>367993</v>
          </cell>
        </row>
        <row r="223">
          <cell r="D223">
            <v>45000.2</v>
          </cell>
        </row>
        <row r="224">
          <cell r="D224">
            <v>1152154.8</v>
          </cell>
        </row>
        <row r="225">
          <cell r="D225">
            <v>457494</v>
          </cell>
        </row>
        <row r="232">
          <cell r="D232">
            <v>896340</v>
          </cell>
        </row>
        <row r="239">
          <cell r="D239">
            <v>640096</v>
          </cell>
        </row>
        <row r="246">
          <cell r="D246">
            <v>265640</v>
          </cell>
        </row>
        <row r="252">
          <cell r="D252">
            <v>21186</v>
          </cell>
        </row>
        <row r="254">
          <cell r="D254">
            <v>23409</v>
          </cell>
        </row>
        <row r="264">
          <cell r="D264">
            <v>1486694.054866666</v>
          </cell>
        </row>
      </sheetData>
      <sheetData sheetId="6"/>
      <sheetData sheetId="7"/>
      <sheetData sheetId="8">
        <row r="3">
          <cell r="A3" t="str">
            <v>Rindu etiķetes</v>
          </cell>
        </row>
      </sheetData>
      <sheetData sheetId="9">
        <row r="8">
          <cell r="K8">
            <v>46000</v>
          </cell>
        </row>
        <row r="10">
          <cell r="K10">
            <v>28651</v>
          </cell>
        </row>
        <row r="11">
          <cell r="K11">
            <v>109218.66</v>
          </cell>
        </row>
      </sheetData>
      <sheetData sheetId="10"/>
      <sheetData sheetId="11"/>
      <sheetData sheetId="12"/>
      <sheetData sheetId="13"/>
      <sheetData sheetId="14"/>
      <sheetData sheetId="15"/>
      <sheetData sheetId="16"/>
      <sheetData sheetId="17">
        <row r="7">
          <cell r="G7">
            <v>14246.939999999999</v>
          </cell>
          <cell r="H7">
            <v>2187</v>
          </cell>
        </row>
        <row r="41">
          <cell r="D41">
            <v>3356215.42</v>
          </cell>
        </row>
        <row r="47">
          <cell r="D47">
            <v>115869.66</v>
          </cell>
        </row>
        <row r="48">
          <cell r="D48">
            <v>95460.85</v>
          </cell>
        </row>
      </sheetData>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U235"/>
  <sheetViews>
    <sheetView tabSelected="1" zoomScale="110" zoomScaleNormal="110" zoomScaleSheetLayoutView="80" workbookViewId="0">
      <pane xSplit="4" ySplit="5" topLeftCell="AD6" activePane="bottomRight" state="frozen"/>
      <selection activeCell="C1" sqref="C1"/>
      <selection pane="topRight" activeCell="E1" sqref="E1"/>
      <selection pane="bottomLeft" activeCell="C6" sqref="C6"/>
      <selection pane="bottomRight" activeCell="AG1" sqref="AG1:AG1048576"/>
    </sheetView>
  </sheetViews>
  <sheetFormatPr defaultRowHeight="15" outlineLevelRow="4" outlineLevelCol="3" x14ac:dyDescent="0.25"/>
  <cols>
    <col min="1" max="1" width="4.140625" style="1" hidden="1" customWidth="1" outlineLevel="2"/>
    <col min="2" max="2" width="10.7109375" style="1" hidden="1" customWidth="1" outlineLevel="2"/>
    <col min="3" max="3" width="13.7109375" style="10" customWidth="1" collapsed="1"/>
    <col min="4" max="4" width="44" style="5" customWidth="1"/>
    <col min="5" max="5" width="14.85546875" style="194" hidden="1" customWidth="1" outlineLevel="3"/>
    <col min="6" max="6" width="14.85546875" style="195" hidden="1" customWidth="1" outlineLevel="2"/>
    <col min="7" max="9" width="14.85546875" style="196" customWidth="1" collapsed="1"/>
    <col min="10" max="10" width="14.85546875" style="196" customWidth="1"/>
    <col min="11" max="11" width="14.42578125" style="1" hidden="1" customWidth="1" outlineLevel="1"/>
    <col min="12" max="12" width="16.85546875" style="1" hidden="1" customWidth="1" outlineLevel="2"/>
    <col min="13" max="14" width="13.42578125" style="1" hidden="1" customWidth="1" outlineLevel="2"/>
    <col min="15" max="16" width="14.85546875" style="1" hidden="1" customWidth="1" outlineLevel="1"/>
    <col min="17" max="17" width="14.85546875" style="1" customWidth="1" collapsed="1"/>
    <col min="18" max="18" width="14.85546875" style="1" customWidth="1"/>
    <col min="19" max="19" width="14.85546875" style="1" hidden="1" customWidth="1" outlineLevel="1"/>
    <col min="20" max="20" width="58.140625" style="24" hidden="1" customWidth="1" outlineLevel="1" collapsed="1"/>
    <col min="21" max="21" width="14.85546875" style="1" customWidth="1" collapsed="1"/>
    <col min="22" max="22" width="14.85546875" style="1" hidden="1" customWidth="1" outlineLevel="1"/>
    <col min="23" max="23" width="58.140625" style="24" hidden="1" customWidth="1" outlineLevel="1" collapsed="1"/>
    <col min="24" max="24" width="14.85546875" style="1" customWidth="1" collapsed="1"/>
    <col min="25" max="25" width="14.85546875" style="1" hidden="1" customWidth="1" outlineLevel="1"/>
    <col min="26" max="26" width="58.140625" style="24" hidden="1" customWidth="1" outlineLevel="1" collapsed="1"/>
    <col min="27" max="27" width="14.85546875" style="1" customWidth="1" collapsed="1"/>
    <col min="28" max="28" width="14.85546875" style="1" hidden="1" customWidth="1" outlineLevel="1"/>
    <col min="29" max="29" width="58.140625" style="24" hidden="1" customWidth="1" outlineLevel="1" collapsed="1"/>
    <col min="30" max="30" width="14.85546875" style="1" customWidth="1" collapsed="1"/>
    <col min="31" max="31" width="14.85546875" style="1" hidden="1" customWidth="1" outlineLevel="1"/>
    <col min="32" max="32" width="58.140625" style="24" hidden="1" customWidth="1" outlineLevel="1" collapsed="1"/>
    <col min="33" max="33" width="26" style="24" customWidth="1" collapsed="1"/>
    <col min="34" max="34" width="14.85546875" style="1" customWidth="1"/>
    <col min="35" max="35" width="14.85546875" style="24" customWidth="1" collapsed="1"/>
    <col min="36" max="36" width="50.7109375" style="25" customWidth="1" collapsed="1"/>
    <col min="37" max="37" width="15.42578125" style="377" customWidth="1"/>
    <col min="38" max="38" width="13.140625" style="378" bestFit="1" customWidth="1"/>
    <col min="39" max="39" width="14.7109375" style="378" bestFit="1" customWidth="1"/>
    <col min="40" max="41" width="12.7109375" style="378" bestFit="1" customWidth="1"/>
    <col min="42" max="42" width="12.7109375" style="1" bestFit="1" customWidth="1"/>
    <col min="43" max="45" width="9" style="1"/>
    <col min="46" max="46" width="11.5703125" style="1" bestFit="1" customWidth="1"/>
    <col min="47" max="223" width="9" style="1"/>
    <col min="224" max="225" width="0" style="1" hidden="1" customWidth="1"/>
    <col min="226" max="226" width="13.7109375" style="1" customWidth="1"/>
    <col min="227" max="227" width="52.85546875" style="1" customWidth="1"/>
    <col min="228" max="267" width="0" style="1" hidden="1" customWidth="1"/>
    <col min="268" max="269" width="14.85546875" style="1" customWidth="1"/>
    <col min="270" max="271" width="0" style="1" hidden="1" customWidth="1"/>
    <col min="272" max="272" width="14.85546875" style="1" customWidth="1"/>
    <col min="273" max="274" width="0" style="1" hidden="1" customWidth="1"/>
    <col min="275" max="275" width="14.85546875" style="1" customWidth="1"/>
    <col min="276" max="277" width="0" style="1" hidden="1" customWidth="1"/>
    <col min="278" max="278" width="14.85546875" style="1" customWidth="1"/>
    <col min="279" max="280" width="0" style="1" hidden="1" customWidth="1"/>
    <col min="281" max="281" width="14.85546875" style="1" customWidth="1"/>
    <col min="282" max="283" width="0" style="1" hidden="1" customWidth="1"/>
    <col min="284" max="285" width="14.85546875" style="1" customWidth="1"/>
    <col min="286" max="286" width="44.42578125" style="1" customWidth="1"/>
    <col min="287" max="291" width="14.85546875" style="1" customWidth="1"/>
    <col min="292" max="292" width="63.85546875" style="1" customWidth="1"/>
    <col min="293" max="293" width="13.28515625" style="1" customWidth="1"/>
    <col min="294" max="479" width="9" style="1"/>
    <col min="480" max="481" width="0" style="1" hidden="1" customWidth="1"/>
    <col min="482" max="482" width="13.7109375" style="1" customWidth="1"/>
    <col min="483" max="483" width="52.85546875" style="1" customWidth="1"/>
    <col min="484" max="523" width="0" style="1" hidden="1" customWidth="1"/>
    <col min="524" max="525" width="14.85546875" style="1" customWidth="1"/>
    <col min="526" max="527" width="0" style="1" hidden="1" customWidth="1"/>
    <col min="528" max="528" width="14.85546875" style="1" customWidth="1"/>
    <col min="529" max="530" width="0" style="1" hidden="1" customWidth="1"/>
    <col min="531" max="531" width="14.85546875" style="1" customWidth="1"/>
    <col min="532" max="533" width="0" style="1" hidden="1" customWidth="1"/>
    <col min="534" max="534" width="14.85546875" style="1" customWidth="1"/>
    <col min="535" max="536" width="0" style="1" hidden="1" customWidth="1"/>
    <col min="537" max="537" width="14.85546875" style="1" customWidth="1"/>
    <col min="538" max="539" width="0" style="1" hidden="1" customWidth="1"/>
    <col min="540" max="541" width="14.85546875" style="1" customWidth="1"/>
    <col min="542" max="542" width="44.42578125" style="1" customWidth="1"/>
    <col min="543" max="547" width="14.85546875" style="1" customWidth="1"/>
    <col min="548" max="548" width="63.85546875" style="1" customWidth="1"/>
    <col min="549" max="549" width="13.28515625" style="1" customWidth="1"/>
    <col min="550" max="735" width="9" style="1"/>
    <col min="736" max="737" width="0" style="1" hidden="1" customWidth="1"/>
    <col min="738" max="738" width="13.7109375" style="1" customWidth="1"/>
    <col min="739" max="739" width="52.85546875" style="1" customWidth="1"/>
    <col min="740" max="779" width="0" style="1" hidden="1" customWidth="1"/>
    <col min="780" max="781" width="14.85546875" style="1" customWidth="1"/>
    <col min="782" max="783" width="0" style="1" hidden="1" customWidth="1"/>
    <col min="784" max="784" width="14.85546875" style="1" customWidth="1"/>
    <col min="785" max="786" width="0" style="1" hidden="1" customWidth="1"/>
    <col min="787" max="787" width="14.85546875" style="1" customWidth="1"/>
    <col min="788" max="789" width="0" style="1" hidden="1" customWidth="1"/>
    <col min="790" max="790" width="14.85546875" style="1" customWidth="1"/>
    <col min="791" max="792" width="0" style="1" hidden="1" customWidth="1"/>
    <col min="793" max="793" width="14.85546875" style="1" customWidth="1"/>
    <col min="794" max="795" width="0" style="1" hidden="1" customWidth="1"/>
    <col min="796" max="797" width="14.85546875" style="1" customWidth="1"/>
    <col min="798" max="798" width="44.42578125" style="1" customWidth="1"/>
    <col min="799" max="803" width="14.85546875" style="1" customWidth="1"/>
    <col min="804" max="804" width="63.85546875" style="1" customWidth="1"/>
    <col min="805" max="805" width="13.28515625" style="1" customWidth="1"/>
    <col min="806" max="991" width="9" style="1"/>
    <col min="992" max="993" width="0" style="1" hidden="1" customWidth="1"/>
    <col min="994" max="994" width="13.7109375" style="1" customWidth="1"/>
    <col min="995" max="995" width="52.85546875" style="1" customWidth="1"/>
    <col min="996" max="1035" width="0" style="1" hidden="1" customWidth="1"/>
    <col min="1036" max="1037" width="14.85546875" style="1" customWidth="1"/>
    <col min="1038" max="1039" width="0" style="1" hidden="1" customWidth="1"/>
    <col min="1040" max="1040" width="14.85546875" style="1" customWidth="1"/>
    <col min="1041" max="1042" width="0" style="1" hidden="1" customWidth="1"/>
    <col min="1043" max="1043" width="14.85546875" style="1" customWidth="1"/>
    <col min="1044" max="1045" width="0" style="1" hidden="1" customWidth="1"/>
    <col min="1046" max="1046" width="14.85546875" style="1" customWidth="1"/>
    <col min="1047" max="1048" width="0" style="1" hidden="1" customWidth="1"/>
    <col min="1049" max="1049" width="14.85546875" style="1" customWidth="1"/>
    <col min="1050" max="1051" width="0" style="1" hidden="1" customWidth="1"/>
    <col min="1052" max="1053" width="14.85546875" style="1" customWidth="1"/>
    <col min="1054" max="1054" width="44.42578125" style="1" customWidth="1"/>
    <col min="1055" max="1059" width="14.85546875" style="1" customWidth="1"/>
    <col min="1060" max="1060" width="63.85546875" style="1" customWidth="1"/>
    <col min="1061" max="1061" width="13.28515625" style="1" customWidth="1"/>
    <col min="1062" max="1247" width="9" style="1"/>
    <col min="1248" max="1249" width="0" style="1" hidden="1" customWidth="1"/>
    <col min="1250" max="1250" width="13.7109375" style="1" customWidth="1"/>
    <col min="1251" max="1251" width="52.85546875" style="1" customWidth="1"/>
    <col min="1252" max="1291" width="0" style="1" hidden="1" customWidth="1"/>
    <col min="1292" max="1293" width="14.85546875" style="1" customWidth="1"/>
    <col min="1294" max="1295" width="0" style="1" hidden="1" customWidth="1"/>
    <col min="1296" max="1296" width="14.85546875" style="1" customWidth="1"/>
    <col min="1297" max="1298" width="0" style="1" hidden="1" customWidth="1"/>
    <col min="1299" max="1299" width="14.85546875" style="1" customWidth="1"/>
    <col min="1300" max="1301" width="0" style="1" hidden="1" customWidth="1"/>
    <col min="1302" max="1302" width="14.85546875" style="1" customWidth="1"/>
    <col min="1303" max="1304" width="0" style="1" hidden="1" customWidth="1"/>
    <col min="1305" max="1305" width="14.85546875" style="1" customWidth="1"/>
    <col min="1306" max="1307" width="0" style="1" hidden="1" customWidth="1"/>
    <col min="1308" max="1309" width="14.85546875" style="1" customWidth="1"/>
    <col min="1310" max="1310" width="44.42578125" style="1" customWidth="1"/>
    <col min="1311" max="1315" width="14.85546875" style="1" customWidth="1"/>
    <col min="1316" max="1316" width="63.85546875" style="1" customWidth="1"/>
    <col min="1317" max="1317" width="13.28515625" style="1" customWidth="1"/>
    <col min="1318" max="1503" width="9" style="1"/>
    <col min="1504" max="1505" width="0" style="1" hidden="1" customWidth="1"/>
    <col min="1506" max="1506" width="13.7109375" style="1" customWidth="1"/>
    <col min="1507" max="1507" width="52.85546875" style="1" customWidth="1"/>
    <col min="1508" max="1547" width="0" style="1" hidden="1" customWidth="1"/>
    <col min="1548" max="1549" width="14.85546875" style="1" customWidth="1"/>
    <col min="1550" max="1551" width="0" style="1" hidden="1" customWidth="1"/>
    <col min="1552" max="1552" width="14.85546875" style="1" customWidth="1"/>
    <col min="1553" max="1554" width="0" style="1" hidden="1" customWidth="1"/>
    <col min="1555" max="1555" width="14.85546875" style="1" customWidth="1"/>
    <col min="1556" max="1557" width="0" style="1" hidden="1" customWidth="1"/>
    <col min="1558" max="1558" width="14.85546875" style="1" customWidth="1"/>
    <col min="1559" max="1560" width="0" style="1" hidden="1" customWidth="1"/>
    <col min="1561" max="1561" width="14.85546875" style="1" customWidth="1"/>
    <col min="1562" max="1563" width="0" style="1" hidden="1" customWidth="1"/>
    <col min="1564" max="1565" width="14.85546875" style="1" customWidth="1"/>
    <col min="1566" max="1566" width="44.42578125" style="1" customWidth="1"/>
    <col min="1567" max="1571" width="14.85546875" style="1" customWidth="1"/>
    <col min="1572" max="1572" width="63.85546875" style="1" customWidth="1"/>
    <col min="1573" max="1573" width="13.28515625" style="1" customWidth="1"/>
    <col min="1574" max="1759" width="9" style="1"/>
    <col min="1760" max="1761" width="0" style="1" hidden="1" customWidth="1"/>
    <col min="1762" max="1762" width="13.7109375" style="1" customWidth="1"/>
    <col min="1763" max="1763" width="52.85546875" style="1" customWidth="1"/>
    <col min="1764" max="1803" width="0" style="1" hidden="1" customWidth="1"/>
    <col min="1804" max="1805" width="14.85546875" style="1" customWidth="1"/>
    <col min="1806" max="1807" width="0" style="1" hidden="1" customWidth="1"/>
    <col min="1808" max="1808" width="14.85546875" style="1" customWidth="1"/>
    <col min="1809" max="1810" width="0" style="1" hidden="1" customWidth="1"/>
    <col min="1811" max="1811" width="14.85546875" style="1" customWidth="1"/>
    <col min="1812" max="1813" width="0" style="1" hidden="1" customWidth="1"/>
    <col min="1814" max="1814" width="14.85546875" style="1" customWidth="1"/>
    <col min="1815" max="1816" width="0" style="1" hidden="1" customWidth="1"/>
    <col min="1817" max="1817" width="14.85546875" style="1" customWidth="1"/>
    <col min="1818" max="1819" width="0" style="1" hidden="1" customWidth="1"/>
    <col min="1820" max="1821" width="14.85546875" style="1" customWidth="1"/>
    <col min="1822" max="1822" width="44.42578125" style="1" customWidth="1"/>
    <col min="1823" max="1827" width="14.85546875" style="1" customWidth="1"/>
    <col min="1828" max="1828" width="63.85546875" style="1" customWidth="1"/>
    <col min="1829" max="1829" width="13.28515625" style="1" customWidth="1"/>
    <col min="1830" max="2015" width="9" style="1"/>
    <col min="2016" max="2017" width="0" style="1" hidden="1" customWidth="1"/>
    <col min="2018" max="2018" width="13.7109375" style="1" customWidth="1"/>
    <col min="2019" max="2019" width="52.85546875" style="1" customWidth="1"/>
    <col min="2020" max="2059" width="0" style="1" hidden="1" customWidth="1"/>
    <col min="2060" max="2061" width="14.85546875" style="1" customWidth="1"/>
    <col min="2062" max="2063" width="0" style="1" hidden="1" customWidth="1"/>
    <col min="2064" max="2064" width="14.85546875" style="1" customWidth="1"/>
    <col min="2065" max="2066" width="0" style="1" hidden="1" customWidth="1"/>
    <col min="2067" max="2067" width="14.85546875" style="1" customWidth="1"/>
    <col min="2068" max="2069" width="0" style="1" hidden="1" customWidth="1"/>
    <col min="2070" max="2070" width="14.85546875" style="1" customWidth="1"/>
    <col min="2071" max="2072" width="0" style="1" hidden="1" customWidth="1"/>
    <col min="2073" max="2073" width="14.85546875" style="1" customWidth="1"/>
    <col min="2074" max="2075" width="0" style="1" hidden="1" customWidth="1"/>
    <col min="2076" max="2077" width="14.85546875" style="1" customWidth="1"/>
    <col min="2078" max="2078" width="44.42578125" style="1" customWidth="1"/>
    <col min="2079" max="2083" width="14.85546875" style="1" customWidth="1"/>
    <col min="2084" max="2084" width="63.85546875" style="1" customWidth="1"/>
    <col min="2085" max="2085" width="13.28515625" style="1" customWidth="1"/>
    <col min="2086" max="2271" width="9" style="1"/>
    <col min="2272" max="2273" width="0" style="1" hidden="1" customWidth="1"/>
    <col min="2274" max="2274" width="13.7109375" style="1" customWidth="1"/>
    <col min="2275" max="2275" width="52.85546875" style="1" customWidth="1"/>
    <col min="2276" max="2315" width="0" style="1" hidden="1" customWidth="1"/>
    <col min="2316" max="2317" width="14.85546875" style="1" customWidth="1"/>
    <col min="2318" max="2319" width="0" style="1" hidden="1" customWidth="1"/>
    <col min="2320" max="2320" width="14.85546875" style="1" customWidth="1"/>
    <col min="2321" max="2322" width="0" style="1" hidden="1" customWidth="1"/>
    <col min="2323" max="2323" width="14.85546875" style="1" customWidth="1"/>
    <col min="2324" max="2325" width="0" style="1" hidden="1" customWidth="1"/>
    <col min="2326" max="2326" width="14.85546875" style="1" customWidth="1"/>
    <col min="2327" max="2328" width="0" style="1" hidden="1" customWidth="1"/>
    <col min="2329" max="2329" width="14.85546875" style="1" customWidth="1"/>
    <col min="2330" max="2331" width="0" style="1" hidden="1" customWidth="1"/>
    <col min="2332" max="2333" width="14.85546875" style="1" customWidth="1"/>
    <col min="2334" max="2334" width="44.42578125" style="1" customWidth="1"/>
    <col min="2335" max="2339" width="14.85546875" style="1" customWidth="1"/>
    <col min="2340" max="2340" width="63.85546875" style="1" customWidth="1"/>
    <col min="2341" max="2341" width="13.28515625" style="1" customWidth="1"/>
    <col min="2342" max="2527" width="9" style="1"/>
    <col min="2528" max="2529" width="0" style="1" hidden="1" customWidth="1"/>
    <col min="2530" max="2530" width="13.7109375" style="1" customWidth="1"/>
    <col min="2531" max="2531" width="52.85546875" style="1" customWidth="1"/>
    <col min="2532" max="2571" width="0" style="1" hidden="1" customWidth="1"/>
    <col min="2572" max="2573" width="14.85546875" style="1" customWidth="1"/>
    <col min="2574" max="2575" width="0" style="1" hidden="1" customWidth="1"/>
    <col min="2576" max="2576" width="14.85546875" style="1" customWidth="1"/>
    <col min="2577" max="2578" width="0" style="1" hidden="1" customWidth="1"/>
    <col min="2579" max="2579" width="14.85546875" style="1" customWidth="1"/>
    <col min="2580" max="2581" width="0" style="1" hidden="1" customWidth="1"/>
    <col min="2582" max="2582" width="14.85546875" style="1" customWidth="1"/>
    <col min="2583" max="2584" width="0" style="1" hidden="1" customWidth="1"/>
    <col min="2585" max="2585" width="14.85546875" style="1" customWidth="1"/>
    <col min="2586" max="2587" width="0" style="1" hidden="1" customWidth="1"/>
    <col min="2588" max="2589" width="14.85546875" style="1" customWidth="1"/>
    <col min="2590" max="2590" width="44.42578125" style="1" customWidth="1"/>
    <col min="2591" max="2595" width="14.85546875" style="1" customWidth="1"/>
    <col min="2596" max="2596" width="63.85546875" style="1" customWidth="1"/>
    <col min="2597" max="2597" width="13.28515625" style="1" customWidth="1"/>
    <col min="2598" max="2783" width="9" style="1"/>
    <col min="2784" max="2785" width="0" style="1" hidden="1" customWidth="1"/>
    <col min="2786" max="2786" width="13.7109375" style="1" customWidth="1"/>
    <col min="2787" max="2787" width="52.85546875" style="1" customWidth="1"/>
    <col min="2788" max="2827" width="0" style="1" hidden="1" customWidth="1"/>
    <col min="2828" max="2829" width="14.85546875" style="1" customWidth="1"/>
    <col min="2830" max="2831" width="0" style="1" hidden="1" customWidth="1"/>
    <col min="2832" max="2832" width="14.85546875" style="1" customWidth="1"/>
    <col min="2833" max="2834" width="0" style="1" hidden="1" customWidth="1"/>
    <col min="2835" max="2835" width="14.85546875" style="1" customWidth="1"/>
    <col min="2836" max="2837" width="0" style="1" hidden="1" customWidth="1"/>
    <col min="2838" max="2838" width="14.85546875" style="1" customWidth="1"/>
    <col min="2839" max="2840" width="0" style="1" hidden="1" customWidth="1"/>
    <col min="2841" max="2841" width="14.85546875" style="1" customWidth="1"/>
    <col min="2842" max="2843" width="0" style="1" hidden="1" customWidth="1"/>
    <col min="2844" max="2845" width="14.85546875" style="1" customWidth="1"/>
    <col min="2846" max="2846" width="44.42578125" style="1" customWidth="1"/>
    <col min="2847" max="2851" width="14.85546875" style="1" customWidth="1"/>
    <col min="2852" max="2852" width="63.85546875" style="1" customWidth="1"/>
    <col min="2853" max="2853" width="13.28515625" style="1" customWidth="1"/>
    <col min="2854" max="3039" width="9" style="1"/>
    <col min="3040" max="3041" width="0" style="1" hidden="1" customWidth="1"/>
    <col min="3042" max="3042" width="13.7109375" style="1" customWidth="1"/>
    <col min="3043" max="3043" width="52.85546875" style="1" customWidth="1"/>
    <col min="3044" max="3083" width="0" style="1" hidden="1" customWidth="1"/>
    <col min="3084" max="3085" width="14.85546875" style="1" customWidth="1"/>
    <col min="3086" max="3087" width="0" style="1" hidden="1" customWidth="1"/>
    <col min="3088" max="3088" width="14.85546875" style="1" customWidth="1"/>
    <col min="3089" max="3090" width="0" style="1" hidden="1" customWidth="1"/>
    <col min="3091" max="3091" width="14.85546875" style="1" customWidth="1"/>
    <col min="3092" max="3093" width="0" style="1" hidden="1" customWidth="1"/>
    <col min="3094" max="3094" width="14.85546875" style="1" customWidth="1"/>
    <col min="3095" max="3096" width="0" style="1" hidden="1" customWidth="1"/>
    <col min="3097" max="3097" width="14.85546875" style="1" customWidth="1"/>
    <col min="3098" max="3099" width="0" style="1" hidden="1" customWidth="1"/>
    <col min="3100" max="3101" width="14.85546875" style="1" customWidth="1"/>
    <col min="3102" max="3102" width="44.42578125" style="1" customWidth="1"/>
    <col min="3103" max="3107" width="14.85546875" style="1" customWidth="1"/>
    <col min="3108" max="3108" width="63.85546875" style="1" customWidth="1"/>
    <col min="3109" max="3109" width="13.28515625" style="1" customWidth="1"/>
    <col min="3110" max="3295" width="9" style="1"/>
    <col min="3296" max="3297" width="0" style="1" hidden="1" customWidth="1"/>
    <col min="3298" max="3298" width="13.7109375" style="1" customWidth="1"/>
    <col min="3299" max="3299" width="52.85546875" style="1" customWidth="1"/>
    <col min="3300" max="3339" width="0" style="1" hidden="1" customWidth="1"/>
    <col min="3340" max="3341" width="14.85546875" style="1" customWidth="1"/>
    <col min="3342" max="3343" width="0" style="1" hidden="1" customWidth="1"/>
    <col min="3344" max="3344" width="14.85546875" style="1" customWidth="1"/>
    <col min="3345" max="3346" width="0" style="1" hidden="1" customWidth="1"/>
    <col min="3347" max="3347" width="14.85546875" style="1" customWidth="1"/>
    <col min="3348" max="3349" width="0" style="1" hidden="1" customWidth="1"/>
    <col min="3350" max="3350" width="14.85546875" style="1" customWidth="1"/>
    <col min="3351" max="3352" width="0" style="1" hidden="1" customWidth="1"/>
    <col min="3353" max="3353" width="14.85546875" style="1" customWidth="1"/>
    <col min="3354" max="3355" width="0" style="1" hidden="1" customWidth="1"/>
    <col min="3356" max="3357" width="14.85546875" style="1" customWidth="1"/>
    <col min="3358" max="3358" width="44.42578125" style="1" customWidth="1"/>
    <col min="3359" max="3363" width="14.85546875" style="1" customWidth="1"/>
    <col min="3364" max="3364" width="63.85546875" style="1" customWidth="1"/>
    <col min="3365" max="3365" width="13.28515625" style="1" customWidth="1"/>
    <col min="3366" max="3551" width="9" style="1"/>
    <col min="3552" max="3553" width="0" style="1" hidden="1" customWidth="1"/>
    <col min="3554" max="3554" width="13.7109375" style="1" customWidth="1"/>
    <col min="3555" max="3555" width="52.85546875" style="1" customWidth="1"/>
    <col min="3556" max="3595" width="0" style="1" hidden="1" customWidth="1"/>
    <col min="3596" max="3597" width="14.85546875" style="1" customWidth="1"/>
    <col min="3598" max="3599" width="0" style="1" hidden="1" customWidth="1"/>
    <col min="3600" max="3600" width="14.85546875" style="1" customWidth="1"/>
    <col min="3601" max="3602" width="0" style="1" hidden="1" customWidth="1"/>
    <col min="3603" max="3603" width="14.85546875" style="1" customWidth="1"/>
    <col min="3604" max="3605" width="0" style="1" hidden="1" customWidth="1"/>
    <col min="3606" max="3606" width="14.85546875" style="1" customWidth="1"/>
    <col min="3607" max="3608" width="0" style="1" hidden="1" customWidth="1"/>
    <col min="3609" max="3609" width="14.85546875" style="1" customWidth="1"/>
    <col min="3610" max="3611" width="0" style="1" hidden="1" customWidth="1"/>
    <col min="3612" max="3613" width="14.85546875" style="1" customWidth="1"/>
    <col min="3614" max="3614" width="44.42578125" style="1" customWidth="1"/>
    <col min="3615" max="3619" width="14.85546875" style="1" customWidth="1"/>
    <col min="3620" max="3620" width="63.85546875" style="1" customWidth="1"/>
    <col min="3621" max="3621" width="13.28515625" style="1" customWidth="1"/>
    <col min="3622" max="3807" width="9" style="1"/>
    <col min="3808" max="3809" width="0" style="1" hidden="1" customWidth="1"/>
    <col min="3810" max="3810" width="13.7109375" style="1" customWidth="1"/>
    <col min="3811" max="3811" width="52.85546875" style="1" customWidth="1"/>
    <col min="3812" max="3851" width="0" style="1" hidden="1" customWidth="1"/>
    <col min="3852" max="3853" width="14.85546875" style="1" customWidth="1"/>
    <col min="3854" max="3855" width="0" style="1" hidden="1" customWidth="1"/>
    <col min="3856" max="3856" width="14.85546875" style="1" customWidth="1"/>
    <col min="3857" max="3858" width="0" style="1" hidden="1" customWidth="1"/>
    <col min="3859" max="3859" width="14.85546875" style="1" customWidth="1"/>
    <col min="3860" max="3861" width="0" style="1" hidden="1" customWidth="1"/>
    <col min="3862" max="3862" width="14.85546875" style="1" customWidth="1"/>
    <col min="3863" max="3864" width="0" style="1" hidden="1" customWidth="1"/>
    <col min="3865" max="3865" width="14.85546875" style="1" customWidth="1"/>
    <col min="3866" max="3867" width="0" style="1" hidden="1" customWidth="1"/>
    <col min="3868" max="3869" width="14.85546875" style="1" customWidth="1"/>
    <col min="3870" max="3870" width="44.42578125" style="1" customWidth="1"/>
    <col min="3871" max="3875" width="14.85546875" style="1" customWidth="1"/>
    <col min="3876" max="3876" width="63.85546875" style="1" customWidth="1"/>
    <col min="3877" max="3877" width="13.28515625" style="1" customWidth="1"/>
    <col min="3878" max="4063" width="9" style="1"/>
    <col min="4064" max="4065" width="0" style="1" hidden="1" customWidth="1"/>
    <col min="4066" max="4066" width="13.7109375" style="1" customWidth="1"/>
    <col min="4067" max="4067" width="52.85546875" style="1" customWidth="1"/>
    <col min="4068" max="4107" width="0" style="1" hidden="1" customWidth="1"/>
    <col min="4108" max="4109" width="14.85546875" style="1" customWidth="1"/>
    <col min="4110" max="4111" width="0" style="1" hidden="1" customWidth="1"/>
    <col min="4112" max="4112" width="14.85546875" style="1" customWidth="1"/>
    <col min="4113" max="4114" width="0" style="1" hidden="1" customWidth="1"/>
    <col min="4115" max="4115" width="14.85546875" style="1" customWidth="1"/>
    <col min="4116" max="4117" width="0" style="1" hidden="1" customWidth="1"/>
    <col min="4118" max="4118" width="14.85546875" style="1" customWidth="1"/>
    <col min="4119" max="4120" width="0" style="1" hidden="1" customWidth="1"/>
    <col min="4121" max="4121" width="14.85546875" style="1" customWidth="1"/>
    <col min="4122" max="4123" width="0" style="1" hidden="1" customWidth="1"/>
    <col min="4124" max="4125" width="14.85546875" style="1" customWidth="1"/>
    <col min="4126" max="4126" width="44.42578125" style="1" customWidth="1"/>
    <col min="4127" max="4131" width="14.85546875" style="1" customWidth="1"/>
    <col min="4132" max="4132" width="63.85546875" style="1" customWidth="1"/>
    <col min="4133" max="4133" width="13.28515625" style="1" customWidth="1"/>
    <col min="4134" max="4319" width="9" style="1"/>
    <col min="4320" max="4321" width="0" style="1" hidden="1" customWidth="1"/>
    <col min="4322" max="4322" width="13.7109375" style="1" customWidth="1"/>
    <col min="4323" max="4323" width="52.85546875" style="1" customWidth="1"/>
    <col min="4324" max="4363" width="0" style="1" hidden="1" customWidth="1"/>
    <col min="4364" max="4365" width="14.85546875" style="1" customWidth="1"/>
    <col min="4366" max="4367" width="0" style="1" hidden="1" customWidth="1"/>
    <col min="4368" max="4368" width="14.85546875" style="1" customWidth="1"/>
    <col min="4369" max="4370" width="0" style="1" hidden="1" customWidth="1"/>
    <col min="4371" max="4371" width="14.85546875" style="1" customWidth="1"/>
    <col min="4372" max="4373" width="0" style="1" hidden="1" customWidth="1"/>
    <col min="4374" max="4374" width="14.85546875" style="1" customWidth="1"/>
    <col min="4375" max="4376" width="0" style="1" hidden="1" customWidth="1"/>
    <col min="4377" max="4377" width="14.85546875" style="1" customWidth="1"/>
    <col min="4378" max="4379" width="0" style="1" hidden="1" customWidth="1"/>
    <col min="4380" max="4381" width="14.85546875" style="1" customWidth="1"/>
    <col min="4382" max="4382" width="44.42578125" style="1" customWidth="1"/>
    <col min="4383" max="4387" width="14.85546875" style="1" customWidth="1"/>
    <col min="4388" max="4388" width="63.85546875" style="1" customWidth="1"/>
    <col min="4389" max="4389" width="13.28515625" style="1" customWidth="1"/>
    <col min="4390" max="4575" width="9" style="1"/>
    <col min="4576" max="4577" width="0" style="1" hidden="1" customWidth="1"/>
    <col min="4578" max="4578" width="13.7109375" style="1" customWidth="1"/>
    <col min="4579" max="4579" width="52.85546875" style="1" customWidth="1"/>
    <col min="4580" max="4619" width="0" style="1" hidden="1" customWidth="1"/>
    <col min="4620" max="4621" width="14.85546875" style="1" customWidth="1"/>
    <col min="4622" max="4623" width="0" style="1" hidden="1" customWidth="1"/>
    <col min="4624" max="4624" width="14.85546875" style="1" customWidth="1"/>
    <col min="4625" max="4626" width="0" style="1" hidden="1" customWidth="1"/>
    <col min="4627" max="4627" width="14.85546875" style="1" customWidth="1"/>
    <col min="4628" max="4629" width="0" style="1" hidden="1" customWidth="1"/>
    <col min="4630" max="4630" width="14.85546875" style="1" customWidth="1"/>
    <col min="4631" max="4632" width="0" style="1" hidden="1" customWidth="1"/>
    <col min="4633" max="4633" width="14.85546875" style="1" customWidth="1"/>
    <col min="4634" max="4635" width="0" style="1" hidden="1" customWidth="1"/>
    <col min="4636" max="4637" width="14.85546875" style="1" customWidth="1"/>
    <col min="4638" max="4638" width="44.42578125" style="1" customWidth="1"/>
    <col min="4639" max="4643" width="14.85546875" style="1" customWidth="1"/>
    <col min="4644" max="4644" width="63.85546875" style="1" customWidth="1"/>
    <col min="4645" max="4645" width="13.28515625" style="1" customWidth="1"/>
    <col min="4646" max="4831" width="9" style="1"/>
    <col min="4832" max="4833" width="0" style="1" hidden="1" customWidth="1"/>
    <col min="4834" max="4834" width="13.7109375" style="1" customWidth="1"/>
    <col min="4835" max="4835" width="52.85546875" style="1" customWidth="1"/>
    <col min="4836" max="4875" width="0" style="1" hidden="1" customWidth="1"/>
    <col min="4876" max="4877" width="14.85546875" style="1" customWidth="1"/>
    <col min="4878" max="4879" width="0" style="1" hidden="1" customWidth="1"/>
    <col min="4880" max="4880" width="14.85546875" style="1" customWidth="1"/>
    <col min="4881" max="4882" width="0" style="1" hidden="1" customWidth="1"/>
    <col min="4883" max="4883" width="14.85546875" style="1" customWidth="1"/>
    <col min="4884" max="4885" width="0" style="1" hidden="1" customWidth="1"/>
    <col min="4886" max="4886" width="14.85546875" style="1" customWidth="1"/>
    <col min="4887" max="4888" width="0" style="1" hidden="1" customWidth="1"/>
    <col min="4889" max="4889" width="14.85546875" style="1" customWidth="1"/>
    <col min="4890" max="4891" width="0" style="1" hidden="1" customWidth="1"/>
    <col min="4892" max="4893" width="14.85546875" style="1" customWidth="1"/>
    <col min="4894" max="4894" width="44.42578125" style="1" customWidth="1"/>
    <col min="4895" max="4899" width="14.85546875" style="1" customWidth="1"/>
    <col min="4900" max="4900" width="63.85546875" style="1" customWidth="1"/>
    <col min="4901" max="4901" width="13.28515625" style="1" customWidth="1"/>
    <col min="4902" max="5087" width="9" style="1"/>
    <col min="5088" max="5089" width="0" style="1" hidden="1" customWidth="1"/>
    <col min="5090" max="5090" width="13.7109375" style="1" customWidth="1"/>
    <col min="5091" max="5091" width="52.85546875" style="1" customWidth="1"/>
    <col min="5092" max="5131" width="0" style="1" hidden="1" customWidth="1"/>
    <col min="5132" max="5133" width="14.85546875" style="1" customWidth="1"/>
    <col min="5134" max="5135" width="0" style="1" hidden="1" customWidth="1"/>
    <col min="5136" max="5136" width="14.85546875" style="1" customWidth="1"/>
    <col min="5137" max="5138" width="0" style="1" hidden="1" customWidth="1"/>
    <col min="5139" max="5139" width="14.85546875" style="1" customWidth="1"/>
    <col min="5140" max="5141" width="0" style="1" hidden="1" customWidth="1"/>
    <col min="5142" max="5142" width="14.85546875" style="1" customWidth="1"/>
    <col min="5143" max="5144" width="0" style="1" hidden="1" customWidth="1"/>
    <col min="5145" max="5145" width="14.85546875" style="1" customWidth="1"/>
    <col min="5146" max="5147" width="0" style="1" hidden="1" customWidth="1"/>
    <col min="5148" max="5149" width="14.85546875" style="1" customWidth="1"/>
    <col min="5150" max="5150" width="44.42578125" style="1" customWidth="1"/>
    <col min="5151" max="5155" width="14.85546875" style="1" customWidth="1"/>
    <col min="5156" max="5156" width="63.85546875" style="1" customWidth="1"/>
    <col min="5157" max="5157" width="13.28515625" style="1" customWidth="1"/>
    <col min="5158" max="5343" width="9" style="1"/>
    <col min="5344" max="5345" width="0" style="1" hidden="1" customWidth="1"/>
    <col min="5346" max="5346" width="13.7109375" style="1" customWidth="1"/>
    <col min="5347" max="5347" width="52.85546875" style="1" customWidth="1"/>
    <col min="5348" max="5387" width="0" style="1" hidden="1" customWidth="1"/>
    <col min="5388" max="5389" width="14.85546875" style="1" customWidth="1"/>
    <col min="5390" max="5391" width="0" style="1" hidden="1" customWidth="1"/>
    <col min="5392" max="5392" width="14.85546875" style="1" customWidth="1"/>
    <col min="5393" max="5394" width="0" style="1" hidden="1" customWidth="1"/>
    <col min="5395" max="5395" width="14.85546875" style="1" customWidth="1"/>
    <col min="5396" max="5397" width="0" style="1" hidden="1" customWidth="1"/>
    <col min="5398" max="5398" width="14.85546875" style="1" customWidth="1"/>
    <col min="5399" max="5400" width="0" style="1" hidden="1" customWidth="1"/>
    <col min="5401" max="5401" width="14.85546875" style="1" customWidth="1"/>
    <col min="5402" max="5403" width="0" style="1" hidden="1" customWidth="1"/>
    <col min="5404" max="5405" width="14.85546875" style="1" customWidth="1"/>
    <col min="5406" max="5406" width="44.42578125" style="1" customWidth="1"/>
    <col min="5407" max="5411" width="14.85546875" style="1" customWidth="1"/>
    <col min="5412" max="5412" width="63.85546875" style="1" customWidth="1"/>
    <col min="5413" max="5413" width="13.28515625" style="1" customWidth="1"/>
    <col min="5414" max="5599" width="9" style="1"/>
    <col min="5600" max="5601" width="0" style="1" hidden="1" customWidth="1"/>
    <col min="5602" max="5602" width="13.7109375" style="1" customWidth="1"/>
    <col min="5603" max="5603" width="52.85546875" style="1" customWidth="1"/>
    <col min="5604" max="5643" width="0" style="1" hidden="1" customWidth="1"/>
    <col min="5644" max="5645" width="14.85546875" style="1" customWidth="1"/>
    <col min="5646" max="5647" width="0" style="1" hidden="1" customWidth="1"/>
    <col min="5648" max="5648" width="14.85546875" style="1" customWidth="1"/>
    <col min="5649" max="5650" width="0" style="1" hidden="1" customWidth="1"/>
    <col min="5651" max="5651" width="14.85546875" style="1" customWidth="1"/>
    <col min="5652" max="5653" width="0" style="1" hidden="1" customWidth="1"/>
    <col min="5654" max="5654" width="14.85546875" style="1" customWidth="1"/>
    <col min="5655" max="5656" width="0" style="1" hidden="1" customWidth="1"/>
    <col min="5657" max="5657" width="14.85546875" style="1" customWidth="1"/>
    <col min="5658" max="5659" width="0" style="1" hidden="1" customWidth="1"/>
    <col min="5660" max="5661" width="14.85546875" style="1" customWidth="1"/>
    <col min="5662" max="5662" width="44.42578125" style="1" customWidth="1"/>
    <col min="5663" max="5667" width="14.85546875" style="1" customWidth="1"/>
    <col min="5668" max="5668" width="63.85546875" style="1" customWidth="1"/>
    <col min="5669" max="5669" width="13.28515625" style="1" customWidth="1"/>
    <col min="5670" max="5855" width="9" style="1"/>
    <col min="5856" max="5857" width="0" style="1" hidden="1" customWidth="1"/>
    <col min="5858" max="5858" width="13.7109375" style="1" customWidth="1"/>
    <col min="5859" max="5859" width="52.85546875" style="1" customWidth="1"/>
    <col min="5860" max="5899" width="0" style="1" hidden="1" customWidth="1"/>
    <col min="5900" max="5901" width="14.85546875" style="1" customWidth="1"/>
    <col min="5902" max="5903" width="0" style="1" hidden="1" customWidth="1"/>
    <col min="5904" max="5904" width="14.85546875" style="1" customWidth="1"/>
    <col min="5905" max="5906" width="0" style="1" hidden="1" customWidth="1"/>
    <col min="5907" max="5907" width="14.85546875" style="1" customWidth="1"/>
    <col min="5908" max="5909" width="0" style="1" hidden="1" customWidth="1"/>
    <col min="5910" max="5910" width="14.85546875" style="1" customWidth="1"/>
    <col min="5911" max="5912" width="0" style="1" hidden="1" customWidth="1"/>
    <col min="5913" max="5913" width="14.85546875" style="1" customWidth="1"/>
    <col min="5914" max="5915" width="0" style="1" hidden="1" customWidth="1"/>
    <col min="5916" max="5917" width="14.85546875" style="1" customWidth="1"/>
    <col min="5918" max="5918" width="44.42578125" style="1" customWidth="1"/>
    <col min="5919" max="5923" width="14.85546875" style="1" customWidth="1"/>
    <col min="5924" max="5924" width="63.85546875" style="1" customWidth="1"/>
    <col min="5925" max="5925" width="13.28515625" style="1" customWidth="1"/>
    <col min="5926" max="6111" width="9" style="1"/>
    <col min="6112" max="6113" width="0" style="1" hidden="1" customWidth="1"/>
    <col min="6114" max="6114" width="13.7109375" style="1" customWidth="1"/>
    <col min="6115" max="6115" width="52.85546875" style="1" customWidth="1"/>
    <col min="6116" max="6155" width="0" style="1" hidden="1" customWidth="1"/>
    <col min="6156" max="6157" width="14.85546875" style="1" customWidth="1"/>
    <col min="6158" max="6159" width="0" style="1" hidden="1" customWidth="1"/>
    <col min="6160" max="6160" width="14.85546875" style="1" customWidth="1"/>
    <col min="6161" max="6162" width="0" style="1" hidden="1" customWidth="1"/>
    <col min="6163" max="6163" width="14.85546875" style="1" customWidth="1"/>
    <col min="6164" max="6165" width="0" style="1" hidden="1" customWidth="1"/>
    <col min="6166" max="6166" width="14.85546875" style="1" customWidth="1"/>
    <col min="6167" max="6168" width="0" style="1" hidden="1" customWidth="1"/>
    <col min="6169" max="6169" width="14.85546875" style="1" customWidth="1"/>
    <col min="6170" max="6171" width="0" style="1" hidden="1" customWidth="1"/>
    <col min="6172" max="6173" width="14.85546875" style="1" customWidth="1"/>
    <col min="6174" max="6174" width="44.42578125" style="1" customWidth="1"/>
    <col min="6175" max="6179" width="14.85546875" style="1" customWidth="1"/>
    <col min="6180" max="6180" width="63.85546875" style="1" customWidth="1"/>
    <col min="6181" max="6181" width="13.28515625" style="1" customWidth="1"/>
    <col min="6182" max="6367" width="9" style="1"/>
    <col min="6368" max="6369" width="0" style="1" hidden="1" customWidth="1"/>
    <col min="6370" max="6370" width="13.7109375" style="1" customWidth="1"/>
    <col min="6371" max="6371" width="52.85546875" style="1" customWidth="1"/>
    <col min="6372" max="6411" width="0" style="1" hidden="1" customWidth="1"/>
    <col min="6412" max="6413" width="14.85546875" style="1" customWidth="1"/>
    <col min="6414" max="6415" width="0" style="1" hidden="1" customWidth="1"/>
    <col min="6416" max="6416" width="14.85546875" style="1" customWidth="1"/>
    <col min="6417" max="6418" width="0" style="1" hidden="1" customWidth="1"/>
    <col min="6419" max="6419" width="14.85546875" style="1" customWidth="1"/>
    <col min="6420" max="6421" width="0" style="1" hidden="1" customWidth="1"/>
    <col min="6422" max="6422" width="14.85546875" style="1" customWidth="1"/>
    <col min="6423" max="6424" width="0" style="1" hidden="1" customWidth="1"/>
    <col min="6425" max="6425" width="14.85546875" style="1" customWidth="1"/>
    <col min="6426" max="6427" width="0" style="1" hidden="1" customWidth="1"/>
    <col min="6428" max="6429" width="14.85546875" style="1" customWidth="1"/>
    <col min="6430" max="6430" width="44.42578125" style="1" customWidth="1"/>
    <col min="6431" max="6435" width="14.85546875" style="1" customWidth="1"/>
    <col min="6436" max="6436" width="63.85546875" style="1" customWidth="1"/>
    <col min="6437" max="6437" width="13.28515625" style="1" customWidth="1"/>
    <col min="6438" max="6623" width="9" style="1"/>
    <col min="6624" max="6625" width="0" style="1" hidden="1" customWidth="1"/>
    <col min="6626" max="6626" width="13.7109375" style="1" customWidth="1"/>
    <col min="6627" max="6627" width="52.85546875" style="1" customWidth="1"/>
    <col min="6628" max="6667" width="0" style="1" hidden="1" customWidth="1"/>
    <col min="6668" max="6669" width="14.85546875" style="1" customWidth="1"/>
    <col min="6670" max="6671" width="0" style="1" hidden="1" customWidth="1"/>
    <col min="6672" max="6672" width="14.85546875" style="1" customWidth="1"/>
    <col min="6673" max="6674" width="0" style="1" hidden="1" customWidth="1"/>
    <col min="6675" max="6675" width="14.85546875" style="1" customWidth="1"/>
    <col min="6676" max="6677" width="0" style="1" hidden="1" customWidth="1"/>
    <col min="6678" max="6678" width="14.85546875" style="1" customWidth="1"/>
    <col min="6679" max="6680" width="0" style="1" hidden="1" customWidth="1"/>
    <col min="6681" max="6681" width="14.85546875" style="1" customWidth="1"/>
    <col min="6682" max="6683" width="0" style="1" hidden="1" customWidth="1"/>
    <col min="6684" max="6685" width="14.85546875" style="1" customWidth="1"/>
    <col min="6686" max="6686" width="44.42578125" style="1" customWidth="1"/>
    <col min="6687" max="6691" width="14.85546875" style="1" customWidth="1"/>
    <col min="6692" max="6692" width="63.85546875" style="1" customWidth="1"/>
    <col min="6693" max="6693" width="13.28515625" style="1" customWidth="1"/>
    <col min="6694" max="6879" width="9" style="1"/>
    <col min="6880" max="6881" width="0" style="1" hidden="1" customWidth="1"/>
    <col min="6882" max="6882" width="13.7109375" style="1" customWidth="1"/>
    <col min="6883" max="6883" width="52.85546875" style="1" customWidth="1"/>
    <col min="6884" max="6923" width="0" style="1" hidden="1" customWidth="1"/>
    <col min="6924" max="6925" width="14.85546875" style="1" customWidth="1"/>
    <col min="6926" max="6927" width="0" style="1" hidden="1" customWidth="1"/>
    <col min="6928" max="6928" width="14.85546875" style="1" customWidth="1"/>
    <col min="6929" max="6930" width="0" style="1" hidden="1" customWidth="1"/>
    <col min="6931" max="6931" width="14.85546875" style="1" customWidth="1"/>
    <col min="6932" max="6933" width="0" style="1" hidden="1" customWidth="1"/>
    <col min="6934" max="6934" width="14.85546875" style="1" customWidth="1"/>
    <col min="6935" max="6936" width="0" style="1" hidden="1" customWidth="1"/>
    <col min="6937" max="6937" width="14.85546875" style="1" customWidth="1"/>
    <col min="6938" max="6939" width="0" style="1" hidden="1" customWidth="1"/>
    <col min="6940" max="6941" width="14.85546875" style="1" customWidth="1"/>
    <col min="6942" max="6942" width="44.42578125" style="1" customWidth="1"/>
    <col min="6943" max="6947" width="14.85546875" style="1" customWidth="1"/>
    <col min="6948" max="6948" width="63.85546875" style="1" customWidth="1"/>
    <col min="6949" max="6949" width="13.28515625" style="1" customWidth="1"/>
    <col min="6950" max="7135" width="9" style="1"/>
    <col min="7136" max="7137" width="0" style="1" hidden="1" customWidth="1"/>
    <col min="7138" max="7138" width="13.7109375" style="1" customWidth="1"/>
    <col min="7139" max="7139" width="52.85546875" style="1" customWidth="1"/>
    <col min="7140" max="7179" width="0" style="1" hidden="1" customWidth="1"/>
    <col min="7180" max="7181" width="14.85546875" style="1" customWidth="1"/>
    <col min="7182" max="7183" width="0" style="1" hidden="1" customWidth="1"/>
    <col min="7184" max="7184" width="14.85546875" style="1" customWidth="1"/>
    <col min="7185" max="7186" width="0" style="1" hidden="1" customWidth="1"/>
    <col min="7187" max="7187" width="14.85546875" style="1" customWidth="1"/>
    <col min="7188" max="7189" width="0" style="1" hidden="1" customWidth="1"/>
    <col min="7190" max="7190" width="14.85546875" style="1" customWidth="1"/>
    <col min="7191" max="7192" width="0" style="1" hidden="1" customWidth="1"/>
    <col min="7193" max="7193" width="14.85546875" style="1" customWidth="1"/>
    <col min="7194" max="7195" width="0" style="1" hidden="1" customWidth="1"/>
    <col min="7196" max="7197" width="14.85546875" style="1" customWidth="1"/>
    <col min="7198" max="7198" width="44.42578125" style="1" customWidth="1"/>
    <col min="7199" max="7203" width="14.85546875" style="1" customWidth="1"/>
    <col min="7204" max="7204" width="63.85546875" style="1" customWidth="1"/>
    <col min="7205" max="7205" width="13.28515625" style="1" customWidth="1"/>
    <col min="7206" max="7391" width="9" style="1"/>
    <col min="7392" max="7393" width="0" style="1" hidden="1" customWidth="1"/>
    <col min="7394" max="7394" width="13.7109375" style="1" customWidth="1"/>
    <col min="7395" max="7395" width="52.85546875" style="1" customWidth="1"/>
    <col min="7396" max="7435" width="0" style="1" hidden="1" customWidth="1"/>
    <col min="7436" max="7437" width="14.85546875" style="1" customWidth="1"/>
    <col min="7438" max="7439" width="0" style="1" hidden="1" customWidth="1"/>
    <col min="7440" max="7440" width="14.85546875" style="1" customWidth="1"/>
    <col min="7441" max="7442" width="0" style="1" hidden="1" customWidth="1"/>
    <col min="7443" max="7443" width="14.85546875" style="1" customWidth="1"/>
    <col min="7444" max="7445" width="0" style="1" hidden="1" customWidth="1"/>
    <col min="7446" max="7446" width="14.85546875" style="1" customWidth="1"/>
    <col min="7447" max="7448" width="0" style="1" hidden="1" customWidth="1"/>
    <col min="7449" max="7449" width="14.85546875" style="1" customWidth="1"/>
    <col min="7450" max="7451" width="0" style="1" hidden="1" customWidth="1"/>
    <col min="7452" max="7453" width="14.85546875" style="1" customWidth="1"/>
    <col min="7454" max="7454" width="44.42578125" style="1" customWidth="1"/>
    <col min="7455" max="7459" width="14.85546875" style="1" customWidth="1"/>
    <col min="7460" max="7460" width="63.85546875" style="1" customWidth="1"/>
    <col min="7461" max="7461" width="13.28515625" style="1" customWidth="1"/>
    <col min="7462" max="7647" width="9" style="1"/>
    <col min="7648" max="7649" width="0" style="1" hidden="1" customWidth="1"/>
    <col min="7650" max="7650" width="13.7109375" style="1" customWidth="1"/>
    <col min="7651" max="7651" width="52.85546875" style="1" customWidth="1"/>
    <col min="7652" max="7691" width="0" style="1" hidden="1" customWidth="1"/>
    <col min="7692" max="7693" width="14.85546875" style="1" customWidth="1"/>
    <col min="7694" max="7695" width="0" style="1" hidden="1" customWidth="1"/>
    <col min="7696" max="7696" width="14.85546875" style="1" customWidth="1"/>
    <col min="7697" max="7698" width="0" style="1" hidden="1" customWidth="1"/>
    <col min="7699" max="7699" width="14.85546875" style="1" customWidth="1"/>
    <col min="7700" max="7701" width="0" style="1" hidden="1" customWidth="1"/>
    <col min="7702" max="7702" width="14.85546875" style="1" customWidth="1"/>
    <col min="7703" max="7704" width="0" style="1" hidden="1" customWidth="1"/>
    <col min="7705" max="7705" width="14.85546875" style="1" customWidth="1"/>
    <col min="7706" max="7707" width="0" style="1" hidden="1" customWidth="1"/>
    <col min="7708" max="7709" width="14.85546875" style="1" customWidth="1"/>
    <col min="7710" max="7710" width="44.42578125" style="1" customWidth="1"/>
    <col min="7711" max="7715" width="14.85546875" style="1" customWidth="1"/>
    <col min="7716" max="7716" width="63.85546875" style="1" customWidth="1"/>
    <col min="7717" max="7717" width="13.28515625" style="1" customWidth="1"/>
    <col min="7718" max="7903" width="9" style="1"/>
    <col min="7904" max="7905" width="0" style="1" hidden="1" customWidth="1"/>
    <col min="7906" max="7906" width="13.7109375" style="1" customWidth="1"/>
    <col min="7907" max="7907" width="52.85546875" style="1" customWidth="1"/>
    <col min="7908" max="7947" width="0" style="1" hidden="1" customWidth="1"/>
    <col min="7948" max="7949" width="14.85546875" style="1" customWidth="1"/>
    <col min="7950" max="7951" width="0" style="1" hidden="1" customWidth="1"/>
    <col min="7952" max="7952" width="14.85546875" style="1" customWidth="1"/>
    <col min="7953" max="7954" width="0" style="1" hidden="1" customWidth="1"/>
    <col min="7955" max="7955" width="14.85546875" style="1" customWidth="1"/>
    <col min="7956" max="7957" width="0" style="1" hidden="1" customWidth="1"/>
    <col min="7958" max="7958" width="14.85546875" style="1" customWidth="1"/>
    <col min="7959" max="7960" width="0" style="1" hidden="1" customWidth="1"/>
    <col min="7961" max="7961" width="14.85546875" style="1" customWidth="1"/>
    <col min="7962" max="7963" width="0" style="1" hidden="1" customWidth="1"/>
    <col min="7964" max="7965" width="14.85546875" style="1" customWidth="1"/>
    <col min="7966" max="7966" width="44.42578125" style="1" customWidth="1"/>
    <col min="7967" max="7971" width="14.85546875" style="1" customWidth="1"/>
    <col min="7972" max="7972" width="63.85546875" style="1" customWidth="1"/>
    <col min="7973" max="7973" width="13.28515625" style="1" customWidth="1"/>
    <col min="7974" max="8159" width="9" style="1"/>
    <col min="8160" max="8161" width="0" style="1" hidden="1" customWidth="1"/>
    <col min="8162" max="8162" width="13.7109375" style="1" customWidth="1"/>
    <col min="8163" max="8163" width="52.85546875" style="1" customWidth="1"/>
    <col min="8164" max="8203" width="0" style="1" hidden="1" customWidth="1"/>
    <col min="8204" max="8205" width="14.85546875" style="1" customWidth="1"/>
    <col min="8206" max="8207" width="0" style="1" hidden="1" customWidth="1"/>
    <col min="8208" max="8208" width="14.85546875" style="1" customWidth="1"/>
    <col min="8209" max="8210" width="0" style="1" hidden="1" customWidth="1"/>
    <col min="8211" max="8211" width="14.85546875" style="1" customWidth="1"/>
    <col min="8212" max="8213" width="0" style="1" hidden="1" customWidth="1"/>
    <col min="8214" max="8214" width="14.85546875" style="1" customWidth="1"/>
    <col min="8215" max="8216" width="0" style="1" hidden="1" customWidth="1"/>
    <col min="8217" max="8217" width="14.85546875" style="1" customWidth="1"/>
    <col min="8218" max="8219" width="0" style="1" hidden="1" customWidth="1"/>
    <col min="8220" max="8221" width="14.85546875" style="1" customWidth="1"/>
    <col min="8222" max="8222" width="44.42578125" style="1" customWidth="1"/>
    <col min="8223" max="8227" width="14.85546875" style="1" customWidth="1"/>
    <col min="8228" max="8228" width="63.85546875" style="1" customWidth="1"/>
    <col min="8229" max="8229" width="13.28515625" style="1" customWidth="1"/>
    <col min="8230" max="8415" width="9" style="1"/>
    <col min="8416" max="8417" width="0" style="1" hidden="1" customWidth="1"/>
    <col min="8418" max="8418" width="13.7109375" style="1" customWidth="1"/>
    <col min="8419" max="8419" width="52.85546875" style="1" customWidth="1"/>
    <col min="8420" max="8459" width="0" style="1" hidden="1" customWidth="1"/>
    <col min="8460" max="8461" width="14.85546875" style="1" customWidth="1"/>
    <col min="8462" max="8463" width="0" style="1" hidden="1" customWidth="1"/>
    <col min="8464" max="8464" width="14.85546875" style="1" customWidth="1"/>
    <col min="8465" max="8466" width="0" style="1" hidden="1" customWidth="1"/>
    <col min="8467" max="8467" width="14.85546875" style="1" customWidth="1"/>
    <col min="8468" max="8469" width="0" style="1" hidden="1" customWidth="1"/>
    <col min="8470" max="8470" width="14.85546875" style="1" customWidth="1"/>
    <col min="8471" max="8472" width="0" style="1" hidden="1" customWidth="1"/>
    <col min="8473" max="8473" width="14.85546875" style="1" customWidth="1"/>
    <col min="8474" max="8475" width="0" style="1" hidden="1" customWidth="1"/>
    <col min="8476" max="8477" width="14.85546875" style="1" customWidth="1"/>
    <col min="8478" max="8478" width="44.42578125" style="1" customWidth="1"/>
    <col min="8479" max="8483" width="14.85546875" style="1" customWidth="1"/>
    <col min="8484" max="8484" width="63.85546875" style="1" customWidth="1"/>
    <col min="8485" max="8485" width="13.28515625" style="1" customWidth="1"/>
    <col min="8486" max="8671" width="9" style="1"/>
    <col min="8672" max="8673" width="0" style="1" hidden="1" customWidth="1"/>
    <col min="8674" max="8674" width="13.7109375" style="1" customWidth="1"/>
    <col min="8675" max="8675" width="52.85546875" style="1" customWidth="1"/>
    <col min="8676" max="8715" width="0" style="1" hidden="1" customWidth="1"/>
    <col min="8716" max="8717" width="14.85546875" style="1" customWidth="1"/>
    <col min="8718" max="8719" width="0" style="1" hidden="1" customWidth="1"/>
    <col min="8720" max="8720" width="14.85546875" style="1" customWidth="1"/>
    <col min="8721" max="8722" width="0" style="1" hidden="1" customWidth="1"/>
    <col min="8723" max="8723" width="14.85546875" style="1" customWidth="1"/>
    <col min="8724" max="8725" width="0" style="1" hidden="1" customWidth="1"/>
    <col min="8726" max="8726" width="14.85546875" style="1" customWidth="1"/>
    <col min="8727" max="8728" width="0" style="1" hidden="1" customWidth="1"/>
    <col min="8729" max="8729" width="14.85546875" style="1" customWidth="1"/>
    <col min="8730" max="8731" width="0" style="1" hidden="1" customWidth="1"/>
    <col min="8732" max="8733" width="14.85546875" style="1" customWidth="1"/>
    <col min="8734" max="8734" width="44.42578125" style="1" customWidth="1"/>
    <col min="8735" max="8739" width="14.85546875" style="1" customWidth="1"/>
    <col min="8740" max="8740" width="63.85546875" style="1" customWidth="1"/>
    <col min="8741" max="8741" width="13.28515625" style="1" customWidth="1"/>
    <col min="8742" max="8927" width="9" style="1"/>
    <col min="8928" max="8929" width="0" style="1" hidden="1" customWidth="1"/>
    <col min="8930" max="8930" width="13.7109375" style="1" customWidth="1"/>
    <col min="8931" max="8931" width="52.85546875" style="1" customWidth="1"/>
    <col min="8932" max="8971" width="0" style="1" hidden="1" customWidth="1"/>
    <col min="8972" max="8973" width="14.85546875" style="1" customWidth="1"/>
    <col min="8974" max="8975" width="0" style="1" hidden="1" customWidth="1"/>
    <col min="8976" max="8976" width="14.85546875" style="1" customWidth="1"/>
    <col min="8977" max="8978" width="0" style="1" hidden="1" customWidth="1"/>
    <col min="8979" max="8979" width="14.85546875" style="1" customWidth="1"/>
    <col min="8980" max="8981" width="0" style="1" hidden="1" customWidth="1"/>
    <col min="8982" max="8982" width="14.85546875" style="1" customWidth="1"/>
    <col min="8983" max="8984" width="0" style="1" hidden="1" customWidth="1"/>
    <col min="8985" max="8985" width="14.85546875" style="1" customWidth="1"/>
    <col min="8986" max="8987" width="0" style="1" hidden="1" customWidth="1"/>
    <col min="8988" max="8989" width="14.85546875" style="1" customWidth="1"/>
    <col min="8990" max="8990" width="44.42578125" style="1" customWidth="1"/>
    <col min="8991" max="8995" width="14.85546875" style="1" customWidth="1"/>
    <col min="8996" max="8996" width="63.85546875" style="1" customWidth="1"/>
    <col min="8997" max="8997" width="13.28515625" style="1" customWidth="1"/>
    <col min="8998" max="9183" width="9" style="1"/>
    <col min="9184" max="9185" width="0" style="1" hidden="1" customWidth="1"/>
    <col min="9186" max="9186" width="13.7109375" style="1" customWidth="1"/>
    <col min="9187" max="9187" width="52.85546875" style="1" customWidth="1"/>
    <col min="9188" max="9227" width="0" style="1" hidden="1" customWidth="1"/>
    <col min="9228" max="9229" width="14.85546875" style="1" customWidth="1"/>
    <col min="9230" max="9231" width="0" style="1" hidden="1" customWidth="1"/>
    <col min="9232" max="9232" width="14.85546875" style="1" customWidth="1"/>
    <col min="9233" max="9234" width="0" style="1" hidden="1" customWidth="1"/>
    <col min="9235" max="9235" width="14.85546875" style="1" customWidth="1"/>
    <col min="9236" max="9237" width="0" style="1" hidden="1" customWidth="1"/>
    <col min="9238" max="9238" width="14.85546875" style="1" customWidth="1"/>
    <col min="9239" max="9240" width="0" style="1" hidden="1" customWidth="1"/>
    <col min="9241" max="9241" width="14.85546875" style="1" customWidth="1"/>
    <col min="9242" max="9243" width="0" style="1" hidden="1" customWidth="1"/>
    <col min="9244" max="9245" width="14.85546875" style="1" customWidth="1"/>
    <col min="9246" max="9246" width="44.42578125" style="1" customWidth="1"/>
    <col min="9247" max="9251" width="14.85546875" style="1" customWidth="1"/>
    <col min="9252" max="9252" width="63.85546875" style="1" customWidth="1"/>
    <col min="9253" max="9253" width="13.28515625" style="1" customWidth="1"/>
    <col min="9254" max="9439" width="9" style="1"/>
    <col min="9440" max="9441" width="0" style="1" hidden="1" customWidth="1"/>
    <col min="9442" max="9442" width="13.7109375" style="1" customWidth="1"/>
    <col min="9443" max="9443" width="52.85546875" style="1" customWidth="1"/>
    <col min="9444" max="9483" width="0" style="1" hidden="1" customWidth="1"/>
    <col min="9484" max="9485" width="14.85546875" style="1" customWidth="1"/>
    <col min="9486" max="9487" width="0" style="1" hidden="1" customWidth="1"/>
    <col min="9488" max="9488" width="14.85546875" style="1" customWidth="1"/>
    <col min="9489" max="9490" width="0" style="1" hidden="1" customWidth="1"/>
    <col min="9491" max="9491" width="14.85546875" style="1" customWidth="1"/>
    <col min="9492" max="9493" width="0" style="1" hidden="1" customWidth="1"/>
    <col min="9494" max="9494" width="14.85546875" style="1" customWidth="1"/>
    <col min="9495" max="9496" width="0" style="1" hidden="1" customWidth="1"/>
    <col min="9497" max="9497" width="14.85546875" style="1" customWidth="1"/>
    <col min="9498" max="9499" width="0" style="1" hidden="1" customWidth="1"/>
    <col min="9500" max="9501" width="14.85546875" style="1" customWidth="1"/>
    <col min="9502" max="9502" width="44.42578125" style="1" customWidth="1"/>
    <col min="9503" max="9507" width="14.85546875" style="1" customWidth="1"/>
    <col min="9508" max="9508" width="63.85546875" style="1" customWidth="1"/>
    <col min="9509" max="9509" width="13.28515625" style="1" customWidth="1"/>
    <col min="9510" max="9695" width="9" style="1"/>
    <col min="9696" max="9697" width="0" style="1" hidden="1" customWidth="1"/>
    <col min="9698" max="9698" width="13.7109375" style="1" customWidth="1"/>
    <col min="9699" max="9699" width="52.85546875" style="1" customWidth="1"/>
    <col min="9700" max="9739" width="0" style="1" hidden="1" customWidth="1"/>
    <col min="9740" max="9741" width="14.85546875" style="1" customWidth="1"/>
    <col min="9742" max="9743" width="0" style="1" hidden="1" customWidth="1"/>
    <col min="9744" max="9744" width="14.85546875" style="1" customWidth="1"/>
    <col min="9745" max="9746" width="0" style="1" hidden="1" customWidth="1"/>
    <col min="9747" max="9747" width="14.85546875" style="1" customWidth="1"/>
    <col min="9748" max="9749" width="0" style="1" hidden="1" customWidth="1"/>
    <col min="9750" max="9750" width="14.85546875" style="1" customWidth="1"/>
    <col min="9751" max="9752" width="0" style="1" hidden="1" customWidth="1"/>
    <col min="9753" max="9753" width="14.85546875" style="1" customWidth="1"/>
    <col min="9754" max="9755" width="0" style="1" hidden="1" customWidth="1"/>
    <col min="9756" max="9757" width="14.85546875" style="1" customWidth="1"/>
    <col min="9758" max="9758" width="44.42578125" style="1" customWidth="1"/>
    <col min="9759" max="9763" width="14.85546875" style="1" customWidth="1"/>
    <col min="9764" max="9764" width="63.85546875" style="1" customWidth="1"/>
    <col min="9765" max="9765" width="13.28515625" style="1" customWidth="1"/>
    <col min="9766" max="9951" width="9" style="1"/>
    <col min="9952" max="9953" width="0" style="1" hidden="1" customWidth="1"/>
    <col min="9954" max="9954" width="13.7109375" style="1" customWidth="1"/>
    <col min="9955" max="9955" width="52.85546875" style="1" customWidth="1"/>
    <col min="9956" max="9995" width="0" style="1" hidden="1" customWidth="1"/>
    <col min="9996" max="9997" width="14.85546875" style="1" customWidth="1"/>
    <col min="9998" max="9999" width="0" style="1" hidden="1" customWidth="1"/>
    <col min="10000" max="10000" width="14.85546875" style="1" customWidth="1"/>
    <col min="10001" max="10002" width="0" style="1" hidden="1" customWidth="1"/>
    <col min="10003" max="10003" width="14.85546875" style="1" customWidth="1"/>
    <col min="10004" max="10005" width="0" style="1" hidden="1" customWidth="1"/>
    <col min="10006" max="10006" width="14.85546875" style="1" customWidth="1"/>
    <col min="10007" max="10008" width="0" style="1" hidden="1" customWidth="1"/>
    <col min="10009" max="10009" width="14.85546875" style="1" customWidth="1"/>
    <col min="10010" max="10011" width="0" style="1" hidden="1" customWidth="1"/>
    <col min="10012" max="10013" width="14.85546875" style="1" customWidth="1"/>
    <col min="10014" max="10014" width="44.42578125" style="1" customWidth="1"/>
    <col min="10015" max="10019" width="14.85546875" style="1" customWidth="1"/>
    <col min="10020" max="10020" width="63.85546875" style="1" customWidth="1"/>
    <col min="10021" max="10021" width="13.28515625" style="1" customWidth="1"/>
    <col min="10022" max="10207" width="9" style="1"/>
    <col min="10208" max="10209" width="0" style="1" hidden="1" customWidth="1"/>
    <col min="10210" max="10210" width="13.7109375" style="1" customWidth="1"/>
    <col min="10211" max="10211" width="52.85546875" style="1" customWidth="1"/>
    <col min="10212" max="10251" width="0" style="1" hidden="1" customWidth="1"/>
    <col min="10252" max="10253" width="14.85546875" style="1" customWidth="1"/>
    <col min="10254" max="10255" width="0" style="1" hidden="1" customWidth="1"/>
    <col min="10256" max="10256" width="14.85546875" style="1" customWidth="1"/>
    <col min="10257" max="10258" width="0" style="1" hidden="1" customWidth="1"/>
    <col min="10259" max="10259" width="14.85546875" style="1" customWidth="1"/>
    <col min="10260" max="10261" width="0" style="1" hidden="1" customWidth="1"/>
    <col min="10262" max="10262" width="14.85546875" style="1" customWidth="1"/>
    <col min="10263" max="10264" width="0" style="1" hidden="1" customWidth="1"/>
    <col min="10265" max="10265" width="14.85546875" style="1" customWidth="1"/>
    <col min="10266" max="10267" width="0" style="1" hidden="1" customWidth="1"/>
    <col min="10268" max="10269" width="14.85546875" style="1" customWidth="1"/>
    <col min="10270" max="10270" width="44.42578125" style="1" customWidth="1"/>
    <col min="10271" max="10275" width="14.85546875" style="1" customWidth="1"/>
    <col min="10276" max="10276" width="63.85546875" style="1" customWidth="1"/>
    <col min="10277" max="10277" width="13.28515625" style="1" customWidth="1"/>
    <col min="10278" max="10463" width="9" style="1"/>
    <col min="10464" max="10465" width="0" style="1" hidden="1" customWidth="1"/>
    <col min="10466" max="10466" width="13.7109375" style="1" customWidth="1"/>
    <col min="10467" max="10467" width="52.85546875" style="1" customWidth="1"/>
    <col min="10468" max="10507" width="0" style="1" hidden="1" customWidth="1"/>
    <col min="10508" max="10509" width="14.85546875" style="1" customWidth="1"/>
    <col min="10510" max="10511" width="0" style="1" hidden="1" customWidth="1"/>
    <col min="10512" max="10512" width="14.85546875" style="1" customWidth="1"/>
    <col min="10513" max="10514" width="0" style="1" hidden="1" customWidth="1"/>
    <col min="10515" max="10515" width="14.85546875" style="1" customWidth="1"/>
    <col min="10516" max="10517" width="0" style="1" hidden="1" customWidth="1"/>
    <col min="10518" max="10518" width="14.85546875" style="1" customWidth="1"/>
    <col min="10519" max="10520" width="0" style="1" hidden="1" customWidth="1"/>
    <col min="10521" max="10521" width="14.85546875" style="1" customWidth="1"/>
    <col min="10522" max="10523" width="0" style="1" hidden="1" customWidth="1"/>
    <col min="10524" max="10525" width="14.85546875" style="1" customWidth="1"/>
    <col min="10526" max="10526" width="44.42578125" style="1" customWidth="1"/>
    <col min="10527" max="10531" width="14.85546875" style="1" customWidth="1"/>
    <col min="10532" max="10532" width="63.85546875" style="1" customWidth="1"/>
    <col min="10533" max="10533" width="13.28515625" style="1" customWidth="1"/>
    <col min="10534" max="10719" width="9" style="1"/>
    <col min="10720" max="10721" width="0" style="1" hidden="1" customWidth="1"/>
    <col min="10722" max="10722" width="13.7109375" style="1" customWidth="1"/>
    <col min="10723" max="10723" width="52.85546875" style="1" customWidth="1"/>
    <col min="10724" max="10763" width="0" style="1" hidden="1" customWidth="1"/>
    <col min="10764" max="10765" width="14.85546875" style="1" customWidth="1"/>
    <col min="10766" max="10767" width="0" style="1" hidden="1" customWidth="1"/>
    <col min="10768" max="10768" width="14.85546875" style="1" customWidth="1"/>
    <col min="10769" max="10770" width="0" style="1" hidden="1" customWidth="1"/>
    <col min="10771" max="10771" width="14.85546875" style="1" customWidth="1"/>
    <col min="10772" max="10773" width="0" style="1" hidden="1" customWidth="1"/>
    <col min="10774" max="10774" width="14.85546875" style="1" customWidth="1"/>
    <col min="10775" max="10776" width="0" style="1" hidden="1" customWidth="1"/>
    <col min="10777" max="10777" width="14.85546875" style="1" customWidth="1"/>
    <col min="10778" max="10779" width="0" style="1" hidden="1" customWidth="1"/>
    <col min="10780" max="10781" width="14.85546875" style="1" customWidth="1"/>
    <col min="10782" max="10782" width="44.42578125" style="1" customWidth="1"/>
    <col min="10783" max="10787" width="14.85546875" style="1" customWidth="1"/>
    <col min="10788" max="10788" width="63.85546875" style="1" customWidth="1"/>
    <col min="10789" max="10789" width="13.28515625" style="1" customWidth="1"/>
    <col min="10790" max="10975" width="9" style="1"/>
    <col min="10976" max="10977" width="0" style="1" hidden="1" customWidth="1"/>
    <col min="10978" max="10978" width="13.7109375" style="1" customWidth="1"/>
    <col min="10979" max="10979" width="52.85546875" style="1" customWidth="1"/>
    <col min="10980" max="11019" width="0" style="1" hidden="1" customWidth="1"/>
    <col min="11020" max="11021" width="14.85546875" style="1" customWidth="1"/>
    <col min="11022" max="11023" width="0" style="1" hidden="1" customWidth="1"/>
    <col min="11024" max="11024" width="14.85546875" style="1" customWidth="1"/>
    <col min="11025" max="11026" width="0" style="1" hidden="1" customWidth="1"/>
    <col min="11027" max="11027" width="14.85546875" style="1" customWidth="1"/>
    <col min="11028" max="11029" width="0" style="1" hidden="1" customWidth="1"/>
    <col min="11030" max="11030" width="14.85546875" style="1" customWidth="1"/>
    <col min="11031" max="11032" width="0" style="1" hidden="1" customWidth="1"/>
    <col min="11033" max="11033" width="14.85546875" style="1" customWidth="1"/>
    <col min="11034" max="11035" width="0" style="1" hidden="1" customWidth="1"/>
    <col min="11036" max="11037" width="14.85546875" style="1" customWidth="1"/>
    <col min="11038" max="11038" width="44.42578125" style="1" customWidth="1"/>
    <col min="11039" max="11043" width="14.85546875" style="1" customWidth="1"/>
    <col min="11044" max="11044" width="63.85546875" style="1" customWidth="1"/>
    <col min="11045" max="11045" width="13.28515625" style="1" customWidth="1"/>
    <col min="11046" max="11231" width="9" style="1"/>
    <col min="11232" max="11233" width="0" style="1" hidden="1" customWidth="1"/>
    <col min="11234" max="11234" width="13.7109375" style="1" customWidth="1"/>
    <col min="11235" max="11235" width="52.85546875" style="1" customWidth="1"/>
    <col min="11236" max="11275" width="0" style="1" hidden="1" customWidth="1"/>
    <col min="11276" max="11277" width="14.85546875" style="1" customWidth="1"/>
    <col min="11278" max="11279" width="0" style="1" hidden="1" customWidth="1"/>
    <col min="11280" max="11280" width="14.85546875" style="1" customWidth="1"/>
    <col min="11281" max="11282" width="0" style="1" hidden="1" customWidth="1"/>
    <col min="11283" max="11283" width="14.85546875" style="1" customWidth="1"/>
    <col min="11284" max="11285" width="0" style="1" hidden="1" customWidth="1"/>
    <col min="11286" max="11286" width="14.85546875" style="1" customWidth="1"/>
    <col min="11287" max="11288" width="0" style="1" hidden="1" customWidth="1"/>
    <col min="11289" max="11289" width="14.85546875" style="1" customWidth="1"/>
    <col min="11290" max="11291" width="0" style="1" hidden="1" customWidth="1"/>
    <col min="11292" max="11293" width="14.85546875" style="1" customWidth="1"/>
    <col min="11294" max="11294" width="44.42578125" style="1" customWidth="1"/>
    <col min="11295" max="11299" width="14.85546875" style="1" customWidth="1"/>
    <col min="11300" max="11300" width="63.85546875" style="1" customWidth="1"/>
    <col min="11301" max="11301" width="13.28515625" style="1" customWidth="1"/>
    <col min="11302" max="11487" width="9" style="1"/>
    <col min="11488" max="11489" width="0" style="1" hidden="1" customWidth="1"/>
    <col min="11490" max="11490" width="13.7109375" style="1" customWidth="1"/>
    <col min="11491" max="11491" width="52.85546875" style="1" customWidth="1"/>
    <col min="11492" max="11531" width="0" style="1" hidden="1" customWidth="1"/>
    <col min="11532" max="11533" width="14.85546875" style="1" customWidth="1"/>
    <col min="11534" max="11535" width="0" style="1" hidden="1" customWidth="1"/>
    <col min="11536" max="11536" width="14.85546875" style="1" customWidth="1"/>
    <col min="11537" max="11538" width="0" style="1" hidden="1" customWidth="1"/>
    <col min="11539" max="11539" width="14.85546875" style="1" customWidth="1"/>
    <col min="11540" max="11541" width="0" style="1" hidden="1" customWidth="1"/>
    <col min="11542" max="11542" width="14.85546875" style="1" customWidth="1"/>
    <col min="11543" max="11544" width="0" style="1" hidden="1" customWidth="1"/>
    <col min="11545" max="11545" width="14.85546875" style="1" customWidth="1"/>
    <col min="11546" max="11547" width="0" style="1" hidden="1" customWidth="1"/>
    <col min="11548" max="11549" width="14.85546875" style="1" customWidth="1"/>
    <col min="11550" max="11550" width="44.42578125" style="1" customWidth="1"/>
    <col min="11551" max="11555" width="14.85546875" style="1" customWidth="1"/>
    <col min="11556" max="11556" width="63.85546875" style="1" customWidth="1"/>
    <col min="11557" max="11557" width="13.28515625" style="1" customWidth="1"/>
    <col min="11558" max="11743" width="9" style="1"/>
    <col min="11744" max="11745" width="0" style="1" hidden="1" customWidth="1"/>
    <col min="11746" max="11746" width="13.7109375" style="1" customWidth="1"/>
    <col min="11747" max="11747" width="52.85546875" style="1" customWidth="1"/>
    <col min="11748" max="11787" width="0" style="1" hidden="1" customWidth="1"/>
    <col min="11788" max="11789" width="14.85546875" style="1" customWidth="1"/>
    <col min="11790" max="11791" width="0" style="1" hidden="1" customWidth="1"/>
    <col min="11792" max="11792" width="14.85546875" style="1" customWidth="1"/>
    <col min="11793" max="11794" width="0" style="1" hidden="1" customWidth="1"/>
    <col min="11795" max="11795" width="14.85546875" style="1" customWidth="1"/>
    <col min="11796" max="11797" width="0" style="1" hidden="1" customWidth="1"/>
    <col min="11798" max="11798" width="14.85546875" style="1" customWidth="1"/>
    <col min="11799" max="11800" width="0" style="1" hidden="1" customWidth="1"/>
    <col min="11801" max="11801" width="14.85546875" style="1" customWidth="1"/>
    <col min="11802" max="11803" width="0" style="1" hidden="1" customWidth="1"/>
    <col min="11804" max="11805" width="14.85546875" style="1" customWidth="1"/>
    <col min="11806" max="11806" width="44.42578125" style="1" customWidth="1"/>
    <col min="11807" max="11811" width="14.85546875" style="1" customWidth="1"/>
    <col min="11812" max="11812" width="63.85546875" style="1" customWidth="1"/>
    <col min="11813" max="11813" width="13.28515625" style="1" customWidth="1"/>
    <col min="11814" max="11999" width="9" style="1"/>
    <col min="12000" max="12001" width="0" style="1" hidden="1" customWidth="1"/>
    <col min="12002" max="12002" width="13.7109375" style="1" customWidth="1"/>
    <col min="12003" max="12003" width="52.85546875" style="1" customWidth="1"/>
    <col min="12004" max="12043" width="0" style="1" hidden="1" customWidth="1"/>
    <col min="12044" max="12045" width="14.85546875" style="1" customWidth="1"/>
    <col min="12046" max="12047" width="0" style="1" hidden="1" customWidth="1"/>
    <col min="12048" max="12048" width="14.85546875" style="1" customWidth="1"/>
    <col min="12049" max="12050" width="0" style="1" hidden="1" customWidth="1"/>
    <col min="12051" max="12051" width="14.85546875" style="1" customWidth="1"/>
    <col min="12052" max="12053" width="0" style="1" hidden="1" customWidth="1"/>
    <col min="12054" max="12054" width="14.85546875" style="1" customWidth="1"/>
    <col min="12055" max="12056" width="0" style="1" hidden="1" customWidth="1"/>
    <col min="12057" max="12057" width="14.85546875" style="1" customWidth="1"/>
    <col min="12058" max="12059" width="0" style="1" hidden="1" customWidth="1"/>
    <col min="12060" max="12061" width="14.85546875" style="1" customWidth="1"/>
    <col min="12062" max="12062" width="44.42578125" style="1" customWidth="1"/>
    <col min="12063" max="12067" width="14.85546875" style="1" customWidth="1"/>
    <col min="12068" max="12068" width="63.85546875" style="1" customWidth="1"/>
    <col min="12069" max="12069" width="13.28515625" style="1" customWidth="1"/>
    <col min="12070" max="12255" width="9" style="1"/>
    <col min="12256" max="12257" width="0" style="1" hidden="1" customWidth="1"/>
    <col min="12258" max="12258" width="13.7109375" style="1" customWidth="1"/>
    <col min="12259" max="12259" width="52.85546875" style="1" customWidth="1"/>
    <col min="12260" max="12299" width="0" style="1" hidden="1" customWidth="1"/>
    <col min="12300" max="12301" width="14.85546875" style="1" customWidth="1"/>
    <col min="12302" max="12303" width="0" style="1" hidden="1" customWidth="1"/>
    <col min="12304" max="12304" width="14.85546875" style="1" customWidth="1"/>
    <col min="12305" max="12306" width="0" style="1" hidden="1" customWidth="1"/>
    <col min="12307" max="12307" width="14.85546875" style="1" customWidth="1"/>
    <col min="12308" max="12309" width="0" style="1" hidden="1" customWidth="1"/>
    <col min="12310" max="12310" width="14.85546875" style="1" customWidth="1"/>
    <col min="12311" max="12312" width="0" style="1" hidden="1" customWidth="1"/>
    <col min="12313" max="12313" width="14.85546875" style="1" customWidth="1"/>
    <col min="12314" max="12315" width="0" style="1" hidden="1" customWidth="1"/>
    <col min="12316" max="12317" width="14.85546875" style="1" customWidth="1"/>
    <col min="12318" max="12318" width="44.42578125" style="1" customWidth="1"/>
    <col min="12319" max="12323" width="14.85546875" style="1" customWidth="1"/>
    <col min="12324" max="12324" width="63.85546875" style="1" customWidth="1"/>
    <col min="12325" max="12325" width="13.28515625" style="1" customWidth="1"/>
    <col min="12326" max="12511" width="9" style="1"/>
    <col min="12512" max="12513" width="0" style="1" hidden="1" customWidth="1"/>
    <col min="12514" max="12514" width="13.7109375" style="1" customWidth="1"/>
    <col min="12515" max="12515" width="52.85546875" style="1" customWidth="1"/>
    <col min="12516" max="12555" width="0" style="1" hidden="1" customWidth="1"/>
    <col min="12556" max="12557" width="14.85546875" style="1" customWidth="1"/>
    <col min="12558" max="12559" width="0" style="1" hidden="1" customWidth="1"/>
    <col min="12560" max="12560" width="14.85546875" style="1" customWidth="1"/>
    <col min="12561" max="12562" width="0" style="1" hidden="1" customWidth="1"/>
    <col min="12563" max="12563" width="14.85546875" style="1" customWidth="1"/>
    <col min="12564" max="12565" width="0" style="1" hidden="1" customWidth="1"/>
    <col min="12566" max="12566" width="14.85546875" style="1" customWidth="1"/>
    <col min="12567" max="12568" width="0" style="1" hidden="1" customWidth="1"/>
    <col min="12569" max="12569" width="14.85546875" style="1" customWidth="1"/>
    <col min="12570" max="12571" width="0" style="1" hidden="1" customWidth="1"/>
    <col min="12572" max="12573" width="14.85546875" style="1" customWidth="1"/>
    <col min="12574" max="12574" width="44.42578125" style="1" customWidth="1"/>
    <col min="12575" max="12579" width="14.85546875" style="1" customWidth="1"/>
    <col min="12580" max="12580" width="63.85546875" style="1" customWidth="1"/>
    <col min="12581" max="12581" width="13.28515625" style="1" customWidth="1"/>
    <col min="12582" max="12767" width="9" style="1"/>
    <col min="12768" max="12769" width="0" style="1" hidden="1" customWidth="1"/>
    <col min="12770" max="12770" width="13.7109375" style="1" customWidth="1"/>
    <col min="12771" max="12771" width="52.85546875" style="1" customWidth="1"/>
    <col min="12772" max="12811" width="0" style="1" hidden="1" customWidth="1"/>
    <col min="12812" max="12813" width="14.85546875" style="1" customWidth="1"/>
    <col min="12814" max="12815" width="0" style="1" hidden="1" customWidth="1"/>
    <col min="12816" max="12816" width="14.85546875" style="1" customWidth="1"/>
    <col min="12817" max="12818" width="0" style="1" hidden="1" customWidth="1"/>
    <col min="12819" max="12819" width="14.85546875" style="1" customWidth="1"/>
    <col min="12820" max="12821" width="0" style="1" hidden="1" customWidth="1"/>
    <col min="12822" max="12822" width="14.85546875" style="1" customWidth="1"/>
    <col min="12823" max="12824" width="0" style="1" hidden="1" customWidth="1"/>
    <col min="12825" max="12825" width="14.85546875" style="1" customWidth="1"/>
    <col min="12826" max="12827" width="0" style="1" hidden="1" customWidth="1"/>
    <col min="12828" max="12829" width="14.85546875" style="1" customWidth="1"/>
    <col min="12830" max="12830" width="44.42578125" style="1" customWidth="1"/>
    <col min="12831" max="12835" width="14.85546875" style="1" customWidth="1"/>
    <col min="12836" max="12836" width="63.85546875" style="1" customWidth="1"/>
    <col min="12837" max="12837" width="13.28515625" style="1" customWidth="1"/>
    <col min="12838" max="13023" width="9" style="1"/>
    <col min="13024" max="13025" width="0" style="1" hidden="1" customWidth="1"/>
    <col min="13026" max="13026" width="13.7109375" style="1" customWidth="1"/>
    <col min="13027" max="13027" width="52.85546875" style="1" customWidth="1"/>
    <col min="13028" max="13067" width="0" style="1" hidden="1" customWidth="1"/>
    <col min="13068" max="13069" width="14.85546875" style="1" customWidth="1"/>
    <col min="13070" max="13071" width="0" style="1" hidden="1" customWidth="1"/>
    <col min="13072" max="13072" width="14.85546875" style="1" customWidth="1"/>
    <col min="13073" max="13074" width="0" style="1" hidden="1" customWidth="1"/>
    <col min="13075" max="13075" width="14.85546875" style="1" customWidth="1"/>
    <col min="13076" max="13077" width="0" style="1" hidden="1" customWidth="1"/>
    <col min="13078" max="13078" width="14.85546875" style="1" customWidth="1"/>
    <col min="13079" max="13080" width="0" style="1" hidden="1" customWidth="1"/>
    <col min="13081" max="13081" width="14.85546875" style="1" customWidth="1"/>
    <col min="13082" max="13083" width="0" style="1" hidden="1" customWidth="1"/>
    <col min="13084" max="13085" width="14.85546875" style="1" customWidth="1"/>
    <col min="13086" max="13086" width="44.42578125" style="1" customWidth="1"/>
    <col min="13087" max="13091" width="14.85546875" style="1" customWidth="1"/>
    <col min="13092" max="13092" width="63.85546875" style="1" customWidth="1"/>
    <col min="13093" max="13093" width="13.28515625" style="1" customWidth="1"/>
    <col min="13094" max="13279" width="9" style="1"/>
    <col min="13280" max="13281" width="0" style="1" hidden="1" customWidth="1"/>
    <col min="13282" max="13282" width="13.7109375" style="1" customWidth="1"/>
    <col min="13283" max="13283" width="52.85546875" style="1" customWidth="1"/>
    <col min="13284" max="13323" width="0" style="1" hidden="1" customWidth="1"/>
    <col min="13324" max="13325" width="14.85546875" style="1" customWidth="1"/>
    <col min="13326" max="13327" width="0" style="1" hidden="1" customWidth="1"/>
    <col min="13328" max="13328" width="14.85546875" style="1" customWidth="1"/>
    <col min="13329" max="13330" width="0" style="1" hidden="1" customWidth="1"/>
    <col min="13331" max="13331" width="14.85546875" style="1" customWidth="1"/>
    <col min="13332" max="13333" width="0" style="1" hidden="1" customWidth="1"/>
    <col min="13334" max="13334" width="14.85546875" style="1" customWidth="1"/>
    <col min="13335" max="13336" width="0" style="1" hidden="1" customWidth="1"/>
    <col min="13337" max="13337" width="14.85546875" style="1" customWidth="1"/>
    <col min="13338" max="13339" width="0" style="1" hidden="1" customWidth="1"/>
    <col min="13340" max="13341" width="14.85546875" style="1" customWidth="1"/>
    <col min="13342" max="13342" width="44.42578125" style="1" customWidth="1"/>
    <col min="13343" max="13347" width="14.85546875" style="1" customWidth="1"/>
    <col min="13348" max="13348" width="63.85546875" style="1" customWidth="1"/>
    <col min="13349" max="13349" width="13.28515625" style="1" customWidth="1"/>
    <col min="13350" max="13535" width="9" style="1"/>
    <col min="13536" max="13537" width="0" style="1" hidden="1" customWidth="1"/>
    <col min="13538" max="13538" width="13.7109375" style="1" customWidth="1"/>
    <col min="13539" max="13539" width="52.85546875" style="1" customWidth="1"/>
    <col min="13540" max="13579" width="0" style="1" hidden="1" customWidth="1"/>
    <col min="13580" max="13581" width="14.85546875" style="1" customWidth="1"/>
    <col min="13582" max="13583" width="0" style="1" hidden="1" customWidth="1"/>
    <col min="13584" max="13584" width="14.85546875" style="1" customWidth="1"/>
    <col min="13585" max="13586" width="0" style="1" hidden="1" customWidth="1"/>
    <col min="13587" max="13587" width="14.85546875" style="1" customWidth="1"/>
    <col min="13588" max="13589" width="0" style="1" hidden="1" customWidth="1"/>
    <col min="13590" max="13590" width="14.85546875" style="1" customWidth="1"/>
    <col min="13591" max="13592" width="0" style="1" hidden="1" customWidth="1"/>
    <col min="13593" max="13593" width="14.85546875" style="1" customWidth="1"/>
    <col min="13594" max="13595" width="0" style="1" hidden="1" customWidth="1"/>
    <col min="13596" max="13597" width="14.85546875" style="1" customWidth="1"/>
    <col min="13598" max="13598" width="44.42578125" style="1" customWidth="1"/>
    <col min="13599" max="13603" width="14.85546875" style="1" customWidth="1"/>
    <col min="13604" max="13604" width="63.85546875" style="1" customWidth="1"/>
    <col min="13605" max="13605" width="13.28515625" style="1" customWidth="1"/>
    <col min="13606" max="13791" width="9" style="1"/>
    <col min="13792" max="13793" width="0" style="1" hidden="1" customWidth="1"/>
    <col min="13794" max="13794" width="13.7109375" style="1" customWidth="1"/>
    <col min="13795" max="13795" width="52.85546875" style="1" customWidth="1"/>
    <col min="13796" max="13835" width="0" style="1" hidden="1" customWidth="1"/>
    <col min="13836" max="13837" width="14.85546875" style="1" customWidth="1"/>
    <col min="13838" max="13839" width="0" style="1" hidden="1" customWidth="1"/>
    <col min="13840" max="13840" width="14.85546875" style="1" customWidth="1"/>
    <col min="13841" max="13842" width="0" style="1" hidden="1" customWidth="1"/>
    <col min="13843" max="13843" width="14.85546875" style="1" customWidth="1"/>
    <col min="13844" max="13845" width="0" style="1" hidden="1" customWidth="1"/>
    <col min="13846" max="13846" width="14.85546875" style="1" customWidth="1"/>
    <col min="13847" max="13848" width="0" style="1" hidden="1" customWidth="1"/>
    <col min="13849" max="13849" width="14.85546875" style="1" customWidth="1"/>
    <col min="13850" max="13851" width="0" style="1" hidden="1" customWidth="1"/>
    <col min="13852" max="13853" width="14.85546875" style="1" customWidth="1"/>
    <col min="13854" max="13854" width="44.42578125" style="1" customWidth="1"/>
    <col min="13855" max="13859" width="14.85546875" style="1" customWidth="1"/>
    <col min="13860" max="13860" width="63.85546875" style="1" customWidth="1"/>
    <col min="13861" max="13861" width="13.28515625" style="1" customWidth="1"/>
    <col min="13862" max="14047" width="9" style="1"/>
    <col min="14048" max="14049" width="0" style="1" hidden="1" customWidth="1"/>
    <col min="14050" max="14050" width="13.7109375" style="1" customWidth="1"/>
    <col min="14051" max="14051" width="52.85546875" style="1" customWidth="1"/>
    <col min="14052" max="14091" width="0" style="1" hidden="1" customWidth="1"/>
    <col min="14092" max="14093" width="14.85546875" style="1" customWidth="1"/>
    <col min="14094" max="14095" width="0" style="1" hidden="1" customWidth="1"/>
    <col min="14096" max="14096" width="14.85546875" style="1" customWidth="1"/>
    <col min="14097" max="14098" width="0" style="1" hidden="1" customWidth="1"/>
    <col min="14099" max="14099" width="14.85546875" style="1" customWidth="1"/>
    <col min="14100" max="14101" width="0" style="1" hidden="1" customWidth="1"/>
    <col min="14102" max="14102" width="14.85546875" style="1" customWidth="1"/>
    <col min="14103" max="14104" width="0" style="1" hidden="1" customWidth="1"/>
    <col min="14105" max="14105" width="14.85546875" style="1" customWidth="1"/>
    <col min="14106" max="14107" width="0" style="1" hidden="1" customWidth="1"/>
    <col min="14108" max="14109" width="14.85546875" style="1" customWidth="1"/>
    <col min="14110" max="14110" width="44.42578125" style="1" customWidth="1"/>
    <col min="14111" max="14115" width="14.85546875" style="1" customWidth="1"/>
    <col min="14116" max="14116" width="63.85546875" style="1" customWidth="1"/>
    <col min="14117" max="14117" width="13.28515625" style="1" customWidth="1"/>
    <col min="14118" max="14303" width="9" style="1"/>
    <col min="14304" max="14305" width="0" style="1" hidden="1" customWidth="1"/>
    <col min="14306" max="14306" width="13.7109375" style="1" customWidth="1"/>
    <col min="14307" max="14307" width="52.85546875" style="1" customWidth="1"/>
    <col min="14308" max="14347" width="0" style="1" hidden="1" customWidth="1"/>
    <col min="14348" max="14349" width="14.85546875" style="1" customWidth="1"/>
    <col min="14350" max="14351" width="0" style="1" hidden="1" customWidth="1"/>
    <col min="14352" max="14352" width="14.85546875" style="1" customWidth="1"/>
    <col min="14353" max="14354" width="0" style="1" hidden="1" customWidth="1"/>
    <col min="14355" max="14355" width="14.85546875" style="1" customWidth="1"/>
    <col min="14356" max="14357" width="0" style="1" hidden="1" customWidth="1"/>
    <col min="14358" max="14358" width="14.85546875" style="1" customWidth="1"/>
    <col min="14359" max="14360" width="0" style="1" hidden="1" customWidth="1"/>
    <col min="14361" max="14361" width="14.85546875" style="1" customWidth="1"/>
    <col min="14362" max="14363" width="0" style="1" hidden="1" customWidth="1"/>
    <col min="14364" max="14365" width="14.85546875" style="1" customWidth="1"/>
    <col min="14366" max="14366" width="44.42578125" style="1" customWidth="1"/>
    <col min="14367" max="14371" width="14.85546875" style="1" customWidth="1"/>
    <col min="14372" max="14372" width="63.85546875" style="1" customWidth="1"/>
    <col min="14373" max="14373" width="13.28515625" style="1" customWidth="1"/>
    <col min="14374" max="14559" width="9" style="1"/>
    <col min="14560" max="14561" width="0" style="1" hidden="1" customWidth="1"/>
    <col min="14562" max="14562" width="13.7109375" style="1" customWidth="1"/>
    <col min="14563" max="14563" width="52.85546875" style="1" customWidth="1"/>
    <col min="14564" max="14603" width="0" style="1" hidden="1" customWidth="1"/>
    <col min="14604" max="14605" width="14.85546875" style="1" customWidth="1"/>
    <col min="14606" max="14607" width="0" style="1" hidden="1" customWidth="1"/>
    <col min="14608" max="14608" width="14.85546875" style="1" customWidth="1"/>
    <col min="14609" max="14610" width="0" style="1" hidden="1" customWidth="1"/>
    <col min="14611" max="14611" width="14.85546875" style="1" customWidth="1"/>
    <col min="14612" max="14613" width="0" style="1" hidden="1" customWidth="1"/>
    <col min="14614" max="14614" width="14.85546875" style="1" customWidth="1"/>
    <col min="14615" max="14616" width="0" style="1" hidden="1" customWidth="1"/>
    <col min="14617" max="14617" width="14.85546875" style="1" customWidth="1"/>
    <col min="14618" max="14619" width="0" style="1" hidden="1" customWidth="1"/>
    <col min="14620" max="14621" width="14.85546875" style="1" customWidth="1"/>
    <col min="14622" max="14622" width="44.42578125" style="1" customWidth="1"/>
    <col min="14623" max="14627" width="14.85546875" style="1" customWidth="1"/>
    <col min="14628" max="14628" width="63.85546875" style="1" customWidth="1"/>
    <col min="14629" max="14629" width="13.28515625" style="1" customWidth="1"/>
    <col min="14630" max="14815" width="9" style="1"/>
    <col min="14816" max="14817" width="0" style="1" hidden="1" customWidth="1"/>
    <col min="14818" max="14818" width="13.7109375" style="1" customWidth="1"/>
    <col min="14819" max="14819" width="52.85546875" style="1" customWidth="1"/>
    <col min="14820" max="14859" width="0" style="1" hidden="1" customWidth="1"/>
    <col min="14860" max="14861" width="14.85546875" style="1" customWidth="1"/>
    <col min="14862" max="14863" width="0" style="1" hidden="1" customWidth="1"/>
    <col min="14864" max="14864" width="14.85546875" style="1" customWidth="1"/>
    <col min="14865" max="14866" width="0" style="1" hidden="1" customWidth="1"/>
    <col min="14867" max="14867" width="14.85546875" style="1" customWidth="1"/>
    <col min="14868" max="14869" width="0" style="1" hidden="1" customWidth="1"/>
    <col min="14870" max="14870" width="14.85546875" style="1" customWidth="1"/>
    <col min="14871" max="14872" width="0" style="1" hidden="1" customWidth="1"/>
    <col min="14873" max="14873" width="14.85546875" style="1" customWidth="1"/>
    <col min="14874" max="14875" width="0" style="1" hidden="1" customWidth="1"/>
    <col min="14876" max="14877" width="14.85546875" style="1" customWidth="1"/>
    <col min="14878" max="14878" width="44.42578125" style="1" customWidth="1"/>
    <col min="14879" max="14883" width="14.85546875" style="1" customWidth="1"/>
    <col min="14884" max="14884" width="63.85546875" style="1" customWidth="1"/>
    <col min="14885" max="14885" width="13.28515625" style="1" customWidth="1"/>
    <col min="14886" max="15071" width="9" style="1"/>
    <col min="15072" max="15073" width="0" style="1" hidden="1" customWidth="1"/>
    <col min="15074" max="15074" width="13.7109375" style="1" customWidth="1"/>
    <col min="15075" max="15075" width="52.85546875" style="1" customWidth="1"/>
    <col min="15076" max="15115" width="0" style="1" hidden="1" customWidth="1"/>
    <col min="15116" max="15117" width="14.85546875" style="1" customWidth="1"/>
    <col min="15118" max="15119" width="0" style="1" hidden="1" customWidth="1"/>
    <col min="15120" max="15120" width="14.85546875" style="1" customWidth="1"/>
    <col min="15121" max="15122" width="0" style="1" hidden="1" customWidth="1"/>
    <col min="15123" max="15123" width="14.85546875" style="1" customWidth="1"/>
    <col min="15124" max="15125" width="0" style="1" hidden="1" customWidth="1"/>
    <col min="15126" max="15126" width="14.85546875" style="1" customWidth="1"/>
    <col min="15127" max="15128" width="0" style="1" hidden="1" customWidth="1"/>
    <col min="15129" max="15129" width="14.85546875" style="1" customWidth="1"/>
    <col min="15130" max="15131" width="0" style="1" hidden="1" customWidth="1"/>
    <col min="15132" max="15133" width="14.85546875" style="1" customWidth="1"/>
    <col min="15134" max="15134" width="44.42578125" style="1" customWidth="1"/>
    <col min="15135" max="15139" width="14.85546875" style="1" customWidth="1"/>
    <col min="15140" max="15140" width="63.85546875" style="1" customWidth="1"/>
    <col min="15141" max="15141" width="13.28515625" style="1" customWidth="1"/>
    <col min="15142" max="15327" width="9" style="1"/>
    <col min="15328" max="15329" width="0" style="1" hidden="1" customWidth="1"/>
    <col min="15330" max="15330" width="13.7109375" style="1" customWidth="1"/>
    <col min="15331" max="15331" width="52.85546875" style="1" customWidth="1"/>
    <col min="15332" max="15371" width="0" style="1" hidden="1" customWidth="1"/>
    <col min="15372" max="15373" width="14.85546875" style="1" customWidth="1"/>
    <col min="15374" max="15375" width="0" style="1" hidden="1" customWidth="1"/>
    <col min="15376" max="15376" width="14.85546875" style="1" customWidth="1"/>
    <col min="15377" max="15378" width="0" style="1" hidden="1" customWidth="1"/>
    <col min="15379" max="15379" width="14.85546875" style="1" customWidth="1"/>
    <col min="15380" max="15381" width="0" style="1" hidden="1" customWidth="1"/>
    <col min="15382" max="15382" width="14.85546875" style="1" customWidth="1"/>
    <col min="15383" max="15384" width="0" style="1" hidden="1" customWidth="1"/>
    <col min="15385" max="15385" width="14.85546875" style="1" customWidth="1"/>
    <col min="15386" max="15387" width="0" style="1" hidden="1" customWidth="1"/>
    <col min="15388" max="15389" width="14.85546875" style="1" customWidth="1"/>
    <col min="15390" max="15390" width="44.42578125" style="1" customWidth="1"/>
    <col min="15391" max="15395" width="14.85546875" style="1" customWidth="1"/>
    <col min="15396" max="15396" width="63.85546875" style="1" customWidth="1"/>
    <col min="15397" max="15397" width="13.28515625" style="1" customWidth="1"/>
    <col min="15398" max="15583" width="9" style="1"/>
    <col min="15584" max="15585" width="0" style="1" hidden="1" customWidth="1"/>
    <col min="15586" max="15586" width="13.7109375" style="1" customWidth="1"/>
    <col min="15587" max="15587" width="52.85546875" style="1" customWidth="1"/>
    <col min="15588" max="15627" width="0" style="1" hidden="1" customWidth="1"/>
    <col min="15628" max="15629" width="14.85546875" style="1" customWidth="1"/>
    <col min="15630" max="15631" width="0" style="1" hidden="1" customWidth="1"/>
    <col min="15632" max="15632" width="14.85546875" style="1" customWidth="1"/>
    <col min="15633" max="15634" width="0" style="1" hidden="1" customWidth="1"/>
    <col min="15635" max="15635" width="14.85546875" style="1" customWidth="1"/>
    <col min="15636" max="15637" width="0" style="1" hidden="1" customWidth="1"/>
    <col min="15638" max="15638" width="14.85546875" style="1" customWidth="1"/>
    <col min="15639" max="15640" width="0" style="1" hidden="1" customWidth="1"/>
    <col min="15641" max="15641" width="14.85546875" style="1" customWidth="1"/>
    <col min="15642" max="15643" width="0" style="1" hidden="1" customWidth="1"/>
    <col min="15644" max="15645" width="14.85546875" style="1" customWidth="1"/>
    <col min="15646" max="15646" width="44.42578125" style="1" customWidth="1"/>
    <col min="15647" max="15651" width="14.85546875" style="1" customWidth="1"/>
    <col min="15652" max="15652" width="63.85546875" style="1" customWidth="1"/>
    <col min="15653" max="15653" width="13.28515625" style="1" customWidth="1"/>
    <col min="15654" max="15839" width="9" style="1"/>
    <col min="15840" max="15841" width="0" style="1" hidden="1" customWidth="1"/>
    <col min="15842" max="15842" width="13.7109375" style="1" customWidth="1"/>
    <col min="15843" max="15843" width="52.85546875" style="1" customWidth="1"/>
    <col min="15844" max="15883" width="0" style="1" hidden="1" customWidth="1"/>
    <col min="15884" max="15885" width="14.85546875" style="1" customWidth="1"/>
    <col min="15886" max="15887" width="0" style="1" hidden="1" customWidth="1"/>
    <col min="15888" max="15888" width="14.85546875" style="1" customWidth="1"/>
    <col min="15889" max="15890" width="0" style="1" hidden="1" customWidth="1"/>
    <col min="15891" max="15891" width="14.85546875" style="1" customWidth="1"/>
    <col min="15892" max="15893" width="0" style="1" hidden="1" customWidth="1"/>
    <col min="15894" max="15894" width="14.85546875" style="1" customWidth="1"/>
    <col min="15895" max="15896" width="0" style="1" hidden="1" customWidth="1"/>
    <col min="15897" max="15897" width="14.85546875" style="1" customWidth="1"/>
    <col min="15898" max="15899" width="0" style="1" hidden="1" customWidth="1"/>
    <col min="15900" max="15901" width="14.85546875" style="1" customWidth="1"/>
    <col min="15902" max="15902" width="44.42578125" style="1" customWidth="1"/>
    <col min="15903" max="15907" width="14.85546875" style="1" customWidth="1"/>
    <col min="15908" max="15908" width="63.85546875" style="1" customWidth="1"/>
    <col min="15909" max="15909" width="13.28515625" style="1" customWidth="1"/>
    <col min="15910" max="16095" width="9" style="1"/>
    <col min="16096" max="16097" width="0" style="1" hidden="1" customWidth="1"/>
    <col min="16098" max="16098" width="13.7109375" style="1" customWidth="1"/>
    <col min="16099" max="16099" width="52.85546875" style="1" customWidth="1"/>
    <col min="16100" max="16139" width="0" style="1" hidden="1" customWidth="1"/>
    <col min="16140" max="16141" width="14.85546875" style="1" customWidth="1"/>
    <col min="16142" max="16143" width="0" style="1" hidden="1" customWidth="1"/>
    <col min="16144" max="16144" width="14.85546875" style="1" customWidth="1"/>
    <col min="16145" max="16146" width="0" style="1" hidden="1" customWidth="1"/>
    <col min="16147" max="16147" width="14.85546875" style="1" customWidth="1"/>
    <col min="16148" max="16149" width="0" style="1" hidden="1" customWidth="1"/>
    <col min="16150" max="16150" width="14.85546875" style="1" customWidth="1"/>
    <col min="16151" max="16152" width="0" style="1" hidden="1" customWidth="1"/>
    <col min="16153" max="16153" width="14.85546875" style="1" customWidth="1"/>
    <col min="16154" max="16155" width="0" style="1" hidden="1" customWidth="1"/>
    <col min="16156" max="16157" width="14.85546875" style="1" customWidth="1"/>
    <col min="16158" max="16158" width="44.42578125" style="1" customWidth="1"/>
    <col min="16159" max="16163" width="14.85546875" style="1" customWidth="1"/>
    <col min="16164" max="16164" width="63.85546875" style="1" customWidth="1"/>
    <col min="16165" max="16165" width="13.28515625" style="1" customWidth="1"/>
    <col min="16166" max="16364" width="9" style="1"/>
    <col min="16365" max="16384" width="9.140625" style="1" customWidth="1"/>
  </cols>
  <sheetData>
    <row r="1" spans="1:41" ht="25.5" outlineLevel="1" x14ac:dyDescent="0.35">
      <c r="C1" s="412" t="s">
        <v>0</v>
      </c>
      <c r="D1" s="412"/>
      <c r="E1" s="2">
        <v>0.70280399999999998</v>
      </c>
      <c r="F1" s="3"/>
      <c r="G1" s="4"/>
      <c r="H1" s="372">
        <v>16067129.866607698</v>
      </c>
      <c r="I1" s="4"/>
      <c r="J1" s="4"/>
      <c r="K1" s="5"/>
      <c r="L1" s="5"/>
      <c r="M1" s="6">
        <f>188792/8*12</f>
        <v>283188</v>
      </c>
      <c r="N1" s="5"/>
      <c r="O1" s="5"/>
      <c r="P1" s="5"/>
      <c r="Q1" s="5"/>
      <c r="R1" s="5"/>
      <c r="S1" s="5"/>
      <c r="T1" s="7"/>
      <c r="U1" s="8"/>
      <c r="V1" s="5"/>
      <c r="W1" s="7"/>
      <c r="X1" s="8"/>
      <c r="Y1" s="5"/>
      <c r="Z1" s="7"/>
      <c r="AA1" s="8"/>
      <c r="AB1" s="5"/>
      <c r="AC1" s="7"/>
      <c r="AD1" s="8"/>
      <c r="AE1" s="5"/>
      <c r="AF1" s="7"/>
      <c r="AG1" s="7"/>
      <c r="AH1" s="5"/>
      <c r="AI1" s="7"/>
      <c r="AJ1" s="9"/>
    </row>
    <row r="2" spans="1:41" s="11" customFormat="1" outlineLevel="1" x14ac:dyDescent="0.25">
      <c r="C2" s="12"/>
      <c r="D2" s="13"/>
      <c r="E2" s="14"/>
      <c r="F2" s="15"/>
      <c r="G2" s="16"/>
      <c r="H2" s="373">
        <v>1475059.2999999998</v>
      </c>
      <c r="I2" s="16"/>
      <c r="J2" s="16"/>
      <c r="K2" s="17"/>
      <c r="M2" s="18">
        <f>17639.54*12</f>
        <v>211674.48</v>
      </c>
      <c r="O2" s="17"/>
      <c r="P2" s="17"/>
      <c r="Q2" s="17"/>
      <c r="R2" s="17"/>
      <c r="S2" s="17"/>
      <c r="T2" s="19"/>
      <c r="U2" s="17"/>
      <c r="V2" s="17"/>
      <c r="W2" s="19"/>
      <c r="X2" s="17"/>
      <c r="Y2" s="17"/>
      <c r="Z2" s="19"/>
      <c r="AA2" s="17"/>
      <c r="AB2" s="17"/>
      <c r="AC2" s="19"/>
      <c r="AD2" s="17"/>
      <c r="AE2" s="17"/>
      <c r="AF2" s="20"/>
      <c r="AG2" s="20"/>
      <c r="AH2" s="373">
        <f>AH8</f>
        <v>0</v>
      </c>
      <c r="AI2" s="374">
        <f>6/12</f>
        <v>0.5</v>
      </c>
      <c r="AJ2" s="21"/>
      <c r="AK2" s="378"/>
      <c r="AL2" s="378"/>
      <c r="AM2" s="378"/>
      <c r="AN2" s="378"/>
      <c r="AO2" s="378"/>
    </row>
    <row r="3" spans="1:41" ht="20.25" outlineLevel="1" x14ac:dyDescent="0.3">
      <c r="C3" s="404" t="s">
        <v>1</v>
      </c>
      <c r="D3" s="404"/>
      <c r="E3" s="22"/>
      <c r="F3" s="23"/>
      <c r="G3" s="365">
        <f>G41+G42+G45+G51</f>
        <v>2212516</v>
      </c>
      <c r="H3" s="365">
        <v>2454069.5</v>
      </c>
      <c r="I3" s="365">
        <f>I41+I42+I45+I51</f>
        <v>2667434</v>
      </c>
      <c r="J3" s="365">
        <v>2855448</v>
      </c>
      <c r="K3" s="366"/>
      <c r="L3" s="367"/>
      <c r="M3" s="368">
        <f>5959.46*12</f>
        <v>71513.52</v>
      </c>
      <c r="N3" s="369"/>
      <c r="O3" s="366"/>
      <c r="P3" s="366"/>
      <c r="Q3" s="365">
        <f>Q41+Q42+Q45+Q51</f>
        <v>3058500</v>
      </c>
      <c r="R3" s="365">
        <f>R41+R42+R45+R51</f>
        <v>3058500</v>
      </c>
      <c r="S3" s="365">
        <f>S41+S42+S45+S51</f>
        <v>0</v>
      </c>
      <c r="T3" s="370"/>
      <c r="U3" s="365">
        <f>U41+U42+U45+U51</f>
        <v>3046193</v>
      </c>
      <c r="V3" s="365">
        <f>V41+V42+V45+V51</f>
        <v>-12307</v>
      </c>
      <c r="W3" s="370"/>
      <c r="X3" s="365">
        <f>X41+X42+X45+X51</f>
        <v>3046193</v>
      </c>
      <c r="Y3" s="365">
        <f>Y41+Y42+Y45+Y51</f>
        <v>0</v>
      </c>
      <c r="Z3" s="370"/>
      <c r="AA3" s="365">
        <f>AA41+AA42+AA45+AA51</f>
        <v>3046193</v>
      </c>
      <c r="AB3" s="365">
        <f>AB41+AB42+AB45+AB51</f>
        <v>0</v>
      </c>
      <c r="AC3" s="370"/>
      <c r="AD3" s="365">
        <f>AD41+AD42+AD45+AD51</f>
        <v>3046193</v>
      </c>
      <c r="AE3" s="365">
        <f>AE41+AE42+AE45+AE51</f>
        <v>0</v>
      </c>
      <c r="AH3" s="375">
        <f>AH41+AH42+AH45+AH51</f>
        <v>1288696</v>
      </c>
      <c r="AI3" s="376"/>
    </row>
    <row r="4" spans="1:41" ht="15.75" outlineLevel="1" thickBot="1" x14ac:dyDescent="0.3">
      <c r="E4" s="26"/>
      <c r="F4" s="27">
        <f>F117/F7</f>
        <v>0.10746816784177475</v>
      </c>
      <c r="G4" s="370">
        <f>G117/G7</f>
        <v>0.18006179244931009</v>
      </c>
      <c r="H4" s="370">
        <v>0.16811009283581313</v>
      </c>
      <c r="I4" s="370">
        <f>I117/I7</f>
        <v>0.15185302812006979</v>
      </c>
      <c r="J4" s="370">
        <v>8.7732286393253436E-2</v>
      </c>
      <c r="K4" s="371"/>
      <c r="L4" s="367"/>
      <c r="M4" s="367"/>
      <c r="N4" s="367"/>
      <c r="O4" s="370"/>
      <c r="P4" s="370">
        <f>P117/P7</f>
        <v>8.139724750148733E-2</v>
      </c>
      <c r="Q4" s="370">
        <f>Q117/Q7</f>
        <v>8.139724750148733E-2</v>
      </c>
      <c r="R4" s="370">
        <f>R117/R7</f>
        <v>8.139724626592354E-2</v>
      </c>
      <c r="S4" s="370">
        <f>S117/S7</f>
        <v>0</v>
      </c>
      <c r="T4" s="370"/>
      <c r="U4" s="370">
        <f>U117/U7</f>
        <v>8.139724626592354E-2</v>
      </c>
      <c r="V4" s="370" t="e">
        <f>V117/V7</f>
        <v>#DIV/0!</v>
      </c>
      <c r="W4" s="370"/>
      <c r="X4" s="370">
        <f>X117/X7</f>
        <v>8.139724626592354E-2</v>
      </c>
      <c r="Y4" s="370" t="e">
        <f>Y117/Y7</f>
        <v>#DIV/0!</v>
      </c>
      <c r="Z4" s="370"/>
      <c r="AA4" s="370">
        <f>AA117/AA7</f>
        <v>8.139724626592354E-2</v>
      </c>
      <c r="AB4" s="370" t="e">
        <f>AB117/AB7</f>
        <v>#DIV/0!</v>
      </c>
      <c r="AC4" s="370"/>
      <c r="AD4" s="370">
        <f>AD117/AD7</f>
        <v>8.139724626592354E-2</v>
      </c>
      <c r="AE4" s="370" t="e">
        <f>AE117/AE7</f>
        <v>#DIV/0!</v>
      </c>
      <c r="AH4" s="29"/>
    </row>
    <row r="5" spans="1:41" ht="45" customHeight="1" thickBot="1" x14ac:dyDescent="0.3">
      <c r="C5" s="30" t="s">
        <v>2</v>
      </c>
      <c r="D5" s="31" t="s">
        <v>3</v>
      </c>
      <c r="E5" s="32" t="s">
        <v>4</v>
      </c>
      <c r="F5" s="32" t="s">
        <v>5</v>
      </c>
      <c r="G5" s="33" t="s">
        <v>6</v>
      </c>
      <c r="H5" s="33" t="s">
        <v>7</v>
      </c>
      <c r="I5" s="33" t="s">
        <v>8</v>
      </c>
      <c r="J5" s="33" t="s">
        <v>9</v>
      </c>
      <c r="K5" s="34" t="s">
        <v>10</v>
      </c>
      <c r="L5" s="34" t="s">
        <v>11</v>
      </c>
      <c r="M5" s="34" t="s">
        <v>12</v>
      </c>
      <c r="N5" s="34" t="s">
        <v>13</v>
      </c>
      <c r="O5" s="34" t="s">
        <v>14</v>
      </c>
      <c r="P5" s="34" t="s">
        <v>15</v>
      </c>
      <c r="Q5" s="34" t="s">
        <v>16</v>
      </c>
      <c r="R5" s="34" t="s">
        <v>17</v>
      </c>
      <c r="S5" s="34" t="s">
        <v>18</v>
      </c>
      <c r="T5" s="35" t="s">
        <v>19</v>
      </c>
      <c r="U5" s="34" t="s">
        <v>20</v>
      </c>
      <c r="V5" s="34" t="s">
        <v>21</v>
      </c>
      <c r="W5" s="35" t="s">
        <v>19</v>
      </c>
      <c r="X5" s="34" t="s">
        <v>22</v>
      </c>
      <c r="Y5" s="34" t="s">
        <v>23</v>
      </c>
      <c r="Z5" s="35" t="s">
        <v>19</v>
      </c>
      <c r="AA5" s="34" t="s">
        <v>24</v>
      </c>
      <c r="AB5" s="34" t="s">
        <v>25</v>
      </c>
      <c r="AC5" s="35" t="s">
        <v>19</v>
      </c>
      <c r="AD5" s="34" t="s">
        <v>26</v>
      </c>
      <c r="AE5" s="34" t="s">
        <v>27</v>
      </c>
      <c r="AF5" s="35" t="s">
        <v>19</v>
      </c>
      <c r="AG5" s="35"/>
      <c r="AH5" s="34" t="s">
        <v>28</v>
      </c>
      <c r="AI5" s="35" t="s">
        <v>29</v>
      </c>
      <c r="AJ5" s="35" t="s">
        <v>30</v>
      </c>
    </row>
    <row r="6" spans="1:41" x14ac:dyDescent="0.25">
      <c r="C6" s="36" t="s">
        <v>31</v>
      </c>
      <c r="D6" s="37" t="s">
        <v>32</v>
      </c>
      <c r="E6" s="38">
        <f>E7+E11+E14+E17+E20</f>
        <v>8789116.7839147784</v>
      </c>
      <c r="F6" s="39">
        <f>F7+F11+F14+F17+F20</f>
        <v>9296657.8770126402</v>
      </c>
      <c r="G6" s="40">
        <f>G7+G11+G14+G17+G20</f>
        <v>10494440.360313069</v>
      </c>
      <c r="H6" s="40">
        <v>11355059.257927699</v>
      </c>
      <c r="I6" s="40">
        <f>I7+I11+I14+I17+I20</f>
        <v>12205349.792063672</v>
      </c>
      <c r="J6" s="40">
        <v>12155906</v>
      </c>
      <c r="K6" s="41">
        <f>K7+K11+K14+K17+K20</f>
        <v>0</v>
      </c>
      <c r="L6" s="41">
        <f>SUM(L7:L8)</f>
        <v>0</v>
      </c>
      <c r="M6" s="41">
        <f>SUM(M7:M8)</f>
        <v>0</v>
      </c>
      <c r="N6" s="41"/>
      <c r="O6" s="41">
        <f>O7+O11+O14+O17+O20</f>
        <v>0</v>
      </c>
      <c r="P6" s="41">
        <f>P7+P11+P14+P17+P20</f>
        <v>13314068.554</v>
      </c>
      <c r="Q6" s="42">
        <f>ROUND((Q7+Q11+Q14+Q17+Q20),0)</f>
        <v>13314069</v>
      </c>
      <c r="R6" s="41">
        <f>R7+R11+R14+R17+R20</f>
        <v>13314069</v>
      </c>
      <c r="S6" s="41">
        <f>R6-Q6</f>
        <v>0</v>
      </c>
      <c r="T6" s="43"/>
      <c r="U6" s="41">
        <f>U7+U11+U14+U17+U20</f>
        <v>13314069</v>
      </c>
      <c r="V6" s="41">
        <f>U6-R6</f>
        <v>0</v>
      </c>
      <c r="W6" s="43"/>
      <c r="X6" s="41">
        <f>X7+X11+X14+X17+X20</f>
        <v>13314069</v>
      </c>
      <c r="Y6" s="41">
        <f>X6-U6</f>
        <v>0</v>
      </c>
      <c r="Z6" s="43"/>
      <c r="AA6" s="41">
        <f>AA7+AA11+AA14+AA17+AA20</f>
        <v>13314069</v>
      </c>
      <c r="AB6" s="41">
        <f>AA6-X6</f>
        <v>0</v>
      </c>
      <c r="AC6" s="43"/>
      <c r="AD6" s="41">
        <f>AD7+AD11+AD14+AD17+AD20</f>
        <v>13314069</v>
      </c>
      <c r="AE6" s="41">
        <f>AD6-AA6</f>
        <v>0</v>
      </c>
      <c r="AF6" s="43"/>
      <c r="AG6" s="43"/>
      <c r="AH6" s="41">
        <f>AH7+AH11+AH14+AH17+AH20</f>
        <v>6180855</v>
      </c>
      <c r="AI6" s="44">
        <f>AH6/AD6</f>
        <v>0.46423486313613066</v>
      </c>
      <c r="AJ6" s="45"/>
    </row>
    <row r="7" spans="1:41" x14ac:dyDescent="0.25">
      <c r="B7" s="1" t="s">
        <v>33</v>
      </c>
      <c r="C7" s="46" t="s">
        <v>34</v>
      </c>
      <c r="D7" s="47" t="s">
        <v>35</v>
      </c>
      <c r="E7" s="48">
        <f>SUM(E8:E9)</f>
        <v>7225776.9376190836</v>
      </c>
      <c r="F7" s="49">
        <f>SUM(F8:F9)</f>
        <v>7667959.1270126393</v>
      </c>
      <c r="G7" s="50">
        <f>SUM(G8:G9)</f>
        <v>8906770.160313068</v>
      </c>
      <c r="H7" s="50">
        <v>9764041.9579276983</v>
      </c>
      <c r="I7" s="50">
        <f>SUM(I8:I10)</f>
        <v>10681947.012063671</v>
      </c>
      <c r="J7" s="50">
        <v>10668296</v>
      </c>
      <c r="K7" s="51">
        <f>SUM(K8:K9)</f>
        <v>0</v>
      </c>
      <c r="L7" s="51">
        <f>SUM(L8:L9)</f>
        <v>0</v>
      </c>
      <c r="M7" s="51">
        <f>SUM(M8:M9)</f>
        <v>0</v>
      </c>
      <c r="N7" s="51">
        <f>SUM(N8:N9)</f>
        <v>0</v>
      </c>
      <c r="O7" s="51">
        <f>SUM(O8:O9)</f>
        <v>0</v>
      </c>
      <c r="P7" s="51">
        <f>SUM(P8:P10)</f>
        <v>11858152.82</v>
      </c>
      <c r="Q7" s="51">
        <f>SUM(Q8:Q10)</f>
        <v>11858152.82</v>
      </c>
      <c r="R7" s="51">
        <f>SUM(R8:R10)</f>
        <v>11858153</v>
      </c>
      <c r="S7" s="51">
        <f t="shared" ref="S7:S70" si="0">R7-Q7</f>
        <v>0.17999999970197678</v>
      </c>
      <c r="T7" s="52"/>
      <c r="U7" s="51">
        <f>SUM(U8:U10)</f>
        <v>11858153</v>
      </c>
      <c r="V7" s="51">
        <f t="shared" ref="V7:V70" si="1">U7-R7</f>
        <v>0</v>
      </c>
      <c r="W7" s="52"/>
      <c r="X7" s="51">
        <f>SUM(X8:X10)</f>
        <v>11858153</v>
      </c>
      <c r="Y7" s="51">
        <f t="shared" ref="Y7:Y70" si="2">X7-U7</f>
        <v>0</v>
      </c>
      <c r="Z7" s="52"/>
      <c r="AA7" s="51">
        <f>SUM(AA8:AA10)</f>
        <v>11858153</v>
      </c>
      <c r="AB7" s="51">
        <f t="shared" ref="AB7:AB70" si="3">AA7-X7</f>
        <v>0</v>
      </c>
      <c r="AC7" s="52"/>
      <c r="AD7" s="51">
        <f>SUM(AD8:AD10)</f>
        <v>11858153</v>
      </c>
      <c r="AE7" s="51">
        <f t="shared" ref="AE7:AE70" si="4">AD7-AA7</f>
        <v>0</v>
      </c>
      <c r="AF7" s="52"/>
      <c r="AG7" s="52"/>
      <c r="AH7" s="51">
        <f>SUM(AH8:AH10)</f>
        <v>5231282</v>
      </c>
      <c r="AI7" s="52">
        <f>AH7/AD7</f>
        <v>0.44115487462507863</v>
      </c>
      <c r="AJ7" s="53"/>
      <c r="AK7" s="379"/>
      <c r="AL7" s="380"/>
    </row>
    <row r="8" spans="1:41" x14ac:dyDescent="0.25">
      <c r="A8" s="1" t="s">
        <v>36</v>
      </c>
      <c r="B8" s="54" t="s">
        <v>37</v>
      </c>
      <c r="C8" s="55" t="s">
        <v>38</v>
      </c>
      <c r="D8" s="56" t="s">
        <v>39</v>
      </c>
      <c r="E8" s="57"/>
      <c r="F8" s="58">
        <v>76117</v>
      </c>
      <c r="G8" s="59">
        <v>56681</v>
      </c>
      <c r="H8" s="59">
        <v>0</v>
      </c>
      <c r="I8" s="59">
        <v>164755</v>
      </c>
      <c r="J8" s="59">
        <v>389878</v>
      </c>
      <c r="K8" s="60"/>
      <c r="L8" s="60">
        <v>0</v>
      </c>
      <c r="M8" s="60">
        <v>0</v>
      </c>
      <c r="N8" s="60"/>
      <c r="O8" s="60"/>
      <c r="P8" s="61">
        <f>[4]Baze_2020!D8</f>
        <v>0</v>
      </c>
      <c r="Q8" s="60">
        <f>L8+M8+N8+O8+P8</f>
        <v>0</v>
      </c>
      <c r="R8" s="62">
        <f>ROUND(Q8,0)</f>
        <v>0</v>
      </c>
      <c r="S8" s="60">
        <f t="shared" si="0"/>
        <v>0</v>
      </c>
      <c r="T8" s="63"/>
      <c r="U8" s="62">
        <f>ROUND(R8,0)</f>
        <v>0</v>
      </c>
      <c r="V8" s="60">
        <f t="shared" si="1"/>
        <v>0</v>
      </c>
      <c r="W8" s="63"/>
      <c r="X8" s="62">
        <f>ROUND(U8,0)</f>
        <v>0</v>
      </c>
      <c r="Y8" s="60">
        <f t="shared" si="2"/>
        <v>0</v>
      </c>
      <c r="Z8" s="63"/>
      <c r="AA8" s="62">
        <f>ROUND(X8,0)</f>
        <v>0</v>
      </c>
      <c r="AB8" s="60">
        <f t="shared" si="3"/>
        <v>0</v>
      </c>
      <c r="AC8" s="63"/>
      <c r="AD8" s="62">
        <f>ROUND(AA8,0)</f>
        <v>0</v>
      </c>
      <c r="AE8" s="60">
        <f t="shared" si="4"/>
        <v>0</v>
      </c>
      <c r="AF8" s="63"/>
      <c r="AG8" s="63"/>
      <c r="AH8" s="60">
        <v>0</v>
      </c>
      <c r="AI8" s="63">
        <v>0</v>
      </c>
      <c r="AJ8" s="64"/>
    </row>
    <row r="9" spans="1:41" ht="15.75" x14ac:dyDescent="0.25">
      <c r="A9" s="1" t="s">
        <v>36</v>
      </c>
      <c r="B9" s="54" t="s">
        <v>40</v>
      </c>
      <c r="C9" s="55" t="s">
        <v>41</v>
      </c>
      <c r="D9" s="56" t="s">
        <v>42</v>
      </c>
      <c r="E9" s="65">
        <v>7225776.9376190836</v>
      </c>
      <c r="F9" s="66">
        <v>7591842.1270126393</v>
      </c>
      <c r="G9" s="59">
        <v>8850089.160313068</v>
      </c>
      <c r="H9" s="59">
        <v>9764041.9579276983</v>
      </c>
      <c r="I9" s="59">
        <v>10439857.012063671</v>
      </c>
      <c r="J9" s="59">
        <v>10232109</v>
      </c>
      <c r="K9" s="61"/>
      <c r="L9" s="60">
        <v>0</v>
      </c>
      <c r="M9" s="60">
        <v>0</v>
      </c>
      <c r="N9" s="60"/>
      <c r="O9" s="61"/>
      <c r="P9" s="61">
        <f>[4]Baze_2020!D9</f>
        <v>11684101</v>
      </c>
      <c r="Q9" s="60">
        <f>L9+M9+N9+O9+P9</f>
        <v>11684101</v>
      </c>
      <c r="R9" s="60">
        <f>ROUND(Q9,0)</f>
        <v>11684101</v>
      </c>
      <c r="S9" s="60">
        <f t="shared" si="0"/>
        <v>0</v>
      </c>
      <c r="T9" s="63"/>
      <c r="U9" s="62">
        <f t="shared" ref="U9:U20" si="5">ROUND(R9,0)</f>
        <v>11684101</v>
      </c>
      <c r="V9" s="60">
        <f t="shared" si="1"/>
        <v>0</v>
      </c>
      <c r="W9" s="63"/>
      <c r="X9" s="62">
        <f t="shared" ref="X9:X10" si="6">ROUND(U9,0)</f>
        <v>11684101</v>
      </c>
      <c r="Y9" s="60">
        <f t="shared" si="2"/>
        <v>0</v>
      </c>
      <c r="Z9" s="63"/>
      <c r="AA9" s="62">
        <f t="shared" ref="AA9:AA10" si="7">ROUND(X9,0)</f>
        <v>11684101</v>
      </c>
      <c r="AB9" s="60">
        <f t="shared" si="3"/>
        <v>0</v>
      </c>
      <c r="AC9" s="63"/>
      <c r="AD9" s="62">
        <f t="shared" ref="AD9:AD10" si="8">ROUND(AA9,0)</f>
        <v>11684101</v>
      </c>
      <c r="AE9" s="60">
        <f t="shared" si="4"/>
        <v>0</v>
      </c>
      <c r="AF9" s="63"/>
      <c r="AG9" s="63"/>
      <c r="AH9" s="60">
        <v>5057230</v>
      </c>
      <c r="AI9" s="63">
        <f t="shared" ref="AI9:AI51" si="9">AH9/AD9</f>
        <v>0.43283004828527244</v>
      </c>
      <c r="AJ9" s="64"/>
      <c r="AK9" s="381" t="s">
        <v>43</v>
      </c>
      <c r="AL9" s="382"/>
    </row>
    <row r="10" spans="1:41" ht="45" x14ac:dyDescent="0.25">
      <c r="B10" s="54"/>
      <c r="C10" s="55" t="s">
        <v>44</v>
      </c>
      <c r="D10" s="56" t="s">
        <v>45</v>
      </c>
      <c r="E10" s="65"/>
      <c r="F10" s="66"/>
      <c r="G10" s="59"/>
      <c r="H10" s="59"/>
      <c r="I10" s="59">
        <v>77335</v>
      </c>
      <c r="J10" s="59">
        <v>46309</v>
      </c>
      <c r="K10" s="61"/>
      <c r="L10" s="60"/>
      <c r="M10" s="60"/>
      <c r="N10" s="60"/>
      <c r="O10" s="61"/>
      <c r="P10" s="61">
        <f>[4]Baze_2020!D10</f>
        <v>174051.82</v>
      </c>
      <c r="Q10" s="60">
        <f>L10+M10+N10+O10+P10</f>
        <v>174051.82</v>
      </c>
      <c r="R10" s="60">
        <f>ROUND(Q10,0)</f>
        <v>174052</v>
      </c>
      <c r="S10" s="60">
        <f t="shared" si="0"/>
        <v>0.17999999999301508</v>
      </c>
      <c r="T10" s="63"/>
      <c r="U10" s="62">
        <f t="shared" si="5"/>
        <v>174052</v>
      </c>
      <c r="V10" s="60">
        <f t="shared" si="1"/>
        <v>0</v>
      </c>
      <c r="W10" s="63"/>
      <c r="X10" s="62">
        <f t="shared" si="6"/>
        <v>174052</v>
      </c>
      <c r="Y10" s="60">
        <f t="shared" si="2"/>
        <v>0</v>
      </c>
      <c r="Z10" s="63"/>
      <c r="AA10" s="62">
        <f t="shared" si="7"/>
        <v>174052</v>
      </c>
      <c r="AB10" s="60">
        <f t="shared" si="3"/>
        <v>0</v>
      </c>
      <c r="AC10" s="63"/>
      <c r="AD10" s="62">
        <f t="shared" si="8"/>
        <v>174052</v>
      </c>
      <c r="AE10" s="60">
        <f t="shared" si="4"/>
        <v>0</v>
      </c>
      <c r="AF10" s="63"/>
      <c r="AG10" s="63"/>
      <c r="AH10" s="60">
        <v>174052</v>
      </c>
      <c r="AI10" s="63">
        <f t="shared" si="9"/>
        <v>1</v>
      </c>
      <c r="AJ10" s="64"/>
      <c r="AL10" s="382"/>
    </row>
    <row r="11" spans="1:41" x14ac:dyDescent="0.25">
      <c r="B11" s="1" t="s">
        <v>46</v>
      </c>
      <c r="C11" s="67" t="s">
        <v>47</v>
      </c>
      <c r="D11" s="68" t="s">
        <v>48</v>
      </c>
      <c r="E11" s="69">
        <f t="shared" ref="E11:Q11" si="10">SUM(E12:E13)</f>
        <v>986350</v>
      </c>
      <c r="F11" s="70">
        <f t="shared" si="10"/>
        <v>1033843</v>
      </c>
      <c r="G11" s="71">
        <f>SUM(G12:G13)</f>
        <v>994116.8</v>
      </c>
      <c r="H11" s="71">
        <v>972235.39999999991</v>
      </c>
      <c r="I11" s="71">
        <f>SUM(I12:I13)</f>
        <v>996116.47999999998</v>
      </c>
      <c r="J11" s="71">
        <v>978962</v>
      </c>
      <c r="K11" s="72">
        <f t="shared" si="10"/>
        <v>0</v>
      </c>
      <c r="L11" s="72">
        <f t="shared" si="10"/>
        <v>0</v>
      </c>
      <c r="M11" s="72">
        <f t="shared" si="10"/>
        <v>0</v>
      </c>
      <c r="N11" s="72">
        <f t="shared" si="10"/>
        <v>0</v>
      </c>
      <c r="O11" s="72">
        <f>SUM(O12:O13)</f>
        <v>0</v>
      </c>
      <c r="P11" s="72">
        <f t="shared" si="10"/>
        <v>981296.56050000002</v>
      </c>
      <c r="Q11" s="72">
        <f t="shared" si="10"/>
        <v>981296.56050000002</v>
      </c>
      <c r="R11" s="72">
        <f>SUM(R12:R13)</f>
        <v>981297</v>
      </c>
      <c r="S11" s="72">
        <f t="shared" si="0"/>
        <v>0.43949999997857958</v>
      </c>
      <c r="T11" s="73"/>
      <c r="U11" s="72">
        <f>SUM(U12:U13)</f>
        <v>981297</v>
      </c>
      <c r="V11" s="72">
        <f t="shared" si="1"/>
        <v>0</v>
      </c>
      <c r="W11" s="73"/>
      <c r="X11" s="72">
        <f>SUM(X12:X13)</f>
        <v>981297</v>
      </c>
      <c r="Y11" s="72">
        <f t="shared" si="2"/>
        <v>0</v>
      </c>
      <c r="Z11" s="73"/>
      <c r="AA11" s="72">
        <f>SUM(AA12:AA13)</f>
        <v>981297</v>
      </c>
      <c r="AB11" s="72">
        <f t="shared" si="3"/>
        <v>0</v>
      </c>
      <c r="AC11" s="73"/>
      <c r="AD11" s="72">
        <f>SUM(AD12:AD13)</f>
        <v>981297</v>
      </c>
      <c r="AE11" s="72">
        <f t="shared" si="4"/>
        <v>0</v>
      </c>
      <c r="AF11" s="73"/>
      <c r="AG11" s="73"/>
      <c r="AH11" s="72">
        <f>SUM(AH12:AH13)</f>
        <v>621252</v>
      </c>
      <c r="AI11" s="73">
        <f t="shared" si="9"/>
        <v>0.6330927333926426</v>
      </c>
      <c r="AJ11" s="74"/>
    </row>
    <row r="12" spans="1:41" x14ac:dyDescent="0.25">
      <c r="A12" s="1" t="s">
        <v>36</v>
      </c>
      <c r="B12" s="54" t="s">
        <v>49</v>
      </c>
      <c r="C12" s="55" t="s">
        <v>50</v>
      </c>
      <c r="D12" s="56" t="s">
        <v>42</v>
      </c>
      <c r="E12" s="75">
        <f>[3]Groz_NIN_12_2014!F32</f>
        <v>905997</v>
      </c>
      <c r="F12" s="76">
        <f>927636</f>
        <v>927636</v>
      </c>
      <c r="G12" s="77">
        <v>911340</v>
      </c>
      <c r="H12" s="77">
        <v>925235.39999999991</v>
      </c>
      <c r="I12" s="59">
        <v>920295</v>
      </c>
      <c r="J12" s="59">
        <v>931867</v>
      </c>
      <c r="K12" s="78"/>
      <c r="L12" s="78"/>
      <c r="M12" s="78"/>
      <c r="N12" s="78"/>
      <c r="O12" s="78"/>
      <c r="P12" s="78">
        <f>[4]Baze_2020!D12</f>
        <v>935535</v>
      </c>
      <c r="Q12" s="60">
        <f>L12+M12+N12+O12+P12</f>
        <v>935535</v>
      </c>
      <c r="R12" s="60">
        <f>ROUND(Q12,0)</f>
        <v>935535</v>
      </c>
      <c r="S12" s="60">
        <f t="shared" si="0"/>
        <v>0</v>
      </c>
      <c r="T12" s="79"/>
      <c r="U12" s="60">
        <f t="shared" si="5"/>
        <v>935535</v>
      </c>
      <c r="V12" s="60">
        <f t="shared" si="1"/>
        <v>0</v>
      </c>
      <c r="W12" s="79"/>
      <c r="X12" s="60">
        <f t="shared" ref="X12:X13" si="11">ROUND(U12,0)</f>
        <v>935535</v>
      </c>
      <c r="Y12" s="60">
        <f t="shared" si="2"/>
        <v>0</v>
      </c>
      <c r="Z12" s="79"/>
      <c r="AA12" s="60">
        <f t="shared" ref="AA12:AA13" si="12">ROUND(X12,0)</f>
        <v>935535</v>
      </c>
      <c r="AB12" s="60">
        <f t="shared" si="3"/>
        <v>0</v>
      </c>
      <c r="AC12" s="79"/>
      <c r="AD12" s="60">
        <f t="shared" ref="AD12:AD13" si="13">ROUND(AA12,0)</f>
        <v>935535</v>
      </c>
      <c r="AE12" s="60">
        <f t="shared" si="4"/>
        <v>0</v>
      </c>
      <c r="AF12" s="79"/>
      <c r="AG12" s="79"/>
      <c r="AH12" s="78">
        <v>596853</v>
      </c>
      <c r="AI12" s="79">
        <f t="shared" si="9"/>
        <v>0.63798040693293145</v>
      </c>
      <c r="AJ12" s="80"/>
      <c r="AK12" s="383"/>
    </row>
    <row r="13" spans="1:41" x14ac:dyDescent="0.25">
      <c r="A13" s="1" t="s">
        <v>36</v>
      </c>
      <c r="B13" s="54" t="s">
        <v>51</v>
      </c>
      <c r="C13" s="55" t="s">
        <v>52</v>
      </c>
      <c r="D13" s="56" t="s">
        <v>53</v>
      </c>
      <c r="E13" s="57">
        <f>[3]Groz_NIN_12_2014!F33</f>
        <v>80353</v>
      </c>
      <c r="F13" s="58">
        <f>212414*0.5</f>
        <v>106207</v>
      </c>
      <c r="G13" s="59">
        <v>82776.800000000003</v>
      </c>
      <c r="H13" s="59">
        <v>47000</v>
      </c>
      <c r="I13" s="59">
        <v>75821.48</v>
      </c>
      <c r="J13" s="59">
        <v>47095</v>
      </c>
      <c r="K13" s="60"/>
      <c r="L13" s="60"/>
      <c r="M13" s="60"/>
      <c r="N13" s="60"/>
      <c r="O13" s="78"/>
      <c r="P13" s="78">
        <f>[4]Baze_2020!D13</f>
        <v>45761.5605</v>
      </c>
      <c r="Q13" s="60">
        <f>L13+M13+N13+O13+P13</f>
        <v>45761.5605</v>
      </c>
      <c r="R13" s="60">
        <f>ROUND(Q13,0)</f>
        <v>45762</v>
      </c>
      <c r="S13" s="60">
        <f t="shared" si="0"/>
        <v>0.43950000000040745</v>
      </c>
      <c r="T13" s="63"/>
      <c r="U13" s="60">
        <f t="shared" si="5"/>
        <v>45762</v>
      </c>
      <c r="V13" s="60">
        <f t="shared" si="1"/>
        <v>0</v>
      </c>
      <c r="W13" s="63"/>
      <c r="X13" s="60">
        <f t="shared" si="11"/>
        <v>45762</v>
      </c>
      <c r="Y13" s="60">
        <f t="shared" si="2"/>
        <v>0</v>
      </c>
      <c r="Z13" s="63"/>
      <c r="AA13" s="60">
        <f t="shared" si="12"/>
        <v>45762</v>
      </c>
      <c r="AB13" s="60">
        <f t="shared" si="3"/>
        <v>0</v>
      </c>
      <c r="AC13" s="63"/>
      <c r="AD13" s="60">
        <f t="shared" si="13"/>
        <v>45762</v>
      </c>
      <c r="AE13" s="60">
        <f t="shared" si="4"/>
        <v>0</v>
      </c>
      <c r="AF13" s="63"/>
      <c r="AG13" s="63"/>
      <c r="AH13" s="60">
        <v>24399</v>
      </c>
      <c r="AI13" s="63">
        <f t="shared" si="9"/>
        <v>0.53317162711419952</v>
      </c>
      <c r="AJ13" s="64"/>
    </row>
    <row r="14" spans="1:41" x14ac:dyDescent="0.25">
      <c r="B14" s="1" t="s">
        <v>54</v>
      </c>
      <c r="C14" s="67" t="s">
        <v>55</v>
      </c>
      <c r="D14" s="68" t="s">
        <v>56</v>
      </c>
      <c r="E14" s="69">
        <f t="shared" ref="E14:Q14" si="14">SUM(E15:E16)</f>
        <v>293361</v>
      </c>
      <c r="F14" s="70">
        <f t="shared" si="14"/>
        <v>310930.75</v>
      </c>
      <c r="G14" s="71">
        <f>SUM(G15:G16)</f>
        <v>298773.40000000002</v>
      </c>
      <c r="H14" s="71">
        <v>325172.39999999997</v>
      </c>
      <c r="I14" s="71">
        <f>SUM(I15:I16)</f>
        <v>267078.41000000003</v>
      </c>
      <c r="J14" s="71">
        <v>256320</v>
      </c>
      <c r="K14" s="72">
        <f t="shared" si="14"/>
        <v>0</v>
      </c>
      <c r="L14" s="72">
        <f t="shared" si="14"/>
        <v>0</v>
      </c>
      <c r="M14" s="72">
        <f t="shared" si="14"/>
        <v>0</v>
      </c>
      <c r="N14" s="72">
        <f t="shared" si="14"/>
        <v>0</v>
      </c>
      <c r="O14" s="72">
        <f>SUM(O15:O16)</f>
        <v>0</v>
      </c>
      <c r="P14" s="72">
        <f t="shared" si="14"/>
        <v>242883.32800000001</v>
      </c>
      <c r="Q14" s="72">
        <f t="shared" si="14"/>
        <v>242883.32800000001</v>
      </c>
      <c r="R14" s="72">
        <f>SUM(R15:R16)</f>
        <v>242883</v>
      </c>
      <c r="S14" s="72">
        <f t="shared" si="0"/>
        <v>-0.32800000000861473</v>
      </c>
      <c r="T14" s="73"/>
      <c r="U14" s="72">
        <f>SUM(U15:U16)</f>
        <v>242883</v>
      </c>
      <c r="V14" s="72">
        <f t="shared" si="1"/>
        <v>0</v>
      </c>
      <c r="W14" s="73"/>
      <c r="X14" s="72">
        <f>SUM(X15:X16)</f>
        <v>242883</v>
      </c>
      <c r="Y14" s="72">
        <f t="shared" si="2"/>
        <v>0</v>
      </c>
      <c r="Z14" s="73"/>
      <c r="AA14" s="72">
        <f>SUM(AA15:AA16)</f>
        <v>242883</v>
      </c>
      <c r="AB14" s="72">
        <f t="shared" si="3"/>
        <v>0</v>
      </c>
      <c r="AC14" s="73"/>
      <c r="AD14" s="72">
        <f>SUM(AD15:AD16)</f>
        <v>242883</v>
      </c>
      <c r="AE14" s="72">
        <f t="shared" si="4"/>
        <v>0</v>
      </c>
      <c r="AF14" s="73"/>
      <c r="AG14" s="73"/>
      <c r="AH14" s="72">
        <f>SUM(AH15:AH16)</f>
        <v>142517</v>
      </c>
      <c r="AI14" s="73">
        <f t="shared" si="9"/>
        <v>0.5867722318976627</v>
      </c>
      <c r="AJ14" s="74"/>
    </row>
    <row r="15" spans="1:41" x14ac:dyDescent="0.25">
      <c r="A15" s="1" t="s">
        <v>36</v>
      </c>
      <c r="B15" s="54" t="s">
        <v>57</v>
      </c>
      <c r="C15" s="55" t="s">
        <v>58</v>
      </c>
      <c r="D15" s="56" t="s">
        <v>59</v>
      </c>
      <c r="E15" s="81">
        <f>[3]Groz_NIN_12_2014!F35</f>
        <v>272018</v>
      </c>
      <c r="F15" s="82">
        <f>271399</f>
        <v>271399</v>
      </c>
      <c r="G15" s="83">
        <v>265635</v>
      </c>
      <c r="H15" s="83">
        <v>297095.39999999997</v>
      </c>
      <c r="I15" s="59">
        <v>233533</v>
      </c>
      <c r="J15" s="84">
        <v>218821</v>
      </c>
      <c r="K15" s="85"/>
      <c r="L15" s="85"/>
      <c r="M15" s="85"/>
      <c r="N15" s="85"/>
      <c r="O15" s="85"/>
      <c r="P15" s="85">
        <f>[4]Baze_2020!D15</f>
        <v>222708</v>
      </c>
      <c r="Q15" s="60">
        <f>L15+M15+N15+O15+P15</f>
        <v>222708</v>
      </c>
      <c r="R15" s="60">
        <f>ROUND(Q15,0)</f>
        <v>222708</v>
      </c>
      <c r="S15" s="60">
        <f t="shared" si="0"/>
        <v>0</v>
      </c>
      <c r="T15" s="86"/>
      <c r="U15" s="60">
        <f t="shared" si="5"/>
        <v>222708</v>
      </c>
      <c r="V15" s="60">
        <f t="shared" si="1"/>
        <v>0</v>
      </c>
      <c r="W15" s="86"/>
      <c r="X15" s="60">
        <f t="shared" ref="X15:X16" si="15">ROUND(U15,0)</f>
        <v>222708</v>
      </c>
      <c r="Y15" s="60">
        <f t="shared" si="2"/>
        <v>0</v>
      </c>
      <c r="Z15" s="86"/>
      <c r="AA15" s="60">
        <f t="shared" ref="AA15:AA16" si="16">ROUND(X15,0)</f>
        <v>222708</v>
      </c>
      <c r="AB15" s="60">
        <f t="shared" si="3"/>
        <v>0</v>
      </c>
      <c r="AC15" s="86"/>
      <c r="AD15" s="60">
        <f t="shared" ref="AD15:AD16" si="17">ROUND(AA15,0)</f>
        <v>222708</v>
      </c>
      <c r="AE15" s="60">
        <f t="shared" si="4"/>
        <v>0</v>
      </c>
      <c r="AF15" s="86"/>
      <c r="AG15" s="86"/>
      <c r="AH15" s="85">
        <v>113088</v>
      </c>
      <c r="AI15" s="86">
        <f t="shared" si="9"/>
        <v>0.50778597984805218</v>
      </c>
      <c r="AJ15" s="87"/>
    </row>
    <row r="16" spans="1:41" x14ac:dyDescent="0.25">
      <c r="A16" s="1" t="s">
        <v>36</v>
      </c>
      <c r="B16" s="54" t="s">
        <v>60</v>
      </c>
      <c r="C16" s="55" t="s">
        <v>61</v>
      </c>
      <c r="D16" s="56" t="s">
        <v>53</v>
      </c>
      <c r="E16" s="57">
        <f>[3]Groz_NIN_12_2014!F36</f>
        <v>21343</v>
      </c>
      <c r="F16" s="88">
        <f>52709*0.75</f>
        <v>39531.75</v>
      </c>
      <c r="G16" s="59">
        <v>33138.400000000001</v>
      </c>
      <c r="H16" s="59">
        <v>28077</v>
      </c>
      <c r="I16" s="59">
        <v>33545.410000000003</v>
      </c>
      <c r="J16" s="59">
        <v>37499</v>
      </c>
      <c r="K16" s="60"/>
      <c r="L16" s="60"/>
      <c r="M16" s="60"/>
      <c r="N16" s="60"/>
      <c r="O16" s="85"/>
      <c r="P16" s="85">
        <f>[4]Baze_2020!D16</f>
        <v>20175.328000000001</v>
      </c>
      <c r="Q16" s="60">
        <f>L16+M16+N16+O16+P16</f>
        <v>20175.328000000001</v>
      </c>
      <c r="R16" s="60">
        <f>ROUND(Q16,0)</f>
        <v>20175</v>
      </c>
      <c r="S16" s="60">
        <f t="shared" si="0"/>
        <v>-0.32800000000133878</v>
      </c>
      <c r="T16" s="63"/>
      <c r="U16" s="60">
        <f t="shared" si="5"/>
        <v>20175</v>
      </c>
      <c r="V16" s="60">
        <f t="shared" si="1"/>
        <v>0</v>
      </c>
      <c r="W16" s="63"/>
      <c r="X16" s="60">
        <f t="shared" si="15"/>
        <v>20175</v>
      </c>
      <c r="Y16" s="60">
        <f t="shared" si="2"/>
        <v>0</v>
      </c>
      <c r="Z16" s="63"/>
      <c r="AA16" s="60">
        <f t="shared" si="16"/>
        <v>20175</v>
      </c>
      <c r="AB16" s="60">
        <f t="shared" si="3"/>
        <v>0</v>
      </c>
      <c r="AC16" s="63"/>
      <c r="AD16" s="60">
        <f t="shared" si="17"/>
        <v>20175</v>
      </c>
      <c r="AE16" s="60">
        <f t="shared" si="4"/>
        <v>0</v>
      </c>
      <c r="AF16" s="63"/>
      <c r="AG16" s="63"/>
      <c r="AH16" s="60">
        <v>29429</v>
      </c>
      <c r="AI16" s="63">
        <f t="shared" si="9"/>
        <v>1.4586864931846344</v>
      </c>
      <c r="AJ16" s="64"/>
    </row>
    <row r="17" spans="1:36" ht="29.25" x14ac:dyDescent="0.25">
      <c r="B17" s="1" t="s">
        <v>62</v>
      </c>
      <c r="C17" s="67" t="s">
        <v>63</v>
      </c>
      <c r="D17" s="68" t="s">
        <v>64</v>
      </c>
      <c r="E17" s="69">
        <f t="shared" ref="E17:P17" si="18">SUM(E18:E19)</f>
        <v>270823</v>
      </c>
      <c r="F17" s="70">
        <f t="shared" si="18"/>
        <v>266925</v>
      </c>
      <c r="G17" s="71">
        <f>SUM(G18:G19)</f>
        <v>275680</v>
      </c>
      <c r="H17" s="71">
        <v>276609.5</v>
      </c>
      <c r="I17" s="71">
        <f>SUM(I18:I19)</f>
        <v>238707.89</v>
      </c>
      <c r="J17" s="71">
        <v>227828</v>
      </c>
      <c r="K17" s="72">
        <f t="shared" si="18"/>
        <v>0</v>
      </c>
      <c r="L17" s="72">
        <f t="shared" si="18"/>
        <v>0</v>
      </c>
      <c r="M17" s="72">
        <f t="shared" si="18"/>
        <v>0</v>
      </c>
      <c r="N17" s="72">
        <f t="shared" si="18"/>
        <v>0</v>
      </c>
      <c r="O17" s="72">
        <f>SUM(O18:O19)</f>
        <v>0</v>
      </c>
      <c r="P17" s="72">
        <f t="shared" si="18"/>
        <v>227435.8455</v>
      </c>
      <c r="Q17" s="72">
        <f>SUM(Q18:Q19)</f>
        <v>227435.8455</v>
      </c>
      <c r="R17" s="72">
        <f>SUM(R18:R19)</f>
        <v>227436</v>
      </c>
      <c r="S17" s="72">
        <f t="shared" si="0"/>
        <v>0.15450000000419095</v>
      </c>
      <c r="T17" s="73"/>
      <c r="U17" s="72">
        <f>SUM(U18:U19)</f>
        <v>227436</v>
      </c>
      <c r="V17" s="72">
        <f t="shared" si="1"/>
        <v>0</v>
      </c>
      <c r="W17" s="73"/>
      <c r="X17" s="72">
        <f>SUM(X18:X19)</f>
        <v>227436</v>
      </c>
      <c r="Y17" s="72">
        <f t="shared" si="2"/>
        <v>0</v>
      </c>
      <c r="Z17" s="73"/>
      <c r="AA17" s="72">
        <f>SUM(AA18:AA19)</f>
        <v>227436</v>
      </c>
      <c r="AB17" s="72">
        <f t="shared" si="3"/>
        <v>0</v>
      </c>
      <c r="AC17" s="73"/>
      <c r="AD17" s="72">
        <f>SUM(AD18:AD19)</f>
        <v>227436</v>
      </c>
      <c r="AE17" s="72">
        <f t="shared" si="4"/>
        <v>0</v>
      </c>
      <c r="AF17" s="73"/>
      <c r="AG17" s="73"/>
      <c r="AH17" s="72">
        <f>SUM(AH18:AH19)</f>
        <v>181565</v>
      </c>
      <c r="AI17" s="73">
        <f t="shared" si="9"/>
        <v>0.7983124923055277</v>
      </c>
      <c r="AJ17" s="74"/>
    </row>
    <row r="18" spans="1:36" ht="18.75" customHeight="1" x14ac:dyDescent="0.25">
      <c r="A18" s="1" t="s">
        <v>36</v>
      </c>
      <c r="B18" s="54" t="s">
        <v>65</v>
      </c>
      <c r="C18" s="55" t="s">
        <v>66</v>
      </c>
      <c r="D18" s="56" t="s">
        <v>59</v>
      </c>
      <c r="E18" s="81">
        <f>[3]Groz_NIN_12_2014!F38</f>
        <v>237440</v>
      </c>
      <c r="F18" s="81">
        <v>218545</v>
      </c>
      <c r="G18" s="83">
        <v>244000</v>
      </c>
      <c r="H18" s="83">
        <v>252728.5</v>
      </c>
      <c r="I18" s="59">
        <v>224988</v>
      </c>
      <c r="J18" s="84">
        <v>196414</v>
      </c>
      <c r="K18" s="85"/>
      <c r="L18" s="85"/>
      <c r="M18" s="85"/>
      <c r="N18" s="85"/>
      <c r="O18" s="85"/>
      <c r="P18" s="85">
        <f>[4]Baze_2020!D18</f>
        <v>200500</v>
      </c>
      <c r="Q18" s="60">
        <f>L18+M18+N18+O18+P18</f>
        <v>200500</v>
      </c>
      <c r="R18" s="60">
        <f>ROUND(Q18,0)</f>
        <v>200500</v>
      </c>
      <c r="S18" s="60">
        <f t="shared" si="0"/>
        <v>0</v>
      </c>
      <c r="T18" s="86"/>
      <c r="U18" s="60">
        <f t="shared" si="5"/>
        <v>200500</v>
      </c>
      <c r="V18" s="60">
        <f t="shared" si="1"/>
        <v>0</v>
      </c>
      <c r="W18" s="86"/>
      <c r="X18" s="60">
        <f t="shared" ref="X18:X20" si="19">ROUND(U18,0)</f>
        <v>200500</v>
      </c>
      <c r="Y18" s="60">
        <f t="shared" si="2"/>
        <v>0</v>
      </c>
      <c r="Z18" s="86"/>
      <c r="AA18" s="60">
        <f t="shared" ref="AA18:AA20" si="20">ROUND(X18,0)</f>
        <v>200500</v>
      </c>
      <c r="AB18" s="60">
        <f t="shared" si="3"/>
        <v>0</v>
      </c>
      <c r="AC18" s="86"/>
      <c r="AD18" s="60">
        <f t="shared" ref="AD18:AD20" si="21">ROUND(AA18,0)</f>
        <v>200500</v>
      </c>
      <c r="AE18" s="60">
        <f t="shared" si="4"/>
        <v>0</v>
      </c>
      <c r="AF18" s="86"/>
      <c r="AG18" s="86"/>
      <c r="AH18" s="85">
        <v>168746</v>
      </c>
      <c r="AI18" s="86">
        <f t="shared" si="9"/>
        <v>0.84162593516209472</v>
      </c>
      <c r="AJ18" s="87"/>
    </row>
    <row r="19" spans="1:36" x14ac:dyDescent="0.25">
      <c r="A19" s="1" t="s">
        <v>36</v>
      </c>
      <c r="B19" s="54" t="s">
        <v>67</v>
      </c>
      <c r="C19" s="55" t="s">
        <v>68</v>
      </c>
      <c r="D19" s="56" t="s">
        <v>53</v>
      </c>
      <c r="E19" s="57">
        <f>[3]Groz_NIN_12_2014!F39</f>
        <v>33383</v>
      </c>
      <c r="F19" s="58">
        <v>48380</v>
      </c>
      <c r="G19" s="59">
        <v>31680</v>
      </c>
      <c r="H19" s="59">
        <v>23881</v>
      </c>
      <c r="I19" s="59">
        <v>13719.89</v>
      </c>
      <c r="J19" s="59">
        <v>31414</v>
      </c>
      <c r="K19" s="60"/>
      <c r="L19" s="60"/>
      <c r="M19" s="60"/>
      <c r="N19" s="60"/>
      <c r="O19" s="85"/>
      <c r="P19" s="85">
        <f>[4]Baze_2020!D19</f>
        <v>26935.845499999999</v>
      </c>
      <c r="Q19" s="60">
        <f>L19+M19+N19+O19+P19</f>
        <v>26935.845499999999</v>
      </c>
      <c r="R19" s="60">
        <f>ROUND(Q19,0)</f>
        <v>26936</v>
      </c>
      <c r="S19" s="60">
        <f t="shared" si="0"/>
        <v>0.15450000000055297</v>
      </c>
      <c r="T19" s="79"/>
      <c r="U19" s="60">
        <f t="shared" si="5"/>
        <v>26936</v>
      </c>
      <c r="V19" s="60">
        <f t="shared" si="1"/>
        <v>0</v>
      </c>
      <c r="W19" s="79"/>
      <c r="X19" s="60">
        <f t="shared" si="19"/>
        <v>26936</v>
      </c>
      <c r="Y19" s="60">
        <f t="shared" si="2"/>
        <v>0</v>
      </c>
      <c r="Z19" s="79"/>
      <c r="AA19" s="60">
        <f t="shared" si="20"/>
        <v>26936</v>
      </c>
      <c r="AB19" s="60">
        <f t="shared" si="3"/>
        <v>0</v>
      </c>
      <c r="AC19" s="79"/>
      <c r="AD19" s="60">
        <f t="shared" si="21"/>
        <v>26936</v>
      </c>
      <c r="AE19" s="60">
        <f t="shared" si="4"/>
        <v>0</v>
      </c>
      <c r="AF19" s="79"/>
      <c r="AG19" s="79"/>
      <c r="AH19" s="78">
        <v>12819</v>
      </c>
      <c r="AI19" s="79">
        <f t="shared" si="9"/>
        <v>0.47590585090585091</v>
      </c>
      <c r="AJ19" s="80"/>
    </row>
    <row r="20" spans="1:36" x14ac:dyDescent="0.25">
      <c r="B20" s="89" t="s">
        <v>69</v>
      </c>
      <c r="C20" s="67" t="s">
        <v>70</v>
      </c>
      <c r="D20" s="68" t="s">
        <v>71</v>
      </c>
      <c r="E20" s="69">
        <v>12805.846295695528</v>
      </c>
      <c r="F20" s="69">
        <v>17000</v>
      </c>
      <c r="G20" s="71">
        <v>19100</v>
      </c>
      <c r="H20" s="71">
        <v>17000</v>
      </c>
      <c r="I20" s="71">
        <v>21500</v>
      </c>
      <c r="J20" s="71">
        <v>24500</v>
      </c>
      <c r="K20" s="72"/>
      <c r="L20" s="72"/>
      <c r="M20" s="72"/>
      <c r="N20" s="72"/>
      <c r="O20" s="72"/>
      <c r="P20" s="72">
        <f>[4]Baze_2020!D20</f>
        <v>4300</v>
      </c>
      <c r="Q20" s="72">
        <f>K20+L20+M20+N20+P20</f>
        <v>4300</v>
      </c>
      <c r="R20" s="72">
        <f>Q20</f>
        <v>4300</v>
      </c>
      <c r="S20" s="72">
        <f t="shared" si="0"/>
        <v>0</v>
      </c>
      <c r="T20" s="73"/>
      <c r="U20" s="72">
        <f t="shared" si="5"/>
        <v>4300</v>
      </c>
      <c r="V20" s="72">
        <f t="shared" si="1"/>
        <v>0</v>
      </c>
      <c r="W20" s="73"/>
      <c r="X20" s="72">
        <f t="shared" si="19"/>
        <v>4300</v>
      </c>
      <c r="Y20" s="72">
        <f t="shared" si="2"/>
        <v>0</v>
      </c>
      <c r="Z20" s="73"/>
      <c r="AA20" s="72">
        <f t="shared" si="20"/>
        <v>4300</v>
      </c>
      <c r="AB20" s="72">
        <f t="shared" si="3"/>
        <v>0</v>
      </c>
      <c r="AC20" s="73"/>
      <c r="AD20" s="72">
        <f t="shared" si="21"/>
        <v>4300</v>
      </c>
      <c r="AE20" s="72">
        <f t="shared" si="4"/>
        <v>0</v>
      </c>
      <c r="AF20" s="73"/>
      <c r="AG20" s="73"/>
      <c r="AH20" s="72">
        <v>4239</v>
      </c>
      <c r="AI20" s="73">
        <f t="shared" si="9"/>
        <v>0.98581395348837209</v>
      </c>
      <c r="AJ20" s="74"/>
    </row>
    <row r="21" spans="1:36" ht="15.75" customHeight="1" x14ac:dyDescent="0.25">
      <c r="B21" s="1" t="s">
        <v>72</v>
      </c>
      <c r="C21" s="67" t="s">
        <v>73</v>
      </c>
      <c r="D21" s="68" t="s">
        <v>74</v>
      </c>
      <c r="E21" s="69">
        <f t="shared" ref="E21:P21" si="22">E22+E26</f>
        <v>20489.354073112845</v>
      </c>
      <c r="F21" s="70">
        <f t="shared" si="22"/>
        <v>20210</v>
      </c>
      <c r="G21" s="71">
        <f>G22+G26</f>
        <v>25350</v>
      </c>
      <c r="H21" s="71">
        <v>22950</v>
      </c>
      <c r="I21" s="71">
        <f>I22+I26</f>
        <v>29800</v>
      </c>
      <c r="J21" s="71">
        <v>39480</v>
      </c>
      <c r="K21" s="72">
        <f t="shared" si="22"/>
        <v>0</v>
      </c>
      <c r="L21" s="72">
        <f t="shared" si="22"/>
        <v>0</v>
      </c>
      <c r="M21" s="72">
        <f t="shared" si="22"/>
        <v>0</v>
      </c>
      <c r="N21" s="72"/>
      <c r="O21" s="72">
        <f>O22+O26</f>
        <v>0</v>
      </c>
      <c r="P21" s="72">
        <f t="shared" si="22"/>
        <v>25000</v>
      </c>
      <c r="Q21" s="72">
        <f>Q22+Q26</f>
        <v>25000</v>
      </c>
      <c r="R21" s="72">
        <f>R22+R26</f>
        <v>25000</v>
      </c>
      <c r="S21" s="72">
        <f t="shared" si="0"/>
        <v>0</v>
      </c>
      <c r="T21" s="73"/>
      <c r="U21" s="72">
        <f>U22+U26</f>
        <v>25000</v>
      </c>
      <c r="V21" s="72">
        <f t="shared" si="1"/>
        <v>0</v>
      </c>
      <c r="W21" s="73"/>
      <c r="X21" s="72">
        <f>X22+X26</f>
        <v>25000</v>
      </c>
      <c r="Y21" s="72">
        <f t="shared" si="2"/>
        <v>0</v>
      </c>
      <c r="Z21" s="73"/>
      <c r="AA21" s="72">
        <f>AA22+AA26</f>
        <v>25000</v>
      </c>
      <c r="AB21" s="72">
        <f t="shared" si="3"/>
        <v>0</v>
      </c>
      <c r="AC21" s="73"/>
      <c r="AD21" s="72">
        <f>AD22+AD26</f>
        <v>25000</v>
      </c>
      <c r="AE21" s="72">
        <f t="shared" si="4"/>
        <v>0</v>
      </c>
      <c r="AF21" s="73"/>
      <c r="AG21" s="73"/>
      <c r="AH21" s="72">
        <f>AH22+AH26</f>
        <v>18496</v>
      </c>
      <c r="AI21" s="73">
        <f t="shared" si="9"/>
        <v>0.73984000000000005</v>
      </c>
      <c r="AJ21" s="90"/>
    </row>
    <row r="22" spans="1:36" x14ac:dyDescent="0.25">
      <c r="A22" s="1" t="s">
        <v>36</v>
      </c>
      <c r="B22" s="1" t="s">
        <v>75</v>
      </c>
      <c r="C22" s="55" t="s">
        <v>76</v>
      </c>
      <c r="D22" s="56" t="s">
        <v>77</v>
      </c>
      <c r="E22" s="75">
        <f t="shared" ref="E22:P22" si="23">E23+E24+E25</f>
        <v>2490.025668607464</v>
      </c>
      <c r="F22" s="75">
        <f t="shared" si="23"/>
        <v>3800</v>
      </c>
      <c r="G22" s="77">
        <f>G23+G24+G25</f>
        <v>4445</v>
      </c>
      <c r="H22" s="77">
        <v>4000</v>
      </c>
      <c r="I22" s="77">
        <f>I23+I24+I25</f>
        <v>4000</v>
      </c>
      <c r="J22" s="77">
        <v>4000</v>
      </c>
      <c r="K22" s="78">
        <f t="shared" si="23"/>
        <v>0</v>
      </c>
      <c r="L22" s="78">
        <f t="shared" si="23"/>
        <v>0</v>
      </c>
      <c r="M22" s="78">
        <f t="shared" si="23"/>
        <v>0</v>
      </c>
      <c r="N22" s="78"/>
      <c r="O22" s="78">
        <f>O23+O24+O25</f>
        <v>0</v>
      </c>
      <c r="P22" s="78">
        <f t="shared" si="23"/>
        <v>4000</v>
      </c>
      <c r="Q22" s="78">
        <f>Q23+Q24+Q25</f>
        <v>4000</v>
      </c>
      <c r="R22" s="78">
        <f>R23+R24+R25</f>
        <v>4000</v>
      </c>
      <c r="S22" s="78">
        <f t="shared" si="0"/>
        <v>0</v>
      </c>
      <c r="T22" s="79"/>
      <c r="U22" s="78">
        <f>U23+U24+U25</f>
        <v>4000</v>
      </c>
      <c r="V22" s="78">
        <f t="shared" si="1"/>
        <v>0</v>
      </c>
      <c r="W22" s="79"/>
      <c r="X22" s="78">
        <f>X23+X24+X25</f>
        <v>4000</v>
      </c>
      <c r="Y22" s="78">
        <f t="shared" si="2"/>
        <v>0</v>
      </c>
      <c r="Z22" s="79"/>
      <c r="AA22" s="78">
        <f>AA23+AA24+AA25</f>
        <v>4000</v>
      </c>
      <c r="AB22" s="78">
        <f t="shared" si="3"/>
        <v>0</v>
      </c>
      <c r="AC22" s="79"/>
      <c r="AD22" s="78">
        <f>AD23+AD24+AD25</f>
        <v>4000</v>
      </c>
      <c r="AE22" s="78">
        <f t="shared" si="4"/>
        <v>0</v>
      </c>
      <c r="AF22" s="79"/>
      <c r="AG22" s="79"/>
      <c r="AH22" s="78">
        <f>AH23+AH24+AH25</f>
        <v>1280</v>
      </c>
      <c r="AI22" s="79">
        <f t="shared" si="9"/>
        <v>0.32</v>
      </c>
      <c r="AJ22" s="80"/>
    </row>
    <row r="23" spans="1:36" ht="26.25" x14ac:dyDescent="0.25">
      <c r="B23" s="54" t="s">
        <v>78</v>
      </c>
      <c r="C23" s="91" t="s">
        <v>79</v>
      </c>
      <c r="D23" s="92" t="s">
        <v>80</v>
      </c>
      <c r="E23" s="75">
        <v>1138.2974485062691</v>
      </c>
      <c r="F23" s="75">
        <v>1300</v>
      </c>
      <c r="G23" s="77">
        <v>2155</v>
      </c>
      <c r="H23" s="77">
        <v>1800</v>
      </c>
      <c r="I23" s="59">
        <v>1800</v>
      </c>
      <c r="J23" s="59">
        <v>1800</v>
      </c>
      <c r="K23" s="78"/>
      <c r="L23" s="78"/>
      <c r="M23" s="78"/>
      <c r="N23" s="78"/>
      <c r="O23" s="78"/>
      <c r="P23" s="78">
        <v>1800</v>
      </c>
      <c r="Q23" s="60">
        <f>L23+M23+N23+O23+P23</f>
        <v>1800</v>
      </c>
      <c r="R23" s="60">
        <f>ROUND(Q23,0)</f>
        <v>1800</v>
      </c>
      <c r="S23" s="60">
        <f t="shared" si="0"/>
        <v>0</v>
      </c>
      <c r="T23" s="79"/>
      <c r="U23" s="60">
        <f t="shared" ref="U23:U25" si="24">ROUND(R23,0)</f>
        <v>1800</v>
      </c>
      <c r="V23" s="60">
        <f t="shared" si="1"/>
        <v>0</v>
      </c>
      <c r="W23" s="79"/>
      <c r="X23" s="60">
        <f t="shared" ref="X23:X25" si="25">ROUND(U23,0)</f>
        <v>1800</v>
      </c>
      <c r="Y23" s="60">
        <f t="shared" si="2"/>
        <v>0</v>
      </c>
      <c r="Z23" s="79"/>
      <c r="AA23" s="60">
        <f t="shared" ref="AA23:AA25" si="26">ROUND(X23,0)</f>
        <v>1800</v>
      </c>
      <c r="AB23" s="60">
        <f t="shared" si="3"/>
        <v>0</v>
      </c>
      <c r="AC23" s="79"/>
      <c r="AD23" s="60">
        <f t="shared" ref="AD23:AD25" si="27">ROUND(AA23,0)</f>
        <v>1800</v>
      </c>
      <c r="AE23" s="60">
        <f t="shared" si="4"/>
        <v>0</v>
      </c>
      <c r="AF23" s="79"/>
      <c r="AG23" s="79"/>
      <c r="AH23" s="78">
        <v>611</v>
      </c>
      <c r="AI23" s="79">
        <f t="shared" si="9"/>
        <v>0.33944444444444444</v>
      </c>
      <c r="AJ23" s="80"/>
    </row>
    <row r="24" spans="1:36" ht="26.25" x14ac:dyDescent="0.25">
      <c r="B24" s="54" t="s">
        <v>81</v>
      </c>
      <c r="C24" s="91" t="s">
        <v>82</v>
      </c>
      <c r="D24" s="92" t="s">
        <v>83</v>
      </c>
      <c r="E24" s="75">
        <v>853.72308637970195</v>
      </c>
      <c r="F24" s="75">
        <f>1500+500</f>
        <v>2000</v>
      </c>
      <c r="G24" s="77">
        <v>1990</v>
      </c>
      <c r="H24" s="77">
        <v>1900</v>
      </c>
      <c r="I24" s="59">
        <v>1900</v>
      </c>
      <c r="J24" s="59">
        <v>1900</v>
      </c>
      <c r="K24" s="78"/>
      <c r="L24" s="78"/>
      <c r="M24" s="78"/>
      <c r="N24" s="78"/>
      <c r="O24" s="78"/>
      <c r="P24" s="78">
        <v>1900</v>
      </c>
      <c r="Q24" s="60">
        <f>L24+M24+N24+O24+P24</f>
        <v>1900</v>
      </c>
      <c r="R24" s="60">
        <f>ROUND(Q24,0)</f>
        <v>1900</v>
      </c>
      <c r="S24" s="60">
        <f t="shared" si="0"/>
        <v>0</v>
      </c>
      <c r="T24" s="79"/>
      <c r="U24" s="60">
        <f t="shared" si="24"/>
        <v>1900</v>
      </c>
      <c r="V24" s="60">
        <f t="shared" si="1"/>
        <v>0</v>
      </c>
      <c r="W24" s="79"/>
      <c r="X24" s="60">
        <f t="shared" si="25"/>
        <v>1900</v>
      </c>
      <c r="Y24" s="60">
        <f t="shared" si="2"/>
        <v>0</v>
      </c>
      <c r="Z24" s="79"/>
      <c r="AA24" s="60">
        <f t="shared" si="26"/>
        <v>1900</v>
      </c>
      <c r="AB24" s="60">
        <f t="shared" si="3"/>
        <v>0</v>
      </c>
      <c r="AC24" s="79"/>
      <c r="AD24" s="60">
        <f t="shared" si="27"/>
        <v>1900</v>
      </c>
      <c r="AE24" s="60">
        <f t="shared" si="4"/>
        <v>0</v>
      </c>
      <c r="AF24" s="79"/>
      <c r="AG24" s="79"/>
      <c r="AH24" s="78">
        <v>619</v>
      </c>
      <c r="AI24" s="79">
        <f t="shared" si="9"/>
        <v>0.32578947368421052</v>
      </c>
      <c r="AJ24" s="80"/>
    </row>
    <row r="25" spans="1:36" ht="26.25" x14ac:dyDescent="0.25">
      <c r="B25" s="54" t="s">
        <v>84</v>
      </c>
      <c r="C25" s="91" t="s">
        <v>85</v>
      </c>
      <c r="D25" s="92" t="s">
        <v>86</v>
      </c>
      <c r="E25" s="75">
        <v>498.00513372149277</v>
      </c>
      <c r="F25" s="75">
        <v>500</v>
      </c>
      <c r="G25" s="77">
        <v>300</v>
      </c>
      <c r="H25" s="77">
        <v>300</v>
      </c>
      <c r="I25" s="59">
        <v>300</v>
      </c>
      <c r="J25" s="59">
        <v>300</v>
      </c>
      <c r="K25" s="78"/>
      <c r="L25" s="78"/>
      <c r="M25" s="78"/>
      <c r="N25" s="78"/>
      <c r="O25" s="78"/>
      <c r="P25" s="78">
        <v>300</v>
      </c>
      <c r="Q25" s="60">
        <f>L25+M25+N25+O25+P25</f>
        <v>300</v>
      </c>
      <c r="R25" s="60">
        <f>ROUND(Q25,0)</f>
        <v>300</v>
      </c>
      <c r="S25" s="60">
        <f t="shared" si="0"/>
        <v>0</v>
      </c>
      <c r="T25" s="79"/>
      <c r="U25" s="60">
        <f t="shared" si="24"/>
        <v>300</v>
      </c>
      <c r="V25" s="60">
        <f t="shared" si="1"/>
        <v>0</v>
      </c>
      <c r="W25" s="79"/>
      <c r="X25" s="60">
        <f t="shared" si="25"/>
        <v>300</v>
      </c>
      <c r="Y25" s="60">
        <f t="shared" si="2"/>
        <v>0</v>
      </c>
      <c r="Z25" s="79"/>
      <c r="AA25" s="60">
        <f t="shared" si="26"/>
        <v>300</v>
      </c>
      <c r="AB25" s="60">
        <f t="shared" si="3"/>
        <v>0</v>
      </c>
      <c r="AC25" s="79"/>
      <c r="AD25" s="60">
        <f t="shared" si="27"/>
        <v>300</v>
      </c>
      <c r="AE25" s="60">
        <f t="shared" si="4"/>
        <v>0</v>
      </c>
      <c r="AF25" s="79"/>
      <c r="AG25" s="79"/>
      <c r="AH25" s="78">
        <v>50</v>
      </c>
      <c r="AI25" s="79">
        <f t="shared" si="9"/>
        <v>0.16666666666666666</v>
      </c>
      <c r="AJ25" s="80"/>
    </row>
    <row r="26" spans="1:36" x14ac:dyDescent="0.25">
      <c r="A26" s="1" t="s">
        <v>36</v>
      </c>
      <c r="B26" s="1" t="s">
        <v>87</v>
      </c>
      <c r="C26" s="55" t="s">
        <v>88</v>
      </c>
      <c r="D26" s="56" t="s">
        <v>89</v>
      </c>
      <c r="E26" s="75">
        <f t="shared" ref="E26:M26" si="28">SUM(E27:E32)</f>
        <v>17999.328404505381</v>
      </c>
      <c r="F26" s="75">
        <f t="shared" si="28"/>
        <v>16410</v>
      </c>
      <c r="G26" s="77">
        <f t="shared" si="28"/>
        <v>20905</v>
      </c>
      <c r="H26" s="77">
        <v>18950</v>
      </c>
      <c r="I26" s="77">
        <f>SUM(I27:I32)</f>
        <v>25800</v>
      </c>
      <c r="J26" s="77">
        <v>35480</v>
      </c>
      <c r="K26" s="78">
        <f t="shared" si="28"/>
        <v>0</v>
      </c>
      <c r="L26" s="78">
        <f t="shared" si="28"/>
        <v>0</v>
      </c>
      <c r="M26" s="78">
        <f t="shared" si="28"/>
        <v>0</v>
      </c>
      <c r="N26" s="78"/>
      <c r="O26" s="78">
        <f>SUM(O27:O32)</f>
        <v>0</v>
      </c>
      <c r="P26" s="78">
        <f>SUM(P27:P32)</f>
        <v>21000</v>
      </c>
      <c r="Q26" s="78">
        <f>SUM(Q27:Q32)</f>
        <v>21000</v>
      </c>
      <c r="R26" s="78">
        <f>SUM(R27:R32)</f>
        <v>21000</v>
      </c>
      <c r="S26" s="78">
        <f t="shared" si="0"/>
        <v>0</v>
      </c>
      <c r="T26" s="79"/>
      <c r="U26" s="78">
        <f>SUM(U27:U32)</f>
        <v>21000</v>
      </c>
      <c r="V26" s="78">
        <f t="shared" si="1"/>
        <v>0</v>
      </c>
      <c r="W26" s="79"/>
      <c r="X26" s="78">
        <f>SUM(X27:X32)</f>
        <v>21000</v>
      </c>
      <c r="Y26" s="78">
        <f t="shared" si="2"/>
        <v>0</v>
      </c>
      <c r="Z26" s="79"/>
      <c r="AA26" s="78">
        <f>SUM(AA27:AA32)</f>
        <v>21000</v>
      </c>
      <c r="AB26" s="78">
        <f t="shared" si="3"/>
        <v>0</v>
      </c>
      <c r="AC26" s="79"/>
      <c r="AD26" s="78">
        <f>SUM(AD27:AD32)</f>
        <v>21000</v>
      </c>
      <c r="AE26" s="78">
        <f t="shared" si="4"/>
        <v>0</v>
      </c>
      <c r="AF26" s="79"/>
      <c r="AG26" s="79"/>
      <c r="AH26" s="78">
        <f>SUM(AH27:AH32)</f>
        <v>17216</v>
      </c>
      <c r="AI26" s="63">
        <f t="shared" si="9"/>
        <v>0.81980952380952377</v>
      </c>
      <c r="AJ26" s="80"/>
    </row>
    <row r="27" spans="1:36" ht="26.25" x14ac:dyDescent="0.25">
      <c r="B27" s="54" t="s">
        <v>90</v>
      </c>
      <c r="C27" s="91" t="s">
        <v>91</v>
      </c>
      <c r="D27" s="93" t="s">
        <v>92</v>
      </c>
      <c r="E27" s="75">
        <v>327.26051644555241</v>
      </c>
      <c r="F27" s="75">
        <v>1300</v>
      </c>
      <c r="G27" s="77">
        <v>430</v>
      </c>
      <c r="H27" s="77">
        <v>400</v>
      </c>
      <c r="I27" s="59">
        <v>500</v>
      </c>
      <c r="J27" s="59">
        <v>500</v>
      </c>
      <c r="K27" s="78"/>
      <c r="L27" s="78"/>
      <c r="M27" s="78"/>
      <c r="N27" s="78"/>
      <c r="O27" s="78"/>
      <c r="P27" s="78">
        <v>500</v>
      </c>
      <c r="Q27" s="60">
        <f>L27+M27+N27+O27+P27</f>
        <v>500</v>
      </c>
      <c r="R27" s="60">
        <f t="shared" ref="R27:R32" si="29">ROUND(Q27,0)</f>
        <v>500</v>
      </c>
      <c r="S27" s="60">
        <f t="shared" si="0"/>
        <v>0</v>
      </c>
      <c r="T27" s="79"/>
      <c r="U27" s="60">
        <f t="shared" ref="U27:U32" si="30">ROUND(R27,0)</f>
        <v>500</v>
      </c>
      <c r="V27" s="60">
        <f t="shared" si="1"/>
        <v>0</v>
      </c>
      <c r="W27" s="79"/>
      <c r="X27" s="60">
        <f t="shared" ref="X27:X32" si="31">ROUND(U27,0)</f>
        <v>500</v>
      </c>
      <c r="Y27" s="60">
        <f t="shared" si="2"/>
        <v>0</v>
      </c>
      <c r="Z27" s="79"/>
      <c r="AA27" s="60">
        <f t="shared" ref="AA27:AA32" si="32">ROUND(X27,0)</f>
        <v>500</v>
      </c>
      <c r="AB27" s="60">
        <f t="shared" si="3"/>
        <v>0</v>
      </c>
      <c r="AC27" s="79"/>
      <c r="AD27" s="60">
        <f t="shared" ref="AD27:AD32" si="33">ROUND(AA27,0)</f>
        <v>500</v>
      </c>
      <c r="AE27" s="60">
        <f t="shared" si="4"/>
        <v>0</v>
      </c>
      <c r="AF27" s="79"/>
      <c r="AG27" s="79"/>
      <c r="AH27" s="78">
        <f>287+80</f>
        <v>367</v>
      </c>
      <c r="AI27" s="79">
        <f t="shared" si="9"/>
        <v>0.73399999999999999</v>
      </c>
      <c r="AJ27" s="80"/>
    </row>
    <row r="28" spans="1:36" x14ac:dyDescent="0.25">
      <c r="B28" s="54" t="s">
        <v>93</v>
      </c>
      <c r="C28" s="91" t="s">
        <v>94</v>
      </c>
      <c r="D28" s="94" t="s">
        <v>95</v>
      </c>
      <c r="E28" s="75">
        <v>3685.2379895390463</v>
      </c>
      <c r="F28" s="75">
        <v>5200</v>
      </c>
      <c r="G28" s="77">
        <v>8720</v>
      </c>
      <c r="H28" s="77">
        <v>8500</v>
      </c>
      <c r="I28" s="59">
        <v>8850</v>
      </c>
      <c r="J28" s="59">
        <v>8850</v>
      </c>
      <c r="K28" s="78"/>
      <c r="L28" s="78"/>
      <c r="M28" s="78"/>
      <c r="N28" s="78"/>
      <c r="O28" s="78"/>
      <c r="P28" s="78">
        <v>8850</v>
      </c>
      <c r="Q28" s="60">
        <f>L28+M28+N28+O28+P28</f>
        <v>8850</v>
      </c>
      <c r="R28" s="60">
        <f t="shared" si="29"/>
        <v>8850</v>
      </c>
      <c r="S28" s="60">
        <f t="shared" si="0"/>
        <v>0</v>
      </c>
      <c r="T28" s="79"/>
      <c r="U28" s="60">
        <f t="shared" si="30"/>
        <v>8850</v>
      </c>
      <c r="V28" s="60">
        <f t="shared" si="1"/>
        <v>0</v>
      </c>
      <c r="W28" s="79"/>
      <c r="X28" s="60">
        <f t="shared" si="31"/>
        <v>8850</v>
      </c>
      <c r="Y28" s="60">
        <f t="shared" si="2"/>
        <v>0</v>
      </c>
      <c r="Z28" s="79"/>
      <c r="AA28" s="60">
        <f t="shared" si="32"/>
        <v>8850</v>
      </c>
      <c r="AB28" s="60">
        <f t="shared" si="3"/>
        <v>0</v>
      </c>
      <c r="AC28" s="79"/>
      <c r="AD28" s="60">
        <f t="shared" si="33"/>
        <v>8850</v>
      </c>
      <c r="AE28" s="60">
        <f t="shared" si="4"/>
        <v>0</v>
      </c>
      <c r="AF28" s="79"/>
      <c r="AG28" s="79"/>
      <c r="AH28" s="78">
        <v>4521</v>
      </c>
      <c r="AI28" s="79">
        <f t="shared" si="9"/>
        <v>0.5108474576271187</v>
      </c>
      <c r="AJ28" s="80"/>
    </row>
    <row r="29" spans="1:36" x14ac:dyDescent="0.25">
      <c r="B29" s="54" t="s">
        <v>96</v>
      </c>
      <c r="C29" s="91" t="s">
        <v>97</v>
      </c>
      <c r="D29" s="92" t="s">
        <v>98</v>
      </c>
      <c r="E29" s="75">
        <v>42.686154318985096</v>
      </c>
      <c r="F29" s="75">
        <v>260</v>
      </c>
      <c r="G29" s="77">
        <v>300</v>
      </c>
      <c r="H29" s="77">
        <v>250</v>
      </c>
      <c r="I29" s="59">
        <v>250</v>
      </c>
      <c r="J29" s="59">
        <v>250</v>
      </c>
      <c r="K29" s="78"/>
      <c r="L29" s="78"/>
      <c r="M29" s="78"/>
      <c r="N29" s="78"/>
      <c r="O29" s="78"/>
      <c r="P29" s="78">
        <v>250</v>
      </c>
      <c r="Q29" s="60">
        <f>L29+M29+N29+O29+P29</f>
        <v>250</v>
      </c>
      <c r="R29" s="60">
        <f t="shared" si="29"/>
        <v>250</v>
      </c>
      <c r="S29" s="60">
        <f t="shared" si="0"/>
        <v>0</v>
      </c>
      <c r="T29" s="79"/>
      <c r="U29" s="60">
        <f t="shared" si="30"/>
        <v>250</v>
      </c>
      <c r="V29" s="60">
        <f t="shared" si="1"/>
        <v>0</v>
      </c>
      <c r="W29" s="79"/>
      <c r="X29" s="60">
        <f t="shared" si="31"/>
        <v>250</v>
      </c>
      <c r="Y29" s="60">
        <f t="shared" si="2"/>
        <v>0</v>
      </c>
      <c r="Z29" s="79"/>
      <c r="AA29" s="60">
        <f t="shared" si="32"/>
        <v>250</v>
      </c>
      <c r="AB29" s="60">
        <f t="shared" si="3"/>
        <v>0</v>
      </c>
      <c r="AC29" s="79"/>
      <c r="AD29" s="60">
        <f t="shared" si="33"/>
        <v>250</v>
      </c>
      <c r="AE29" s="60">
        <f t="shared" si="4"/>
        <v>0</v>
      </c>
      <c r="AF29" s="79"/>
      <c r="AG29" s="79"/>
      <c r="AH29" s="78">
        <v>4</v>
      </c>
      <c r="AI29" s="79">
        <f t="shared" si="9"/>
        <v>1.6E-2</v>
      </c>
      <c r="AJ29" s="80"/>
    </row>
    <row r="30" spans="1:36" ht="26.25" x14ac:dyDescent="0.25">
      <c r="B30" s="54" t="s">
        <v>99</v>
      </c>
      <c r="C30" s="91" t="s">
        <v>100</v>
      </c>
      <c r="D30" s="92" t="s">
        <v>101</v>
      </c>
      <c r="E30" s="75">
        <v>4553.1897940250765</v>
      </c>
      <c r="F30" s="75">
        <f>4000-400</f>
        <v>3600</v>
      </c>
      <c r="G30" s="77">
        <v>2040</v>
      </c>
      <c r="H30" s="77">
        <v>1800</v>
      </c>
      <c r="I30" s="59">
        <v>3200</v>
      </c>
      <c r="J30" s="59">
        <v>7880</v>
      </c>
      <c r="K30" s="78"/>
      <c r="L30" s="78"/>
      <c r="M30" s="78"/>
      <c r="N30" s="78"/>
      <c r="O30" s="78"/>
      <c r="P30" s="78">
        <v>1900</v>
      </c>
      <c r="Q30" s="60">
        <f>L30+M30+N30+O30+P30</f>
        <v>1900</v>
      </c>
      <c r="R30" s="60">
        <f t="shared" si="29"/>
        <v>1900</v>
      </c>
      <c r="S30" s="60">
        <f t="shared" si="0"/>
        <v>0</v>
      </c>
      <c r="T30" s="79"/>
      <c r="U30" s="60">
        <f t="shared" si="30"/>
        <v>1900</v>
      </c>
      <c r="V30" s="60">
        <f t="shared" si="1"/>
        <v>0</v>
      </c>
      <c r="W30" s="79"/>
      <c r="X30" s="60">
        <f t="shared" si="31"/>
        <v>1900</v>
      </c>
      <c r="Y30" s="60">
        <f t="shared" si="2"/>
        <v>0</v>
      </c>
      <c r="Z30" s="79"/>
      <c r="AA30" s="60">
        <f t="shared" si="32"/>
        <v>1900</v>
      </c>
      <c r="AB30" s="60">
        <f t="shared" si="3"/>
        <v>0</v>
      </c>
      <c r="AC30" s="79"/>
      <c r="AD30" s="60">
        <f t="shared" si="33"/>
        <v>1900</v>
      </c>
      <c r="AE30" s="60">
        <f t="shared" si="4"/>
        <v>0</v>
      </c>
      <c r="AF30" s="79"/>
      <c r="AG30" s="79"/>
      <c r="AH30" s="78">
        <v>5070</v>
      </c>
      <c r="AI30" s="63">
        <f t="shared" si="9"/>
        <v>2.668421052631579</v>
      </c>
      <c r="AJ30" s="80"/>
    </row>
    <row r="31" spans="1:36" x14ac:dyDescent="0.25">
      <c r="B31" s="54" t="s">
        <v>102</v>
      </c>
      <c r="C31" s="91" t="s">
        <v>103</v>
      </c>
      <c r="D31" s="92" t="s">
        <v>104</v>
      </c>
      <c r="E31" s="75">
        <v>6545.2103289110482</v>
      </c>
      <c r="F31" s="75">
        <v>5500</v>
      </c>
      <c r="G31" s="77">
        <v>8800</v>
      </c>
      <c r="H31" s="77">
        <v>7500</v>
      </c>
      <c r="I31" s="59">
        <v>10000</v>
      </c>
      <c r="J31" s="59">
        <v>13000</v>
      </c>
      <c r="K31" s="78"/>
      <c r="L31" s="78"/>
      <c r="M31" s="78"/>
      <c r="N31" s="78"/>
      <c r="O31" s="78"/>
      <c r="P31" s="78">
        <v>9000</v>
      </c>
      <c r="Q31" s="60">
        <f>L31+M31+N31+P31</f>
        <v>9000</v>
      </c>
      <c r="R31" s="60">
        <f t="shared" si="29"/>
        <v>9000</v>
      </c>
      <c r="S31" s="60">
        <f t="shared" si="0"/>
        <v>0</v>
      </c>
      <c r="T31" s="79"/>
      <c r="U31" s="60">
        <f t="shared" si="30"/>
        <v>9000</v>
      </c>
      <c r="V31" s="60">
        <f t="shared" si="1"/>
        <v>0</v>
      </c>
      <c r="W31" s="79"/>
      <c r="X31" s="60">
        <f t="shared" si="31"/>
        <v>9000</v>
      </c>
      <c r="Y31" s="60">
        <f t="shared" si="2"/>
        <v>0</v>
      </c>
      <c r="Z31" s="79"/>
      <c r="AA31" s="60">
        <f t="shared" si="32"/>
        <v>9000</v>
      </c>
      <c r="AB31" s="60">
        <f t="shared" si="3"/>
        <v>0</v>
      </c>
      <c r="AC31" s="79"/>
      <c r="AD31" s="60">
        <f t="shared" si="33"/>
        <v>9000</v>
      </c>
      <c r="AE31" s="60">
        <f t="shared" si="4"/>
        <v>0</v>
      </c>
      <c r="AF31" s="79"/>
      <c r="AG31" s="79"/>
      <c r="AH31" s="78">
        <v>6287</v>
      </c>
      <c r="AI31" s="63">
        <f t="shared" si="9"/>
        <v>0.6985555555555556</v>
      </c>
      <c r="AJ31" s="80"/>
    </row>
    <row r="32" spans="1:36" x14ac:dyDescent="0.25">
      <c r="B32" s="54" t="s">
        <v>105</v>
      </c>
      <c r="C32" s="91" t="s">
        <v>106</v>
      </c>
      <c r="D32" s="92" t="s">
        <v>107</v>
      </c>
      <c r="E32" s="75">
        <v>2845.743621265673</v>
      </c>
      <c r="F32" s="75">
        <f>150+400</f>
        <v>550</v>
      </c>
      <c r="G32" s="77">
        <v>615</v>
      </c>
      <c r="H32" s="77">
        <v>500</v>
      </c>
      <c r="I32" s="59">
        <v>3000</v>
      </c>
      <c r="J32" s="59">
        <v>5000</v>
      </c>
      <c r="K32" s="78"/>
      <c r="L32" s="78"/>
      <c r="M32" s="78"/>
      <c r="N32" s="78"/>
      <c r="O32" s="78"/>
      <c r="P32" s="78">
        <v>500</v>
      </c>
      <c r="Q32" s="60">
        <f>L32+M32+N32+O32+P32</f>
        <v>500</v>
      </c>
      <c r="R32" s="60">
        <f t="shared" si="29"/>
        <v>500</v>
      </c>
      <c r="S32" s="60">
        <f t="shared" si="0"/>
        <v>0</v>
      </c>
      <c r="T32" s="79"/>
      <c r="U32" s="60">
        <f t="shared" si="30"/>
        <v>500</v>
      </c>
      <c r="V32" s="60">
        <f t="shared" si="1"/>
        <v>0</v>
      </c>
      <c r="W32" s="79"/>
      <c r="X32" s="60">
        <f t="shared" si="31"/>
        <v>500</v>
      </c>
      <c r="Y32" s="60">
        <f t="shared" si="2"/>
        <v>0</v>
      </c>
      <c r="Z32" s="79"/>
      <c r="AA32" s="60">
        <f t="shared" si="32"/>
        <v>500</v>
      </c>
      <c r="AB32" s="60">
        <f t="shared" si="3"/>
        <v>0</v>
      </c>
      <c r="AC32" s="79"/>
      <c r="AD32" s="60">
        <f t="shared" si="33"/>
        <v>500</v>
      </c>
      <c r="AE32" s="60">
        <f t="shared" si="4"/>
        <v>0</v>
      </c>
      <c r="AF32" s="79"/>
      <c r="AG32" s="79"/>
      <c r="AH32" s="78">
        <v>967</v>
      </c>
      <c r="AI32" s="63">
        <f t="shared" si="9"/>
        <v>1.9339999999999999</v>
      </c>
      <c r="AJ32" s="80"/>
    </row>
    <row r="33" spans="1:41" ht="18" customHeight="1" x14ac:dyDescent="0.25">
      <c r="B33" s="1" t="s">
        <v>108</v>
      </c>
      <c r="C33" s="67" t="s">
        <v>109</v>
      </c>
      <c r="D33" s="68" t="s">
        <v>110</v>
      </c>
      <c r="E33" s="69">
        <f>SUM(E34:E35)</f>
        <v>18497.333538226874</v>
      </c>
      <c r="F33" s="69" t="e">
        <f>F34+F35+#REF!</f>
        <v>#REF!</v>
      </c>
      <c r="G33" s="71">
        <f>G34+G35</f>
        <v>27300</v>
      </c>
      <c r="H33" s="71">
        <v>23215</v>
      </c>
      <c r="I33" s="71">
        <f>I34+I35</f>
        <v>26000</v>
      </c>
      <c r="J33" s="71">
        <v>34000</v>
      </c>
      <c r="K33" s="72">
        <f>SUM(K34:K35)</f>
        <v>0</v>
      </c>
      <c r="L33" s="72">
        <f>SUM(L34:L35)</f>
        <v>0</v>
      </c>
      <c r="M33" s="72">
        <f>SUM(M34:M35)</f>
        <v>0</v>
      </c>
      <c r="N33" s="72"/>
      <c r="O33" s="72">
        <f>O34+O35</f>
        <v>0</v>
      </c>
      <c r="P33" s="72">
        <f>P34+P35</f>
        <v>26000</v>
      </c>
      <c r="Q33" s="72">
        <f>Q34+Q35</f>
        <v>26000</v>
      </c>
      <c r="R33" s="72">
        <f>R34+R35</f>
        <v>26000</v>
      </c>
      <c r="S33" s="72">
        <f t="shared" si="0"/>
        <v>0</v>
      </c>
      <c r="T33" s="90"/>
      <c r="U33" s="72">
        <f>U34+U35</f>
        <v>26000</v>
      </c>
      <c r="V33" s="72">
        <f t="shared" si="1"/>
        <v>0</v>
      </c>
      <c r="W33" s="90"/>
      <c r="X33" s="72">
        <f>X34+X35</f>
        <v>26000</v>
      </c>
      <c r="Y33" s="72">
        <f t="shared" si="2"/>
        <v>0</v>
      </c>
      <c r="Z33" s="90"/>
      <c r="AA33" s="72">
        <f>AA34+AA35</f>
        <v>26000</v>
      </c>
      <c r="AB33" s="72">
        <f t="shared" si="3"/>
        <v>0</v>
      </c>
      <c r="AC33" s="90"/>
      <c r="AD33" s="72">
        <f>AD34+AD35</f>
        <v>26000</v>
      </c>
      <c r="AE33" s="72">
        <f t="shared" si="4"/>
        <v>0</v>
      </c>
      <c r="AF33" s="90"/>
      <c r="AG33" s="90"/>
      <c r="AH33" s="72">
        <f>AH34+AH35</f>
        <v>16843</v>
      </c>
      <c r="AI33" s="73">
        <f t="shared" si="9"/>
        <v>0.64780769230769231</v>
      </c>
      <c r="AJ33" s="90"/>
    </row>
    <row r="34" spans="1:41" s="11" customFormat="1" ht="16.5" customHeight="1" x14ac:dyDescent="0.25">
      <c r="B34" s="89" t="s">
        <v>111</v>
      </c>
      <c r="C34" s="55" t="s">
        <v>112</v>
      </c>
      <c r="D34" s="56" t="s">
        <v>110</v>
      </c>
      <c r="E34" s="57">
        <v>18497.333538226874</v>
      </c>
      <c r="F34" s="57">
        <v>17000</v>
      </c>
      <c r="G34" s="59">
        <v>20300</v>
      </c>
      <c r="H34" s="59">
        <v>18000</v>
      </c>
      <c r="I34" s="59">
        <v>15000</v>
      </c>
      <c r="J34" s="59">
        <v>19000</v>
      </c>
      <c r="K34" s="60"/>
      <c r="L34" s="95"/>
      <c r="M34" s="95"/>
      <c r="N34" s="95"/>
      <c r="O34" s="60"/>
      <c r="P34" s="60">
        <v>15000</v>
      </c>
      <c r="Q34" s="60">
        <f>L34+M34+N34+O34+P34</f>
        <v>15000</v>
      </c>
      <c r="R34" s="60">
        <f>ROUND(Q34,0)</f>
        <v>15000</v>
      </c>
      <c r="S34" s="60">
        <f t="shared" si="0"/>
        <v>0</v>
      </c>
      <c r="T34" s="63"/>
      <c r="U34" s="60">
        <f t="shared" ref="U34:U35" si="34">ROUND(R34,0)</f>
        <v>15000</v>
      </c>
      <c r="V34" s="60">
        <f t="shared" si="1"/>
        <v>0</v>
      </c>
      <c r="W34" s="63"/>
      <c r="X34" s="60">
        <f t="shared" ref="X34:X35" si="35">ROUND(U34,0)</f>
        <v>15000</v>
      </c>
      <c r="Y34" s="60">
        <f t="shared" si="2"/>
        <v>0</v>
      </c>
      <c r="Z34" s="63"/>
      <c r="AA34" s="60">
        <f t="shared" ref="AA34:AA35" si="36">ROUND(X34,0)</f>
        <v>15000</v>
      </c>
      <c r="AB34" s="60">
        <f t="shared" si="3"/>
        <v>0</v>
      </c>
      <c r="AC34" s="63"/>
      <c r="AD34" s="60">
        <f t="shared" ref="AD34:AD35" si="37">ROUND(AA34,0)</f>
        <v>15000</v>
      </c>
      <c r="AE34" s="60">
        <f t="shared" si="4"/>
        <v>0</v>
      </c>
      <c r="AF34" s="63"/>
      <c r="AG34" s="63"/>
      <c r="AH34" s="60">
        <v>12213</v>
      </c>
      <c r="AI34" s="63">
        <f t="shared" si="9"/>
        <v>0.81420000000000003</v>
      </c>
      <c r="AJ34" s="64"/>
      <c r="AK34" s="377"/>
      <c r="AL34" s="378"/>
      <c r="AM34" s="378"/>
      <c r="AN34" s="378"/>
      <c r="AO34" s="378"/>
    </row>
    <row r="35" spans="1:41" s="11" customFormat="1" ht="30" x14ac:dyDescent="0.25">
      <c r="B35" s="89" t="s">
        <v>113</v>
      </c>
      <c r="C35" s="55" t="s">
        <v>114</v>
      </c>
      <c r="D35" s="56" t="s">
        <v>115</v>
      </c>
      <c r="E35" s="57">
        <v>0</v>
      </c>
      <c r="F35" s="57">
        <v>8000</v>
      </c>
      <c r="G35" s="59">
        <v>7000</v>
      </c>
      <c r="H35" s="59">
        <v>5215</v>
      </c>
      <c r="I35" s="59">
        <v>11000</v>
      </c>
      <c r="J35" s="59">
        <v>15000</v>
      </c>
      <c r="K35" s="60"/>
      <c r="L35" s="95"/>
      <c r="M35" s="95"/>
      <c r="N35" s="95"/>
      <c r="O35" s="60"/>
      <c r="P35" s="60">
        <v>11000</v>
      </c>
      <c r="Q35" s="60">
        <f>L35+M35+N35+O35+P35</f>
        <v>11000</v>
      </c>
      <c r="R35" s="60">
        <f>ROUND(Q35,0)</f>
        <v>11000</v>
      </c>
      <c r="S35" s="60">
        <f t="shared" si="0"/>
        <v>0</v>
      </c>
      <c r="T35" s="63"/>
      <c r="U35" s="60">
        <f t="shared" si="34"/>
        <v>11000</v>
      </c>
      <c r="V35" s="60">
        <f t="shared" si="1"/>
        <v>0</v>
      </c>
      <c r="W35" s="63"/>
      <c r="X35" s="60">
        <f t="shared" si="35"/>
        <v>11000</v>
      </c>
      <c r="Y35" s="60">
        <f t="shared" si="2"/>
        <v>0</v>
      </c>
      <c r="Z35" s="63"/>
      <c r="AA35" s="60">
        <f t="shared" si="36"/>
        <v>11000</v>
      </c>
      <c r="AB35" s="60">
        <f t="shared" si="3"/>
        <v>0</v>
      </c>
      <c r="AC35" s="63"/>
      <c r="AD35" s="60">
        <f t="shared" si="37"/>
        <v>11000</v>
      </c>
      <c r="AE35" s="60">
        <f t="shared" si="4"/>
        <v>0</v>
      </c>
      <c r="AF35" s="63"/>
      <c r="AG35" s="63"/>
      <c r="AH35" s="60">
        <v>4630</v>
      </c>
      <c r="AI35" s="63">
        <f t="shared" si="9"/>
        <v>0.4209090909090909</v>
      </c>
      <c r="AJ35" s="64"/>
      <c r="AK35" s="377"/>
      <c r="AL35" s="378"/>
      <c r="AM35" s="378"/>
      <c r="AN35" s="378"/>
      <c r="AO35" s="378"/>
    </row>
    <row r="36" spans="1:41" x14ac:dyDescent="0.25">
      <c r="B36" s="1" t="s">
        <v>116</v>
      </c>
      <c r="C36" s="67" t="s">
        <v>117</v>
      </c>
      <c r="D36" s="68" t="s">
        <v>118</v>
      </c>
      <c r="E36" s="69">
        <f>SUM(E37:E38)</f>
        <v>14900</v>
      </c>
      <c r="F36" s="69">
        <f>SUM(F37:F38)</f>
        <v>7377</v>
      </c>
      <c r="G36" s="71">
        <f>SUM(G37:G38)</f>
        <v>636</v>
      </c>
      <c r="H36" s="71">
        <v>15427</v>
      </c>
      <c r="I36" s="71">
        <f>I37+I38</f>
        <v>23159</v>
      </c>
      <c r="J36" s="71">
        <v>18600</v>
      </c>
      <c r="K36" s="72">
        <f>SUM(K37:K38)</f>
        <v>0</v>
      </c>
      <c r="L36" s="72">
        <f>SUM(L37:L38)</f>
        <v>0</v>
      </c>
      <c r="M36" s="72">
        <f>SUM(M37:M38)</f>
        <v>0</v>
      </c>
      <c r="N36" s="72"/>
      <c r="O36" s="72">
        <f>SUM(O37:O38)</f>
        <v>0</v>
      </c>
      <c r="P36" s="72">
        <f>SUM(P37:P38)</f>
        <v>600</v>
      </c>
      <c r="Q36" s="72">
        <f>Q37+Q38</f>
        <v>600</v>
      </c>
      <c r="R36" s="72">
        <f>R37+R38</f>
        <v>600</v>
      </c>
      <c r="S36" s="72">
        <f t="shared" si="0"/>
        <v>0</v>
      </c>
      <c r="T36" s="73"/>
      <c r="U36" s="72">
        <f>U37+U38</f>
        <v>600</v>
      </c>
      <c r="V36" s="72">
        <f t="shared" si="1"/>
        <v>0</v>
      </c>
      <c r="W36" s="73"/>
      <c r="X36" s="72">
        <f>X37+X38</f>
        <v>28319</v>
      </c>
      <c r="Y36" s="72">
        <f t="shared" si="2"/>
        <v>27719</v>
      </c>
      <c r="Z36" s="73"/>
      <c r="AA36" s="72">
        <f>AA37+AA38</f>
        <v>28319</v>
      </c>
      <c r="AB36" s="72">
        <f t="shared" si="3"/>
        <v>0</v>
      </c>
      <c r="AC36" s="73"/>
      <c r="AD36" s="72">
        <f>AD37+AD38</f>
        <v>28319</v>
      </c>
      <c r="AE36" s="72">
        <f t="shared" si="4"/>
        <v>0</v>
      </c>
      <c r="AF36" s="73"/>
      <c r="AG36" s="73"/>
      <c r="AH36" s="72">
        <f>SUM(AH37:AH38)</f>
        <v>28024</v>
      </c>
      <c r="AI36" s="73">
        <f t="shared" si="9"/>
        <v>0.9895829655001942</v>
      </c>
      <c r="AJ36" s="74"/>
    </row>
    <row r="37" spans="1:41" ht="27" customHeight="1" x14ac:dyDescent="0.25">
      <c r="A37" s="1" t="s">
        <v>36</v>
      </c>
      <c r="B37" s="5" t="s">
        <v>119</v>
      </c>
      <c r="C37" s="55" t="s">
        <v>120</v>
      </c>
      <c r="D37" s="96" t="s">
        <v>121</v>
      </c>
      <c r="E37" s="57">
        <v>14900</v>
      </c>
      <c r="F37" s="57">
        <f>500+5177+200+1500</f>
        <v>7377</v>
      </c>
      <c r="G37" s="59">
        <v>500</v>
      </c>
      <c r="H37" s="59">
        <v>15327</v>
      </c>
      <c r="I37" s="59">
        <v>22459</v>
      </c>
      <c r="J37" s="59">
        <v>18500</v>
      </c>
      <c r="K37" s="60"/>
      <c r="L37" s="97"/>
      <c r="M37" s="97"/>
      <c r="N37" s="97"/>
      <c r="O37" s="60"/>
      <c r="P37" s="60">
        <v>500</v>
      </c>
      <c r="Q37" s="60">
        <f>L37+M37+N37+O37+P37</f>
        <v>500</v>
      </c>
      <c r="R37" s="60">
        <f>ROUND(Q37,0)</f>
        <v>500</v>
      </c>
      <c r="S37" s="60">
        <f t="shared" si="0"/>
        <v>0</v>
      </c>
      <c r="T37" s="98"/>
      <c r="U37" s="60">
        <f t="shared" ref="U37:U39" si="38">ROUND(R37,0)</f>
        <v>500</v>
      </c>
      <c r="V37" s="60">
        <f t="shared" si="1"/>
        <v>0</v>
      </c>
      <c r="W37" s="98"/>
      <c r="X37" s="60">
        <f>ROUND(U37,0)+27719</f>
        <v>28219</v>
      </c>
      <c r="Y37" s="60">
        <f t="shared" si="2"/>
        <v>27719</v>
      </c>
      <c r="Z37" s="98" t="s">
        <v>122</v>
      </c>
      <c r="AA37" s="60">
        <f>ROUND(X37,0)</f>
        <v>28219</v>
      </c>
      <c r="AB37" s="60">
        <f t="shared" si="3"/>
        <v>0</v>
      </c>
      <c r="AC37" s="98"/>
      <c r="AD37" s="60">
        <f>ROUND(AA37,0)</f>
        <v>28219</v>
      </c>
      <c r="AE37" s="60">
        <f t="shared" si="4"/>
        <v>0</v>
      </c>
      <c r="AF37" s="98"/>
      <c r="AG37" s="98"/>
      <c r="AH37" s="97">
        <v>28024</v>
      </c>
      <c r="AI37" s="63">
        <f t="shared" si="9"/>
        <v>0.993089762216946</v>
      </c>
      <c r="AJ37" s="98" t="s">
        <v>122</v>
      </c>
    </row>
    <row r="38" spans="1:41" s="11" customFormat="1" ht="30" x14ac:dyDescent="0.25">
      <c r="B38" s="11" t="s">
        <v>123</v>
      </c>
      <c r="C38" s="99" t="s">
        <v>124</v>
      </c>
      <c r="D38" s="100" t="s">
        <v>125</v>
      </c>
      <c r="E38" s="57">
        <f>2500-2500</f>
        <v>0</v>
      </c>
      <c r="F38" s="57">
        <f>2500-2500</f>
        <v>0</v>
      </c>
      <c r="G38" s="59">
        <v>136</v>
      </c>
      <c r="H38" s="59">
        <v>100</v>
      </c>
      <c r="I38" s="59">
        <v>700</v>
      </c>
      <c r="J38" s="59">
        <v>100</v>
      </c>
      <c r="K38" s="60"/>
      <c r="L38" s="60"/>
      <c r="M38" s="60"/>
      <c r="N38" s="60"/>
      <c r="O38" s="60"/>
      <c r="P38" s="60">
        <v>100</v>
      </c>
      <c r="Q38" s="60">
        <f>L38+M38+N38+O38+P38</f>
        <v>100</v>
      </c>
      <c r="R38" s="60">
        <f>ROUND(Q38,0)</f>
        <v>100</v>
      </c>
      <c r="S38" s="60">
        <f t="shared" si="0"/>
        <v>0</v>
      </c>
      <c r="T38" s="63"/>
      <c r="U38" s="60">
        <f t="shared" si="38"/>
        <v>100</v>
      </c>
      <c r="V38" s="60">
        <f t="shared" si="1"/>
        <v>0</v>
      </c>
      <c r="W38" s="63"/>
      <c r="X38" s="60">
        <f t="shared" ref="X38:X39" si="39">ROUND(U38,0)</f>
        <v>100</v>
      </c>
      <c r="Y38" s="60">
        <f t="shared" si="2"/>
        <v>0</v>
      </c>
      <c r="Z38" s="63"/>
      <c r="AA38" s="60">
        <f t="shared" ref="AA38:AA39" si="40">ROUND(X38,0)</f>
        <v>100</v>
      </c>
      <c r="AB38" s="60">
        <f t="shared" si="3"/>
        <v>0</v>
      </c>
      <c r="AC38" s="63"/>
      <c r="AD38" s="60">
        <f t="shared" ref="AD38:AD39" si="41">ROUND(AA38,0)</f>
        <v>100</v>
      </c>
      <c r="AE38" s="60">
        <f t="shared" si="4"/>
        <v>0</v>
      </c>
      <c r="AF38" s="63"/>
      <c r="AG38" s="63"/>
      <c r="AH38" s="60">
        <v>0</v>
      </c>
      <c r="AI38" s="63">
        <f t="shared" si="9"/>
        <v>0</v>
      </c>
      <c r="AJ38" s="64"/>
      <c r="AK38" s="377"/>
      <c r="AL38" s="378"/>
      <c r="AM38" s="378"/>
      <c r="AN38" s="378"/>
      <c r="AO38" s="378"/>
    </row>
    <row r="39" spans="1:41" ht="28.15" customHeight="1" x14ac:dyDescent="0.25">
      <c r="B39" s="1" t="s">
        <v>126</v>
      </c>
      <c r="C39" s="101" t="s">
        <v>127</v>
      </c>
      <c r="D39" s="68" t="s">
        <v>128</v>
      </c>
      <c r="E39" s="69">
        <v>4000</v>
      </c>
      <c r="F39" s="70">
        <v>6155</v>
      </c>
      <c r="G39" s="71">
        <v>6015</v>
      </c>
      <c r="H39" s="71">
        <v>146176</v>
      </c>
      <c r="I39" s="71">
        <f>193056+53585</f>
        <v>246641</v>
      </c>
      <c r="J39" s="71">
        <v>149956</v>
      </c>
      <c r="K39" s="72"/>
      <c r="L39" s="72">
        <v>0</v>
      </c>
      <c r="M39" s="72">
        <v>0</v>
      </c>
      <c r="N39" s="72"/>
      <c r="O39" s="72"/>
      <c r="P39" s="72">
        <f>[4]Baze_2020!D24</f>
        <v>5856</v>
      </c>
      <c r="Q39" s="72">
        <f>L39+M39+N39+O39+P39</f>
        <v>5856</v>
      </c>
      <c r="R39" s="72">
        <f>ROUND(Q39,0)+7000</f>
        <v>12856</v>
      </c>
      <c r="S39" s="72">
        <f t="shared" si="0"/>
        <v>7000</v>
      </c>
      <c r="T39" s="90" t="s">
        <v>129</v>
      </c>
      <c r="U39" s="72">
        <f t="shared" si="38"/>
        <v>12856</v>
      </c>
      <c r="V39" s="72">
        <f t="shared" si="1"/>
        <v>0</v>
      </c>
      <c r="W39" s="90"/>
      <c r="X39" s="72">
        <f t="shared" si="39"/>
        <v>12856</v>
      </c>
      <c r="Y39" s="72">
        <f t="shared" si="2"/>
        <v>0</v>
      </c>
      <c r="Z39" s="90"/>
      <c r="AA39" s="72">
        <f t="shared" si="40"/>
        <v>12856</v>
      </c>
      <c r="AB39" s="72">
        <f t="shared" si="3"/>
        <v>0</v>
      </c>
      <c r="AC39" s="90"/>
      <c r="AD39" s="72">
        <f t="shared" si="41"/>
        <v>12856</v>
      </c>
      <c r="AE39" s="72">
        <f t="shared" si="4"/>
        <v>0</v>
      </c>
      <c r="AF39" s="90"/>
      <c r="AG39" s="90"/>
      <c r="AH39" s="72">
        <v>6420</v>
      </c>
      <c r="AI39" s="73">
        <f t="shared" si="9"/>
        <v>0.49937772246421902</v>
      </c>
      <c r="AJ39" s="74"/>
    </row>
    <row r="40" spans="1:41" ht="29.25" x14ac:dyDescent="0.25">
      <c r="C40" s="101" t="s">
        <v>130</v>
      </c>
      <c r="D40" s="68" t="s">
        <v>131</v>
      </c>
      <c r="E40" s="69">
        <f>E41+E42+E43+E44+E45+E49+E51+E56+E57</f>
        <v>2362618.7438675519</v>
      </c>
      <c r="F40" s="70">
        <f>F41+F42+F43+F44+F45+F49+F51+F56+F57</f>
        <v>2478382.14</v>
      </c>
      <c r="G40" s="71">
        <f>G41+G42+G43+G44+G45+G49+G51+G56+G57</f>
        <v>3145571</v>
      </c>
      <c r="H40" s="71">
        <v>3978748.73868</v>
      </c>
      <c r="I40" s="71">
        <f>I41+I42+I43+I44+I45+I49+I51+I52+I56+I57</f>
        <v>5862533.4199999999</v>
      </c>
      <c r="J40" s="71">
        <v>7672951</v>
      </c>
      <c r="K40" s="72">
        <f>K41+K42+K43+K44+K45+K49+K50+K51+K52+K53+K54+K55+K56+K57</f>
        <v>479893.6</v>
      </c>
      <c r="L40" s="72">
        <f t="shared" ref="L40:Q40" si="42">L41+L42+L43+L44+L45+L49+L50+L51+L52+L53+L54+L55+L56+L57</f>
        <v>4775388</v>
      </c>
      <c r="M40" s="72">
        <f t="shared" si="42"/>
        <v>2480639.2800000003</v>
      </c>
      <c r="N40" s="72">
        <f t="shared" si="42"/>
        <v>0</v>
      </c>
      <c r="O40" s="72">
        <f t="shared" si="42"/>
        <v>0</v>
      </c>
      <c r="P40" s="72">
        <f t="shared" si="42"/>
        <v>0</v>
      </c>
      <c r="Q40" s="72">
        <f t="shared" si="42"/>
        <v>7256027.2800000003</v>
      </c>
      <c r="R40" s="72">
        <f>R41+R42+R43+R44+R45+R49+R50+R51+R52+R53+R54+R55+R56+R57</f>
        <v>7296951</v>
      </c>
      <c r="S40" s="72">
        <f t="shared" si="0"/>
        <v>40923.719999999739</v>
      </c>
      <c r="T40" s="73"/>
      <c r="U40" s="72">
        <f>U41+U42+U43+U44+U45+U49+U50+U51+U52+U53+U54+U55+U56+U57</f>
        <v>7285084</v>
      </c>
      <c r="V40" s="72">
        <f t="shared" si="1"/>
        <v>-11867</v>
      </c>
      <c r="W40" s="73"/>
      <c r="X40" s="72">
        <f>X41+X42+X43+X44+X45+X49+X50+X51+X52+X53+X54+X55+X56+X57</f>
        <v>7291648</v>
      </c>
      <c r="Y40" s="72">
        <f t="shared" si="2"/>
        <v>6564</v>
      </c>
      <c r="Z40" s="73"/>
      <c r="AA40" s="72">
        <f>AA41+AA42+AA43+AA44+AA45+AA49+AA50+AA51+AA52+AA53+AA54+AA55+AA56+AA57</f>
        <v>7291648</v>
      </c>
      <c r="AB40" s="72">
        <f t="shared" si="3"/>
        <v>0</v>
      </c>
      <c r="AC40" s="73"/>
      <c r="AD40" s="72">
        <f>AD41+AD42+AD43+AD44+AD45+AD49+AD50+AD51+AD52+AD53+AD54+AD55+AD56+AD57</f>
        <v>6992666</v>
      </c>
      <c r="AE40" s="72">
        <f t="shared" si="4"/>
        <v>-298982</v>
      </c>
      <c r="AF40" s="73"/>
      <c r="AG40" s="73"/>
      <c r="AH40" s="72">
        <f>AH41+AH42+AH43+AH44+AH45+AH49+AH50+AH51+AH52+AH53+AH54+AH55+AH56+AH57</f>
        <v>2182250.0099999998</v>
      </c>
      <c r="AI40" s="73">
        <f t="shared" si="9"/>
        <v>0.3120769689271588</v>
      </c>
      <c r="AJ40" s="74"/>
      <c r="AK40" s="383"/>
    </row>
    <row r="41" spans="1:41" ht="33.75" customHeight="1" x14ac:dyDescent="0.25">
      <c r="A41" s="1" t="s">
        <v>132</v>
      </c>
      <c r="B41" s="54" t="s">
        <v>133</v>
      </c>
      <c r="C41" s="55" t="s">
        <v>134</v>
      </c>
      <c r="D41" s="56" t="s">
        <v>135</v>
      </c>
      <c r="E41" s="57">
        <f>240644.617845089/11*12</f>
        <v>262521.40128555166</v>
      </c>
      <c r="F41" s="103">
        <f>300213+8967</f>
        <v>309180</v>
      </c>
      <c r="G41" s="59">
        <v>307020</v>
      </c>
      <c r="H41" s="59">
        <v>413440.5</v>
      </c>
      <c r="I41" s="59">
        <v>400067</v>
      </c>
      <c r="J41" s="59">
        <v>395920</v>
      </c>
      <c r="K41" s="60">
        <v>13907</v>
      </c>
      <c r="L41" s="60">
        <v>424940</v>
      </c>
      <c r="M41" s="60"/>
      <c r="N41" s="60"/>
      <c r="O41" s="60"/>
      <c r="P41" s="60"/>
      <c r="Q41" s="60">
        <f>L41+M41+N41+O41+P41</f>
        <v>424940</v>
      </c>
      <c r="R41" s="60">
        <f>ROUND(Q41,0)</f>
        <v>424940</v>
      </c>
      <c r="S41" s="60">
        <f t="shared" si="0"/>
        <v>0</v>
      </c>
      <c r="T41" s="104"/>
      <c r="U41" s="60">
        <f>ROUND(R41,0)-12307</f>
        <v>412633</v>
      </c>
      <c r="V41" s="60">
        <f t="shared" si="1"/>
        <v>-12307</v>
      </c>
      <c r="W41" s="105" t="s">
        <v>136</v>
      </c>
      <c r="X41" s="60">
        <f>ROUND(U41,0)</f>
        <v>412633</v>
      </c>
      <c r="Y41" s="60">
        <f t="shared" si="2"/>
        <v>0</v>
      </c>
      <c r="Z41" s="105"/>
      <c r="AA41" s="60">
        <f>ROUND(X41,0)</f>
        <v>412633</v>
      </c>
      <c r="AB41" s="60">
        <f t="shared" si="3"/>
        <v>0</v>
      </c>
      <c r="AC41" s="105"/>
      <c r="AD41" s="60">
        <f>ROUND(AA41,0)</f>
        <v>412633</v>
      </c>
      <c r="AE41" s="60">
        <f t="shared" si="4"/>
        <v>0</v>
      </c>
      <c r="AF41" s="105"/>
      <c r="AG41" s="105"/>
      <c r="AH41" s="60">
        <v>171930</v>
      </c>
      <c r="AI41" s="63">
        <f t="shared" si="9"/>
        <v>0.41666565689123264</v>
      </c>
      <c r="AJ41" s="64"/>
      <c r="AK41" s="379"/>
      <c r="AL41" s="378">
        <f>412633</f>
        <v>412633</v>
      </c>
    </row>
    <row r="42" spans="1:41" x14ac:dyDescent="0.25">
      <c r="A42" s="1" t="s">
        <v>132</v>
      </c>
      <c r="B42" s="89" t="s">
        <v>137</v>
      </c>
      <c r="C42" s="55" t="s">
        <v>138</v>
      </c>
      <c r="D42" s="56" t="s">
        <v>139</v>
      </c>
      <c r="E42" s="57">
        <v>37836.333333333328</v>
      </c>
      <c r="F42" s="106">
        <v>72110</v>
      </c>
      <c r="G42" s="59">
        <v>102929</v>
      </c>
      <c r="H42" s="59">
        <v>158620</v>
      </c>
      <c r="I42" s="59">
        <v>169385</v>
      </c>
      <c r="J42" s="59">
        <v>181606</v>
      </c>
      <c r="K42" s="60">
        <v>45</v>
      </c>
      <c r="L42" s="60">
        <v>198735</v>
      </c>
      <c r="M42" s="60"/>
      <c r="N42" s="60"/>
      <c r="O42" s="60"/>
      <c r="P42" s="60"/>
      <c r="Q42" s="60">
        <f>L42+M42+N42+O42+P42</f>
        <v>198735</v>
      </c>
      <c r="R42" s="60">
        <f>ROUND(Q42,0)</f>
        <v>198735</v>
      </c>
      <c r="S42" s="60">
        <f t="shared" si="0"/>
        <v>0</v>
      </c>
      <c r="T42" s="63"/>
      <c r="U42" s="60">
        <f t="shared" ref="U42:U44" si="43">ROUND(R42,0)</f>
        <v>198735</v>
      </c>
      <c r="V42" s="60">
        <f t="shared" si="1"/>
        <v>0</v>
      </c>
      <c r="W42" s="63"/>
      <c r="X42" s="60">
        <f t="shared" ref="X42:X44" si="44">ROUND(U42,0)</f>
        <v>198735</v>
      </c>
      <c r="Y42" s="60">
        <f t="shared" si="2"/>
        <v>0</v>
      </c>
      <c r="Z42" s="63"/>
      <c r="AA42" s="60">
        <f t="shared" ref="AA42:AA44" si="45">ROUND(X42,0)</f>
        <v>198735</v>
      </c>
      <c r="AB42" s="60">
        <f t="shared" si="3"/>
        <v>0</v>
      </c>
      <c r="AC42" s="63"/>
      <c r="AD42" s="60">
        <f t="shared" ref="AD42:AD44" si="46">ROUND(AA42,0)</f>
        <v>198735</v>
      </c>
      <c r="AE42" s="60">
        <f t="shared" si="4"/>
        <v>0</v>
      </c>
      <c r="AF42" s="63"/>
      <c r="AG42" s="63"/>
      <c r="AH42" s="60">
        <v>99368</v>
      </c>
      <c r="AI42" s="63">
        <f t="shared" si="9"/>
        <v>0.5000025159131507</v>
      </c>
      <c r="AJ42" s="64"/>
    </row>
    <row r="43" spans="1:41" x14ac:dyDescent="0.25">
      <c r="B43" s="107" t="s">
        <v>140</v>
      </c>
      <c r="C43" s="55" t="s">
        <v>141</v>
      </c>
      <c r="D43" s="56" t="s">
        <v>142</v>
      </c>
      <c r="E43" s="57">
        <v>54391.693843518253</v>
      </c>
      <c r="F43" s="106">
        <f>(21726+1704-4833)+11500*7</f>
        <v>99097</v>
      </c>
      <c r="G43" s="59">
        <v>154047</v>
      </c>
      <c r="H43" s="59">
        <v>193346</v>
      </c>
      <c r="I43" s="59">
        <v>193346</v>
      </c>
      <c r="J43" s="59">
        <v>198739</v>
      </c>
      <c r="K43" s="60">
        <v>16433.939999999999</v>
      </c>
      <c r="L43" s="60">
        <f>45194+82474</f>
        <v>127668</v>
      </c>
      <c r="M43" s="60"/>
      <c r="N43" s="60"/>
      <c r="O43" s="60"/>
      <c r="P43" s="60"/>
      <c r="Q43" s="60">
        <f>L43+M43+N43+P43</f>
        <v>127668</v>
      </c>
      <c r="R43" s="60">
        <f>ROUND(Q43,0)</f>
        <v>127668</v>
      </c>
      <c r="S43" s="60">
        <f t="shared" si="0"/>
        <v>0</v>
      </c>
      <c r="T43" s="63"/>
      <c r="U43" s="60">
        <f t="shared" si="43"/>
        <v>127668</v>
      </c>
      <c r="V43" s="60">
        <f t="shared" si="1"/>
        <v>0</v>
      </c>
      <c r="W43" s="63"/>
      <c r="X43" s="60">
        <f t="shared" si="44"/>
        <v>127668</v>
      </c>
      <c r="Y43" s="60">
        <f t="shared" si="2"/>
        <v>0</v>
      </c>
      <c r="Z43" s="63"/>
      <c r="AA43" s="60">
        <f t="shared" si="45"/>
        <v>127668</v>
      </c>
      <c r="AB43" s="60">
        <f t="shared" si="3"/>
        <v>0</v>
      </c>
      <c r="AC43" s="63"/>
      <c r="AD43" s="60">
        <f t="shared" si="46"/>
        <v>127668</v>
      </c>
      <c r="AE43" s="60">
        <f t="shared" si="4"/>
        <v>0</v>
      </c>
      <c r="AF43" s="63"/>
      <c r="AG43" s="63"/>
      <c r="AH43" s="60">
        <f>32661+7371</f>
        <v>40032</v>
      </c>
      <c r="AI43" s="63">
        <f t="shared" si="9"/>
        <v>0.31356330482188177</v>
      </c>
      <c r="AJ43" s="64"/>
    </row>
    <row r="44" spans="1:41" ht="14.25" customHeight="1" x14ac:dyDescent="0.25">
      <c r="A44" s="1" t="s">
        <v>132</v>
      </c>
      <c r="B44" s="89" t="s">
        <v>143</v>
      </c>
      <c r="C44" s="55" t="s">
        <v>144</v>
      </c>
      <c r="D44" s="56" t="s">
        <v>145</v>
      </c>
      <c r="E44" s="57">
        <v>25841</v>
      </c>
      <c r="F44" s="106">
        <f>21556+3814+1632</f>
        <v>27002</v>
      </c>
      <c r="G44" s="59">
        <v>28593</v>
      </c>
      <c r="H44" s="59">
        <v>29744.108680000001</v>
      </c>
      <c r="I44" s="59">
        <v>31714</v>
      </c>
      <c r="J44" s="59">
        <v>32876</v>
      </c>
      <c r="K44" s="60">
        <v>1098</v>
      </c>
      <c r="L44" s="60"/>
      <c r="M44" s="60"/>
      <c r="N44" s="60"/>
      <c r="O44" s="60"/>
      <c r="P44" s="60"/>
      <c r="Q44" s="60">
        <f>L44+M44+N44+O44+P44</f>
        <v>0</v>
      </c>
      <c r="R44" s="60">
        <f>ROUND(Q44,0)+34534</f>
        <v>34534</v>
      </c>
      <c r="S44" s="60">
        <f t="shared" si="0"/>
        <v>34534</v>
      </c>
      <c r="T44" s="98" t="s">
        <v>146</v>
      </c>
      <c r="U44" s="60">
        <f t="shared" si="43"/>
        <v>34534</v>
      </c>
      <c r="V44" s="60">
        <f t="shared" si="1"/>
        <v>0</v>
      </c>
      <c r="W44" s="98"/>
      <c r="X44" s="60">
        <f t="shared" si="44"/>
        <v>34534</v>
      </c>
      <c r="Y44" s="60">
        <f t="shared" si="2"/>
        <v>0</v>
      </c>
      <c r="Z44" s="98"/>
      <c r="AA44" s="60">
        <f t="shared" si="45"/>
        <v>34534</v>
      </c>
      <c r="AB44" s="60">
        <f t="shared" si="3"/>
        <v>0</v>
      </c>
      <c r="AC44" s="98"/>
      <c r="AD44" s="60">
        <f t="shared" si="46"/>
        <v>34534</v>
      </c>
      <c r="AE44" s="60">
        <f t="shared" si="4"/>
        <v>0</v>
      </c>
      <c r="AF44" s="98"/>
      <c r="AG44" s="98"/>
      <c r="AH44" s="60">
        <v>34534</v>
      </c>
      <c r="AI44" s="63">
        <f t="shared" si="9"/>
        <v>1</v>
      </c>
      <c r="AJ44" s="64"/>
    </row>
    <row r="45" spans="1:41" ht="14.25" customHeight="1" x14ac:dyDescent="0.25">
      <c r="B45" s="1" t="s">
        <v>147</v>
      </c>
      <c r="C45" s="55" t="s">
        <v>148</v>
      </c>
      <c r="D45" s="56" t="s">
        <v>149</v>
      </c>
      <c r="E45" s="75">
        <f t="shared" ref="E45:P45" si="47">SUM(E46:E48)</f>
        <v>1413835</v>
      </c>
      <c r="F45" s="106">
        <f t="shared" si="47"/>
        <v>1571724</v>
      </c>
      <c r="G45" s="108">
        <f>SUM(G46:G48)</f>
        <v>1730365</v>
      </c>
      <c r="H45" s="108">
        <v>1809807</v>
      </c>
      <c r="I45" s="108">
        <f>I46+I47+I48</f>
        <v>2025780</v>
      </c>
      <c r="J45" s="108">
        <v>2205720</v>
      </c>
      <c r="K45" s="109">
        <f t="shared" si="47"/>
        <v>112127.67999999999</v>
      </c>
      <c r="L45" s="78">
        <f t="shared" si="47"/>
        <v>2362623</v>
      </c>
      <c r="M45" s="78">
        <f t="shared" si="47"/>
        <v>0</v>
      </c>
      <c r="N45" s="78"/>
      <c r="O45" s="109">
        <f>SUM(O46:O48)</f>
        <v>0</v>
      </c>
      <c r="P45" s="109">
        <f t="shared" si="47"/>
        <v>0</v>
      </c>
      <c r="Q45" s="109">
        <f>Q46+Q47+Q48</f>
        <v>2362623</v>
      </c>
      <c r="R45" s="109">
        <f>R46+R47+R48</f>
        <v>2362623</v>
      </c>
      <c r="S45" s="109">
        <f t="shared" si="0"/>
        <v>0</v>
      </c>
      <c r="T45" s="109"/>
      <c r="U45" s="109">
        <f>U46+U47+U48</f>
        <v>2362623</v>
      </c>
      <c r="V45" s="109">
        <f t="shared" si="1"/>
        <v>0</v>
      </c>
      <c r="W45" s="109"/>
      <c r="X45" s="109">
        <f>X46+X47+X48</f>
        <v>2362623</v>
      </c>
      <c r="Y45" s="109">
        <f t="shared" si="2"/>
        <v>0</v>
      </c>
      <c r="Z45" s="109"/>
      <c r="AA45" s="109">
        <f>AA46+AA47+AA48</f>
        <v>2362623</v>
      </c>
      <c r="AB45" s="109">
        <f t="shared" si="3"/>
        <v>0</v>
      </c>
      <c r="AC45" s="109"/>
      <c r="AD45" s="109">
        <f>AD46+AD47+AD48</f>
        <v>2362623</v>
      </c>
      <c r="AE45" s="109">
        <f t="shared" si="4"/>
        <v>0</v>
      </c>
      <c r="AF45" s="109"/>
      <c r="AG45" s="109"/>
      <c r="AH45" s="109">
        <f>AH46+AH47+AH48</f>
        <v>984425</v>
      </c>
      <c r="AI45" s="79">
        <f t="shared" si="9"/>
        <v>0.41666613759368293</v>
      </c>
      <c r="AJ45" s="80"/>
    </row>
    <row r="46" spans="1:41" s="118" customFormat="1" x14ac:dyDescent="0.25">
      <c r="A46" s="1" t="s">
        <v>132</v>
      </c>
      <c r="B46" s="89" t="s">
        <v>150</v>
      </c>
      <c r="C46" s="91" t="s">
        <v>151</v>
      </c>
      <c r="D46" s="92" t="s">
        <v>152</v>
      </c>
      <c r="E46" s="110">
        <f>188972</f>
        <v>188972</v>
      </c>
      <c r="F46" s="111">
        <f>134203+60317</f>
        <v>194520</v>
      </c>
      <c r="G46" s="112">
        <v>184856</v>
      </c>
      <c r="H46" s="112">
        <v>204544</v>
      </c>
      <c r="I46" s="112">
        <v>225116</v>
      </c>
      <c r="J46" s="112">
        <v>256116</v>
      </c>
      <c r="K46" s="113">
        <v>16415.68</v>
      </c>
      <c r="L46" s="114">
        <f>188792/8*12</f>
        <v>283188</v>
      </c>
      <c r="M46" s="115"/>
      <c r="N46" s="115"/>
      <c r="O46" s="115"/>
      <c r="P46" s="115"/>
      <c r="Q46" s="115">
        <f>L46+M46+N46+O46+P46</f>
        <v>283188</v>
      </c>
      <c r="R46" s="115">
        <f t="shared" ref="R46:R55" si="48">ROUND(Q46,0)</f>
        <v>283188</v>
      </c>
      <c r="S46" s="115">
        <f t="shared" si="0"/>
        <v>0</v>
      </c>
      <c r="T46" s="116"/>
      <c r="U46" s="115">
        <f t="shared" ref="U46:U55" si="49">ROUND(R46,0)</f>
        <v>283188</v>
      </c>
      <c r="V46" s="115">
        <f t="shared" si="1"/>
        <v>0</v>
      </c>
      <c r="W46" s="116"/>
      <c r="X46" s="115">
        <f t="shared" ref="X46:X55" si="50">ROUND(U46,0)</f>
        <v>283188</v>
      </c>
      <c r="Y46" s="115">
        <f t="shared" si="2"/>
        <v>0</v>
      </c>
      <c r="Z46" s="116"/>
      <c r="AA46" s="115">
        <f t="shared" ref="AA46:AA55" si="51">ROUND(X46,0)</f>
        <v>283188</v>
      </c>
      <c r="AB46" s="115">
        <f t="shared" si="3"/>
        <v>0</v>
      </c>
      <c r="AC46" s="116"/>
      <c r="AD46" s="115">
        <f t="shared" ref="AD46:AD55" si="52">ROUND(AA46,0)</f>
        <v>283188</v>
      </c>
      <c r="AE46" s="115">
        <f t="shared" si="4"/>
        <v>0</v>
      </c>
      <c r="AF46" s="116"/>
      <c r="AG46" s="116"/>
      <c r="AH46" s="115">
        <v>117995</v>
      </c>
      <c r="AI46" s="116">
        <f t="shared" si="9"/>
        <v>0.41666666666666669</v>
      </c>
      <c r="AJ46" s="117"/>
      <c r="AK46" s="384"/>
      <c r="AL46" s="385"/>
      <c r="AM46" s="385"/>
      <c r="AN46" s="385"/>
      <c r="AO46" s="385"/>
    </row>
    <row r="47" spans="1:41" s="118" customFormat="1" x14ac:dyDescent="0.25">
      <c r="A47" s="1" t="s">
        <v>132</v>
      </c>
      <c r="B47" s="89" t="s">
        <v>153</v>
      </c>
      <c r="C47" s="91" t="s">
        <v>154</v>
      </c>
      <c r="D47" s="92" t="s">
        <v>155</v>
      </c>
      <c r="E47" s="110">
        <f>757712+99947*3+1+(99951)</f>
        <v>1157505</v>
      </c>
      <c r="F47" s="119">
        <f>(108654*8+108654*4)</f>
        <v>1303848</v>
      </c>
      <c r="G47" s="112">
        <v>1457852</v>
      </c>
      <c r="H47" s="112">
        <v>1487944</v>
      </c>
      <c r="I47" s="112">
        <v>1665808</v>
      </c>
      <c r="J47" s="112">
        <v>1799865</v>
      </c>
      <c r="K47" s="115">
        <v>95712</v>
      </c>
      <c r="L47" s="115">
        <f>1279970/8*12</f>
        <v>1919955</v>
      </c>
      <c r="M47" s="115"/>
      <c r="N47" s="115"/>
      <c r="O47" s="115"/>
      <c r="P47" s="115"/>
      <c r="Q47" s="115">
        <f>L47+M47+N47+P47</f>
        <v>1919955</v>
      </c>
      <c r="R47" s="115">
        <f t="shared" si="48"/>
        <v>1919955</v>
      </c>
      <c r="S47" s="115">
        <f t="shared" si="0"/>
        <v>0</v>
      </c>
      <c r="T47" s="116"/>
      <c r="U47" s="115">
        <f t="shared" si="49"/>
        <v>1919955</v>
      </c>
      <c r="V47" s="115">
        <f t="shared" si="1"/>
        <v>0</v>
      </c>
      <c r="W47" s="116"/>
      <c r="X47" s="115">
        <f t="shared" si="50"/>
        <v>1919955</v>
      </c>
      <c r="Y47" s="115">
        <f t="shared" si="2"/>
        <v>0</v>
      </c>
      <c r="Z47" s="116"/>
      <c r="AA47" s="115">
        <f t="shared" si="51"/>
        <v>1919955</v>
      </c>
      <c r="AB47" s="115">
        <f t="shared" si="3"/>
        <v>0</v>
      </c>
      <c r="AC47" s="116"/>
      <c r="AD47" s="115">
        <f t="shared" si="52"/>
        <v>1919955</v>
      </c>
      <c r="AE47" s="115">
        <f t="shared" si="4"/>
        <v>0</v>
      </c>
      <c r="AF47" s="116"/>
      <c r="AG47" s="392"/>
      <c r="AH47" s="413">
        <v>866430</v>
      </c>
      <c r="AI47" s="415">
        <f t="shared" si="9"/>
        <v>0.45127620178597938</v>
      </c>
      <c r="AJ47" s="117"/>
      <c r="AK47" s="386">
        <f>Q47+Q48</f>
        <v>2079435</v>
      </c>
      <c r="AL47" s="385"/>
      <c r="AM47" s="385"/>
      <c r="AN47" s="385"/>
      <c r="AO47" s="385"/>
    </row>
    <row r="48" spans="1:41" s="118" customFormat="1" x14ac:dyDescent="0.25">
      <c r="A48" s="1" t="s">
        <v>132</v>
      </c>
      <c r="B48" s="1"/>
      <c r="C48" s="91" t="s">
        <v>156</v>
      </c>
      <c r="D48" s="92" t="s">
        <v>157</v>
      </c>
      <c r="E48" s="120">
        <f>44633+5681*3+5682</f>
        <v>67358</v>
      </c>
      <c r="F48" s="121">
        <f>(6113*8+6113*4)</f>
        <v>73356</v>
      </c>
      <c r="G48" s="122">
        <v>87657</v>
      </c>
      <c r="H48" s="122">
        <v>117319</v>
      </c>
      <c r="I48" s="122">
        <v>134856</v>
      </c>
      <c r="J48" s="122">
        <v>149739</v>
      </c>
      <c r="K48" s="123"/>
      <c r="L48" s="123">
        <f>106320/8*12</f>
        <v>159480</v>
      </c>
      <c r="M48" s="123"/>
      <c r="N48" s="123"/>
      <c r="O48" s="123"/>
      <c r="P48" s="123"/>
      <c r="Q48" s="123">
        <f>L48+M48+N48+O48+P48</f>
        <v>159480</v>
      </c>
      <c r="R48" s="123">
        <f t="shared" si="48"/>
        <v>159480</v>
      </c>
      <c r="S48" s="123">
        <f t="shared" si="0"/>
        <v>0</v>
      </c>
      <c r="T48" s="124"/>
      <c r="U48" s="123">
        <f t="shared" si="49"/>
        <v>159480</v>
      </c>
      <c r="V48" s="123">
        <f t="shared" si="1"/>
        <v>0</v>
      </c>
      <c r="W48" s="124"/>
      <c r="X48" s="123">
        <f t="shared" si="50"/>
        <v>159480</v>
      </c>
      <c r="Y48" s="123">
        <f t="shared" si="2"/>
        <v>0</v>
      </c>
      <c r="Z48" s="124"/>
      <c r="AA48" s="123">
        <f t="shared" si="51"/>
        <v>159480</v>
      </c>
      <c r="AB48" s="123">
        <f t="shared" si="3"/>
        <v>0</v>
      </c>
      <c r="AC48" s="124"/>
      <c r="AD48" s="123">
        <f t="shared" si="52"/>
        <v>159480</v>
      </c>
      <c r="AE48" s="123">
        <f t="shared" si="4"/>
        <v>0</v>
      </c>
      <c r="AF48" s="124"/>
      <c r="AG48" s="393"/>
      <c r="AH48" s="414"/>
      <c r="AI48" s="416">
        <f t="shared" si="9"/>
        <v>0</v>
      </c>
      <c r="AJ48" s="125"/>
      <c r="AK48" s="384"/>
      <c r="AL48" s="385"/>
      <c r="AM48" s="385"/>
      <c r="AN48" s="385"/>
      <c r="AO48" s="385"/>
    </row>
    <row r="49" spans="1:41" ht="31.5" customHeight="1" x14ac:dyDescent="0.25">
      <c r="A49" s="1" t="s">
        <v>132</v>
      </c>
      <c r="B49" s="1" t="s">
        <v>158</v>
      </c>
      <c r="C49" s="55" t="s">
        <v>159</v>
      </c>
      <c r="D49" s="56" t="s">
        <v>160</v>
      </c>
      <c r="E49" s="75">
        <v>5186.3677497566887</v>
      </c>
      <c r="F49" s="57">
        <v>5491</v>
      </c>
      <c r="G49" s="59">
        <v>6479</v>
      </c>
      <c r="H49" s="59">
        <v>0</v>
      </c>
      <c r="I49" s="59">
        <f>5796+820+4302</f>
        <v>10918</v>
      </c>
      <c r="J49" s="59">
        <v>6894</v>
      </c>
      <c r="K49" s="78"/>
      <c r="L49" s="78">
        <v>7543</v>
      </c>
      <c r="M49" s="78"/>
      <c r="N49" s="78"/>
      <c r="O49" s="60"/>
      <c r="P49" s="60"/>
      <c r="Q49" s="60">
        <f t="shared" ref="Q49:Q56" si="53">L49+M49+N49+O49+P49</f>
        <v>7543</v>
      </c>
      <c r="R49" s="60">
        <f t="shared" si="48"/>
        <v>7543</v>
      </c>
      <c r="S49" s="60">
        <f t="shared" si="0"/>
        <v>0</v>
      </c>
      <c r="T49" s="79"/>
      <c r="U49" s="60">
        <f t="shared" si="49"/>
        <v>7543</v>
      </c>
      <c r="V49" s="60">
        <f t="shared" si="1"/>
        <v>0</v>
      </c>
      <c r="W49" s="79"/>
      <c r="X49" s="60">
        <f t="shared" si="50"/>
        <v>7543</v>
      </c>
      <c r="Y49" s="60">
        <f t="shared" si="2"/>
        <v>0</v>
      </c>
      <c r="Z49" s="79"/>
      <c r="AA49" s="60">
        <f t="shared" si="51"/>
        <v>7543</v>
      </c>
      <c r="AB49" s="60">
        <f t="shared" si="3"/>
        <v>0</v>
      </c>
      <c r="AC49" s="79"/>
      <c r="AD49" s="60">
        <f t="shared" si="52"/>
        <v>7543</v>
      </c>
      <c r="AE49" s="60">
        <f t="shared" si="4"/>
        <v>0</v>
      </c>
      <c r="AF49" s="79"/>
      <c r="AG49" s="79"/>
      <c r="AH49" s="60">
        <v>3772</v>
      </c>
      <c r="AI49" s="79">
        <f t="shared" si="9"/>
        <v>0.50006628662335939</v>
      </c>
      <c r="AJ49" s="80"/>
    </row>
    <row r="50" spans="1:41" ht="19.149999999999999" customHeight="1" x14ac:dyDescent="0.25">
      <c r="A50" s="1" t="s">
        <v>132</v>
      </c>
      <c r="B50" s="89" t="s">
        <v>161</v>
      </c>
      <c r="C50" s="55" t="s">
        <v>162</v>
      </c>
      <c r="D50" s="56" t="s">
        <v>163</v>
      </c>
      <c r="E50" s="57">
        <v>15906.995406969796</v>
      </c>
      <c r="F50" s="58">
        <v>0</v>
      </c>
      <c r="G50" s="59">
        <v>0</v>
      </c>
      <c r="H50" s="59">
        <v>0</v>
      </c>
      <c r="I50" s="59">
        <v>0</v>
      </c>
      <c r="J50" s="59">
        <v>21084</v>
      </c>
      <c r="K50" s="60"/>
      <c r="L50" s="60">
        <v>22064</v>
      </c>
      <c r="M50" s="60"/>
      <c r="N50" s="60"/>
      <c r="O50" s="60">
        <v>0</v>
      </c>
      <c r="P50" s="60">
        <v>0</v>
      </c>
      <c r="Q50" s="60">
        <f t="shared" si="53"/>
        <v>22064</v>
      </c>
      <c r="R50" s="60">
        <f t="shared" si="48"/>
        <v>22064</v>
      </c>
      <c r="S50" s="60">
        <f t="shared" si="0"/>
        <v>0</v>
      </c>
      <c r="T50" s="63"/>
      <c r="U50" s="60">
        <f t="shared" si="49"/>
        <v>22064</v>
      </c>
      <c r="V50" s="60">
        <f t="shared" si="1"/>
        <v>0</v>
      </c>
      <c r="W50" s="63"/>
      <c r="X50" s="60">
        <f t="shared" si="50"/>
        <v>22064</v>
      </c>
      <c r="Y50" s="60">
        <f t="shared" si="2"/>
        <v>0</v>
      </c>
      <c r="Z50" s="63"/>
      <c r="AA50" s="60">
        <f t="shared" si="51"/>
        <v>22064</v>
      </c>
      <c r="AB50" s="60">
        <f t="shared" si="3"/>
        <v>0</v>
      </c>
      <c r="AC50" s="63"/>
      <c r="AD50" s="60">
        <f t="shared" si="52"/>
        <v>22064</v>
      </c>
      <c r="AE50" s="60">
        <f t="shared" si="4"/>
        <v>0</v>
      </c>
      <c r="AF50" s="63"/>
      <c r="AG50" s="63"/>
      <c r="AH50" s="60">
        <v>6268</v>
      </c>
      <c r="AI50" s="63">
        <f t="shared" si="9"/>
        <v>0.28408266860043507</v>
      </c>
      <c r="AJ50" s="64"/>
    </row>
    <row r="51" spans="1:41" ht="25.15" customHeight="1" x14ac:dyDescent="0.25">
      <c r="B51" s="11" t="s">
        <v>164</v>
      </c>
      <c r="C51" s="55" t="s">
        <v>165</v>
      </c>
      <c r="D51" s="56" t="s">
        <v>166</v>
      </c>
      <c r="E51" s="57">
        <f>49834+11876</f>
        <v>61710</v>
      </c>
      <c r="F51" s="58">
        <v>73946</v>
      </c>
      <c r="G51" s="59">
        <v>72202</v>
      </c>
      <c r="H51" s="59">
        <v>72202</v>
      </c>
      <c r="I51" s="59">
        <v>72202</v>
      </c>
      <c r="J51" s="59">
        <v>72202</v>
      </c>
      <c r="K51" s="60"/>
      <c r="L51" s="60">
        <v>72202</v>
      </c>
      <c r="M51" s="60"/>
      <c r="N51" s="60"/>
      <c r="O51" s="60"/>
      <c r="P51" s="60"/>
      <c r="Q51" s="60">
        <f t="shared" si="53"/>
        <v>72202</v>
      </c>
      <c r="R51" s="60">
        <f t="shared" si="48"/>
        <v>72202</v>
      </c>
      <c r="S51" s="60">
        <f t="shared" si="0"/>
        <v>0</v>
      </c>
      <c r="T51" s="63"/>
      <c r="U51" s="60">
        <f t="shared" si="49"/>
        <v>72202</v>
      </c>
      <c r="V51" s="60">
        <f t="shared" si="1"/>
        <v>0</v>
      </c>
      <c r="W51" s="63"/>
      <c r="X51" s="60">
        <f t="shared" si="50"/>
        <v>72202</v>
      </c>
      <c r="Y51" s="60">
        <f t="shared" si="2"/>
        <v>0</v>
      </c>
      <c r="Z51" s="63"/>
      <c r="AA51" s="60">
        <f t="shared" si="51"/>
        <v>72202</v>
      </c>
      <c r="AB51" s="60">
        <f t="shared" si="3"/>
        <v>0</v>
      </c>
      <c r="AC51" s="63"/>
      <c r="AD51" s="60">
        <f t="shared" si="52"/>
        <v>72202</v>
      </c>
      <c r="AE51" s="60">
        <f t="shared" si="4"/>
        <v>0</v>
      </c>
      <c r="AF51" s="63"/>
      <c r="AG51" s="63"/>
      <c r="AH51" s="60">
        <v>32973</v>
      </c>
      <c r="AI51" s="63">
        <f t="shared" si="9"/>
        <v>0.45667710035733083</v>
      </c>
      <c r="AJ51" s="64"/>
    </row>
    <row r="52" spans="1:41" ht="31.5" customHeight="1" x14ac:dyDescent="0.25">
      <c r="B52" s="11"/>
      <c r="C52" s="55" t="s">
        <v>167</v>
      </c>
      <c r="D52" s="56" t="s">
        <v>168</v>
      </c>
      <c r="E52" s="57"/>
      <c r="F52" s="58"/>
      <c r="G52" s="59"/>
      <c r="H52" s="59"/>
      <c r="I52" s="59">
        <v>1800</v>
      </c>
      <c r="J52" s="59">
        <v>3600</v>
      </c>
      <c r="K52" s="60"/>
      <c r="L52" s="60"/>
      <c r="M52" s="60"/>
      <c r="N52" s="60"/>
      <c r="O52" s="60"/>
      <c r="P52" s="60"/>
      <c r="Q52" s="60">
        <f t="shared" si="53"/>
        <v>0</v>
      </c>
      <c r="R52" s="60">
        <f t="shared" si="48"/>
        <v>0</v>
      </c>
      <c r="S52" s="60">
        <f t="shared" si="0"/>
        <v>0</v>
      </c>
      <c r="T52" s="63"/>
      <c r="U52" s="60">
        <f t="shared" si="49"/>
        <v>0</v>
      </c>
      <c r="V52" s="60">
        <f t="shared" si="1"/>
        <v>0</v>
      </c>
      <c r="W52" s="63"/>
      <c r="X52" s="60">
        <f t="shared" si="50"/>
        <v>0</v>
      </c>
      <c r="Y52" s="60">
        <f t="shared" si="2"/>
        <v>0</v>
      </c>
      <c r="Z52" s="63"/>
      <c r="AA52" s="60">
        <f t="shared" si="51"/>
        <v>0</v>
      </c>
      <c r="AB52" s="60">
        <f t="shared" si="3"/>
        <v>0</v>
      </c>
      <c r="AC52" s="63"/>
      <c r="AD52" s="60">
        <f t="shared" si="52"/>
        <v>0</v>
      </c>
      <c r="AE52" s="60">
        <f t="shared" si="4"/>
        <v>0</v>
      </c>
      <c r="AF52" s="63"/>
      <c r="AG52" s="63"/>
      <c r="AH52" s="60"/>
      <c r="AI52" s="63"/>
      <c r="AJ52" s="64"/>
    </row>
    <row r="53" spans="1:41" ht="16.5" customHeight="1" x14ac:dyDescent="0.25">
      <c r="B53" s="11"/>
      <c r="C53" s="99" t="s">
        <v>169</v>
      </c>
      <c r="D53" s="56" t="s">
        <v>170</v>
      </c>
      <c r="E53" s="57"/>
      <c r="F53" s="58"/>
      <c r="G53" s="59"/>
      <c r="H53" s="59"/>
      <c r="I53" s="59"/>
      <c r="J53" s="59"/>
      <c r="K53" s="60"/>
      <c r="L53" s="60">
        <v>1300000</v>
      </c>
      <c r="M53" s="60"/>
      <c r="N53" s="60"/>
      <c r="O53" s="60"/>
      <c r="P53" s="60"/>
      <c r="Q53" s="60">
        <f t="shared" si="53"/>
        <v>1300000</v>
      </c>
      <c r="R53" s="60">
        <f t="shared" si="48"/>
        <v>1300000</v>
      </c>
      <c r="S53" s="60">
        <f t="shared" si="0"/>
        <v>0</v>
      </c>
      <c r="T53" s="63"/>
      <c r="U53" s="60">
        <f t="shared" si="49"/>
        <v>1300000</v>
      </c>
      <c r="V53" s="60">
        <f t="shared" si="1"/>
        <v>0</v>
      </c>
      <c r="W53" s="63"/>
      <c r="X53" s="60">
        <f t="shared" si="50"/>
        <v>1300000</v>
      </c>
      <c r="Y53" s="60">
        <f t="shared" si="2"/>
        <v>0</v>
      </c>
      <c r="Z53" s="63"/>
      <c r="AA53" s="60">
        <f t="shared" si="51"/>
        <v>1300000</v>
      </c>
      <c r="AB53" s="60">
        <f t="shared" si="3"/>
        <v>0</v>
      </c>
      <c r="AC53" s="63"/>
      <c r="AD53" s="60">
        <f t="shared" si="52"/>
        <v>1300000</v>
      </c>
      <c r="AE53" s="60">
        <f t="shared" si="4"/>
        <v>0</v>
      </c>
      <c r="AF53" s="63"/>
      <c r="AG53" s="63"/>
      <c r="AH53" s="60">
        <v>0</v>
      </c>
      <c r="AI53" s="63">
        <f>AH53/AD53</f>
        <v>0</v>
      </c>
      <c r="AJ53" s="63" t="s">
        <v>171</v>
      </c>
    </row>
    <row r="54" spans="1:41" ht="16.5" customHeight="1" x14ac:dyDescent="0.25">
      <c r="B54" s="11"/>
      <c r="C54" s="55" t="s">
        <v>172</v>
      </c>
      <c r="D54" s="56" t="s">
        <v>173</v>
      </c>
      <c r="E54" s="57"/>
      <c r="F54" s="58"/>
      <c r="G54" s="59"/>
      <c r="H54" s="59"/>
      <c r="I54" s="59"/>
      <c r="J54" s="59"/>
      <c r="K54" s="60">
        <f>[4]KA_31122019!D48</f>
        <v>95460.85</v>
      </c>
      <c r="L54" s="60">
        <v>211343</v>
      </c>
      <c r="M54" s="60"/>
      <c r="N54" s="60"/>
      <c r="O54" s="60"/>
      <c r="P54" s="60"/>
      <c r="Q54" s="60">
        <f t="shared" si="53"/>
        <v>211343</v>
      </c>
      <c r="R54" s="60">
        <f t="shared" si="48"/>
        <v>211343</v>
      </c>
      <c r="S54" s="60">
        <f t="shared" si="0"/>
        <v>0</v>
      </c>
      <c r="T54" s="63"/>
      <c r="U54" s="60">
        <f t="shared" si="49"/>
        <v>211343</v>
      </c>
      <c r="V54" s="60">
        <f t="shared" si="1"/>
        <v>0</v>
      </c>
      <c r="W54" s="63"/>
      <c r="X54" s="60">
        <f t="shared" si="50"/>
        <v>211343</v>
      </c>
      <c r="Y54" s="60">
        <f t="shared" si="2"/>
        <v>0</v>
      </c>
      <c r="Z54" s="63"/>
      <c r="AA54" s="60">
        <f t="shared" si="51"/>
        <v>211343</v>
      </c>
      <c r="AB54" s="60">
        <f t="shared" si="3"/>
        <v>0</v>
      </c>
      <c r="AC54" s="63"/>
      <c r="AD54" s="60">
        <f t="shared" si="52"/>
        <v>211343</v>
      </c>
      <c r="AE54" s="60">
        <f t="shared" si="4"/>
        <v>0</v>
      </c>
      <c r="AF54" s="63"/>
      <c r="AG54" s="63"/>
      <c r="AH54" s="60">
        <v>88060</v>
      </c>
      <c r="AI54" s="63">
        <f>AH54/AD54</f>
        <v>0.41666863818531957</v>
      </c>
      <c r="AJ54" s="64"/>
    </row>
    <row r="55" spans="1:41" ht="17.25" customHeight="1" x14ac:dyDescent="0.25">
      <c r="B55" s="11"/>
      <c r="C55" s="55" t="s">
        <v>174</v>
      </c>
      <c r="D55" s="56" t="s">
        <v>175</v>
      </c>
      <c r="E55" s="57"/>
      <c r="F55" s="58"/>
      <c r="G55" s="59"/>
      <c r="H55" s="59"/>
      <c r="I55" s="59"/>
      <c r="J55" s="59"/>
      <c r="K55" s="126">
        <f>[4]KA_31122019!D47</f>
        <v>115869.66</v>
      </c>
      <c r="L55" s="126">
        <f>[4]Investicijas!K8</f>
        <v>46000</v>
      </c>
      <c r="M55" s="126"/>
      <c r="N55" s="126"/>
      <c r="O55" s="126"/>
      <c r="P55" s="126"/>
      <c r="Q55" s="60">
        <f t="shared" si="53"/>
        <v>46000</v>
      </c>
      <c r="R55" s="60">
        <f t="shared" si="48"/>
        <v>46000</v>
      </c>
      <c r="S55" s="60">
        <f t="shared" si="0"/>
        <v>0</v>
      </c>
      <c r="T55" s="63"/>
      <c r="U55" s="60">
        <f t="shared" si="49"/>
        <v>46000</v>
      </c>
      <c r="V55" s="60">
        <f t="shared" si="1"/>
        <v>0</v>
      </c>
      <c r="W55" s="63"/>
      <c r="X55" s="60">
        <f t="shared" si="50"/>
        <v>46000</v>
      </c>
      <c r="Y55" s="60">
        <f t="shared" si="2"/>
        <v>0</v>
      </c>
      <c r="Z55" s="63"/>
      <c r="AA55" s="60">
        <f t="shared" si="51"/>
        <v>46000</v>
      </c>
      <c r="AB55" s="60">
        <f t="shared" si="3"/>
        <v>0</v>
      </c>
      <c r="AC55" s="63"/>
      <c r="AD55" s="60">
        <f t="shared" si="52"/>
        <v>46000</v>
      </c>
      <c r="AE55" s="60">
        <f t="shared" si="4"/>
        <v>0</v>
      </c>
      <c r="AF55" s="63"/>
      <c r="AG55" s="63"/>
      <c r="AH55" s="60">
        <v>34233</v>
      </c>
      <c r="AI55" s="63">
        <f>AH55/AD55</f>
        <v>0.74419565217391304</v>
      </c>
      <c r="AJ55" s="64"/>
    </row>
    <row r="56" spans="1:41" s="11" customFormat="1" ht="15.75" customHeight="1" x14ac:dyDescent="0.25">
      <c r="A56" s="11" t="s">
        <v>132</v>
      </c>
      <c r="B56" s="11" t="s">
        <v>176</v>
      </c>
      <c r="C56" s="99" t="s">
        <v>177</v>
      </c>
      <c r="D56" s="100" t="s">
        <v>178</v>
      </c>
      <c r="E56" s="57"/>
      <c r="F56" s="58">
        <f>275+(11972+1203)+128+996+700+9488</f>
        <v>24762</v>
      </c>
      <c r="G56" s="59">
        <v>690224</v>
      </c>
      <c r="H56" s="59">
        <v>29172</v>
      </c>
      <c r="I56" s="59">
        <f>4665+9660+2430+18045+(10087)+9854</f>
        <v>54741</v>
      </c>
      <c r="J56" s="59">
        <v>67801</v>
      </c>
      <c r="K56" s="60"/>
      <c r="L56" s="60">
        <v>2270</v>
      </c>
      <c r="M56" s="60"/>
      <c r="N56" s="60"/>
      <c r="O56" s="60"/>
      <c r="P56" s="60"/>
      <c r="Q56" s="60">
        <f t="shared" si="53"/>
        <v>2270</v>
      </c>
      <c r="R56" s="60">
        <f>ROUND(Q56,0)+5200</f>
        <v>7470</v>
      </c>
      <c r="S56" s="60">
        <f t="shared" si="0"/>
        <v>5200</v>
      </c>
      <c r="T56" s="98" t="s">
        <v>179</v>
      </c>
      <c r="U56" s="60">
        <f>ROUND(R56,0)+440</f>
        <v>7910</v>
      </c>
      <c r="V56" s="60">
        <f t="shared" si="1"/>
        <v>440</v>
      </c>
      <c r="W56" s="98" t="s">
        <v>180</v>
      </c>
      <c r="X56" s="60">
        <f>ROUND(U56,0)+6564</f>
        <v>14474</v>
      </c>
      <c r="Y56" s="60">
        <f t="shared" si="2"/>
        <v>6564</v>
      </c>
      <c r="Z56" s="127" t="s">
        <v>181</v>
      </c>
      <c r="AA56" s="60">
        <f>ROUND(X56,0)</f>
        <v>14474</v>
      </c>
      <c r="AB56" s="60">
        <f t="shared" si="3"/>
        <v>0</v>
      </c>
      <c r="AC56" s="127"/>
      <c r="AD56" s="60">
        <f>ROUND(AA56,0)</f>
        <v>14474</v>
      </c>
      <c r="AE56" s="60">
        <f t="shared" si="4"/>
        <v>0</v>
      </c>
      <c r="AF56" s="127"/>
      <c r="AG56" s="127"/>
      <c r="AH56" s="60">
        <f>9660+1477+440+1561+121</f>
        <v>13259</v>
      </c>
      <c r="AI56" s="63">
        <f>AH56/AD56</f>
        <v>0.91605637695177555</v>
      </c>
      <c r="AJ56" s="64"/>
      <c r="AK56" s="377"/>
      <c r="AL56" s="378"/>
      <c r="AM56" s="378"/>
      <c r="AN56" s="378"/>
      <c r="AO56" s="378"/>
    </row>
    <row r="57" spans="1:41" ht="32.25" customHeight="1" x14ac:dyDescent="0.25">
      <c r="C57" s="128" t="s">
        <v>177</v>
      </c>
      <c r="D57" s="129" t="s">
        <v>182</v>
      </c>
      <c r="E57" s="130">
        <f>SUM(E58:E68)</f>
        <v>501296.94765539188</v>
      </c>
      <c r="F57" s="131">
        <f>SUM(F58:F68)</f>
        <v>295070.14</v>
      </c>
      <c r="G57" s="132">
        <f>SUM(G58:G68)</f>
        <v>53712</v>
      </c>
      <c r="H57" s="132">
        <v>1272417.1299999999</v>
      </c>
      <c r="I57" s="132">
        <f t="shared" ref="I57:R57" si="54">SUM(I58:I72)</f>
        <v>2902580.4200000004</v>
      </c>
      <c r="J57" s="132">
        <v>4486509</v>
      </c>
      <c r="K57" s="133">
        <f t="shared" si="54"/>
        <v>124951.46999999999</v>
      </c>
      <c r="L57" s="133">
        <f t="shared" si="54"/>
        <v>0</v>
      </c>
      <c r="M57" s="133">
        <f t="shared" si="54"/>
        <v>2480639.2800000003</v>
      </c>
      <c r="N57" s="133">
        <f t="shared" si="54"/>
        <v>0</v>
      </c>
      <c r="O57" s="133">
        <f t="shared" si="54"/>
        <v>0</v>
      </c>
      <c r="P57" s="133">
        <f t="shared" si="54"/>
        <v>0</v>
      </c>
      <c r="Q57" s="133">
        <f t="shared" si="54"/>
        <v>2480639.2800000003</v>
      </c>
      <c r="R57" s="133">
        <f t="shared" si="54"/>
        <v>2481829</v>
      </c>
      <c r="S57" s="133">
        <f t="shared" si="0"/>
        <v>1189.7199999997392</v>
      </c>
      <c r="T57" s="134"/>
      <c r="U57" s="133">
        <f t="shared" ref="U57" si="55">SUM(U58:U72)</f>
        <v>2481829</v>
      </c>
      <c r="V57" s="133">
        <f t="shared" si="1"/>
        <v>0</v>
      </c>
      <c r="W57" s="134"/>
      <c r="X57" s="133">
        <f t="shared" ref="X57" si="56">SUM(X58:X72)</f>
        <v>2481829</v>
      </c>
      <c r="Y57" s="133">
        <f t="shared" si="2"/>
        <v>0</v>
      </c>
      <c r="Z57" s="134"/>
      <c r="AA57" s="133">
        <f t="shared" ref="AA57" si="57">SUM(AA58:AA72)</f>
        <v>2481829</v>
      </c>
      <c r="AB57" s="133">
        <f t="shared" si="3"/>
        <v>0</v>
      </c>
      <c r="AC57" s="134"/>
      <c r="AD57" s="133">
        <f t="shared" ref="AD57" si="58">SUM(AD58:AD72)</f>
        <v>2182847</v>
      </c>
      <c r="AE57" s="133">
        <f t="shared" si="4"/>
        <v>-298982</v>
      </c>
      <c r="AF57" s="134"/>
      <c r="AG57" s="134"/>
      <c r="AH57" s="133">
        <f>SUM(AH58:AH72)</f>
        <v>673396.01</v>
      </c>
      <c r="AI57" s="135">
        <f>AH57/AD57</f>
        <v>0.30849436996729501</v>
      </c>
      <c r="AJ57" s="134" t="s">
        <v>183</v>
      </c>
      <c r="AL57" s="373" t="e">
        <f>#REF!-AK57</f>
        <v>#REF!</v>
      </c>
    </row>
    <row r="58" spans="1:41" s="11" customFormat="1" ht="16.5" customHeight="1" x14ac:dyDescent="0.25">
      <c r="A58" s="11" t="s">
        <v>184</v>
      </c>
      <c r="B58" s="11" t="s">
        <v>185</v>
      </c>
      <c r="C58" s="136" t="s">
        <v>186</v>
      </c>
      <c r="D58" s="56" t="s">
        <v>187</v>
      </c>
      <c r="E58" s="57"/>
      <c r="F58" s="58">
        <f>4314.57*2</f>
        <v>8629.14</v>
      </c>
      <c r="G58" s="59">
        <v>1295</v>
      </c>
      <c r="H58" s="59">
        <v>0</v>
      </c>
      <c r="I58" s="59">
        <v>0</v>
      </c>
      <c r="J58" s="59">
        <v>0</v>
      </c>
      <c r="K58" s="60"/>
      <c r="L58" s="60"/>
      <c r="M58" s="60"/>
      <c r="N58" s="60"/>
      <c r="O58" s="60"/>
      <c r="P58" s="60"/>
      <c r="Q58" s="60">
        <f t="shared" ref="Q58:Q72" si="59">L58+M58+N58+O58+P58</f>
        <v>0</v>
      </c>
      <c r="R58" s="60">
        <f t="shared" ref="R58:R72" si="60">ROUND(Q58,0)</f>
        <v>0</v>
      </c>
      <c r="S58" s="60">
        <f t="shared" si="0"/>
        <v>0</v>
      </c>
      <c r="T58" s="63"/>
      <c r="U58" s="60">
        <f t="shared" ref="U58:U72" si="61">ROUND(R58,0)</f>
        <v>0</v>
      </c>
      <c r="V58" s="60">
        <f t="shared" si="1"/>
        <v>0</v>
      </c>
      <c r="W58" s="63"/>
      <c r="X58" s="60">
        <f t="shared" ref="X58:X72" si="62">ROUND(U58,0)</f>
        <v>0</v>
      </c>
      <c r="Y58" s="60">
        <f t="shared" si="2"/>
        <v>0</v>
      </c>
      <c r="Z58" s="63"/>
      <c r="AA58" s="60">
        <f t="shared" ref="AA58:AA72" si="63">ROUND(X58,0)</f>
        <v>0</v>
      </c>
      <c r="AB58" s="60">
        <f t="shared" si="3"/>
        <v>0</v>
      </c>
      <c r="AC58" s="63"/>
      <c r="AD58" s="60">
        <f t="shared" ref="AD58:AD72" si="64">ROUND(AA58,0)</f>
        <v>0</v>
      </c>
      <c r="AE58" s="60">
        <f t="shared" si="4"/>
        <v>0</v>
      </c>
      <c r="AF58" s="63"/>
      <c r="AG58" s="63"/>
      <c r="AH58" s="137"/>
      <c r="AI58" s="63">
        <v>0</v>
      </c>
      <c r="AJ58" s="64"/>
      <c r="AK58" s="377"/>
      <c r="AL58" s="378"/>
      <c r="AM58" s="378"/>
      <c r="AN58" s="378"/>
      <c r="AO58" s="378"/>
    </row>
    <row r="59" spans="1:41" ht="17.25" customHeight="1" x14ac:dyDescent="0.25">
      <c r="A59" s="1" t="s">
        <v>132</v>
      </c>
      <c r="B59" s="107" t="s">
        <v>188</v>
      </c>
      <c r="C59" s="136" t="s">
        <v>189</v>
      </c>
      <c r="D59" s="56" t="s">
        <v>190</v>
      </c>
      <c r="E59" s="57">
        <v>15906.995406969796</v>
      </c>
      <c r="F59" s="58">
        <v>4026</v>
      </c>
      <c r="G59" s="59">
        <v>5137</v>
      </c>
      <c r="H59" s="59">
        <v>2000</v>
      </c>
      <c r="I59" s="59">
        <v>2410</v>
      </c>
      <c r="J59" s="59">
        <v>0</v>
      </c>
      <c r="K59" s="60">
        <v>2656</v>
      </c>
      <c r="L59" s="60"/>
      <c r="M59" s="60">
        <f>4828-2656</f>
        <v>2172</v>
      </c>
      <c r="N59" s="60"/>
      <c r="O59" s="60"/>
      <c r="P59" s="60"/>
      <c r="Q59" s="60">
        <f t="shared" si="59"/>
        <v>2172</v>
      </c>
      <c r="R59" s="60">
        <f>ROUND(Q59,0)+1190</f>
        <v>3362</v>
      </c>
      <c r="S59" s="60">
        <f t="shared" si="0"/>
        <v>1190</v>
      </c>
      <c r="T59" s="127" t="s">
        <v>191</v>
      </c>
      <c r="U59" s="60">
        <f t="shared" si="61"/>
        <v>3362</v>
      </c>
      <c r="V59" s="60">
        <f t="shared" si="1"/>
        <v>0</v>
      </c>
      <c r="W59" s="127"/>
      <c r="X59" s="60">
        <f t="shared" si="62"/>
        <v>3362</v>
      </c>
      <c r="Y59" s="60">
        <f t="shared" si="2"/>
        <v>0</v>
      </c>
      <c r="Z59" s="127"/>
      <c r="AA59" s="60">
        <f t="shared" si="63"/>
        <v>3362</v>
      </c>
      <c r="AB59" s="60">
        <f t="shared" si="3"/>
        <v>0</v>
      </c>
      <c r="AC59" s="127"/>
      <c r="AD59" s="60">
        <f t="shared" si="64"/>
        <v>3362</v>
      </c>
      <c r="AE59" s="60">
        <f t="shared" si="4"/>
        <v>0</v>
      </c>
      <c r="AF59" s="127"/>
      <c r="AG59" s="127"/>
      <c r="AH59" s="60">
        <v>2365</v>
      </c>
      <c r="AI59" s="63">
        <f>AH59/AD59</f>
        <v>0.70345032718619871</v>
      </c>
      <c r="AJ59" s="64"/>
    </row>
    <row r="60" spans="1:41" x14ac:dyDescent="0.25">
      <c r="A60" s="1" t="s">
        <v>184</v>
      </c>
      <c r="B60" s="1" t="s">
        <v>192</v>
      </c>
      <c r="C60" s="136" t="s">
        <v>193</v>
      </c>
      <c r="D60" s="138" t="s">
        <v>194</v>
      </c>
      <c r="E60" s="139"/>
      <c r="F60" s="140"/>
      <c r="G60" s="141">
        <v>0</v>
      </c>
      <c r="H60" s="141">
        <v>13120</v>
      </c>
      <c r="I60" s="59">
        <v>11018</v>
      </c>
      <c r="J60" s="84">
        <v>50000</v>
      </c>
      <c r="K60" s="142"/>
      <c r="L60" s="142"/>
      <c r="M60" s="143"/>
      <c r="N60" s="142"/>
      <c r="O60" s="142"/>
      <c r="P60" s="142"/>
      <c r="Q60" s="60">
        <f t="shared" si="59"/>
        <v>0</v>
      </c>
      <c r="R60" s="60">
        <f t="shared" si="60"/>
        <v>0</v>
      </c>
      <c r="S60" s="60">
        <f t="shared" si="0"/>
        <v>0</v>
      </c>
      <c r="T60" s="86"/>
      <c r="U60" s="60">
        <f t="shared" si="61"/>
        <v>0</v>
      </c>
      <c r="V60" s="60">
        <f t="shared" si="1"/>
        <v>0</v>
      </c>
      <c r="W60" s="86"/>
      <c r="X60" s="60">
        <f t="shared" si="62"/>
        <v>0</v>
      </c>
      <c r="Y60" s="60">
        <f t="shared" si="2"/>
        <v>0</v>
      </c>
      <c r="Z60" s="86"/>
      <c r="AA60" s="60">
        <f t="shared" si="63"/>
        <v>0</v>
      </c>
      <c r="AB60" s="60">
        <f t="shared" si="3"/>
        <v>0</v>
      </c>
      <c r="AC60" s="86"/>
      <c r="AD60" s="60">
        <f t="shared" si="64"/>
        <v>0</v>
      </c>
      <c r="AE60" s="60">
        <f t="shared" si="4"/>
        <v>0</v>
      </c>
      <c r="AF60" s="86"/>
      <c r="AG60" s="86"/>
      <c r="AH60" s="85">
        <v>0</v>
      </c>
      <c r="AI60" s="86"/>
      <c r="AJ60" s="87"/>
    </row>
    <row r="61" spans="1:41" x14ac:dyDescent="0.25">
      <c r="A61" s="1" t="s">
        <v>184</v>
      </c>
      <c r="B61" s="1" t="s">
        <v>195</v>
      </c>
      <c r="C61" s="136" t="s">
        <v>196</v>
      </c>
      <c r="D61" s="144" t="s">
        <v>197</v>
      </c>
      <c r="E61" s="81">
        <v>451441.65371853323</v>
      </c>
      <c r="F61" s="145">
        <v>97000</v>
      </c>
      <c r="G61" s="83"/>
      <c r="H61" s="83"/>
      <c r="I61" s="59"/>
      <c r="J61" s="84">
        <v>0</v>
      </c>
      <c r="K61" s="85"/>
      <c r="L61" s="85"/>
      <c r="M61" s="85">
        <v>298982</v>
      </c>
      <c r="N61" s="85"/>
      <c r="O61" s="85"/>
      <c r="P61" s="85"/>
      <c r="Q61" s="60">
        <f t="shared" si="59"/>
        <v>298982</v>
      </c>
      <c r="R61" s="60">
        <f t="shared" si="60"/>
        <v>298982</v>
      </c>
      <c r="S61" s="60">
        <f t="shared" si="0"/>
        <v>0</v>
      </c>
      <c r="T61" s="86"/>
      <c r="U61" s="60">
        <f t="shared" si="61"/>
        <v>298982</v>
      </c>
      <c r="V61" s="60">
        <f t="shared" si="1"/>
        <v>0</v>
      </c>
      <c r="W61" s="86"/>
      <c r="X61" s="60">
        <f t="shared" si="62"/>
        <v>298982</v>
      </c>
      <c r="Y61" s="60">
        <f t="shared" si="2"/>
        <v>0</v>
      </c>
      <c r="Z61" s="86"/>
      <c r="AA61" s="60">
        <f t="shared" si="63"/>
        <v>298982</v>
      </c>
      <c r="AB61" s="60">
        <f t="shared" si="3"/>
        <v>0</v>
      </c>
      <c r="AC61" s="86"/>
      <c r="AD61" s="60">
        <f>ROUND(AA61,0)-298982</f>
        <v>0</v>
      </c>
      <c r="AE61" s="60">
        <f t="shared" si="4"/>
        <v>-298982</v>
      </c>
      <c r="AF61" s="86" t="s">
        <v>198</v>
      </c>
      <c r="AG61" s="86"/>
      <c r="AH61" s="85">
        <v>0</v>
      </c>
      <c r="AI61" s="86"/>
      <c r="AJ61" s="87"/>
    </row>
    <row r="62" spans="1:41" ht="18" customHeight="1" x14ac:dyDescent="0.25">
      <c r="B62" s="1" t="s">
        <v>199</v>
      </c>
      <c r="C62" s="146" t="s">
        <v>200</v>
      </c>
      <c r="D62" s="144" t="s">
        <v>201</v>
      </c>
      <c r="E62" s="147">
        <v>33948.298529888845</v>
      </c>
      <c r="F62" s="148">
        <v>121662</v>
      </c>
      <c r="G62" s="83">
        <v>0</v>
      </c>
      <c r="H62" s="83">
        <v>792090</v>
      </c>
      <c r="I62" s="59">
        <v>374449</v>
      </c>
      <c r="J62" s="84">
        <v>186068</v>
      </c>
      <c r="K62" s="149"/>
      <c r="L62" s="149"/>
      <c r="M62" s="150"/>
      <c r="N62" s="149"/>
      <c r="O62" s="85"/>
      <c r="P62" s="85"/>
      <c r="Q62" s="60">
        <f t="shared" si="59"/>
        <v>0</v>
      </c>
      <c r="R62" s="60">
        <f t="shared" si="60"/>
        <v>0</v>
      </c>
      <c r="S62" s="60">
        <f t="shared" si="0"/>
        <v>0</v>
      </c>
      <c r="T62" s="151"/>
      <c r="U62" s="60">
        <f t="shared" si="61"/>
        <v>0</v>
      </c>
      <c r="V62" s="60">
        <f t="shared" si="1"/>
        <v>0</v>
      </c>
      <c r="W62" s="151"/>
      <c r="X62" s="60">
        <f t="shared" si="62"/>
        <v>0</v>
      </c>
      <c r="Y62" s="60">
        <f t="shared" si="2"/>
        <v>0</v>
      </c>
      <c r="Z62" s="151"/>
      <c r="AA62" s="60">
        <f t="shared" si="63"/>
        <v>0</v>
      </c>
      <c r="AB62" s="60">
        <f t="shared" si="3"/>
        <v>0</v>
      </c>
      <c r="AC62" s="151"/>
      <c r="AD62" s="60">
        <v>0</v>
      </c>
      <c r="AE62" s="60">
        <f t="shared" si="4"/>
        <v>0</v>
      </c>
      <c r="AF62" s="151"/>
      <c r="AG62" s="151"/>
      <c r="AH62" s="85">
        <v>0</v>
      </c>
      <c r="AI62" s="86"/>
      <c r="AJ62" s="152"/>
      <c r="AK62" s="383">
        <f>1745924-AH62</f>
        <v>1745924</v>
      </c>
    </row>
    <row r="63" spans="1:41" ht="39.75" customHeight="1" x14ac:dyDescent="0.25">
      <c r="B63" s="1" t="s">
        <v>202</v>
      </c>
      <c r="C63" s="146" t="s">
        <v>203</v>
      </c>
      <c r="D63" s="144" t="s">
        <v>204</v>
      </c>
      <c r="E63" s="147"/>
      <c r="F63" s="148"/>
      <c r="G63" s="84"/>
      <c r="H63" s="84">
        <v>0</v>
      </c>
      <c r="I63" s="59">
        <v>11000</v>
      </c>
      <c r="J63" s="84">
        <v>511508</v>
      </c>
      <c r="K63" s="149">
        <v>15163</v>
      </c>
      <c r="L63" s="149"/>
      <c r="M63" s="150">
        <f>117360-15163</f>
        <v>102197</v>
      </c>
      <c r="N63" s="149"/>
      <c r="O63" s="149"/>
      <c r="P63" s="149"/>
      <c r="Q63" s="60">
        <f t="shared" si="59"/>
        <v>102197</v>
      </c>
      <c r="R63" s="60">
        <f t="shared" si="60"/>
        <v>102197</v>
      </c>
      <c r="S63" s="60">
        <f t="shared" si="0"/>
        <v>0</v>
      </c>
      <c r="T63" s="86"/>
      <c r="U63" s="60">
        <f t="shared" si="61"/>
        <v>102197</v>
      </c>
      <c r="V63" s="60">
        <f t="shared" si="1"/>
        <v>0</v>
      </c>
      <c r="W63" s="86"/>
      <c r="X63" s="60">
        <f t="shared" si="62"/>
        <v>102197</v>
      </c>
      <c r="Y63" s="60">
        <f t="shared" si="2"/>
        <v>0</v>
      </c>
      <c r="Z63" s="86"/>
      <c r="AA63" s="60">
        <f t="shared" si="63"/>
        <v>102197</v>
      </c>
      <c r="AB63" s="60">
        <f t="shared" si="3"/>
        <v>0</v>
      </c>
      <c r="AC63" s="86"/>
      <c r="AD63" s="60">
        <f t="shared" si="64"/>
        <v>102197</v>
      </c>
      <c r="AE63" s="60">
        <f t="shared" si="4"/>
        <v>0</v>
      </c>
      <c r="AF63" s="86"/>
      <c r="AG63" s="86"/>
      <c r="AH63" s="85">
        <v>43466</v>
      </c>
      <c r="AI63" s="86">
        <f>AH63/AD63</f>
        <v>0.42531581161873638</v>
      </c>
      <c r="AJ63" s="153"/>
    </row>
    <row r="64" spans="1:41" s="11" customFormat="1" ht="48" customHeight="1" x14ac:dyDescent="0.25">
      <c r="C64" s="154" t="s">
        <v>205</v>
      </c>
      <c r="D64" s="144" t="s">
        <v>206</v>
      </c>
      <c r="E64" s="147"/>
      <c r="F64" s="148"/>
      <c r="G64" s="84"/>
      <c r="H64" s="84">
        <v>0</v>
      </c>
      <c r="I64" s="59">
        <v>0</v>
      </c>
      <c r="J64" s="84">
        <v>1038605</v>
      </c>
      <c r="K64" s="149"/>
      <c r="L64" s="149"/>
      <c r="M64" s="150">
        <v>1201628.8</v>
      </c>
      <c r="N64" s="149"/>
      <c r="O64" s="149"/>
      <c r="P64" s="149"/>
      <c r="Q64" s="60">
        <f t="shared" si="59"/>
        <v>1201628.8</v>
      </c>
      <c r="R64" s="60">
        <f t="shared" si="60"/>
        <v>1201629</v>
      </c>
      <c r="S64" s="60">
        <f t="shared" si="0"/>
        <v>0.19999999995343387</v>
      </c>
      <c r="T64" s="86"/>
      <c r="U64" s="60">
        <f t="shared" si="61"/>
        <v>1201629</v>
      </c>
      <c r="V64" s="60">
        <f t="shared" si="1"/>
        <v>0</v>
      </c>
      <c r="W64" s="86"/>
      <c r="X64" s="60">
        <f t="shared" si="62"/>
        <v>1201629</v>
      </c>
      <c r="Y64" s="60">
        <f t="shared" si="2"/>
        <v>0</v>
      </c>
      <c r="Z64" s="86"/>
      <c r="AA64" s="60">
        <f t="shared" si="63"/>
        <v>1201629</v>
      </c>
      <c r="AB64" s="60">
        <f t="shared" si="3"/>
        <v>0</v>
      </c>
      <c r="AC64" s="86"/>
      <c r="AD64" s="60">
        <f t="shared" si="64"/>
        <v>1201629</v>
      </c>
      <c r="AE64" s="60">
        <f t="shared" si="4"/>
        <v>0</v>
      </c>
      <c r="AF64" s="86"/>
      <c r="AG64" s="86"/>
      <c r="AH64" s="85">
        <v>484686.01</v>
      </c>
      <c r="AI64" s="86">
        <f>AH64/AD64</f>
        <v>0.40335745059415179</v>
      </c>
      <c r="AJ64" s="87"/>
      <c r="AK64" s="377"/>
      <c r="AL64" s="378"/>
      <c r="AM64" s="378"/>
      <c r="AN64" s="378"/>
      <c r="AO64" s="378"/>
    </row>
    <row r="65" spans="1:41" ht="21" customHeight="1" x14ac:dyDescent="0.25">
      <c r="B65" s="155" t="s">
        <v>207</v>
      </c>
      <c r="C65" s="146" t="s">
        <v>208</v>
      </c>
      <c r="D65" s="144" t="s">
        <v>209</v>
      </c>
      <c r="E65" s="147"/>
      <c r="F65" s="148"/>
      <c r="G65" s="84"/>
      <c r="H65" s="84">
        <v>0</v>
      </c>
      <c r="I65" s="59">
        <v>2317591</v>
      </c>
      <c r="J65" s="84">
        <v>1546407</v>
      </c>
      <c r="K65" s="149"/>
      <c r="L65" s="149"/>
      <c r="M65" s="150"/>
      <c r="N65" s="149"/>
      <c r="O65" s="149"/>
      <c r="P65" s="149"/>
      <c r="Q65" s="60">
        <f t="shared" si="59"/>
        <v>0</v>
      </c>
      <c r="R65" s="60">
        <f t="shared" si="60"/>
        <v>0</v>
      </c>
      <c r="S65" s="60">
        <f t="shared" si="0"/>
        <v>0</v>
      </c>
      <c r="T65" s="86"/>
      <c r="U65" s="60">
        <f t="shared" si="61"/>
        <v>0</v>
      </c>
      <c r="V65" s="60">
        <f t="shared" si="1"/>
        <v>0</v>
      </c>
      <c r="W65" s="86"/>
      <c r="X65" s="60">
        <f t="shared" si="62"/>
        <v>0</v>
      </c>
      <c r="Y65" s="60">
        <f t="shared" si="2"/>
        <v>0</v>
      </c>
      <c r="Z65" s="86"/>
      <c r="AA65" s="60">
        <f t="shared" si="63"/>
        <v>0</v>
      </c>
      <c r="AB65" s="60">
        <f t="shared" si="3"/>
        <v>0</v>
      </c>
      <c r="AC65" s="86"/>
      <c r="AD65" s="60">
        <f t="shared" si="64"/>
        <v>0</v>
      </c>
      <c r="AE65" s="60">
        <f t="shared" si="4"/>
        <v>0</v>
      </c>
      <c r="AF65" s="86"/>
      <c r="AG65" s="86"/>
      <c r="AH65" s="85"/>
      <c r="AI65" s="86"/>
      <c r="AJ65" s="87"/>
      <c r="AK65" s="383"/>
    </row>
    <row r="66" spans="1:41" ht="17.25" customHeight="1" x14ac:dyDescent="0.25">
      <c r="B66" s="1" t="s">
        <v>210</v>
      </c>
      <c r="C66" s="146" t="s">
        <v>211</v>
      </c>
      <c r="D66" s="144" t="s">
        <v>212</v>
      </c>
      <c r="E66" s="147"/>
      <c r="F66" s="148"/>
      <c r="G66" s="84"/>
      <c r="H66" s="84">
        <v>210000</v>
      </c>
      <c r="I66" s="59">
        <v>44554</v>
      </c>
      <c r="J66" s="84">
        <v>132692</v>
      </c>
      <c r="K66" s="149"/>
      <c r="L66" s="149"/>
      <c r="M66" s="150"/>
      <c r="N66" s="149"/>
      <c r="O66" s="149"/>
      <c r="P66" s="149"/>
      <c r="Q66" s="60">
        <f t="shared" si="59"/>
        <v>0</v>
      </c>
      <c r="R66" s="60">
        <f t="shared" si="60"/>
        <v>0</v>
      </c>
      <c r="S66" s="60">
        <f t="shared" si="0"/>
        <v>0</v>
      </c>
      <c r="T66" s="86"/>
      <c r="U66" s="60">
        <f t="shared" si="61"/>
        <v>0</v>
      </c>
      <c r="V66" s="60">
        <f t="shared" si="1"/>
        <v>0</v>
      </c>
      <c r="W66" s="86"/>
      <c r="X66" s="60">
        <f t="shared" si="62"/>
        <v>0</v>
      </c>
      <c r="Y66" s="60">
        <f t="shared" si="2"/>
        <v>0</v>
      </c>
      <c r="Z66" s="86"/>
      <c r="AA66" s="60">
        <f t="shared" si="63"/>
        <v>0</v>
      </c>
      <c r="AB66" s="60">
        <f t="shared" si="3"/>
        <v>0</v>
      </c>
      <c r="AC66" s="86"/>
      <c r="AD66" s="60">
        <f t="shared" si="64"/>
        <v>0</v>
      </c>
      <c r="AE66" s="60">
        <f t="shared" si="4"/>
        <v>0</v>
      </c>
      <c r="AF66" s="86"/>
      <c r="AG66" s="86"/>
      <c r="AH66" s="85"/>
      <c r="AI66" s="86"/>
      <c r="AJ66" s="87"/>
    </row>
    <row r="67" spans="1:41" ht="45" customHeight="1" x14ac:dyDescent="0.25">
      <c r="B67" s="1" t="s">
        <v>213</v>
      </c>
      <c r="C67" s="146" t="s">
        <v>214</v>
      </c>
      <c r="D67" s="144" t="s">
        <v>215</v>
      </c>
      <c r="E67" s="147"/>
      <c r="F67" s="148"/>
      <c r="G67" s="84"/>
      <c r="H67" s="84">
        <v>43270.130000000005</v>
      </c>
      <c r="I67" s="59">
        <v>24752.37</v>
      </c>
      <c r="J67" s="84">
        <v>20124</v>
      </c>
      <c r="K67" s="149">
        <v>13597</v>
      </c>
      <c r="L67" s="149"/>
      <c r="M67" s="150">
        <v>26294</v>
      </c>
      <c r="N67" s="149"/>
      <c r="O67" s="149"/>
      <c r="P67" s="149"/>
      <c r="Q67" s="60">
        <f t="shared" si="59"/>
        <v>26294</v>
      </c>
      <c r="R67" s="60">
        <f t="shared" si="60"/>
        <v>26294</v>
      </c>
      <c r="S67" s="60">
        <f t="shared" si="0"/>
        <v>0</v>
      </c>
      <c r="T67" s="151"/>
      <c r="U67" s="60">
        <f t="shared" si="61"/>
        <v>26294</v>
      </c>
      <c r="V67" s="60">
        <f t="shared" si="1"/>
        <v>0</v>
      </c>
      <c r="W67" s="151"/>
      <c r="X67" s="60">
        <f t="shared" si="62"/>
        <v>26294</v>
      </c>
      <c r="Y67" s="60">
        <f t="shared" si="2"/>
        <v>0</v>
      </c>
      <c r="Z67" s="151"/>
      <c r="AA67" s="60">
        <f t="shared" si="63"/>
        <v>26294</v>
      </c>
      <c r="AB67" s="60">
        <f t="shared" si="3"/>
        <v>0</v>
      </c>
      <c r="AC67" s="151"/>
      <c r="AD67" s="60">
        <f t="shared" si="64"/>
        <v>26294</v>
      </c>
      <c r="AE67" s="60">
        <f t="shared" si="4"/>
        <v>0</v>
      </c>
      <c r="AF67" s="151"/>
      <c r="AG67" s="151"/>
      <c r="AH67" s="85">
        <v>0</v>
      </c>
      <c r="AI67" s="86">
        <f>AH67/AD67</f>
        <v>0</v>
      </c>
      <c r="AJ67" s="152"/>
    </row>
    <row r="68" spans="1:41" ht="30" customHeight="1" x14ac:dyDescent="0.25">
      <c r="A68" s="1" t="s">
        <v>184</v>
      </c>
      <c r="B68" s="89" t="s">
        <v>216</v>
      </c>
      <c r="C68" s="146" t="s">
        <v>217</v>
      </c>
      <c r="D68" s="144" t="s">
        <v>218</v>
      </c>
      <c r="E68" s="147">
        <v>0</v>
      </c>
      <c r="F68" s="148">
        <v>63753</v>
      </c>
      <c r="G68" s="84">
        <v>47280</v>
      </c>
      <c r="H68" s="84">
        <v>0</v>
      </c>
      <c r="I68" s="59">
        <f>15994+15400</f>
        <v>31394</v>
      </c>
      <c r="J68" s="84">
        <v>0</v>
      </c>
      <c r="K68" s="149">
        <v>41596.519999999997</v>
      </c>
      <c r="L68" s="149"/>
      <c r="M68" s="149">
        <f>48998+750-K68</f>
        <v>8151.4800000000032</v>
      </c>
      <c r="N68" s="149"/>
      <c r="O68" s="149"/>
      <c r="P68" s="149"/>
      <c r="Q68" s="60">
        <f t="shared" si="59"/>
        <v>8151.4800000000032</v>
      </c>
      <c r="R68" s="60">
        <f t="shared" si="60"/>
        <v>8151</v>
      </c>
      <c r="S68" s="60">
        <f t="shared" si="0"/>
        <v>-0.48000000000320142</v>
      </c>
      <c r="T68" s="86"/>
      <c r="U68" s="60">
        <f t="shared" si="61"/>
        <v>8151</v>
      </c>
      <c r="V68" s="60">
        <f t="shared" si="1"/>
        <v>0</v>
      </c>
      <c r="W68" s="86"/>
      <c r="X68" s="60">
        <f t="shared" si="62"/>
        <v>8151</v>
      </c>
      <c r="Y68" s="60">
        <f t="shared" si="2"/>
        <v>0</v>
      </c>
      <c r="Z68" s="86"/>
      <c r="AA68" s="60">
        <f t="shared" si="63"/>
        <v>8151</v>
      </c>
      <c r="AB68" s="60">
        <f t="shared" si="3"/>
        <v>0</v>
      </c>
      <c r="AC68" s="86"/>
      <c r="AD68" s="60">
        <f t="shared" si="64"/>
        <v>8151</v>
      </c>
      <c r="AE68" s="60">
        <f t="shared" si="4"/>
        <v>0</v>
      </c>
      <c r="AF68" s="86"/>
      <c r="AG68" s="86"/>
      <c r="AH68" s="85">
        <v>29520</v>
      </c>
      <c r="AI68" s="86">
        <f>AH68/AD68</f>
        <v>3.6216415163783586</v>
      </c>
      <c r="AJ68" s="151" t="s">
        <v>219</v>
      </c>
    </row>
    <row r="69" spans="1:41" ht="30" x14ac:dyDescent="0.25">
      <c r="B69" s="89"/>
      <c r="C69" s="146" t="s">
        <v>220</v>
      </c>
      <c r="D69" s="144" t="s">
        <v>221</v>
      </c>
      <c r="E69" s="147"/>
      <c r="F69" s="148"/>
      <c r="G69" s="84"/>
      <c r="H69" s="84">
        <v>96349</v>
      </c>
      <c r="I69" s="59">
        <v>3467.3699999999953</v>
      </c>
      <c r="J69" s="84">
        <v>19680</v>
      </c>
      <c r="K69" s="149">
        <v>32324.95</v>
      </c>
      <c r="L69" s="149"/>
      <c r="M69" s="149">
        <v>0</v>
      </c>
      <c r="N69" s="149"/>
      <c r="O69" s="149"/>
      <c r="P69" s="149"/>
      <c r="Q69" s="60">
        <f t="shared" si="59"/>
        <v>0</v>
      </c>
      <c r="R69" s="60">
        <f t="shared" si="60"/>
        <v>0</v>
      </c>
      <c r="S69" s="60">
        <f t="shared" si="0"/>
        <v>0</v>
      </c>
      <c r="T69" s="156"/>
      <c r="U69" s="60">
        <f t="shared" si="61"/>
        <v>0</v>
      </c>
      <c r="V69" s="60">
        <f t="shared" si="1"/>
        <v>0</v>
      </c>
      <c r="W69" s="156"/>
      <c r="X69" s="60">
        <f t="shared" si="62"/>
        <v>0</v>
      </c>
      <c r="Y69" s="60">
        <f t="shared" si="2"/>
        <v>0</v>
      </c>
      <c r="Z69" s="156"/>
      <c r="AA69" s="60">
        <f t="shared" si="63"/>
        <v>0</v>
      </c>
      <c r="AB69" s="60">
        <f t="shared" si="3"/>
        <v>0</v>
      </c>
      <c r="AC69" s="156"/>
      <c r="AD69" s="60">
        <f t="shared" si="64"/>
        <v>0</v>
      </c>
      <c r="AE69" s="60">
        <f t="shared" si="4"/>
        <v>0</v>
      </c>
      <c r="AF69" s="156"/>
      <c r="AG69" s="156"/>
      <c r="AH69" s="85">
        <v>0</v>
      </c>
      <c r="AI69" s="156"/>
      <c r="AJ69" s="156"/>
    </row>
    <row r="70" spans="1:41" ht="32.25" customHeight="1" x14ac:dyDescent="0.25">
      <c r="B70" s="89" t="s">
        <v>222</v>
      </c>
      <c r="C70" s="146" t="s">
        <v>223</v>
      </c>
      <c r="D70" s="144" t="s">
        <v>224</v>
      </c>
      <c r="E70" s="147"/>
      <c r="F70" s="148"/>
      <c r="G70" s="84"/>
      <c r="H70" s="84">
        <v>115588</v>
      </c>
      <c r="I70" s="59">
        <v>81944.679999999993</v>
      </c>
      <c r="J70" s="84">
        <v>73091</v>
      </c>
      <c r="K70" s="149">
        <v>14660</v>
      </c>
      <c r="L70" s="149"/>
      <c r="M70" s="149">
        <f>71772-14660</f>
        <v>57112</v>
      </c>
      <c r="N70" s="149"/>
      <c r="O70" s="149"/>
      <c r="P70" s="149"/>
      <c r="Q70" s="60">
        <f t="shared" si="59"/>
        <v>57112</v>
      </c>
      <c r="R70" s="60">
        <f t="shared" si="60"/>
        <v>57112</v>
      </c>
      <c r="S70" s="60">
        <f t="shared" si="0"/>
        <v>0</v>
      </c>
      <c r="T70" s="156"/>
      <c r="U70" s="60">
        <f t="shared" si="61"/>
        <v>57112</v>
      </c>
      <c r="V70" s="60">
        <f t="shared" si="1"/>
        <v>0</v>
      </c>
      <c r="W70" s="156"/>
      <c r="X70" s="60">
        <f t="shared" si="62"/>
        <v>57112</v>
      </c>
      <c r="Y70" s="60">
        <f t="shared" si="2"/>
        <v>0</v>
      </c>
      <c r="Z70" s="156"/>
      <c r="AA70" s="60">
        <f t="shared" si="63"/>
        <v>57112</v>
      </c>
      <c r="AB70" s="60">
        <f t="shared" si="3"/>
        <v>0</v>
      </c>
      <c r="AC70" s="156"/>
      <c r="AD70" s="60">
        <f t="shared" si="64"/>
        <v>57112</v>
      </c>
      <c r="AE70" s="60">
        <f t="shared" si="4"/>
        <v>0</v>
      </c>
      <c r="AF70" s="156"/>
      <c r="AG70" s="156"/>
      <c r="AH70" s="149">
        <v>31759</v>
      </c>
      <c r="AI70" s="156">
        <f>AH70/AD70</f>
        <v>0.55608278470374006</v>
      </c>
      <c r="AJ70" s="156"/>
    </row>
    <row r="71" spans="1:41" x14ac:dyDescent="0.25">
      <c r="A71" s="1" t="s">
        <v>184</v>
      </c>
      <c r="B71" s="1" t="s">
        <v>195</v>
      </c>
      <c r="C71" s="146" t="s">
        <v>225</v>
      </c>
      <c r="D71" s="144" t="s">
        <v>197</v>
      </c>
      <c r="E71" s="81">
        <v>451441.65371853323</v>
      </c>
      <c r="F71" s="145">
        <v>97000</v>
      </c>
      <c r="G71" s="83">
        <v>0</v>
      </c>
      <c r="H71" s="83">
        <v>0</v>
      </c>
      <c r="I71" s="59">
        <v>0</v>
      </c>
      <c r="J71" s="84">
        <v>389290</v>
      </c>
      <c r="K71" s="85"/>
      <c r="L71" s="85"/>
      <c r="M71" s="85"/>
      <c r="N71" s="85"/>
      <c r="O71" s="85"/>
      <c r="P71" s="85"/>
      <c r="Q71" s="60">
        <f>L71+M71+N71+O71+P71</f>
        <v>0</v>
      </c>
      <c r="R71" s="60">
        <f t="shared" si="60"/>
        <v>0</v>
      </c>
      <c r="S71" s="60">
        <f>R71-Q71</f>
        <v>0</v>
      </c>
      <c r="T71" s="86"/>
      <c r="U71" s="60">
        <f t="shared" si="61"/>
        <v>0</v>
      </c>
      <c r="V71" s="60">
        <f t="shared" ref="V71:V102" si="65">U71-R71</f>
        <v>0</v>
      </c>
      <c r="W71" s="86"/>
      <c r="X71" s="60">
        <f t="shared" si="62"/>
        <v>0</v>
      </c>
      <c r="Y71" s="60">
        <f t="shared" ref="Y71:Y102" si="66">X71-U71</f>
        <v>0</v>
      </c>
      <c r="Z71" s="86"/>
      <c r="AA71" s="60">
        <f t="shared" si="63"/>
        <v>0</v>
      </c>
      <c r="AB71" s="60">
        <f t="shared" ref="AB71:AB102" si="67">AA71-X71</f>
        <v>0</v>
      </c>
      <c r="AC71" s="86"/>
      <c r="AD71" s="60">
        <f t="shared" si="64"/>
        <v>0</v>
      </c>
      <c r="AE71" s="60">
        <f t="shared" ref="AE71:AE102" si="68">AD71-AA71</f>
        <v>0</v>
      </c>
      <c r="AF71" s="86"/>
      <c r="AG71" s="86"/>
      <c r="AH71" s="85">
        <v>0</v>
      </c>
      <c r="AI71" s="86"/>
      <c r="AJ71" s="87"/>
    </row>
    <row r="72" spans="1:41" ht="30" x14ac:dyDescent="0.25">
      <c r="B72" s="89"/>
      <c r="C72" s="146" t="s">
        <v>226</v>
      </c>
      <c r="D72" s="144" t="s">
        <v>227</v>
      </c>
      <c r="E72" s="147"/>
      <c r="F72" s="148"/>
      <c r="G72" s="84"/>
      <c r="H72" s="84"/>
      <c r="I72" s="59">
        <v>0</v>
      </c>
      <c r="J72" s="84">
        <v>519044</v>
      </c>
      <c r="K72" s="149">
        <f>450+4504</f>
        <v>4954</v>
      </c>
      <c r="L72" s="149"/>
      <c r="M72" s="149">
        <f>37643+494044+252415</f>
        <v>784102</v>
      </c>
      <c r="N72" s="149"/>
      <c r="O72" s="149"/>
      <c r="P72" s="149"/>
      <c r="Q72" s="60">
        <f t="shared" si="59"/>
        <v>784102</v>
      </c>
      <c r="R72" s="60">
        <f t="shared" si="60"/>
        <v>784102</v>
      </c>
      <c r="S72" s="60">
        <f t="shared" ref="S72:S102" si="69">R72-Q72</f>
        <v>0</v>
      </c>
      <c r="T72" s="156"/>
      <c r="U72" s="60">
        <f t="shared" si="61"/>
        <v>784102</v>
      </c>
      <c r="V72" s="60">
        <f t="shared" si="65"/>
        <v>0</v>
      </c>
      <c r="W72" s="156"/>
      <c r="X72" s="60">
        <f t="shared" si="62"/>
        <v>784102</v>
      </c>
      <c r="Y72" s="60">
        <f t="shared" si="66"/>
        <v>0</v>
      </c>
      <c r="Z72" s="156"/>
      <c r="AA72" s="60">
        <f t="shared" si="63"/>
        <v>784102</v>
      </c>
      <c r="AB72" s="60">
        <f t="shared" si="67"/>
        <v>0</v>
      </c>
      <c r="AC72" s="156"/>
      <c r="AD72" s="60">
        <f t="shared" si="64"/>
        <v>784102</v>
      </c>
      <c r="AE72" s="60">
        <f t="shared" si="68"/>
        <v>0</v>
      </c>
      <c r="AF72" s="156"/>
      <c r="AG72" s="156"/>
      <c r="AH72" s="149">
        <f>12455+69145</f>
        <v>81600</v>
      </c>
      <c r="AI72" s="156">
        <f>AH72/AD72</f>
        <v>0.10406809318175442</v>
      </c>
      <c r="AJ72" s="156"/>
    </row>
    <row r="73" spans="1:41" x14ac:dyDescent="0.25">
      <c r="C73" s="101" t="s">
        <v>228</v>
      </c>
      <c r="D73" s="68" t="s">
        <v>229</v>
      </c>
      <c r="E73" s="69">
        <f t="shared" ref="E73:M73" si="70">E74+E75</f>
        <v>238046.45391887354</v>
      </c>
      <c r="F73" s="70">
        <f t="shared" si="70"/>
        <v>182400</v>
      </c>
      <c r="G73" s="71">
        <f t="shared" si="70"/>
        <v>180000</v>
      </c>
      <c r="H73" s="71">
        <v>274627</v>
      </c>
      <c r="I73" s="71">
        <f>I74+I75</f>
        <v>180000</v>
      </c>
      <c r="J73" s="71">
        <v>180000</v>
      </c>
      <c r="K73" s="72">
        <f t="shared" si="70"/>
        <v>0</v>
      </c>
      <c r="L73" s="72">
        <f t="shared" si="70"/>
        <v>0</v>
      </c>
      <c r="M73" s="72">
        <f t="shared" si="70"/>
        <v>0</v>
      </c>
      <c r="N73" s="72"/>
      <c r="O73" s="72">
        <f>O74+O75</f>
        <v>0</v>
      </c>
      <c r="P73" s="72">
        <f>P74+P75</f>
        <v>180000</v>
      </c>
      <c r="Q73" s="72">
        <f>Q74+Q75</f>
        <v>180000</v>
      </c>
      <c r="R73" s="72">
        <f>R74+R75</f>
        <v>180000</v>
      </c>
      <c r="S73" s="72">
        <f t="shared" si="69"/>
        <v>0</v>
      </c>
      <c r="T73" s="73"/>
      <c r="U73" s="72">
        <f>U74+U75</f>
        <v>180000</v>
      </c>
      <c r="V73" s="72">
        <f t="shared" si="65"/>
        <v>0</v>
      </c>
      <c r="W73" s="73"/>
      <c r="X73" s="72">
        <f>X74+X75</f>
        <v>180000</v>
      </c>
      <c r="Y73" s="72">
        <f t="shared" si="66"/>
        <v>0</v>
      </c>
      <c r="Z73" s="73"/>
      <c r="AA73" s="72">
        <f>AA74+AA75</f>
        <v>180000</v>
      </c>
      <c r="AB73" s="72">
        <f t="shared" si="67"/>
        <v>0</v>
      </c>
      <c r="AC73" s="73"/>
      <c r="AD73" s="72">
        <f>AD74+AD75</f>
        <v>180000</v>
      </c>
      <c r="AE73" s="72">
        <f t="shared" si="68"/>
        <v>0</v>
      </c>
      <c r="AF73" s="73"/>
      <c r="AG73" s="73"/>
      <c r="AH73" s="72">
        <f>AH74+AH75</f>
        <v>78510</v>
      </c>
      <c r="AI73" s="73">
        <f>AH73/AD73</f>
        <v>0.43616666666666665</v>
      </c>
      <c r="AJ73" s="73"/>
    </row>
    <row r="74" spans="1:41" ht="37.5" customHeight="1" x14ac:dyDescent="0.25">
      <c r="B74" s="1" t="s">
        <v>230</v>
      </c>
      <c r="C74" s="55" t="s">
        <v>231</v>
      </c>
      <c r="D74" s="56" t="s">
        <v>232</v>
      </c>
      <c r="E74" s="57">
        <v>238046.45391887354</v>
      </c>
      <c r="F74" s="58">
        <v>182400</v>
      </c>
      <c r="G74" s="59">
        <v>180000</v>
      </c>
      <c r="H74" s="59">
        <v>183000</v>
      </c>
      <c r="I74" s="59">
        <v>180000</v>
      </c>
      <c r="J74" s="59">
        <v>180000</v>
      </c>
      <c r="K74" s="60"/>
      <c r="L74" s="60"/>
      <c r="M74" s="60"/>
      <c r="N74" s="60"/>
      <c r="O74" s="60"/>
      <c r="P74" s="60">
        <f>[4]Baze_2020!D34</f>
        <v>180000</v>
      </c>
      <c r="Q74" s="60">
        <f>L74+M74+N74+O74+P74</f>
        <v>180000</v>
      </c>
      <c r="R74" s="60">
        <f>ROUND(Q74,0)</f>
        <v>180000</v>
      </c>
      <c r="S74" s="60">
        <f t="shared" si="69"/>
        <v>0</v>
      </c>
      <c r="T74" s="98"/>
      <c r="U74" s="60">
        <f t="shared" ref="U74:U75" si="71">ROUND(R74,0)</f>
        <v>180000</v>
      </c>
      <c r="V74" s="60">
        <f t="shared" si="65"/>
        <v>0</v>
      </c>
      <c r="W74" s="98"/>
      <c r="X74" s="60">
        <f t="shared" ref="X74:X75" si="72">ROUND(U74,0)</f>
        <v>180000</v>
      </c>
      <c r="Y74" s="60">
        <f t="shared" si="66"/>
        <v>0</v>
      </c>
      <c r="Z74" s="98"/>
      <c r="AA74" s="60">
        <f t="shared" ref="AA74:AA75" si="73">ROUND(X74,0)</f>
        <v>180000</v>
      </c>
      <c r="AB74" s="60">
        <f t="shared" si="67"/>
        <v>0</v>
      </c>
      <c r="AC74" s="98"/>
      <c r="AD74" s="60">
        <f t="shared" ref="AD74:AD75" si="74">ROUND(AA74,0)</f>
        <v>180000</v>
      </c>
      <c r="AE74" s="60">
        <f t="shared" si="68"/>
        <v>0</v>
      </c>
      <c r="AF74" s="98"/>
      <c r="AG74" s="98"/>
      <c r="AH74" s="60">
        <v>78510</v>
      </c>
      <c r="AI74" s="63">
        <f>AH74/AD74</f>
        <v>0.43616666666666665</v>
      </c>
      <c r="AJ74" s="98"/>
    </row>
    <row r="75" spans="1:41" s="11" customFormat="1" x14ac:dyDescent="0.25">
      <c r="B75" s="1" t="s">
        <v>233</v>
      </c>
      <c r="C75" s="99" t="s">
        <v>234</v>
      </c>
      <c r="D75" s="100" t="s">
        <v>235</v>
      </c>
      <c r="E75" s="57"/>
      <c r="F75" s="58"/>
      <c r="G75" s="59"/>
      <c r="H75" s="59">
        <v>91627</v>
      </c>
      <c r="I75" s="59">
        <v>0</v>
      </c>
      <c r="J75" s="59">
        <v>0</v>
      </c>
      <c r="K75" s="60"/>
      <c r="L75" s="60"/>
      <c r="M75" s="60"/>
      <c r="N75" s="60"/>
      <c r="O75" s="60"/>
      <c r="P75" s="60"/>
      <c r="Q75" s="60">
        <f>L75+M75+N75+O75+P75</f>
        <v>0</v>
      </c>
      <c r="R75" s="60">
        <f>ROUND(Q75,0)</f>
        <v>0</v>
      </c>
      <c r="S75" s="60">
        <f t="shared" si="69"/>
        <v>0</v>
      </c>
      <c r="T75" s="63"/>
      <c r="U75" s="60">
        <f t="shared" si="71"/>
        <v>0</v>
      </c>
      <c r="V75" s="60">
        <f t="shared" si="65"/>
        <v>0</v>
      </c>
      <c r="W75" s="63"/>
      <c r="X75" s="60">
        <f t="shared" si="72"/>
        <v>0</v>
      </c>
      <c r="Y75" s="60">
        <f t="shared" si="66"/>
        <v>0</v>
      </c>
      <c r="Z75" s="63"/>
      <c r="AA75" s="60">
        <f t="shared" si="73"/>
        <v>0</v>
      </c>
      <c r="AB75" s="60">
        <f t="shared" si="67"/>
        <v>0</v>
      </c>
      <c r="AC75" s="63"/>
      <c r="AD75" s="60">
        <f t="shared" si="74"/>
        <v>0</v>
      </c>
      <c r="AE75" s="60">
        <f t="shared" si="68"/>
        <v>0</v>
      </c>
      <c r="AF75" s="63"/>
      <c r="AG75" s="63"/>
      <c r="AH75" s="60"/>
      <c r="AI75" s="63"/>
      <c r="AJ75" s="64"/>
      <c r="AK75" s="377"/>
      <c r="AL75" s="378"/>
      <c r="AM75" s="378"/>
      <c r="AN75" s="378"/>
      <c r="AO75" s="378"/>
    </row>
    <row r="76" spans="1:41" ht="17.25" customHeight="1" x14ac:dyDescent="0.25">
      <c r="C76" s="101" t="s">
        <v>236</v>
      </c>
      <c r="D76" s="68" t="s">
        <v>237</v>
      </c>
      <c r="E76" s="69">
        <f>E77+E81+E84+E85</f>
        <v>375637.48925731779</v>
      </c>
      <c r="F76" s="70">
        <f>F77+F81+F84+F85</f>
        <v>550040</v>
      </c>
      <c r="G76" s="71">
        <f>G77+G81+G84+G85</f>
        <v>493600</v>
      </c>
      <c r="H76" s="71">
        <v>504197</v>
      </c>
      <c r="I76" s="71">
        <f>I77+I81+I84+I85</f>
        <v>510000</v>
      </c>
      <c r="J76" s="71">
        <v>558712</v>
      </c>
      <c r="K76" s="72">
        <f>K77+K81+K84+K85</f>
        <v>0</v>
      </c>
      <c r="L76" s="72">
        <f>L77+L81+L84+L85</f>
        <v>0</v>
      </c>
      <c r="M76" s="72">
        <f>M77+M81+M84+M85</f>
        <v>0</v>
      </c>
      <c r="N76" s="72"/>
      <c r="O76" s="72">
        <f>O77+O81+O84+O85</f>
        <v>0</v>
      </c>
      <c r="P76" s="72">
        <f>P77+P81+P84+P85</f>
        <v>560800</v>
      </c>
      <c r="Q76" s="72">
        <f>Q77+Q81+Q84+Q85</f>
        <v>560800</v>
      </c>
      <c r="R76" s="72">
        <f>R77+R81+R84+R85</f>
        <v>560800</v>
      </c>
      <c r="S76" s="72">
        <f t="shared" si="69"/>
        <v>0</v>
      </c>
      <c r="T76" s="73"/>
      <c r="U76" s="72">
        <f>U77+U81+U84+U85</f>
        <v>560800</v>
      </c>
      <c r="V76" s="72">
        <f t="shared" si="65"/>
        <v>0</v>
      </c>
      <c r="W76" s="73"/>
      <c r="X76" s="72">
        <f>X77+X81+X84+X85</f>
        <v>528800</v>
      </c>
      <c r="Y76" s="72">
        <f t="shared" si="66"/>
        <v>-32000</v>
      </c>
      <c r="Z76" s="73"/>
      <c r="AA76" s="72">
        <f>AA77+AA81+AA84+AA85</f>
        <v>528800</v>
      </c>
      <c r="AB76" s="72">
        <f t="shared" si="67"/>
        <v>0</v>
      </c>
      <c r="AC76" s="73"/>
      <c r="AD76" s="72">
        <f>AD77+AD81+AD84+AD85</f>
        <v>528800</v>
      </c>
      <c r="AE76" s="72">
        <f t="shared" si="68"/>
        <v>0</v>
      </c>
      <c r="AF76" s="73"/>
      <c r="AG76" s="73"/>
      <c r="AH76" s="72">
        <f>AH77+AH81+AH84+AH85</f>
        <v>237463</v>
      </c>
      <c r="AI76" s="73">
        <f>AH76/AD76</f>
        <v>0.44906013615733736</v>
      </c>
      <c r="AJ76" s="90"/>
    </row>
    <row r="77" spans="1:41" x14ac:dyDescent="0.25">
      <c r="A77" s="1" t="s">
        <v>36</v>
      </c>
      <c r="B77" s="1" t="s">
        <v>238</v>
      </c>
      <c r="C77" s="99" t="s">
        <v>239</v>
      </c>
      <c r="D77" s="100" t="s">
        <v>240</v>
      </c>
      <c r="E77" s="57">
        <f t="shared" ref="E77:P77" si="75">SUM(E78:E80)</f>
        <v>38417.538887086586</v>
      </c>
      <c r="F77" s="58">
        <f t="shared" si="75"/>
        <v>38900</v>
      </c>
      <c r="G77" s="59">
        <f>SUM(G78:G80)</f>
        <v>55400</v>
      </c>
      <c r="H77" s="59">
        <v>55000</v>
      </c>
      <c r="I77" s="59">
        <f>SUM(I78:I80)</f>
        <v>55000</v>
      </c>
      <c r="J77" s="59">
        <v>76000</v>
      </c>
      <c r="K77" s="60">
        <f t="shared" si="75"/>
        <v>0</v>
      </c>
      <c r="L77" s="60">
        <f t="shared" si="75"/>
        <v>0</v>
      </c>
      <c r="M77" s="60">
        <f t="shared" si="75"/>
        <v>0</v>
      </c>
      <c r="N77" s="60"/>
      <c r="O77" s="60">
        <f>SUM(O78:O80)</f>
        <v>0</v>
      </c>
      <c r="P77" s="60">
        <f t="shared" si="75"/>
        <v>94000</v>
      </c>
      <c r="Q77" s="60">
        <f>SUM(Q78:Q80)</f>
        <v>94000</v>
      </c>
      <c r="R77" s="60">
        <f>SUM(R78:R80)</f>
        <v>94000</v>
      </c>
      <c r="S77" s="60">
        <f t="shared" si="69"/>
        <v>0</v>
      </c>
      <c r="T77" s="63"/>
      <c r="U77" s="60">
        <f>SUM(U78:U80)</f>
        <v>94000</v>
      </c>
      <c r="V77" s="60">
        <f t="shared" si="65"/>
        <v>0</v>
      </c>
      <c r="W77" s="63"/>
      <c r="X77" s="60">
        <f>SUM(X78:X80)</f>
        <v>89000</v>
      </c>
      <c r="Y77" s="60">
        <f t="shared" si="66"/>
        <v>-5000</v>
      </c>
      <c r="Z77" s="63"/>
      <c r="AA77" s="60">
        <f>SUM(AA78:AA80)</f>
        <v>89000</v>
      </c>
      <c r="AB77" s="60">
        <f t="shared" si="67"/>
        <v>0</v>
      </c>
      <c r="AC77" s="63"/>
      <c r="AD77" s="60">
        <f>SUM(AD78:AD80)</f>
        <v>89000</v>
      </c>
      <c r="AE77" s="60">
        <f t="shared" si="68"/>
        <v>0</v>
      </c>
      <c r="AF77" s="63"/>
      <c r="AG77" s="63"/>
      <c r="AH77" s="60">
        <f>SUM(AH78:AH80)</f>
        <v>35510</v>
      </c>
      <c r="AI77" s="63">
        <f>AH77/AD77</f>
        <v>0.39898876404494382</v>
      </c>
      <c r="AJ77" s="64"/>
    </row>
    <row r="78" spans="1:41" x14ac:dyDescent="0.25">
      <c r="B78" s="1" t="s">
        <v>241</v>
      </c>
      <c r="C78" s="146" t="s">
        <v>242</v>
      </c>
      <c r="D78" s="138" t="s">
        <v>243</v>
      </c>
      <c r="E78" s="57">
        <v>11382.974485062692</v>
      </c>
      <c r="F78" s="58">
        <v>10100</v>
      </c>
      <c r="G78" s="59">
        <v>1500</v>
      </c>
      <c r="H78" s="59">
        <v>10000</v>
      </c>
      <c r="I78" s="59">
        <v>10000</v>
      </c>
      <c r="J78" s="59">
        <v>10000</v>
      </c>
      <c r="K78" s="60"/>
      <c r="L78" s="60"/>
      <c r="M78" s="60"/>
      <c r="N78" s="60"/>
      <c r="O78" s="60"/>
      <c r="P78" s="60"/>
      <c r="Q78" s="60">
        <f>L78+M78+N78+O78+P78</f>
        <v>0</v>
      </c>
      <c r="R78" s="60">
        <f>ROUND(Q78,0)</f>
        <v>0</v>
      </c>
      <c r="S78" s="60">
        <f t="shared" si="69"/>
        <v>0</v>
      </c>
      <c r="T78" s="63"/>
      <c r="U78" s="60">
        <f t="shared" ref="U78:U80" si="76">ROUND(R78,0)</f>
        <v>0</v>
      </c>
      <c r="V78" s="60">
        <f t="shared" si="65"/>
        <v>0</v>
      </c>
      <c r="W78" s="63"/>
      <c r="X78" s="60">
        <f t="shared" ref="X78:X80" si="77">ROUND(U78,0)</f>
        <v>0</v>
      </c>
      <c r="Y78" s="60">
        <f t="shared" si="66"/>
        <v>0</v>
      </c>
      <c r="Z78" s="63"/>
      <c r="AA78" s="60">
        <f t="shared" ref="AA78" si="78">ROUND(X78,0)</f>
        <v>0</v>
      </c>
      <c r="AB78" s="60">
        <f t="shared" si="67"/>
        <v>0</v>
      </c>
      <c r="AC78" s="63"/>
      <c r="AD78" s="60">
        <f t="shared" ref="AD78" si="79">ROUND(AA78,0)</f>
        <v>0</v>
      </c>
      <c r="AE78" s="60">
        <f t="shared" si="68"/>
        <v>0</v>
      </c>
      <c r="AF78" s="63"/>
      <c r="AG78" s="394"/>
      <c r="AH78" s="417">
        <v>27661</v>
      </c>
      <c r="AI78" s="419">
        <f>AH78/(AD78+AD79)</f>
        <v>0.42555384615384617</v>
      </c>
      <c r="AJ78" s="64"/>
    </row>
    <row r="79" spans="1:41" ht="14.25" customHeight="1" x14ac:dyDescent="0.25">
      <c r="B79" s="1" t="s">
        <v>244</v>
      </c>
      <c r="C79" s="146" t="s">
        <v>245</v>
      </c>
      <c r="D79" s="138" t="s">
        <v>246</v>
      </c>
      <c r="E79" s="57">
        <v>14228.718106328364</v>
      </c>
      <c r="F79" s="58">
        <v>11300</v>
      </c>
      <c r="G79" s="59">
        <v>33600</v>
      </c>
      <c r="H79" s="59">
        <v>25000</v>
      </c>
      <c r="I79" s="59">
        <v>25000</v>
      </c>
      <c r="J79" s="59">
        <v>41000</v>
      </c>
      <c r="K79" s="60"/>
      <c r="L79" s="60"/>
      <c r="M79" s="60"/>
      <c r="N79" s="60"/>
      <c r="O79" s="60"/>
      <c r="P79" s="60">
        <v>70000</v>
      </c>
      <c r="Q79" s="60">
        <f>L79+M79+N79+O79+P79</f>
        <v>70000</v>
      </c>
      <c r="R79" s="60">
        <f>ROUND(Q79,0)</f>
        <v>70000</v>
      </c>
      <c r="S79" s="60">
        <f t="shared" si="69"/>
        <v>0</v>
      </c>
      <c r="T79" s="63"/>
      <c r="U79" s="60">
        <f t="shared" si="76"/>
        <v>70000</v>
      </c>
      <c r="V79" s="60">
        <f t="shared" si="65"/>
        <v>0</v>
      </c>
      <c r="W79" s="63"/>
      <c r="X79" s="60">
        <f>ROUND(U79,0)-5000</f>
        <v>65000</v>
      </c>
      <c r="Y79" s="60">
        <f t="shared" si="66"/>
        <v>-5000</v>
      </c>
      <c r="Z79" s="98" t="s">
        <v>247</v>
      </c>
      <c r="AA79" s="60">
        <f>ROUND(X79,0)</f>
        <v>65000</v>
      </c>
      <c r="AB79" s="60">
        <f t="shared" si="67"/>
        <v>0</v>
      </c>
      <c r="AC79" s="98"/>
      <c r="AD79" s="60">
        <f>ROUND(AA79,0)</f>
        <v>65000</v>
      </c>
      <c r="AE79" s="60">
        <f t="shared" si="68"/>
        <v>0</v>
      </c>
      <c r="AF79" s="98"/>
      <c r="AG79" s="395"/>
      <c r="AH79" s="418"/>
      <c r="AI79" s="420">
        <f t="shared" ref="AI79:AI91" si="80">AH79/AD79</f>
        <v>0</v>
      </c>
      <c r="AJ79" s="64"/>
    </row>
    <row r="80" spans="1:41" ht="30" x14ac:dyDescent="0.25">
      <c r="B80" s="1" t="s">
        <v>248</v>
      </c>
      <c r="C80" s="146" t="s">
        <v>249</v>
      </c>
      <c r="D80" s="138" t="s">
        <v>250</v>
      </c>
      <c r="E80" s="57">
        <v>12805.846295695528</v>
      </c>
      <c r="F80" s="58">
        <v>17500</v>
      </c>
      <c r="G80" s="59">
        <v>20300</v>
      </c>
      <c r="H80" s="59">
        <v>20000</v>
      </c>
      <c r="I80" s="59">
        <v>20000</v>
      </c>
      <c r="J80" s="59">
        <v>25000</v>
      </c>
      <c r="K80" s="60"/>
      <c r="L80" s="60"/>
      <c r="M80" s="60"/>
      <c r="N80" s="60"/>
      <c r="O80" s="60"/>
      <c r="P80" s="60">
        <v>24000</v>
      </c>
      <c r="Q80" s="60">
        <f>L80+M80+N80+O80+P80</f>
        <v>24000</v>
      </c>
      <c r="R80" s="60">
        <f>ROUND(Q80,0)</f>
        <v>24000</v>
      </c>
      <c r="S80" s="60">
        <f t="shared" si="69"/>
        <v>0</v>
      </c>
      <c r="T80" s="63"/>
      <c r="U80" s="60">
        <f t="shared" si="76"/>
        <v>24000</v>
      </c>
      <c r="V80" s="60">
        <f t="shared" si="65"/>
        <v>0</v>
      </c>
      <c r="W80" s="63"/>
      <c r="X80" s="60">
        <f t="shared" si="77"/>
        <v>24000</v>
      </c>
      <c r="Y80" s="60">
        <f t="shared" si="66"/>
        <v>0</v>
      </c>
      <c r="Z80" s="63"/>
      <c r="AA80" s="60">
        <f t="shared" ref="AA80" si="81">ROUND(X80,0)</f>
        <v>24000</v>
      </c>
      <c r="AB80" s="60">
        <f t="shared" si="67"/>
        <v>0</v>
      </c>
      <c r="AC80" s="63"/>
      <c r="AD80" s="60">
        <f t="shared" ref="AD80" si="82">ROUND(AA80,0)</f>
        <v>24000</v>
      </c>
      <c r="AE80" s="60">
        <f t="shared" si="68"/>
        <v>0</v>
      </c>
      <c r="AF80" s="63"/>
      <c r="AG80" s="63"/>
      <c r="AH80" s="60">
        <v>7849</v>
      </c>
      <c r="AI80" s="63">
        <f t="shared" si="80"/>
        <v>0.32704166666666667</v>
      </c>
      <c r="AJ80" s="64"/>
    </row>
    <row r="81" spans="1:38" x14ac:dyDescent="0.25">
      <c r="A81" s="1" t="s">
        <v>36</v>
      </c>
      <c r="B81" s="1" t="s">
        <v>251</v>
      </c>
      <c r="C81" s="99" t="s">
        <v>252</v>
      </c>
      <c r="D81" s="100" t="s">
        <v>253</v>
      </c>
      <c r="E81" s="57">
        <f>SUM(E82:E83)</f>
        <v>66874.306349992316</v>
      </c>
      <c r="F81" s="58">
        <f>SUM(F82:F83)</f>
        <v>76000</v>
      </c>
      <c r="G81" s="59">
        <f>SUM(G82:G83)</f>
        <v>76000</v>
      </c>
      <c r="H81" s="59">
        <v>83000</v>
      </c>
      <c r="I81" s="59">
        <f>SUM(I82:I83)</f>
        <v>86000</v>
      </c>
      <c r="J81" s="59">
        <v>113712</v>
      </c>
      <c r="K81" s="60">
        <f t="shared" ref="K81:P81" si="83">SUM(K82:K83)</f>
        <v>0</v>
      </c>
      <c r="L81" s="60">
        <f t="shared" si="83"/>
        <v>0</v>
      </c>
      <c r="M81" s="60">
        <f t="shared" si="83"/>
        <v>0</v>
      </c>
      <c r="N81" s="60">
        <f t="shared" si="83"/>
        <v>0</v>
      </c>
      <c r="O81" s="60">
        <f t="shared" si="83"/>
        <v>0</v>
      </c>
      <c r="P81" s="60">
        <f t="shared" si="83"/>
        <v>119500</v>
      </c>
      <c r="Q81" s="60">
        <f>SUM(Q82:Q83)</f>
        <v>119500</v>
      </c>
      <c r="R81" s="60">
        <f>SUM(R82:R83)</f>
        <v>119500</v>
      </c>
      <c r="S81" s="60">
        <f t="shared" si="69"/>
        <v>0</v>
      </c>
      <c r="T81" s="63"/>
      <c r="U81" s="60">
        <f>SUM(U82:U83)</f>
        <v>119500</v>
      </c>
      <c r="V81" s="60">
        <f t="shared" si="65"/>
        <v>0</v>
      </c>
      <c r="W81" s="63"/>
      <c r="X81" s="60">
        <f>SUM(X82:X83)</f>
        <v>92500</v>
      </c>
      <c r="Y81" s="60">
        <f t="shared" si="66"/>
        <v>-27000</v>
      </c>
      <c r="Z81" s="63"/>
      <c r="AA81" s="60">
        <f>SUM(AA82:AA83)</f>
        <v>92500</v>
      </c>
      <c r="AB81" s="60">
        <f t="shared" si="67"/>
        <v>0</v>
      </c>
      <c r="AC81" s="63"/>
      <c r="AD81" s="60">
        <f>SUM(AD82:AD83)</f>
        <v>92500</v>
      </c>
      <c r="AE81" s="60">
        <f t="shared" si="68"/>
        <v>0</v>
      </c>
      <c r="AF81" s="63"/>
      <c r="AG81" s="63"/>
      <c r="AH81" s="60">
        <f>AH82+AH83</f>
        <v>48347</v>
      </c>
      <c r="AI81" s="63">
        <f t="shared" si="80"/>
        <v>0.52267027027027024</v>
      </c>
      <c r="AJ81" s="64"/>
    </row>
    <row r="82" spans="1:38" ht="15.75" customHeight="1" x14ac:dyDescent="0.25">
      <c r="B82" s="1" t="s">
        <v>254</v>
      </c>
      <c r="C82" s="146" t="s">
        <v>255</v>
      </c>
      <c r="D82" s="138" t="s">
        <v>256</v>
      </c>
      <c r="E82" s="57">
        <v>56914.203675562458</v>
      </c>
      <c r="F82" s="58">
        <v>65000</v>
      </c>
      <c r="G82" s="59">
        <v>68000</v>
      </c>
      <c r="H82" s="59">
        <v>75000</v>
      </c>
      <c r="I82" s="59">
        <v>78000</v>
      </c>
      <c r="J82" s="59">
        <v>78000</v>
      </c>
      <c r="K82" s="60"/>
      <c r="L82" s="60"/>
      <c r="M82" s="60"/>
      <c r="N82" s="60"/>
      <c r="O82" s="60"/>
      <c r="P82" s="60">
        <v>94500</v>
      </c>
      <c r="Q82" s="60">
        <f>L82+M82+N82+O82+P82</f>
        <v>94500</v>
      </c>
      <c r="R82" s="60">
        <f>ROUND(Q82,0)</f>
        <v>94500</v>
      </c>
      <c r="S82" s="60">
        <f t="shared" si="69"/>
        <v>0</v>
      </c>
      <c r="T82" s="63"/>
      <c r="U82" s="60">
        <f t="shared" ref="U82:U85" si="84">ROUND(R82,0)</f>
        <v>94500</v>
      </c>
      <c r="V82" s="60">
        <f t="shared" si="65"/>
        <v>0</v>
      </c>
      <c r="W82" s="63"/>
      <c r="X82" s="60">
        <f>ROUND(U82,0)-10000</f>
        <v>84500</v>
      </c>
      <c r="Y82" s="60">
        <f t="shared" si="66"/>
        <v>-10000</v>
      </c>
      <c r="Z82" s="98" t="s">
        <v>247</v>
      </c>
      <c r="AA82" s="60">
        <f>ROUND(X82,0)</f>
        <v>84500</v>
      </c>
      <c r="AB82" s="60">
        <f t="shared" si="67"/>
        <v>0</v>
      </c>
      <c r="AC82" s="98"/>
      <c r="AD82" s="60">
        <f>ROUND(AA82,0)</f>
        <v>84500</v>
      </c>
      <c r="AE82" s="60">
        <f t="shared" si="68"/>
        <v>0</v>
      </c>
      <c r="AF82" s="98"/>
      <c r="AG82" s="98"/>
      <c r="AH82" s="60">
        <v>42907</v>
      </c>
      <c r="AI82" s="63">
        <f t="shared" si="80"/>
        <v>0.50777514792899403</v>
      </c>
      <c r="AJ82" s="64"/>
    </row>
    <row r="83" spans="1:38" x14ac:dyDescent="0.25">
      <c r="B83" s="1" t="s">
        <v>257</v>
      </c>
      <c r="C83" s="146" t="s">
        <v>258</v>
      </c>
      <c r="D83" s="138" t="s">
        <v>259</v>
      </c>
      <c r="E83" s="57">
        <v>9960.1026744298561</v>
      </c>
      <c r="F83" s="58">
        <v>11000</v>
      </c>
      <c r="G83" s="59">
        <v>8000</v>
      </c>
      <c r="H83" s="59">
        <v>8000</v>
      </c>
      <c r="I83" s="59">
        <v>8000</v>
      </c>
      <c r="J83" s="59">
        <v>35712</v>
      </c>
      <c r="K83" s="60"/>
      <c r="L83" s="60"/>
      <c r="M83" s="60"/>
      <c r="N83" s="60"/>
      <c r="O83" s="60"/>
      <c r="P83" s="60">
        <v>25000</v>
      </c>
      <c r="Q83" s="60">
        <f>L83+M83+N83+O83+P83</f>
        <v>25000</v>
      </c>
      <c r="R83" s="60">
        <f>ROUND(Q83,0)</f>
        <v>25000</v>
      </c>
      <c r="S83" s="60">
        <f t="shared" si="69"/>
        <v>0</v>
      </c>
      <c r="T83" s="63"/>
      <c r="U83" s="60">
        <f t="shared" si="84"/>
        <v>25000</v>
      </c>
      <c r="V83" s="60">
        <f t="shared" si="65"/>
        <v>0</v>
      </c>
      <c r="W83" s="63"/>
      <c r="X83" s="60">
        <f>ROUND(U83,0)-17000</f>
        <v>8000</v>
      </c>
      <c r="Y83" s="60">
        <f t="shared" si="66"/>
        <v>-17000</v>
      </c>
      <c r="Z83" s="63" t="s">
        <v>260</v>
      </c>
      <c r="AA83" s="60">
        <f>ROUND(X83,0)</f>
        <v>8000</v>
      </c>
      <c r="AB83" s="60">
        <f t="shared" si="67"/>
        <v>0</v>
      </c>
      <c r="AC83" s="63"/>
      <c r="AD83" s="60">
        <f>ROUND(AA83,0)</f>
        <v>8000</v>
      </c>
      <c r="AE83" s="60">
        <f t="shared" si="68"/>
        <v>0</v>
      </c>
      <c r="AF83" s="63"/>
      <c r="AG83" s="63"/>
      <c r="AH83" s="60">
        <v>5440</v>
      </c>
      <c r="AI83" s="63">
        <f t="shared" si="80"/>
        <v>0.68</v>
      </c>
      <c r="AJ83" s="64"/>
    </row>
    <row r="84" spans="1:38" ht="16.5" customHeight="1" x14ac:dyDescent="0.25">
      <c r="A84" s="1" t="s">
        <v>36</v>
      </c>
      <c r="B84" s="1" t="s">
        <v>261</v>
      </c>
      <c r="C84" s="99" t="s">
        <v>262</v>
      </c>
      <c r="D84" s="100" t="s">
        <v>263</v>
      </c>
      <c r="E84" s="57">
        <v>220545.13064808966</v>
      </c>
      <c r="F84" s="58">
        <v>385140</v>
      </c>
      <c r="G84" s="59">
        <v>298000</v>
      </c>
      <c r="H84" s="59">
        <v>300000</v>
      </c>
      <c r="I84" s="59">
        <v>300000</v>
      </c>
      <c r="J84" s="59">
        <v>300000</v>
      </c>
      <c r="K84" s="60"/>
      <c r="L84" s="60"/>
      <c r="M84" s="60"/>
      <c r="N84" s="60"/>
      <c r="O84" s="60"/>
      <c r="P84" s="60">
        <v>285300</v>
      </c>
      <c r="Q84" s="60">
        <f>L84+M84+N84+O84+P84</f>
        <v>285300</v>
      </c>
      <c r="R84" s="60">
        <f>ROUND(Q84,0)</f>
        <v>285300</v>
      </c>
      <c r="S84" s="60">
        <f t="shared" si="69"/>
        <v>0</v>
      </c>
      <c r="T84" s="63"/>
      <c r="U84" s="60">
        <f t="shared" si="84"/>
        <v>285300</v>
      </c>
      <c r="V84" s="60">
        <f t="shared" si="65"/>
        <v>0</v>
      </c>
      <c r="W84" s="63"/>
      <c r="X84" s="60">
        <f t="shared" ref="X84:X85" si="85">ROUND(U84,0)</f>
        <v>285300</v>
      </c>
      <c r="Y84" s="60">
        <f t="shared" si="66"/>
        <v>0</v>
      </c>
      <c r="Z84" s="63"/>
      <c r="AA84" s="60">
        <f t="shared" ref="AA84:AA85" si="86">ROUND(X84,0)</f>
        <v>285300</v>
      </c>
      <c r="AB84" s="60">
        <f t="shared" si="67"/>
        <v>0</v>
      </c>
      <c r="AC84" s="63"/>
      <c r="AD84" s="60">
        <f t="shared" ref="AD84:AD85" si="87">ROUND(AA84,0)</f>
        <v>285300</v>
      </c>
      <c r="AE84" s="60">
        <f t="shared" si="68"/>
        <v>0</v>
      </c>
      <c r="AF84" s="63"/>
      <c r="AG84" s="63"/>
      <c r="AH84" s="60">
        <f>120980+51</f>
        <v>121031</v>
      </c>
      <c r="AI84" s="63">
        <f t="shared" si="80"/>
        <v>0.42422362425517002</v>
      </c>
      <c r="AJ84" s="64"/>
    </row>
    <row r="85" spans="1:38" ht="18" customHeight="1" thickBot="1" x14ac:dyDescent="0.3">
      <c r="A85" s="1" t="s">
        <v>36</v>
      </c>
      <c r="B85" s="89" t="s">
        <v>264</v>
      </c>
      <c r="C85" s="99" t="s">
        <v>265</v>
      </c>
      <c r="D85" s="100" t="s">
        <v>266</v>
      </c>
      <c r="E85" s="57">
        <v>49800.513372149275</v>
      </c>
      <c r="F85" s="58">
        <v>50000</v>
      </c>
      <c r="G85" s="59">
        <v>64200</v>
      </c>
      <c r="H85" s="59">
        <v>66197</v>
      </c>
      <c r="I85" s="59">
        <v>69000</v>
      </c>
      <c r="J85" s="59">
        <v>69000</v>
      </c>
      <c r="K85" s="60"/>
      <c r="L85" s="60"/>
      <c r="M85" s="60"/>
      <c r="N85" s="60"/>
      <c r="O85" s="60"/>
      <c r="P85" s="60">
        <v>62000</v>
      </c>
      <c r="Q85" s="60">
        <f>L85+M85+N85+O85+P85</f>
        <v>62000</v>
      </c>
      <c r="R85" s="60">
        <f>ROUND(Q85,0)</f>
        <v>62000</v>
      </c>
      <c r="S85" s="60">
        <f t="shared" si="69"/>
        <v>0</v>
      </c>
      <c r="T85" s="63"/>
      <c r="U85" s="60">
        <f t="shared" si="84"/>
        <v>62000</v>
      </c>
      <c r="V85" s="60">
        <f t="shared" si="65"/>
        <v>0</v>
      </c>
      <c r="W85" s="63"/>
      <c r="X85" s="60">
        <f t="shared" si="85"/>
        <v>62000</v>
      </c>
      <c r="Y85" s="60">
        <f t="shared" si="66"/>
        <v>0</v>
      </c>
      <c r="Z85" s="63"/>
      <c r="AA85" s="60">
        <f t="shared" si="86"/>
        <v>62000</v>
      </c>
      <c r="AB85" s="60">
        <f t="shared" si="67"/>
        <v>0</v>
      </c>
      <c r="AC85" s="63"/>
      <c r="AD85" s="60">
        <f t="shared" si="87"/>
        <v>62000</v>
      </c>
      <c r="AE85" s="60">
        <f t="shared" si="68"/>
        <v>0</v>
      </c>
      <c r="AF85" s="63"/>
      <c r="AG85" s="63"/>
      <c r="AH85" s="60">
        <v>32575</v>
      </c>
      <c r="AI85" s="63">
        <f t="shared" si="80"/>
        <v>0.5254032258064516</v>
      </c>
      <c r="AJ85" s="64"/>
    </row>
    <row r="86" spans="1:38" ht="15.75" thickBot="1" x14ac:dyDescent="0.3">
      <c r="C86" s="157"/>
      <c r="D86" s="158" t="s">
        <v>267</v>
      </c>
      <c r="E86" s="159">
        <f>E7+E11+E14+E17+E20+E21+E33+E36+E39+E40+E73+E76</f>
        <v>11823306.158569861</v>
      </c>
      <c r="F86" s="160" t="e">
        <f>F7+F11+F14+F17+F20+F21+F33+F36+F39+F40+F73+F76</f>
        <v>#REF!</v>
      </c>
      <c r="G86" s="161">
        <f>G7+G11+G14+G17+G20+G21+G33+G36+G39+G40+G73+G76</f>
        <v>14372912.360313069</v>
      </c>
      <c r="H86" s="161">
        <v>16320399.996607699</v>
      </c>
      <c r="I86" s="161">
        <f>I7+I11+I14+I17+I20+I21+I33+I36+I39+I40+I73+I76</f>
        <v>19083483.21206367</v>
      </c>
      <c r="J86" s="161">
        <v>20809605</v>
      </c>
      <c r="K86" s="162">
        <f>K7+K11+K14+K17+K20+K21+K33+K36+K39+K40+K73+K76</f>
        <v>479893.6</v>
      </c>
      <c r="L86" s="162">
        <f t="shared" ref="L86:R86" si="88">L7+L11+L14+L17+L20+L21+L33+L36+L39+L40+L73+L76</f>
        <v>4775388</v>
      </c>
      <c r="M86" s="162">
        <f t="shared" si="88"/>
        <v>2480639.2800000003</v>
      </c>
      <c r="N86" s="162">
        <f t="shared" si="88"/>
        <v>0</v>
      </c>
      <c r="O86" s="162">
        <f t="shared" si="88"/>
        <v>0</v>
      </c>
      <c r="P86" s="162">
        <f t="shared" si="88"/>
        <v>14112324.554</v>
      </c>
      <c r="Q86" s="162">
        <f>Q7+Q11+Q14+Q17+Q20+Q21+Q33+Q36+Q39+Q40+Q73+Q76</f>
        <v>21368351.833999999</v>
      </c>
      <c r="R86" s="162">
        <f t="shared" si="88"/>
        <v>21416276</v>
      </c>
      <c r="S86" s="162">
        <f t="shared" si="69"/>
        <v>47924.166000001132</v>
      </c>
      <c r="T86" s="163"/>
      <c r="U86" s="162">
        <f t="shared" ref="U86" si="89">U7+U11+U14+U17+U20+U21+U33+U36+U39+U40+U73+U76</f>
        <v>21404409</v>
      </c>
      <c r="V86" s="162">
        <f t="shared" si="65"/>
        <v>-11867</v>
      </c>
      <c r="W86" s="163"/>
      <c r="X86" s="162">
        <f t="shared" ref="X86" si="90">X7+X11+X14+X17+X20+X21+X33+X36+X39+X40+X73+X76</f>
        <v>21406692</v>
      </c>
      <c r="Y86" s="162">
        <f t="shared" si="66"/>
        <v>2283</v>
      </c>
      <c r="Z86" s="163"/>
      <c r="AA86" s="162">
        <f t="shared" ref="AA86" si="91">AA7+AA11+AA14+AA17+AA20+AA21+AA33+AA36+AA39+AA40+AA73+AA76</f>
        <v>21406692</v>
      </c>
      <c r="AB86" s="162">
        <f t="shared" si="67"/>
        <v>0</v>
      </c>
      <c r="AC86" s="163"/>
      <c r="AD86" s="162">
        <f t="shared" ref="AD86" si="92">AD7+AD11+AD14+AD17+AD20+AD21+AD33+AD36+AD39+AD40+AD73+AD76</f>
        <v>21107710</v>
      </c>
      <c r="AE86" s="162">
        <f t="shared" si="68"/>
        <v>-298982</v>
      </c>
      <c r="AF86" s="163"/>
      <c r="AG86" s="163"/>
      <c r="AH86" s="162">
        <f>AH7+AH11+AH14+AH17+AH20+AH21+AH33+AH36+AH39+AH40+AH73+AH76</f>
        <v>8748861.0099999998</v>
      </c>
      <c r="AI86" s="163">
        <f t="shared" si="80"/>
        <v>0.41448650801058001</v>
      </c>
      <c r="AJ86" s="164"/>
      <c r="AK86" s="383">
        <f>5869311.8-AH86</f>
        <v>-2879549.21</v>
      </c>
      <c r="AL86" s="373" t="e">
        <f>#REF!-#REF!-#REF!-#REF!-#REF!-#REF!-#REF!-#REF!-#REF!-#REF!-#REF!-#REF!-#REF!-#REF!</f>
        <v>#REF!</v>
      </c>
    </row>
    <row r="87" spans="1:38" ht="15.75" thickBot="1" x14ac:dyDescent="0.3">
      <c r="C87" s="165" t="s">
        <v>268</v>
      </c>
      <c r="D87" s="166" t="s">
        <v>269</v>
      </c>
      <c r="E87" s="167">
        <f>E88+E89</f>
        <v>2575563.9836995807</v>
      </c>
      <c r="F87" s="168">
        <f>SUM(F88:F89)</f>
        <v>3538044.12</v>
      </c>
      <c r="G87" s="169">
        <f>SUM(G88:G89)</f>
        <v>3357798.82</v>
      </c>
      <c r="H87" s="169">
        <v>1345540.0699999998</v>
      </c>
      <c r="I87" s="169">
        <f>SUM(I88:I89)</f>
        <v>2223679.63</v>
      </c>
      <c r="J87" s="169">
        <v>2479668</v>
      </c>
      <c r="K87" s="170"/>
      <c r="L87" s="170"/>
      <c r="M87" s="170"/>
      <c r="N87" s="170"/>
      <c r="O87" s="170">
        <f>SUM(O88:O89)</f>
        <v>0</v>
      </c>
      <c r="P87" s="170">
        <f>SUM(P88:P89)</f>
        <v>0</v>
      </c>
      <c r="Q87" s="170">
        <f>SUM(Q88:Q89)</f>
        <v>3836109.02</v>
      </c>
      <c r="R87" s="170">
        <f>SUM(R88:R89)</f>
        <v>3836609</v>
      </c>
      <c r="S87" s="170">
        <f t="shared" si="69"/>
        <v>499.97999999998137</v>
      </c>
      <c r="T87" s="171"/>
      <c r="U87" s="170">
        <f>SUM(U88:U89)</f>
        <v>3836609</v>
      </c>
      <c r="V87" s="170">
        <f t="shared" si="65"/>
        <v>0</v>
      </c>
      <c r="W87" s="171"/>
      <c r="X87" s="170">
        <f>SUM(X88:X89)</f>
        <v>3836609</v>
      </c>
      <c r="Y87" s="170">
        <f t="shared" si="66"/>
        <v>0</v>
      </c>
      <c r="Z87" s="171"/>
      <c r="AA87" s="170">
        <f>SUM(AA88:AA89)</f>
        <v>3836609</v>
      </c>
      <c r="AB87" s="170">
        <f t="shared" si="67"/>
        <v>0</v>
      </c>
      <c r="AC87" s="171"/>
      <c r="AD87" s="170">
        <f>SUM(AD88:AD89)</f>
        <v>3836609</v>
      </c>
      <c r="AE87" s="170">
        <f t="shared" si="68"/>
        <v>0</v>
      </c>
      <c r="AF87" s="171"/>
      <c r="AG87" s="171"/>
      <c r="AH87" s="170">
        <f>AH88+AH89</f>
        <v>3836609</v>
      </c>
      <c r="AI87" s="171">
        <f t="shared" si="80"/>
        <v>1</v>
      </c>
      <c r="AJ87" s="172"/>
      <c r="AK87" s="379"/>
      <c r="AL87" s="373"/>
    </row>
    <row r="88" spans="1:38" ht="17.25" customHeight="1" x14ac:dyDescent="0.25">
      <c r="C88" s="55" t="s">
        <v>270</v>
      </c>
      <c r="D88" s="56" t="s">
        <v>271</v>
      </c>
      <c r="E88" s="57">
        <v>333546.76410492824</v>
      </c>
      <c r="F88" s="58">
        <v>194977.51</v>
      </c>
      <c r="G88" s="59">
        <v>132569.76999999999</v>
      </c>
      <c r="H88" s="59">
        <v>135713.37</v>
      </c>
      <c r="I88" s="59">
        <v>572450.23</v>
      </c>
      <c r="J88" s="59">
        <v>480534</v>
      </c>
      <c r="K88" s="60">
        <f>K86+K90</f>
        <v>479893.6</v>
      </c>
      <c r="L88" s="60"/>
      <c r="M88" s="60"/>
      <c r="N88" s="60"/>
      <c r="O88" s="60"/>
      <c r="P88" s="60"/>
      <c r="Q88" s="60">
        <f>K88+K90</f>
        <v>479893.6</v>
      </c>
      <c r="R88" s="60">
        <v>480394</v>
      </c>
      <c r="S88" s="60">
        <f t="shared" si="69"/>
        <v>500.40000000002328</v>
      </c>
      <c r="T88" s="98" t="s">
        <v>272</v>
      </c>
      <c r="U88" s="60">
        <f t="shared" ref="U88:U89" si="93">ROUND(R88,0)</f>
        <v>480394</v>
      </c>
      <c r="V88" s="60">
        <f t="shared" si="65"/>
        <v>0</v>
      </c>
      <c r="W88" s="98"/>
      <c r="X88" s="60">
        <f t="shared" ref="X88:X89" si="94">ROUND(U88,0)</f>
        <v>480394</v>
      </c>
      <c r="Y88" s="60">
        <f t="shared" si="66"/>
        <v>0</v>
      </c>
      <c r="Z88" s="98"/>
      <c r="AA88" s="60">
        <f t="shared" ref="AA88:AA89" si="95">ROUND(X88,0)</f>
        <v>480394</v>
      </c>
      <c r="AB88" s="60">
        <f t="shared" si="67"/>
        <v>0</v>
      </c>
      <c r="AC88" s="98"/>
      <c r="AD88" s="60">
        <f t="shared" ref="AD88:AD89" si="96">ROUND(AA88,0)</f>
        <v>480394</v>
      </c>
      <c r="AE88" s="60">
        <f t="shared" si="68"/>
        <v>0</v>
      </c>
      <c r="AF88" s="98"/>
      <c r="AG88" s="98"/>
      <c r="AH88" s="60">
        <v>480394</v>
      </c>
      <c r="AI88" s="63">
        <f t="shared" si="80"/>
        <v>1</v>
      </c>
      <c r="AJ88" s="64"/>
    </row>
    <row r="89" spans="1:38" x14ac:dyDescent="0.25">
      <c r="C89" s="55" t="s">
        <v>273</v>
      </c>
      <c r="D89" s="56" t="s">
        <v>274</v>
      </c>
      <c r="E89" s="57">
        <v>2242017.2195946523</v>
      </c>
      <c r="F89" s="58">
        <v>3343066.6100000003</v>
      </c>
      <c r="G89" s="59">
        <v>3225229.05</v>
      </c>
      <c r="H89" s="59">
        <v>1209826.7</v>
      </c>
      <c r="I89" s="59">
        <v>1651229.4000000001</v>
      </c>
      <c r="J89" s="59">
        <v>1999134</v>
      </c>
      <c r="K89" s="60">
        <f>[4]KA_31122019!D41</f>
        <v>3356215.42</v>
      </c>
      <c r="L89" s="60"/>
      <c r="M89" s="60"/>
      <c r="N89" s="60"/>
      <c r="O89" s="60"/>
      <c r="P89" s="60"/>
      <c r="Q89" s="60">
        <f>K89+L89+M89+N89+O89+P89</f>
        <v>3356215.42</v>
      </c>
      <c r="R89" s="60">
        <f>ROUND(Q89,0)</f>
        <v>3356215</v>
      </c>
      <c r="S89" s="60">
        <f t="shared" si="69"/>
        <v>-0.41999999992549419</v>
      </c>
      <c r="T89" s="63"/>
      <c r="U89" s="60">
        <f t="shared" si="93"/>
        <v>3356215</v>
      </c>
      <c r="V89" s="60">
        <f t="shared" si="65"/>
        <v>0</v>
      </c>
      <c r="W89" s="63"/>
      <c r="X89" s="60">
        <f t="shared" si="94"/>
        <v>3356215</v>
      </c>
      <c r="Y89" s="60">
        <f t="shared" si="66"/>
        <v>0</v>
      </c>
      <c r="Z89" s="63"/>
      <c r="AA89" s="60">
        <f t="shared" si="95"/>
        <v>3356215</v>
      </c>
      <c r="AB89" s="60">
        <f t="shared" si="67"/>
        <v>0</v>
      </c>
      <c r="AC89" s="63"/>
      <c r="AD89" s="60">
        <f t="shared" si="96"/>
        <v>3356215</v>
      </c>
      <c r="AE89" s="60">
        <f t="shared" si="68"/>
        <v>0</v>
      </c>
      <c r="AF89" s="63"/>
      <c r="AG89" s="63"/>
      <c r="AH89" s="60">
        <v>3356215</v>
      </c>
      <c r="AI89" s="63">
        <f t="shared" si="80"/>
        <v>1</v>
      </c>
      <c r="AJ89" s="64"/>
    </row>
    <row r="90" spans="1:38" x14ac:dyDescent="0.25">
      <c r="C90" s="101" t="s">
        <v>275</v>
      </c>
      <c r="D90" s="68" t="s">
        <v>276</v>
      </c>
      <c r="E90" s="69" t="e">
        <f>#REF!+#REF!</f>
        <v>#REF!</v>
      </c>
      <c r="F90" s="70" t="e">
        <f>#REF!+#REF!</f>
        <v>#REF!</v>
      </c>
      <c r="G90" s="71">
        <f>G93</f>
        <v>71514</v>
      </c>
      <c r="H90" s="71">
        <v>2910768.2375999996</v>
      </c>
      <c r="I90" s="71">
        <f>I91+I92+I93+I94+I95+I96+I97+I98+I99+I100+I101</f>
        <v>7679440.3200000003</v>
      </c>
      <c r="J90" s="71">
        <v>7242342</v>
      </c>
      <c r="K90" s="72">
        <f t="shared" ref="K90:R90" si="97">K91+K92+K93+K94+K95+K96+K97+K98+K99+K100+K101</f>
        <v>0</v>
      </c>
      <c r="L90" s="72">
        <f t="shared" si="97"/>
        <v>0</v>
      </c>
      <c r="M90" s="72">
        <f t="shared" si="97"/>
        <v>0</v>
      </c>
      <c r="N90" s="72">
        <f>N91+N92+N93+N94+N95+N96+N97+N98+N99+N100+N101</f>
        <v>5706396.8660000004</v>
      </c>
      <c r="O90" s="72">
        <f t="shared" si="97"/>
        <v>0</v>
      </c>
      <c r="P90" s="72">
        <f t="shared" si="97"/>
        <v>0</v>
      </c>
      <c r="Q90" s="72">
        <f t="shared" si="97"/>
        <v>5706396.8660000004</v>
      </c>
      <c r="R90" s="72">
        <f t="shared" si="97"/>
        <v>5706397</v>
      </c>
      <c r="S90" s="72">
        <f t="shared" si="69"/>
        <v>0.13399999961256981</v>
      </c>
      <c r="T90" s="73"/>
      <c r="U90" s="72">
        <f t="shared" ref="U90" si="98">U91+U92+U93+U94+U95+U96+U97+U98+U99+U100+U101</f>
        <v>5706397</v>
      </c>
      <c r="V90" s="72">
        <f t="shared" si="65"/>
        <v>0</v>
      </c>
      <c r="W90" s="73"/>
      <c r="X90" s="72">
        <f t="shared" ref="X90" si="99">X91+X92+X93+X94+X95+X96+X97+X98+X99+X100+X101</f>
        <v>5706397</v>
      </c>
      <c r="Y90" s="72">
        <f t="shared" si="66"/>
        <v>0</v>
      </c>
      <c r="Z90" s="73"/>
      <c r="AA90" s="72">
        <f t="shared" ref="AA90" si="100">AA91+AA92+AA93+AA94+AA95+AA96+AA97+AA98+AA99+AA100+AA101</f>
        <v>5706397</v>
      </c>
      <c r="AB90" s="72">
        <f t="shared" si="67"/>
        <v>0</v>
      </c>
      <c r="AC90" s="73"/>
      <c r="AD90" s="72">
        <f t="shared" ref="AD90" si="101">AD91+AD92+AD93+AD94+AD95+AD96+AD97+AD98+AD99+AD100+AD101</f>
        <v>4800869</v>
      </c>
      <c r="AE90" s="72">
        <f t="shared" si="68"/>
        <v>-905528</v>
      </c>
      <c r="AF90" s="73"/>
      <c r="AG90" s="73"/>
      <c r="AH90" s="72">
        <f>AH91+AH92+AH93+AH94+AH95+AH96+AH97+AH98+AH99+AH100+AH101</f>
        <v>728655.64</v>
      </c>
      <c r="AI90" s="73">
        <f t="shared" si="80"/>
        <v>0.15177578059305513</v>
      </c>
      <c r="AJ90" s="74"/>
    </row>
    <row r="91" spans="1:38" ht="18.75" hidden="1" customHeight="1" outlineLevel="1" x14ac:dyDescent="0.25">
      <c r="C91" s="146" t="s">
        <v>277</v>
      </c>
      <c r="D91" s="174" t="s">
        <v>278</v>
      </c>
      <c r="E91" s="57">
        <v>335948.5717212765</v>
      </c>
      <c r="F91" s="58"/>
      <c r="G91" s="59">
        <v>0</v>
      </c>
      <c r="H91" s="59">
        <v>2080426</v>
      </c>
      <c r="I91" s="59">
        <v>0</v>
      </c>
      <c r="J91" s="59">
        <v>0</v>
      </c>
      <c r="K91" s="60"/>
      <c r="L91" s="60"/>
      <c r="M91" s="60"/>
      <c r="N91" s="60"/>
      <c r="O91" s="60"/>
      <c r="P91" s="60"/>
      <c r="Q91" s="60">
        <f t="shared" ref="Q91:Q101" si="102">L91+M91+N91+O91+P91</f>
        <v>0</v>
      </c>
      <c r="R91" s="60">
        <v>0</v>
      </c>
      <c r="S91" s="60">
        <f t="shared" si="69"/>
        <v>0</v>
      </c>
      <c r="T91" s="98"/>
      <c r="U91" s="60">
        <v>0</v>
      </c>
      <c r="V91" s="60">
        <f t="shared" si="65"/>
        <v>0</v>
      </c>
      <c r="W91" s="98"/>
      <c r="X91" s="60">
        <v>0</v>
      </c>
      <c r="Y91" s="60">
        <f t="shared" si="66"/>
        <v>0</v>
      </c>
      <c r="Z91" s="98"/>
      <c r="AA91" s="60">
        <v>0</v>
      </c>
      <c r="AB91" s="60">
        <f t="shared" si="67"/>
        <v>0</v>
      </c>
      <c r="AC91" s="98"/>
      <c r="AD91" s="60">
        <v>0</v>
      </c>
      <c r="AE91" s="60">
        <f t="shared" si="68"/>
        <v>0</v>
      </c>
      <c r="AF91" s="98"/>
      <c r="AG91" s="98"/>
      <c r="AH91" s="137"/>
      <c r="AI91" s="63" t="e">
        <f t="shared" si="80"/>
        <v>#DIV/0!</v>
      </c>
      <c r="AJ91" s="175"/>
    </row>
    <row r="92" spans="1:38" collapsed="1" x14ac:dyDescent="0.25">
      <c r="C92" s="146" t="s">
        <v>279</v>
      </c>
      <c r="D92" s="174" t="s">
        <v>280</v>
      </c>
      <c r="E92" s="57"/>
      <c r="F92" s="58"/>
      <c r="G92" s="59">
        <v>0</v>
      </c>
      <c r="H92" s="59">
        <v>0</v>
      </c>
      <c r="I92" s="59">
        <v>1058073</v>
      </c>
      <c r="J92" s="59">
        <v>116067</v>
      </c>
      <c r="K92" s="60"/>
      <c r="L92" s="60"/>
      <c r="M92" s="60"/>
      <c r="N92" s="60"/>
      <c r="O92" s="60"/>
      <c r="P92" s="60"/>
      <c r="Q92" s="60">
        <f t="shared" si="102"/>
        <v>0</v>
      </c>
      <c r="R92" s="60">
        <f t="shared" ref="R92:R101" si="103">ROUND(Q92,0)</f>
        <v>0</v>
      </c>
      <c r="S92" s="60">
        <f t="shared" si="69"/>
        <v>0</v>
      </c>
      <c r="T92" s="63"/>
      <c r="U92" s="60">
        <f t="shared" ref="U92:U101" si="104">ROUND(R92,0)</f>
        <v>0</v>
      </c>
      <c r="V92" s="60">
        <f t="shared" si="65"/>
        <v>0</v>
      </c>
      <c r="W92" s="63"/>
      <c r="X92" s="60">
        <f t="shared" ref="X92:X101" si="105">ROUND(U92,0)</f>
        <v>0</v>
      </c>
      <c r="Y92" s="60">
        <f t="shared" si="66"/>
        <v>0</v>
      </c>
      <c r="Z92" s="63"/>
      <c r="AA92" s="60">
        <f t="shared" ref="AA92:AA101" si="106">ROUND(X92,0)</f>
        <v>0</v>
      </c>
      <c r="AB92" s="60">
        <f t="shared" si="67"/>
        <v>0</v>
      </c>
      <c r="AC92" s="63"/>
      <c r="AD92" s="60">
        <f t="shared" ref="AD92:AD101" si="107">ROUND(AA92,0)</f>
        <v>0</v>
      </c>
      <c r="AE92" s="60">
        <f t="shared" si="68"/>
        <v>0</v>
      </c>
      <c r="AF92" s="63"/>
      <c r="AG92" s="63"/>
      <c r="AH92" s="60">
        <v>0</v>
      </c>
      <c r="AI92" s="63">
        <v>0</v>
      </c>
      <c r="AJ92" s="98"/>
    </row>
    <row r="93" spans="1:38" ht="14.45" customHeight="1" x14ac:dyDescent="0.25">
      <c r="C93" s="146" t="s">
        <v>281</v>
      </c>
      <c r="D93" s="174" t="s">
        <v>282</v>
      </c>
      <c r="E93" s="57"/>
      <c r="F93" s="58">
        <v>0</v>
      </c>
      <c r="G93" s="59">
        <v>71514</v>
      </c>
      <c r="H93" s="59">
        <v>497149</v>
      </c>
      <c r="I93" s="59">
        <v>5755385</v>
      </c>
      <c r="J93" s="59">
        <v>5269336</v>
      </c>
      <c r="K93" s="60"/>
      <c r="L93" s="60"/>
      <c r="M93" s="60"/>
      <c r="N93" s="60">
        <v>3026825</v>
      </c>
      <c r="O93" s="60"/>
      <c r="P93" s="60"/>
      <c r="Q93" s="60">
        <f t="shared" si="102"/>
        <v>3026825</v>
      </c>
      <c r="R93" s="60">
        <f t="shared" si="103"/>
        <v>3026825</v>
      </c>
      <c r="S93" s="60">
        <f t="shared" si="69"/>
        <v>0</v>
      </c>
      <c r="T93" s="86"/>
      <c r="U93" s="60">
        <f t="shared" si="104"/>
        <v>3026825</v>
      </c>
      <c r="V93" s="60">
        <f t="shared" si="65"/>
        <v>0</v>
      </c>
      <c r="W93" s="86"/>
      <c r="X93" s="60">
        <f t="shared" si="105"/>
        <v>3026825</v>
      </c>
      <c r="Y93" s="60">
        <f t="shared" si="66"/>
        <v>0</v>
      </c>
      <c r="Z93" s="86"/>
      <c r="AA93" s="60">
        <f t="shared" si="106"/>
        <v>3026825</v>
      </c>
      <c r="AB93" s="60">
        <f t="shared" si="67"/>
        <v>0</v>
      </c>
      <c r="AC93" s="86"/>
      <c r="AD93" s="60">
        <f t="shared" si="107"/>
        <v>3026825</v>
      </c>
      <c r="AE93" s="60">
        <f t="shared" si="68"/>
        <v>0</v>
      </c>
      <c r="AF93" s="86"/>
      <c r="AG93" s="156"/>
      <c r="AH93" s="60">
        <f>1566.02+919.6+95560.35+600.3+319.3+1566.02+54900.07+154606.61+1566.02+919.6+192679.43+1566.02+186713.67+919.6</f>
        <v>694402.61</v>
      </c>
      <c r="AI93" s="63">
        <f>AH93/AD93</f>
        <v>0.22941617371337952</v>
      </c>
      <c r="AJ93" s="98"/>
    </row>
    <row r="94" spans="1:38" ht="16.5" customHeight="1" x14ac:dyDescent="0.25">
      <c r="C94" s="146" t="s">
        <v>283</v>
      </c>
      <c r="D94" s="174" t="s">
        <v>284</v>
      </c>
      <c r="E94" s="57"/>
      <c r="F94" s="58"/>
      <c r="G94" s="59"/>
      <c r="H94" s="59">
        <v>0</v>
      </c>
      <c r="I94" s="59">
        <v>389405</v>
      </c>
      <c r="J94" s="59">
        <v>155540</v>
      </c>
      <c r="K94" s="60"/>
      <c r="L94" s="60"/>
      <c r="M94" s="60"/>
      <c r="N94" s="60"/>
      <c r="O94" s="60"/>
      <c r="P94" s="60"/>
      <c r="Q94" s="60">
        <f t="shared" si="102"/>
        <v>0</v>
      </c>
      <c r="R94" s="60">
        <f t="shared" si="103"/>
        <v>0</v>
      </c>
      <c r="S94" s="60">
        <f t="shared" si="69"/>
        <v>0</v>
      </c>
      <c r="T94" s="98"/>
      <c r="U94" s="60">
        <f t="shared" si="104"/>
        <v>0</v>
      </c>
      <c r="V94" s="60">
        <f t="shared" si="65"/>
        <v>0</v>
      </c>
      <c r="W94" s="98"/>
      <c r="X94" s="60">
        <f t="shared" si="105"/>
        <v>0</v>
      </c>
      <c r="Y94" s="60">
        <f t="shared" si="66"/>
        <v>0</v>
      </c>
      <c r="Z94" s="98"/>
      <c r="AA94" s="60">
        <f t="shared" si="106"/>
        <v>0</v>
      </c>
      <c r="AB94" s="60">
        <f t="shared" si="67"/>
        <v>0</v>
      </c>
      <c r="AC94" s="98"/>
      <c r="AD94" s="60">
        <f t="shared" si="107"/>
        <v>0</v>
      </c>
      <c r="AE94" s="60">
        <f t="shared" si="68"/>
        <v>0</v>
      </c>
      <c r="AF94" s="98"/>
      <c r="AG94" s="98"/>
      <c r="AH94" s="60">
        <v>0</v>
      </c>
      <c r="AI94" s="63">
        <v>0</v>
      </c>
      <c r="AJ94" s="98"/>
    </row>
    <row r="95" spans="1:38" ht="30" x14ac:dyDescent="0.25">
      <c r="C95" s="146" t="s">
        <v>285</v>
      </c>
      <c r="D95" s="174" t="s">
        <v>286</v>
      </c>
      <c r="E95" s="57"/>
      <c r="F95" s="58"/>
      <c r="G95" s="59"/>
      <c r="H95" s="59">
        <v>41866.879999999997</v>
      </c>
      <c r="I95" s="59">
        <v>0</v>
      </c>
      <c r="J95" s="59">
        <v>854918</v>
      </c>
      <c r="K95" s="60"/>
      <c r="L95" s="60"/>
      <c r="M95" s="60"/>
      <c r="N95" s="60">
        <v>1261476.8660000002</v>
      </c>
      <c r="O95" s="60"/>
      <c r="P95" s="60"/>
      <c r="Q95" s="60">
        <f t="shared" si="102"/>
        <v>1261476.8660000002</v>
      </c>
      <c r="R95" s="60">
        <f t="shared" si="103"/>
        <v>1261477</v>
      </c>
      <c r="S95" s="60">
        <f t="shared" si="69"/>
        <v>0.13399999984540045</v>
      </c>
      <c r="T95" s="63"/>
      <c r="U95" s="60">
        <f t="shared" si="104"/>
        <v>1261477</v>
      </c>
      <c r="V95" s="60">
        <f t="shared" si="65"/>
        <v>0</v>
      </c>
      <c r="W95" s="63"/>
      <c r="X95" s="60">
        <f t="shared" si="105"/>
        <v>1261477</v>
      </c>
      <c r="Y95" s="60">
        <f t="shared" si="66"/>
        <v>0</v>
      </c>
      <c r="Z95" s="63"/>
      <c r="AA95" s="60">
        <f t="shared" si="106"/>
        <v>1261477</v>
      </c>
      <c r="AB95" s="60">
        <f t="shared" si="67"/>
        <v>0</v>
      </c>
      <c r="AC95" s="63"/>
      <c r="AD95" s="60">
        <f t="shared" si="107"/>
        <v>1261477</v>
      </c>
      <c r="AE95" s="60">
        <f t="shared" si="68"/>
        <v>0</v>
      </c>
      <c r="AF95" s="63"/>
      <c r="AG95" s="63"/>
      <c r="AH95" s="60">
        <v>0</v>
      </c>
      <c r="AI95" s="63">
        <f>AH95/AD95</f>
        <v>0</v>
      </c>
      <c r="AJ95" s="64"/>
    </row>
    <row r="96" spans="1:38" ht="21.6" customHeight="1" x14ac:dyDescent="0.25">
      <c r="C96" s="146" t="s">
        <v>287</v>
      </c>
      <c r="D96" s="174" t="s">
        <v>288</v>
      </c>
      <c r="E96" s="57"/>
      <c r="F96" s="58"/>
      <c r="G96" s="59"/>
      <c r="H96" s="59">
        <v>20933</v>
      </c>
      <c r="I96" s="59">
        <v>168837.32</v>
      </c>
      <c r="J96" s="59">
        <v>557675</v>
      </c>
      <c r="K96" s="60"/>
      <c r="L96" s="60"/>
      <c r="M96" s="60"/>
      <c r="N96" s="60">
        <v>11868</v>
      </c>
      <c r="O96" s="60"/>
      <c r="P96" s="60"/>
      <c r="Q96" s="60">
        <f t="shared" si="102"/>
        <v>11868</v>
      </c>
      <c r="R96" s="60">
        <f t="shared" si="103"/>
        <v>11868</v>
      </c>
      <c r="S96" s="60">
        <f t="shared" si="69"/>
        <v>0</v>
      </c>
      <c r="T96" s="176"/>
      <c r="U96" s="60">
        <f t="shared" si="104"/>
        <v>11868</v>
      </c>
      <c r="V96" s="60">
        <f t="shared" si="65"/>
        <v>0</v>
      </c>
      <c r="W96" s="176"/>
      <c r="X96" s="60">
        <f t="shared" si="105"/>
        <v>11868</v>
      </c>
      <c r="Y96" s="60">
        <f t="shared" si="66"/>
        <v>0</v>
      </c>
      <c r="Z96" s="176"/>
      <c r="AA96" s="60">
        <f t="shared" si="106"/>
        <v>11868</v>
      </c>
      <c r="AB96" s="60">
        <f t="shared" si="67"/>
        <v>0</v>
      </c>
      <c r="AC96" s="176"/>
      <c r="AD96" s="60">
        <f t="shared" si="107"/>
        <v>11868</v>
      </c>
      <c r="AE96" s="60">
        <f t="shared" si="68"/>
        <v>0</v>
      </c>
      <c r="AF96" s="176"/>
      <c r="AG96" s="176"/>
      <c r="AH96" s="60">
        <f>11099.02+768.84</f>
        <v>11867.86</v>
      </c>
      <c r="AI96" s="63">
        <f>AH96/AD96</f>
        <v>0.99998820357263229</v>
      </c>
      <c r="AJ96" s="175"/>
    </row>
    <row r="97" spans="3:37" hidden="1" outlineLevel="1" x14ac:dyDescent="0.25">
      <c r="C97" s="146" t="s">
        <v>289</v>
      </c>
      <c r="D97" s="174" t="s">
        <v>290</v>
      </c>
      <c r="E97" s="57"/>
      <c r="F97" s="58"/>
      <c r="G97" s="59"/>
      <c r="H97" s="59">
        <v>0</v>
      </c>
      <c r="I97" s="59">
        <v>0</v>
      </c>
      <c r="J97" s="59">
        <v>0</v>
      </c>
      <c r="K97" s="60"/>
      <c r="L97" s="60"/>
      <c r="M97" s="60"/>
      <c r="N97" s="60"/>
      <c r="O97" s="60"/>
      <c r="P97" s="60"/>
      <c r="Q97" s="60">
        <f t="shared" si="102"/>
        <v>0</v>
      </c>
      <c r="R97" s="60">
        <f t="shared" si="103"/>
        <v>0</v>
      </c>
      <c r="S97" s="60">
        <f t="shared" si="69"/>
        <v>0</v>
      </c>
      <c r="T97" s="63"/>
      <c r="U97" s="60">
        <f t="shared" si="104"/>
        <v>0</v>
      </c>
      <c r="V97" s="60">
        <f t="shared" si="65"/>
        <v>0</v>
      </c>
      <c r="W97" s="63"/>
      <c r="X97" s="60">
        <f t="shared" si="105"/>
        <v>0</v>
      </c>
      <c r="Y97" s="60">
        <f t="shared" si="66"/>
        <v>0</v>
      </c>
      <c r="Z97" s="63"/>
      <c r="AA97" s="60">
        <f t="shared" si="106"/>
        <v>0</v>
      </c>
      <c r="AB97" s="60">
        <f t="shared" si="67"/>
        <v>0</v>
      </c>
      <c r="AC97" s="63"/>
      <c r="AD97" s="60">
        <f t="shared" si="107"/>
        <v>0</v>
      </c>
      <c r="AE97" s="60">
        <f t="shared" si="68"/>
        <v>0</v>
      </c>
      <c r="AF97" s="63"/>
      <c r="AG97" s="63"/>
      <c r="AH97" s="137"/>
      <c r="AI97" s="63" t="e">
        <f>AH97/AD97</f>
        <v>#DIV/0!</v>
      </c>
      <c r="AJ97" s="64"/>
    </row>
    <row r="98" spans="3:37" ht="18" customHeight="1" collapsed="1" x14ac:dyDescent="0.25">
      <c r="C98" s="146" t="s">
        <v>289</v>
      </c>
      <c r="D98" s="174" t="s">
        <v>291</v>
      </c>
      <c r="E98" s="57"/>
      <c r="F98" s="58"/>
      <c r="G98" s="59"/>
      <c r="H98" s="59">
        <v>30000.357599999988</v>
      </c>
      <c r="I98" s="59">
        <v>153195</v>
      </c>
      <c r="J98" s="59">
        <v>0</v>
      </c>
      <c r="K98" s="60"/>
      <c r="L98" s="60"/>
      <c r="M98" s="60"/>
      <c r="N98" s="60"/>
      <c r="O98" s="60"/>
      <c r="P98" s="60"/>
      <c r="Q98" s="60">
        <f t="shared" si="102"/>
        <v>0</v>
      </c>
      <c r="R98" s="60">
        <f t="shared" si="103"/>
        <v>0</v>
      </c>
      <c r="S98" s="60">
        <f t="shared" si="69"/>
        <v>0</v>
      </c>
      <c r="T98" s="63"/>
      <c r="U98" s="60">
        <f t="shared" si="104"/>
        <v>0</v>
      </c>
      <c r="V98" s="60">
        <f t="shared" si="65"/>
        <v>0</v>
      </c>
      <c r="W98" s="63"/>
      <c r="X98" s="60">
        <f t="shared" si="105"/>
        <v>0</v>
      </c>
      <c r="Y98" s="60">
        <f t="shared" si="66"/>
        <v>0</v>
      </c>
      <c r="Z98" s="63"/>
      <c r="AA98" s="60">
        <f t="shared" si="106"/>
        <v>0</v>
      </c>
      <c r="AB98" s="60">
        <f t="shared" si="67"/>
        <v>0</v>
      </c>
      <c r="AC98" s="63"/>
      <c r="AD98" s="60">
        <f t="shared" si="107"/>
        <v>0</v>
      </c>
      <c r="AE98" s="60">
        <f t="shared" si="68"/>
        <v>0</v>
      </c>
      <c r="AF98" s="63"/>
      <c r="AG98" s="63"/>
      <c r="AH98" s="137"/>
      <c r="AI98" s="63"/>
      <c r="AJ98" s="98"/>
    </row>
    <row r="99" spans="3:37" ht="30" x14ac:dyDescent="0.25">
      <c r="C99" s="146" t="s">
        <v>292</v>
      </c>
      <c r="D99" s="177" t="s">
        <v>293</v>
      </c>
      <c r="E99" s="178"/>
      <c r="F99" s="179"/>
      <c r="G99" s="180"/>
      <c r="H99" s="180">
        <v>105500</v>
      </c>
      <c r="I99" s="59">
        <v>104545</v>
      </c>
      <c r="J99" s="180">
        <v>157328</v>
      </c>
      <c r="K99" s="181"/>
      <c r="L99" s="181"/>
      <c r="M99" s="181"/>
      <c r="N99" s="181">
        <v>1162946</v>
      </c>
      <c r="O99" s="181"/>
      <c r="P99" s="181"/>
      <c r="Q99" s="60">
        <f t="shared" si="102"/>
        <v>1162946</v>
      </c>
      <c r="R99" s="60">
        <f t="shared" si="103"/>
        <v>1162946</v>
      </c>
      <c r="S99" s="60">
        <f t="shared" si="69"/>
        <v>0</v>
      </c>
      <c r="T99" s="182"/>
      <c r="U99" s="60">
        <f t="shared" si="104"/>
        <v>1162946</v>
      </c>
      <c r="V99" s="60">
        <f t="shared" si="65"/>
        <v>0</v>
      </c>
      <c r="W99" s="182"/>
      <c r="X99" s="60">
        <f t="shared" si="105"/>
        <v>1162946</v>
      </c>
      <c r="Y99" s="60">
        <f t="shared" si="66"/>
        <v>0</v>
      </c>
      <c r="Z99" s="182"/>
      <c r="AA99" s="60">
        <f t="shared" si="106"/>
        <v>1162946</v>
      </c>
      <c r="AB99" s="60">
        <f t="shared" si="67"/>
        <v>0</v>
      </c>
      <c r="AC99" s="182"/>
      <c r="AD99" s="60">
        <f>ROUND(AA99,0)-1140561</f>
        <v>22385</v>
      </c>
      <c r="AE99" s="60">
        <f t="shared" si="68"/>
        <v>-1140561</v>
      </c>
      <c r="AF99" s="182" t="s">
        <v>294</v>
      </c>
      <c r="AG99" s="182"/>
      <c r="AH99" s="181">
        <v>22385.17</v>
      </c>
      <c r="AI99" s="182">
        <f>AH99/AD99</f>
        <v>1.0000075943712305</v>
      </c>
      <c r="AJ99" s="183"/>
    </row>
    <row r="100" spans="3:37" ht="45" outlineLevel="1" x14ac:dyDescent="0.25">
      <c r="C100" s="184" t="s">
        <v>295</v>
      </c>
      <c r="D100" s="174" t="s">
        <v>296</v>
      </c>
      <c r="E100" s="57"/>
      <c r="F100" s="58"/>
      <c r="G100" s="59"/>
      <c r="H100" s="59">
        <v>134893</v>
      </c>
      <c r="I100" s="59">
        <v>0</v>
      </c>
      <c r="J100" s="59">
        <v>0</v>
      </c>
      <c r="K100" s="60"/>
      <c r="L100" s="60"/>
      <c r="M100" s="60"/>
      <c r="N100" s="60">
        <v>50815</v>
      </c>
      <c r="O100" s="60"/>
      <c r="P100" s="60"/>
      <c r="Q100" s="60">
        <f t="shared" si="102"/>
        <v>50815</v>
      </c>
      <c r="R100" s="60">
        <f t="shared" si="103"/>
        <v>50815</v>
      </c>
      <c r="S100" s="60">
        <f t="shared" si="69"/>
        <v>0</v>
      </c>
      <c r="T100" s="185"/>
      <c r="U100" s="60">
        <f t="shared" si="104"/>
        <v>50815</v>
      </c>
      <c r="V100" s="60">
        <f t="shared" si="65"/>
        <v>0</v>
      </c>
      <c r="W100" s="185"/>
      <c r="X100" s="60">
        <f t="shared" si="105"/>
        <v>50815</v>
      </c>
      <c r="Y100" s="60">
        <f t="shared" si="66"/>
        <v>0</v>
      </c>
      <c r="Z100" s="185"/>
      <c r="AA100" s="60">
        <f t="shared" si="106"/>
        <v>50815</v>
      </c>
      <c r="AB100" s="60">
        <f t="shared" si="67"/>
        <v>0</v>
      </c>
      <c r="AC100" s="185"/>
      <c r="AD100" s="60">
        <f>ROUND(AA100,0)+235033</f>
        <v>285848</v>
      </c>
      <c r="AE100" s="60">
        <f t="shared" si="68"/>
        <v>235033</v>
      </c>
      <c r="AF100" s="186" t="s">
        <v>297</v>
      </c>
      <c r="AG100" s="396"/>
      <c r="AH100" s="187"/>
      <c r="AI100" s="63">
        <f>AH100/AD100</f>
        <v>0</v>
      </c>
      <c r="AJ100" s="64"/>
    </row>
    <row r="101" spans="3:37" ht="30.75" thickBot="1" x14ac:dyDescent="0.3">
      <c r="C101" s="184" t="s">
        <v>298</v>
      </c>
      <c r="D101" s="188" t="s">
        <v>299</v>
      </c>
      <c r="E101" s="189"/>
      <c r="F101" s="190"/>
      <c r="G101" s="191"/>
      <c r="H101" s="191"/>
      <c r="I101" s="59">
        <v>50000</v>
      </c>
      <c r="J101" s="191">
        <v>131478</v>
      </c>
      <c r="K101" s="192"/>
      <c r="L101" s="192"/>
      <c r="M101" s="192"/>
      <c r="N101" s="192">
        <v>192466</v>
      </c>
      <c r="O101" s="192"/>
      <c r="P101" s="192"/>
      <c r="Q101" s="60">
        <f t="shared" si="102"/>
        <v>192466</v>
      </c>
      <c r="R101" s="60">
        <f t="shared" si="103"/>
        <v>192466</v>
      </c>
      <c r="S101" s="60">
        <f t="shared" si="69"/>
        <v>0</v>
      </c>
      <c r="T101" s="185"/>
      <c r="U101" s="60">
        <f t="shared" si="104"/>
        <v>192466</v>
      </c>
      <c r="V101" s="60">
        <f t="shared" si="65"/>
        <v>0</v>
      </c>
      <c r="W101" s="185"/>
      <c r="X101" s="60">
        <f t="shared" si="105"/>
        <v>192466</v>
      </c>
      <c r="Y101" s="60">
        <f t="shared" si="66"/>
        <v>0</v>
      </c>
      <c r="Z101" s="185"/>
      <c r="AA101" s="60">
        <f t="shared" si="106"/>
        <v>192466</v>
      </c>
      <c r="AB101" s="60">
        <f t="shared" si="67"/>
        <v>0</v>
      </c>
      <c r="AC101" s="185"/>
      <c r="AD101" s="60">
        <f t="shared" si="107"/>
        <v>192466</v>
      </c>
      <c r="AE101" s="60">
        <f t="shared" si="68"/>
        <v>0</v>
      </c>
      <c r="AF101" s="185"/>
      <c r="AG101" s="185"/>
      <c r="AH101" s="193"/>
      <c r="AI101" s="185">
        <f>AH101/AD101</f>
        <v>0</v>
      </c>
      <c r="AJ101" s="186"/>
    </row>
    <row r="102" spans="3:37" ht="15.75" thickBot="1" x14ac:dyDescent="0.3">
      <c r="C102" s="157"/>
      <c r="D102" s="158" t="s">
        <v>300</v>
      </c>
      <c r="E102" s="159" t="e">
        <f>E86+E87+E90</f>
        <v>#REF!</v>
      </c>
      <c r="F102" s="160" t="e">
        <f>F86+F87+F90</f>
        <v>#REF!</v>
      </c>
      <c r="G102" s="161">
        <f>G86+G87+G90</f>
        <v>17802225.180313069</v>
      </c>
      <c r="H102" s="161">
        <v>20576708.304207698</v>
      </c>
      <c r="I102" s="161">
        <f t="shared" ref="I102:R102" si="108">I86+I87+I90</f>
        <v>28986603.162063669</v>
      </c>
      <c r="J102" s="161">
        <v>30531615</v>
      </c>
      <c r="K102" s="162">
        <f t="shared" si="108"/>
        <v>479893.6</v>
      </c>
      <c r="L102" s="162">
        <f t="shared" si="108"/>
        <v>4775388</v>
      </c>
      <c r="M102" s="162">
        <f t="shared" si="108"/>
        <v>2480639.2800000003</v>
      </c>
      <c r="N102" s="162">
        <f t="shared" si="108"/>
        <v>5706396.8660000004</v>
      </c>
      <c r="O102" s="162">
        <f t="shared" si="108"/>
        <v>0</v>
      </c>
      <c r="P102" s="162">
        <f t="shared" si="108"/>
        <v>14112324.554</v>
      </c>
      <c r="Q102" s="162">
        <f t="shared" si="108"/>
        <v>30910857.719999999</v>
      </c>
      <c r="R102" s="162">
        <f t="shared" si="108"/>
        <v>30959282</v>
      </c>
      <c r="S102" s="162">
        <f t="shared" si="69"/>
        <v>48424.280000001192</v>
      </c>
      <c r="T102" s="163"/>
      <c r="U102" s="162">
        <f t="shared" ref="U102" si="109">U86+U87+U90</f>
        <v>30947415</v>
      </c>
      <c r="V102" s="162">
        <f t="shared" si="65"/>
        <v>-11867</v>
      </c>
      <c r="W102" s="163"/>
      <c r="X102" s="162">
        <f t="shared" ref="X102" si="110">X86+X87+X90</f>
        <v>30949698</v>
      </c>
      <c r="Y102" s="162">
        <f t="shared" si="66"/>
        <v>2283</v>
      </c>
      <c r="Z102" s="163"/>
      <c r="AA102" s="162">
        <f t="shared" ref="AA102" si="111">AA86+AA87+AA90</f>
        <v>30949698</v>
      </c>
      <c r="AB102" s="162">
        <f t="shared" si="67"/>
        <v>0</v>
      </c>
      <c r="AC102" s="163"/>
      <c r="AD102" s="162">
        <f t="shared" ref="AD102" si="112">AD86+AD87+AD90</f>
        <v>29745188</v>
      </c>
      <c r="AE102" s="162">
        <f t="shared" si="68"/>
        <v>-1204510</v>
      </c>
      <c r="AF102" s="163"/>
      <c r="AG102" s="163"/>
      <c r="AH102" s="162">
        <f>AH86+AH87+AH90</f>
        <v>13314125.65</v>
      </c>
      <c r="AI102" s="163">
        <f>AH102/AD102</f>
        <v>0.44760603462987025</v>
      </c>
      <c r="AJ102" s="164"/>
    </row>
    <row r="103" spans="3:37" x14ac:dyDescent="0.25">
      <c r="M103" s="173"/>
    </row>
    <row r="104" spans="3:37" x14ac:dyDescent="0.25">
      <c r="G104" s="197"/>
      <c r="H104" s="197"/>
      <c r="I104" s="197"/>
      <c r="J104" s="197">
        <v>1376701</v>
      </c>
      <c r="Q104" s="173"/>
      <c r="R104" s="173">
        <f>8361595-R90</f>
        <v>2655198</v>
      </c>
      <c r="S104" s="173"/>
      <c r="U104" s="173">
        <f>8361595-U90</f>
        <v>2655198</v>
      </c>
      <c r="V104" s="173"/>
      <c r="X104" s="173">
        <f>8361595-X90</f>
        <v>2655198</v>
      </c>
      <c r="Y104" s="173"/>
      <c r="AA104" s="173">
        <f>8361595-AA90</f>
        <v>2655198</v>
      </c>
      <c r="AB104" s="173"/>
      <c r="AD104" s="173">
        <f>8361595-AD90</f>
        <v>3560726</v>
      </c>
      <c r="AE104" s="173"/>
      <c r="AI104" s="24" t="s">
        <v>301</v>
      </c>
    </row>
    <row r="105" spans="3:37" ht="20.25" x14ac:dyDescent="0.3">
      <c r="C105" s="404" t="s">
        <v>302</v>
      </c>
      <c r="D105" s="404"/>
      <c r="E105" s="26"/>
      <c r="F105" s="198"/>
      <c r="G105" s="197"/>
      <c r="H105" s="197"/>
      <c r="I105" s="197"/>
      <c r="J105" s="197"/>
      <c r="K105" s="28"/>
      <c r="L105" s="173"/>
      <c r="M105" s="173"/>
      <c r="N105" s="173"/>
      <c r="O105" s="28"/>
      <c r="P105" s="28"/>
      <c r="Q105" s="173"/>
      <c r="R105" s="173"/>
      <c r="S105" s="173"/>
      <c r="U105" s="173"/>
      <c r="V105" s="173"/>
      <c r="X105" s="173"/>
      <c r="Y105" s="173"/>
      <c r="AA105" s="173"/>
      <c r="AB105" s="173"/>
      <c r="AD105" s="173">
        <f>285848-AD100</f>
        <v>0</v>
      </c>
      <c r="AE105" s="173"/>
      <c r="AH105" s="28"/>
    </row>
    <row r="106" spans="3:37" ht="15.75" thickBot="1" x14ac:dyDescent="0.3">
      <c r="C106" s="405"/>
      <c r="D106" s="405"/>
      <c r="E106" s="199"/>
      <c r="F106" s="200"/>
      <c r="G106" s="201"/>
      <c r="H106" s="201"/>
      <c r="I106" s="202"/>
      <c r="J106" s="202"/>
      <c r="K106" s="203"/>
      <c r="L106" s="203"/>
      <c r="M106" s="203"/>
      <c r="N106" s="203"/>
      <c r="O106" s="203"/>
      <c r="P106" s="203"/>
      <c r="Q106" s="203"/>
      <c r="R106" s="203"/>
      <c r="S106" s="203"/>
      <c r="U106" s="203"/>
      <c r="V106" s="203"/>
      <c r="X106" s="203"/>
      <c r="Y106" s="203"/>
      <c r="AA106" s="203"/>
      <c r="AB106" s="203"/>
      <c r="AD106" s="203"/>
      <c r="AE106" s="203"/>
      <c r="AH106" s="203"/>
      <c r="AI106" s="24" t="s">
        <v>303</v>
      </c>
    </row>
    <row r="107" spans="3:37" ht="47.25" customHeight="1" outlineLevel="1" thickBot="1" x14ac:dyDescent="0.3">
      <c r="C107" s="30" t="s">
        <v>2</v>
      </c>
      <c r="D107" s="31" t="s">
        <v>3</v>
      </c>
      <c r="E107" s="32" t="s">
        <v>304</v>
      </c>
      <c r="F107" s="32" t="s">
        <v>305</v>
      </c>
      <c r="G107" s="33" t="s">
        <v>6</v>
      </c>
      <c r="H107" s="33" t="s">
        <v>7</v>
      </c>
      <c r="I107" s="33" t="s">
        <v>8</v>
      </c>
      <c r="J107" s="33" t="s">
        <v>9</v>
      </c>
      <c r="K107" s="34" t="s">
        <v>306</v>
      </c>
      <c r="L107" s="34" t="s">
        <v>11</v>
      </c>
      <c r="M107" s="34" t="s">
        <v>12</v>
      </c>
      <c r="N107" s="34" t="s">
        <v>13</v>
      </c>
      <c r="O107" s="34" t="s">
        <v>307</v>
      </c>
      <c r="P107" s="34" t="s">
        <v>308</v>
      </c>
      <c r="Q107" s="34" t="s">
        <v>309</v>
      </c>
      <c r="R107" s="34" t="s">
        <v>17</v>
      </c>
      <c r="S107" s="34" t="s">
        <v>18</v>
      </c>
      <c r="T107" s="35" t="s">
        <v>310</v>
      </c>
      <c r="U107" s="34" t="s">
        <v>20</v>
      </c>
      <c r="V107" s="34" t="s">
        <v>21</v>
      </c>
      <c r="W107" s="35" t="s">
        <v>310</v>
      </c>
      <c r="X107" s="34" t="s">
        <v>22</v>
      </c>
      <c r="Y107" s="34" t="s">
        <v>23</v>
      </c>
      <c r="Z107" s="35" t="s">
        <v>310</v>
      </c>
      <c r="AA107" s="34" t="s">
        <v>24</v>
      </c>
      <c r="AB107" s="34" t="s">
        <v>25</v>
      </c>
      <c r="AC107" s="35" t="s">
        <v>310</v>
      </c>
      <c r="AD107" s="34" t="s">
        <v>26</v>
      </c>
      <c r="AE107" s="34" t="s">
        <v>27</v>
      </c>
      <c r="AF107" s="35" t="s">
        <v>310</v>
      </c>
      <c r="AG107" s="35"/>
      <c r="AH107" s="34" t="s">
        <v>28</v>
      </c>
      <c r="AI107" s="35" t="s">
        <v>29</v>
      </c>
      <c r="AJ107" s="35" t="s">
        <v>30</v>
      </c>
    </row>
    <row r="108" spans="3:37" x14ac:dyDescent="0.25">
      <c r="C108" s="204" t="s">
        <v>34</v>
      </c>
      <c r="D108" s="205" t="s">
        <v>311</v>
      </c>
      <c r="E108" s="206">
        <f>SUM(E109:E117)</f>
        <v>1866594.3261208059</v>
      </c>
      <c r="F108" s="207">
        <f>SUM(F109:F117)</f>
        <v>1966080.3392656627</v>
      </c>
      <c r="G108" s="208">
        <f>SUM(G109:G117)</f>
        <v>2698640.5</v>
      </c>
      <c r="H108" s="208">
        <v>2730327</v>
      </c>
      <c r="I108" s="208">
        <f>SUM(I109:I117)</f>
        <v>2811265</v>
      </c>
      <c r="J108" s="208">
        <v>2265444</v>
      </c>
      <c r="K108" s="209">
        <f>SUM(K109:K117)</f>
        <v>0</v>
      </c>
      <c r="L108" s="209">
        <f>SUM(L109:L116)</f>
        <v>2270</v>
      </c>
      <c r="M108" s="209">
        <f>SUM(M109:M116)</f>
        <v>0</v>
      </c>
      <c r="N108" s="209">
        <f>SUM(N109:N116)</f>
        <v>0</v>
      </c>
      <c r="O108" s="209" t="e">
        <f>SUM(O109:O117)</f>
        <v>#REF!</v>
      </c>
      <c r="P108" s="209">
        <f>SUM(P109:P117)</f>
        <v>2494692.8150117351</v>
      </c>
      <c r="Q108" s="209" t="e">
        <f>SUM(Q109:Q117)</f>
        <v>#REF!</v>
      </c>
      <c r="R108" s="209" t="e">
        <f>SUM(R109:R117)</f>
        <v>#REF!</v>
      </c>
      <c r="S108" s="209" t="e">
        <f t="shared" ref="S108:S172" si="113">R108-Q108</f>
        <v>#REF!</v>
      </c>
      <c r="T108" s="210"/>
      <c r="U108" s="209" t="e">
        <f>SUM(U109:U117)</f>
        <v>#REF!</v>
      </c>
      <c r="V108" s="209" t="e">
        <f t="shared" ref="V108:V171" si="114">U108-R108</f>
        <v>#REF!</v>
      </c>
      <c r="W108" s="210"/>
      <c r="X108" s="209" t="e">
        <f>SUM(X109:X117)</f>
        <v>#REF!</v>
      </c>
      <c r="Y108" s="209" t="e">
        <f t="shared" ref="Y108:Y171" si="115">X108-U108</f>
        <v>#REF!</v>
      </c>
      <c r="Z108" s="210"/>
      <c r="AA108" s="209" t="e">
        <f>SUM(AA109:AA117)</f>
        <v>#REF!</v>
      </c>
      <c r="AB108" s="209" t="e">
        <f t="shared" ref="AB108:AB171" si="116">AA108-X108</f>
        <v>#REF!</v>
      </c>
      <c r="AC108" s="210"/>
      <c r="AD108" s="209" t="e">
        <f>SUM(AD109:AD117)</f>
        <v>#REF!</v>
      </c>
      <c r="AE108" s="209" t="e">
        <f t="shared" ref="AE108:AE171" si="117">AD108-AA108</f>
        <v>#REF!</v>
      </c>
      <c r="AF108" s="210"/>
      <c r="AG108" s="210"/>
      <c r="AH108" s="209">
        <f>SUM(AH109:AH117)</f>
        <v>975847</v>
      </c>
      <c r="AI108" s="210" t="e">
        <f t="shared" ref="AI108:AI139" si="118">AH108/U108</f>
        <v>#REF!</v>
      </c>
      <c r="AJ108" s="210"/>
      <c r="AK108" s="387" t="e">
        <f t="shared" ref="AK108:AK139" si="119">Q108/$Q$233</f>
        <v>#REF!</v>
      </c>
    </row>
    <row r="109" spans="3:37" ht="16.149999999999999" customHeight="1" x14ac:dyDescent="0.25">
      <c r="C109" s="211" t="s">
        <v>38</v>
      </c>
      <c r="D109" s="212" t="s">
        <v>312</v>
      </c>
      <c r="E109" s="130">
        <f>611870.450367386+2081*1.2359*4+10+2+1250+77200</f>
        <v>700620.08196738595</v>
      </c>
      <c r="F109" s="133">
        <f>708970+1500+(9488+3773)+1000+6000+2176*12*1.2359</f>
        <v>763002.82079999999</v>
      </c>
      <c r="G109" s="132">
        <f>800595-6092</f>
        <v>794503</v>
      </c>
      <c r="H109" s="132">
        <v>759213</v>
      </c>
      <c r="I109" s="132">
        <v>792389</v>
      </c>
      <c r="J109" s="132">
        <v>896500</v>
      </c>
      <c r="K109" s="133"/>
      <c r="L109" s="133"/>
      <c r="M109" s="133"/>
      <c r="N109" s="133"/>
      <c r="O109" s="133" t="e">
        <f>GETPIVOTDATA("Summa",[4]Pivot_investicijas!$A$3,"Nodaļa","0110")</f>
        <v>#REF!</v>
      </c>
      <c r="P109" s="133">
        <f>[4]Baze_2020!D45</f>
        <v>1013085</v>
      </c>
      <c r="Q109" s="133" t="e">
        <f t="shared" ref="Q109:Q117" si="120">L109+M109+N109+O109+P109</f>
        <v>#REF!</v>
      </c>
      <c r="R109" s="133" t="e">
        <f t="shared" ref="R109:R117" si="121">ROUND(Q109,0)</f>
        <v>#REF!</v>
      </c>
      <c r="S109" s="133" t="e">
        <f t="shared" si="113"/>
        <v>#REF!</v>
      </c>
      <c r="T109" s="135"/>
      <c r="U109" s="133" t="e">
        <f t="shared" ref="U109:U117" si="122">ROUND(R109,0)</f>
        <v>#REF!</v>
      </c>
      <c r="V109" s="133" t="e">
        <f t="shared" si="114"/>
        <v>#REF!</v>
      </c>
      <c r="W109" s="135"/>
      <c r="X109" s="133" t="e">
        <f t="shared" ref="X109:X117" si="123">ROUND(U109,0)</f>
        <v>#REF!</v>
      </c>
      <c r="Y109" s="133" t="e">
        <f t="shared" si="115"/>
        <v>#REF!</v>
      </c>
      <c r="Z109" s="135"/>
      <c r="AA109" s="133" t="e">
        <f t="shared" ref="AA109:AA117" si="124">ROUND(X109,0)</f>
        <v>#REF!</v>
      </c>
      <c r="AB109" s="133" t="e">
        <f t="shared" si="116"/>
        <v>#REF!</v>
      </c>
      <c r="AC109" s="135"/>
      <c r="AD109" s="133" t="e">
        <f t="shared" ref="AD109:AD117" si="125">ROUND(AA109,0)</f>
        <v>#REF!</v>
      </c>
      <c r="AE109" s="133" t="e">
        <f t="shared" si="117"/>
        <v>#REF!</v>
      </c>
      <c r="AF109" s="135"/>
      <c r="AG109" s="135"/>
      <c r="AH109" s="133">
        <f>827355-AH116-AH117</f>
        <v>400675.74</v>
      </c>
      <c r="AI109" s="135" t="e">
        <f t="shared" si="118"/>
        <v>#REF!</v>
      </c>
      <c r="AJ109" s="134"/>
      <c r="AK109" s="387" t="e">
        <f t="shared" si="119"/>
        <v>#REF!</v>
      </c>
    </row>
    <row r="110" spans="3:37" x14ac:dyDescent="0.25">
      <c r="C110" s="211" t="s">
        <v>41</v>
      </c>
      <c r="D110" s="212" t="s">
        <v>313</v>
      </c>
      <c r="E110" s="130">
        <f>107547.765806683+9180</f>
        <v>116727.765806683</v>
      </c>
      <c r="F110" s="133">
        <f>126570+650</f>
        <v>127220</v>
      </c>
      <c r="G110" s="132">
        <v>173423</v>
      </c>
      <c r="H110" s="132">
        <v>178328</v>
      </c>
      <c r="I110" s="132">
        <v>203212</v>
      </c>
      <c r="J110" s="132">
        <v>227002</v>
      </c>
      <c r="K110" s="133"/>
      <c r="L110" s="133"/>
      <c r="M110" s="133"/>
      <c r="N110" s="133"/>
      <c r="O110" s="133"/>
      <c r="P110" s="133">
        <f>[4]Baze_2020!D50</f>
        <v>243414</v>
      </c>
      <c r="Q110" s="133">
        <f t="shared" si="120"/>
        <v>243414</v>
      </c>
      <c r="R110" s="133">
        <f t="shared" si="121"/>
        <v>243414</v>
      </c>
      <c r="S110" s="133">
        <f t="shared" si="113"/>
        <v>0</v>
      </c>
      <c r="T110" s="135"/>
      <c r="U110" s="133">
        <f t="shared" si="122"/>
        <v>243414</v>
      </c>
      <c r="V110" s="133">
        <f t="shared" si="114"/>
        <v>0</v>
      </c>
      <c r="W110" s="135"/>
      <c r="X110" s="133">
        <f t="shared" si="123"/>
        <v>243414</v>
      </c>
      <c r="Y110" s="133">
        <f t="shared" si="115"/>
        <v>0</v>
      </c>
      <c r="Z110" s="135"/>
      <c r="AA110" s="133">
        <f t="shared" si="124"/>
        <v>243414</v>
      </c>
      <c r="AB110" s="133">
        <f t="shared" si="116"/>
        <v>0</v>
      </c>
      <c r="AC110" s="135"/>
      <c r="AD110" s="133">
        <f t="shared" si="125"/>
        <v>243414</v>
      </c>
      <c r="AE110" s="133">
        <f t="shared" si="117"/>
        <v>0</v>
      </c>
      <c r="AF110" s="135"/>
      <c r="AG110" s="135"/>
      <c r="AH110" s="133">
        <f>83521+7305</f>
        <v>90826</v>
      </c>
      <c r="AI110" s="135">
        <f t="shared" si="118"/>
        <v>0.37313383782362558</v>
      </c>
      <c r="AJ110" s="135"/>
      <c r="AK110" s="387" t="e">
        <f t="shared" si="119"/>
        <v>#REF!</v>
      </c>
    </row>
    <row r="111" spans="3:37" x14ac:dyDescent="0.25">
      <c r="C111" s="211" t="s">
        <v>44</v>
      </c>
      <c r="D111" s="212" t="s">
        <v>314</v>
      </c>
      <c r="E111" s="130">
        <f>46328.7061542052+395</f>
        <v>46723.706154205203</v>
      </c>
      <c r="F111" s="133">
        <v>52995</v>
      </c>
      <c r="G111" s="132">
        <v>46180</v>
      </c>
      <c r="H111" s="132">
        <v>46879</v>
      </c>
      <c r="I111" s="132">
        <v>48592</v>
      </c>
      <c r="J111" s="132">
        <v>56814</v>
      </c>
      <c r="K111" s="133"/>
      <c r="L111" s="133"/>
      <c r="M111" s="133"/>
      <c r="N111" s="133"/>
      <c r="O111" s="133"/>
      <c r="P111" s="133">
        <f>[4]Baze_2020!D51</f>
        <v>52065</v>
      </c>
      <c r="Q111" s="133">
        <f t="shared" si="120"/>
        <v>52065</v>
      </c>
      <c r="R111" s="133">
        <f t="shared" si="121"/>
        <v>52065</v>
      </c>
      <c r="S111" s="133">
        <f t="shared" si="113"/>
        <v>0</v>
      </c>
      <c r="T111" s="135"/>
      <c r="U111" s="133">
        <f t="shared" si="122"/>
        <v>52065</v>
      </c>
      <c r="V111" s="133">
        <f t="shared" si="114"/>
        <v>0</v>
      </c>
      <c r="W111" s="135"/>
      <c r="X111" s="133">
        <f t="shared" si="123"/>
        <v>52065</v>
      </c>
      <c r="Y111" s="133">
        <f t="shared" si="115"/>
        <v>0</v>
      </c>
      <c r="Z111" s="135"/>
      <c r="AA111" s="133">
        <f t="shared" si="124"/>
        <v>52065</v>
      </c>
      <c r="AB111" s="133">
        <f t="shared" si="116"/>
        <v>0</v>
      </c>
      <c r="AC111" s="135"/>
      <c r="AD111" s="133">
        <f t="shared" si="125"/>
        <v>52065</v>
      </c>
      <c r="AE111" s="133">
        <f t="shared" si="117"/>
        <v>0</v>
      </c>
      <c r="AF111" s="135"/>
      <c r="AG111" s="135"/>
      <c r="AH111" s="133">
        <v>20306</v>
      </c>
      <c r="AI111" s="135">
        <f t="shared" si="118"/>
        <v>0.39001248439450686</v>
      </c>
      <c r="AJ111" s="135"/>
      <c r="AK111" s="387" t="e">
        <f t="shared" si="119"/>
        <v>#REF!</v>
      </c>
    </row>
    <row r="112" spans="3:37" ht="14.45" customHeight="1" x14ac:dyDescent="0.25">
      <c r="C112" s="211" t="s">
        <v>315</v>
      </c>
      <c r="D112" s="212" t="s">
        <v>316</v>
      </c>
      <c r="E112" s="130">
        <v>27844.601334084611</v>
      </c>
      <c r="F112" s="133">
        <v>28030</v>
      </c>
      <c r="G112" s="132">
        <v>33470</v>
      </c>
      <c r="H112" s="132">
        <v>34316</v>
      </c>
      <c r="I112" s="132">
        <v>34964</v>
      </c>
      <c r="J112" s="132">
        <v>33037</v>
      </c>
      <c r="K112" s="133"/>
      <c r="L112" s="133"/>
      <c r="M112" s="133"/>
      <c r="N112" s="133"/>
      <c r="O112" s="133"/>
      <c r="P112" s="133">
        <f>[4]Baze_2020!D56</f>
        <v>42790</v>
      </c>
      <c r="Q112" s="133">
        <f t="shared" si="120"/>
        <v>42790</v>
      </c>
      <c r="R112" s="133">
        <f t="shared" si="121"/>
        <v>42790</v>
      </c>
      <c r="S112" s="133">
        <f t="shared" si="113"/>
        <v>0</v>
      </c>
      <c r="T112" s="134"/>
      <c r="U112" s="133">
        <f t="shared" si="122"/>
        <v>42790</v>
      </c>
      <c r="V112" s="133">
        <f t="shared" si="114"/>
        <v>0</v>
      </c>
      <c r="W112" s="134"/>
      <c r="X112" s="133">
        <f t="shared" si="123"/>
        <v>42790</v>
      </c>
      <c r="Y112" s="133">
        <f t="shared" si="115"/>
        <v>0</v>
      </c>
      <c r="Z112" s="134"/>
      <c r="AA112" s="133">
        <f t="shared" si="124"/>
        <v>42790</v>
      </c>
      <c r="AB112" s="133">
        <f t="shared" si="116"/>
        <v>0</v>
      </c>
      <c r="AC112" s="134"/>
      <c r="AD112" s="133">
        <f t="shared" si="125"/>
        <v>42790</v>
      </c>
      <c r="AE112" s="133">
        <f t="shared" si="117"/>
        <v>0</v>
      </c>
      <c r="AF112" s="134"/>
      <c r="AG112" s="134"/>
      <c r="AH112" s="133">
        <v>12399</v>
      </c>
      <c r="AI112" s="135">
        <f t="shared" si="118"/>
        <v>0.28976396354288386</v>
      </c>
      <c r="AJ112" s="135"/>
      <c r="AK112" s="387" t="e">
        <f t="shared" si="119"/>
        <v>#REF!</v>
      </c>
    </row>
    <row r="113" spans="3:41" ht="15.6" customHeight="1" x14ac:dyDescent="0.25">
      <c r="C113" s="211" t="s">
        <v>317</v>
      </c>
      <c r="D113" s="212" t="s">
        <v>318</v>
      </c>
      <c r="E113" s="130">
        <v>1600</v>
      </c>
      <c r="F113" s="133">
        <v>1600</v>
      </c>
      <c r="G113" s="132">
        <v>1600</v>
      </c>
      <c r="H113" s="132">
        <v>19719</v>
      </c>
      <c r="I113" s="132">
        <v>18123</v>
      </c>
      <c r="J113" s="132">
        <v>17210</v>
      </c>
      <c r="K113" s="133"/>
      <c r="L113" s="133">
        <f>L56</f>
        <v>2270</v>
      </c>
      <c r="M113" s="133"/>
      <c r="N113" s="133"/>
      <c r="O113" s="133"/>
      <c r="P113" s="133">
        <f>[4]Baze_2020!D57</f>
        <v>3723</v>
      </c>
      <c r="Q113" s="133">
        <f t="shared" si="120"/>
        <v>5993</v>
      </c>
      <c r="R113" s="133">
        <f t="shared" si="121"/>
        <v>5993</v>
      </c>
      <c r="S113" s="133">
        <f t="shared" si="113"/>
        <v>0</v>
      </c>
      <c r="T113" s="135"/>
      <c r="U113" s="133">
        <f t="shared" si="122"/>
        <v>5993</v>
      </c>
      <c r="V113" s="133">
        <f t="shared" si="114"/>
        <v>0</v>
      </c>
      <c r="W113" s="135"/>
      <c r="X113" s="133">
        <f t="shared" si="123"/>
        <v>5993</v>
      </c>
      <c r="Y113" s="133">
        <f t="shared" si="115"/>
        <v>0</v>
      </c>
      <c r="Z113" s="135"/>
      <c r="AA113" s="133">
        <f t="shared" si="124"/>
        <v>5993</v>
      </c>
      <c r="AB113" s="133">
        <f t="shared" si="116"/>
        <v>0</v>
      </c>
      <c r="AC113" s="135"/>
      <c r="AD113" s="133">
        <f t="shared" si="125"/>
        <v>5993</v>
      </c>
      <c r="AE113" s="133">
        <f t="shared" si="117"/>
        <v>0</v>
      </c>
      <c r="AF113" s="135"/>
      <c r="AG113" s="135"/>
      <c r="AH113" s="133">
        <v>1477</v>
      </c>
      <c r="AI113" s="135">
        <f t="shared" si="118"/>
        <v>0.24645419656265644</v>
      </c>
      <c r="AJ113" s="135"/>
      <c r="AK113" s="387" t="e">
        <f t="shared" si="119"/>
        <v>#REF!</v>
      </c>
    </row>
    <row r="114" spans="3:41" ht="18.75" hidden="1" customHeight="1" outlineLevel="1" x14ac:dyDescent="0.25">
      <c r="C114" s="211" t="s">
        <v>319</v>
      </c>
      <c r="D114" s="212" t="s">
        <v>320</v>
      </c>
      <c r="E114" s="130">
        <v>7870</v>
      </c>
      <c r="F114" s="133">
        <v>9454</v>
      </c>
      <c r="G114" s="132">
        <v>7950</v>
      </c>
      <c r="H114" s="132">
        <v>0</v>
      </c>
      <c r="I114" s="132">
        <v>0</v>
      </c>
      <c r="J114" s="132">
        <v>0</v>
      </c>
      <c r="K114" s="133"/>
      <c r="L114" s="133"/>
      <c r="M114" s="133"/>
      <c r="N114" s="133"/>
      <c r="O114" s="133"/>
      <c r="P114" s="133">
        <v>0</v>
      </c>
      <c r="Q114" s="133">
        <f t="shared" si="120"/>
        <v>0</v>
      </c>
      <c r="R114" s="133">
        <f t="shared" si="121"/>
        <v>0</v>
      </c>
      <c r="S114" s="133">
        <f t="shared" si="113"/>
        <v>0</v>
      </c>
      <c r="T114" s="135"/>
      <c r="U114" s="133">
        <f t="shared" si="122"/>
        <v>0</v>
      </c>
      <c r="V114" s="133">
        <f t="shared" si="114"/>
        <v>0</v>
      </c>
      <c r="W114" s="135"/>
      <c r="X114" s="133">
        <f t="shared" si="123"/>
        <v>0</v>
      </c>
      <c r="Y114" s="133">
        <f t="shared" si="115"/>
        <v>0</v>
      </c>
      <c r="Z114" s="135"/>
      <c r="AA114" s="133">
        <f t="shared" si="124"/>
        <v>0</v>
      </c>
      <c r="AB114" s="133">
        <f t="shared" si="116"/>
        <v>0</v>
      </c>
      <c r="AC114" s="135"/>
      <c r="AD114" s="133">
        <f t="shared" si="125"/>
        <v>0</v>
      </c>
      <c r="AE114" s="133">
        <f t="shared" si="117"/>
        <v>0</v>
      </c>
      <c r="AF114" s="135"/>
      <c r="AG114" s="135"/>
      <c r="AH114" s="213"/>
      <c r="AI114" s="135" t="e">
        <f t="shared" si="118"/>
        <v>#DIV/0!</v>
      </c>
      <c r="AJ114" s="135"/>
      <c r="AK114" s="387" t="e">
        <f t="shared" si="119"/>
        <v>#REF!</v>
      </c>
    </row>
    <row r="115" spans="3:41" ht="14.45" customHeight="1" collapsed="1" x14ac:dyDescent="0.25">
      <c r="C115" s="211" t="s">
        <v>319</v>
      </c>
      <c r="D115" s="212" t="s">
        <v>321</v>
      </c>
      <c r="E115" s="130"/>
      <c r="F115" s="133">
        <f>9454-650</f>
        <v>8804</v>
      </c>
      <c r="G115" s="132">
        <v>4726.5</v>
      </c>
      <c r="H115" s="132">
        <v>12676</v>
      </c>
      <c r="I115" s="132">
        <v>34885</v>
      </c>
      <c r="J115" s="132">
        <v>64488</v>
      </c>
      <c r="K115" s="133"/>
      <c r="L115" s="133"/>
      <c r="M115" s="133"/>
      <c r="N115" s="133"/>
      <c r="O115" s="133"/>
      <c r="P115" s="133">
        <f>[4]Baze_2020!D59</f>
        <v>72512</v>
      </c>
      <c r="Q115" s="133">
        <f t="shared" si="120"/>
        <v>72512</v>
      </c>
      <c r="R115" s="133">
        <f t="shared" si="121"/>
        <v>72512</v>
      </c>
      <c r="S115" s="133">
        <f t="shared" si="113"/>
        <v>0</v>
      </c>
      <c r="T115" s="135"/>
      <c r="U115" s="133">
        <f t="shared" si="122"/>
        <v>72512</v>
      </c>
      <c r="V115" s="133">
        <f t="shared" si="114"/>
        <v>0</v>
      </c>
      <c r="W115" s="135"/>
      <c r="X115" s="133">
        <f t="shared" si="123"/>
        <v>72512</v>
      </c>
      <c r="Y115" s="133">
        <f t="shared" si="115"/>
        <v>0</v>
      </c>
      <c r="Z115" s="135"/>
      <c r="AA115" s="133">
        <f t="shared" si="124"/>
        <v>72512</v>
      </c>
      <c r="AB115" s="133">
        <f t="shared" si="116"/>
        <v>0</v>
      </c>
      <c r="AC115" s="135"/>
      <c r="AD115" s="133">
        <f t="shared" si="125"/>
        <v>72512</v>
      </c>
      <c r="AE115" s="133">
        <f t="shared" si="117"/>
        <v>0</v>
      </c>
      <c r="AF115" s="135"/>
      <c r="AG115" s="135"/>
      <c r="AH115" s="133">
        <v>23484</v>
      </c>
      <c r="AI115" s="135">
        <f t="shared" si="118"/>
        <v>0.32386363636363635</v>
      </c>
      <c r="AJ115" s="135"/>
      <c r="AK115" s="387" t="e">
        <f t="shared" si="119"/>
        <v>#REF!</v>
      </c>
    </row>
    <row r="116" spans="3:41" ht="58.15" customHeight="1" x14ac:dyDescent="0.25">
      <c r="C116" s="211" t="s">
        <v>322</v>
      </c>
      <c r="D116" s="212" t="s">
        <v>323</v>
      </c>
      <c r="E116" s="130">
        <v>183980.17085844703</v>
      </c>
      <c r="F116" s="133">
        <v>150913</v>
      </c>
      <c r="G116" s="132">
        <v>33019</v>
      </c>
      <c r="H116" s="132">
        <v>37762</v>
      </c>
      <c r="I116" s="132">
        <v>57014</v>
      </c>
      <c r="J116" s="132">
        <v>34439</v>
      </c>
      <c r="K116" s="133"/>
      <c r="L116" s="133"/>
      <c r="M116" s="133"/>
      <c r="N116" s="133"/>
      <c r="O116" s="133"/>
      <c r="P116" s="133">
        <f>[4]Baze_2020!D60</f>
        <v>101882.81501173525</v>
      </c>
      <c r="Q116" s="133">
        <f t="shared" si="120"/>
        <v>101882.81501173525</v>
      </c>
      <c r="R116" s="133">
        <f t="shared" si="121"/>
        <v>101883</v>
      </c>
      <c r="S116" s="133">
        <f t="shared" si="113"/>
        <v>0.18498826475115493</v>
      </c>
      <c r="T116" s="134"/>
      <c r="U116" s="133">
        <f t="shared" si="122"/>
        <v>101883</v>
      </c>
      <c r="V116" s="133">
        <f t="shared" si="114"/>
        <v>0</v>
      </c>
      <c r="W116" s="134"/>
      <c r="X116" s="133">
        <f t="shared" si="123"/>
        <v>101883</v>
      </c>
      <c r="Y116" s="133">
        <f t="shared" si="115"/>
        <v>0</v>
      </c>
      <c r="Z116" s="134"/>
      <c r="AA116" s="133">
        <f t="shared" si="124"/>
        <v>101883</v>
      </c>
      <c r="AB116" s="133">
        <f t="shared" si="116"/>
        <v>0</v>
      </c>
      <c r="AC116" s="134"/>
      <c r="AD116" s="133">
        <f>ROUND(AA116,0)+825</f>
        <v>102708</v>
      </c>
      <c r="AE116" s="133">
        <f t="shared" si="117"/>
        <v>825</v>
      </c>
      <c r="AF116" s="134" t="s">
        <v>324</v>
      </c>
      <c r="AG116" s="134"/>
      <c r="AH116" s="133">
        <v>56.26</v>
      </c>
      <c r="AI116" s="135">
        <f t="shared" si="118"/>
        <v>5.5220203566836465E-4</v>
      </c>
      <c r="AJ116" s="134" t="s">
        <v>325</v>
      </c>
      <c r="AK116" s="387" t="e">
        <f t="shared" si="119"/>
        <v>#REF!</v>
      </c>
    </row>
    <row r="117" spans="3:41" x14ac:dyDescent="0.25">
      <c r="C117" s="211" t="s">
        <v>326</v>
      </c>
      <c r="D117" s="212" t="s">
        <v>327</v>
      </c>
      <c r="E117" s="130">
        <v>781228</v>
      </c>
      <c r="F117" s="133">
        <f>815831.518465663+8230</f>
        <v>824061.51846566296</v>
      </c>
      <c r="G117" s="132">
        <f>1597677+6092</f>
        <v>1603769</v>
      </c>
      <c r="H117" s="132">
        <v>1641434</v>
      </c>
      <c r="I117" s="132">
        <v>1622086</v>
      </c>
      <c r="J117" s="132">
        <v>935954</v>
      </c>
      <c r="K117" s="133"/>
      <c r="L117" s="133"/>
      <c r="M117" s="133"/>
      <c r="N117" s="133"/>
      <c r="O117" s="133"/>
      <c r="P117" s="133">
        <f>[4]Baze_2020!D61</f>
        <v>965221</v>
      </c>
      <c r="Q117" s="133">
        <f t="shared" si="120"/>
        <v>965221</v>
      </c>
      <c r="R117" s="133">
        <f t="shared" si="121"/>
        <v>965221</v>
      </c>
      <c r="S117" s="133">
        <f t="shared" si="113"/>
        <v>0</v>
      </c>
      <c r="T117" s="135"/>
      <c r="U117" s="133">
        <f t="shared" si="122"/>
        <v>965221</v>
      </c>
      <c r="V117" s="133">
        <f t="shared" si="114"/>
        <v>0</v>
      </c>
      <c r="W117" s="135"/>
      <c r="X117" s="133">
        <f t="shared" si="123"/>
        <v>965221</v>
      </c>
      <c r="Y117" s="133">
        <f t="shared" si="115"/>
        <v>0</v>
      </c>
      <c r="Z117" s="135"/>
      <c r="AA117" s="133">
        <f t="shared" si="124"/>
        <v>965221</v>
      </c>
      <c r="AB117" s="133">
        <f t="shared" si="116"/>
        <v>0</v>
      </c>
      <c r="AC117" s="135"/>
      <c r="AD117" s="133">
        <f t="shared" si="125"/>
        <v>965221</v>
      </c>
      <c r="AE117" s="133">
        <f t="shared" si="117"/>
        <v>0</v>
      </c>
      <c r="AF117" s="135"/>
      <c r="AG117" s="135"/>
      <c r="AH117" s="133">
        <v>426623</v>
      </c>
      <c r="AI117" s="135">
        <f t="shared" si="118"/>
        <v>0.44199514929741479</v>
      </c>
      <c r="AJ117" s="135"/>
      <c r="AK117" s="387" t="e">
        <f t="shared" si="119"/>
        <v>#REF!</v>
      </c>
    </row>
    <row r="118" spans="3:41" s="220" customFormat="1" ht="18.75" hidden="1" customHeight="1" outlineLevel="1" x14ac:dyDescent="0.25">
      <c r="C118" s="54" t="s">
        <v>50</v>
      </c>
      <c r="D118" s="54" t="s">
        <v>327</v>
      </c>
      <c r="E118" s="214" t="e">
        <f>#REF!/#REF!</f>
        <v>#REF!</v>
      </c>
      <c r="F118" s="215" t="e">
        <f>#REF!/#REF!</f>
        <v>#REF!</v>
      </c>
      <c r="G118" s="216" t="e">
        <f>#REF!/#REF!</f>
        <v>#REF!</v>
      </c>
      <c r="H118" s="216" t="e">
        <v>#REF!</v>
      </c>
      <c r="I118" s="216" t="e">
        <f>#REF!/#REF!</f>
        <v>#REF!</v>
      </c>
      <c r="J118" s="216" t="e">
        <v>#REF!</v>
      </c>
      <c r="K118" s="217" t="e">
        <f>#REF!/#REF!</f>
        <v>#REF!</v>
      </c>
      <c r="L118" s="217"/>
      <c r="M118" s="217"/>
      <c r="N118" s="217"/>
      <c r="O118" s="217" t="e">
        <f>#REF!/#REF!</f>
        <v>#REF!</v>
      </c>
      <c r="P118" s="217" t="e">
        <f>#REF!/#REF!</f>
        <v>#REF!</v>
      </c>
      <c r="Q118" s="217" t="e">
        <f>#REF!/#REF!</f>
        <v>#REF!</v>
      </c>
      <c r="R118" s="217" t="e">
        <f>#REF!/#REF!</f>
        <v>#REF!</v>
      </c>
      <c r="S118" s="217" t="e">
        <f t="shared" si="113"/>
        <v>#REF!</v>
      </c>
      <c r="T118" s="218"/>
      <c r="U118" s="217" t="e">
        <f>#REF!/#REF!</f>
        <v>#REF!</v>
      </c>
      <c r="V118" s="217" t="e">
        <f t="shared" si="114"/>
        <v>#REF!</v>
      </c>
      <c r="W118" s="218"/>
      <c r="X118" s="217" t="e">
        <f>#REF!/#REF!</f>
        <v>#REF!</v>
      </c>
      <c r="Y118" s="217" t="e">
        <f t="shared" si="115"/>
        <v>#REF!</v>
      </c>
      <c r="Z118" s="218"/>
      <c r="AA118" s="217" t="e">
        <f>#REF!/#REF!</f>
        <v>#REF!</v>
      </c>
      <c r="AB118" s="217" t="e">
        <f t="shared" si="116"/>
        <v>#REF!</v>
      </c>
      <c r="AC118" s="218"/>
      <c r="AD118" s="217" t="e">
        <f>#REF!/#REF!</f>
        <v>#REF!</v>
      </c>
      <c r="AE118" s="217" t="e">
        <f t="shared" si="117"/>
        <v>#REF!</v>
      </c>
      <c r="AF118" s="218"/>
      <c r="AG118" s="218"/>
      <c r="AH118" s="219">
        <v>280557</v>
      </c>
      <c r="AI118" s="218" t="e">
        <f t="shared" si="118"/>
        <v>#REF!</v>
      </c>
      <c r="AJ118" s="218"/>
      <c r="AK118" s="387" t="e">
        <f t="shared" si="119"/>
        <v>#REF!</v>
      </c>
      <c r="AL118" s="378"/>
      <c r="AM118" s="378"/>
      <c r="AN118" s="378"/>
      <c r="AO118" s="378"/>
    </row>
    <row r="119" spans="3:41" collapsed="1" x14ac:dyDescent="0.25">
      <c r="C119" s="221" t="s">
        <v>47</v>
      </c>
      <c r="D119" s="222" t="s">
        <v>328</v>
      </c>
      <c r="E119" s="69">
        <f t="shared" ref="E119:R119" si="126">E120</f>
        <v>261097.9772511255</v>
      </c>
      <c r="F119" s="72">
        <f t="shared" si="126"/>
        <v>250000</v>
      </c>
      <c r="G119" s="71">
        <f>G120</f>
        <v>90000</v>
      </c>
      <c r="H119" s="71">
        <v>50000</v>
      </c>
      <c r="I119" s="71">
        <f>I120</f>
        <v>50000</v>
      </c>
      <c r="J119" s="71">
        <v>40000</v>
      </c>
      <c r="K119" s="72">
        <f t="shared" si="126"/>
        <v>0</v>
      </c>
      <c r="L119" s="72">
        <f t="shared" si="126"/>
        <v>0</v>
      </c>
      <c r="M119" s="72">
        <f t="shared" si="126"/>
        <v>0</v>
      </c>
      <c r="N119" s="72">
        <f t="shared" si="126"/>
        <v>0</v>
      </c>
      <c r="O119" s="72">
        <f t="shared" si="126"/>
        <v>0</v>
      </c>
      <c r="P119" s="72">
        <f t="shared" si="126"/>
        <v>40000</v>
      </c>
      <c r="Q119" s="72">
        <f t="shared" si="126"/>
        <v>40000</v>
      </c>
      <c r="R119" s="72">
        <f t="shared" si="126"/>
        <v>40000</v>
      </c>
      <c r="S119" s="72">
        <f t="shared" si="113"/>
        <v>0</v>
      </c>
      <c r="T119" s="73"/>
      <c r="U119" s="72">
        <f t="shared" ref="U119" si="127">U120</f>
        <v>40000</v>
      </c>
      <c r="V119" s="72">
        <f t="shared" si="114"/>
        <v>0</v>
      </c>
      <c r="W119" s="73"/>
      <c r="X119" s="72">
        <f t="shared" ref="X119" si="128">X120</f>
        <v>40000</v>
      </c>
      <c r="Y119" s="72">
        <f t="shared" si="115"/>
        <v>0</v>
      </c>
      <c r="Z119" s="73"/>
      <c r="AA119" s="72">
        <f t="shared" ref="AA119" si="129">AA120</f>
        <v>40000</v>
      </c>
      <c r="AB119" s="72">
        <f t="shared" si="116"/>
        <v>0</v>
      </c>
      <c r="AC119" s="73"/>
      <c r="AD119" s="72">
        <f t="shared" ref="AD119" si="130">AD120</f>
        <v>40000</v>
      </c>
      <c r="AE119" s="72">
        <f t="shared" si="117"/>
        <v>0</v>
      </c>
      <c r="AF119" s="73"/>
      <c r="AG119" s="73"/>
      <c r="AH119" s="72">
        <f>AH120</f>
        <v>0</v>
      </c>
      <c r="AI119" s="73">
        <f t="shared" si="118"/>
        <v>0</v>
      </c>
      <c r="AJ119" s="73"/>
      <c r="AK119" s="387" t="e">
        <f t="shared" si="119"/>
        <v>#REF!</v>
      </c>
    </row>
    <row r="120" spans="3:41" ht="15.75" thickBot="1" x14ac:dyDescent="0.3">
      <c r="C120" s="211" t="s">
        <v>50</v>
      </c>
      <c r="D120" s="212" t="s">
        <v>329</v>
      </c>
      <c r="E120" s="130">
        <v>261097.9772511255</v>
      </c>
      <c r="F120" s="133">
        <v>250000</v>
      </c>
      <c r="G120" s="132">
        <v>90000</v>
      </c>
      <c r="H120" s="132">
        <v>50000</v>
      </c>
      <c r="I120" s="132">
        <v>50000</v>
      </c>
      <c r="J120" s="132">
        <v>40000</v>
      </c>
      <c r="K120" s="133"/>
      <c r="L120" s="133"/>
      <c r="M120" s="133"/>
      <c r="N120" s="133"/>
      <c r="O120" s="133"/>
      <c r="P120" s="133">
        <f>[4]Baze_2020!D62</f>
        <v>40000</v>
      </c>
      <c r="Q120" s="133">
        <f>K120+L120+M120+N120+O120+P120</f>
        <v>40000</v>
      </c>
      <c r="R120" s="133">
        <f>ROUND(Q120,0)</f>
        <v>40000</v>
      </c>
      <c r="S120" s="133">
        <f t="shared" si="113"/>
        <v>0</v>
      </c>
      <c r="T120" s="135"/>
      <c r="U120" s="133">
        <f t="shared" ref="U120:U121" si="131">ROUND(R120,0)</f>
        <v>40000</v>
      </c>
      <c r="V120" s="133">
        <f t="shared" si="114"/>
        <v>0</v>
      </c>
      <c r="W120" s="135"/>
      <c r="X120" s="133">
        <f t="shared" ref="X120:X121" si="132">ROUND(U120,0)</f>
        <v>40000</v>
      </c>
      <c r="Y120" s="133">
        <f t="shared" si="115"/>
        <v>0</v>
      </c>
      <c r="Z120" s="135"/>
      <c r="AA120" s="133">
        <f t="shared" ref="AA120:AA121" si="133">ROUND(X120,0)</f>
        <v>40000</v>
      </c>
      <c r="AB120" s="133">
        <f t="shared" si="116"/>
        <v>0</v>
      </c>
      <c r="AC120" s="135"/>
      <c r="AD120" s="133">
        <f t="shared" ref="AD120" si="134">ROUND(AA120,0)</f>
        <v>40000</v>
      </c>
      <c r="AE120" s="133">
        <f t="shared" si="117"/>
        <v>0</v>
      </c>
      <c r="AF120" s="135"/>
      <c r="AG120" s="135"/>
      <c r="AH120" s="133"/>
      <c r="AI120" s="135">
        <f t="shared" si="118"/>
        <v>0</v>
      </c>
      <c r="AJ120" s="135"/>
      <c r="AK120" s="387" t="e">
        <f t="shared" si="119"/>
        <v>#REF!</v>
      </c>
    </row>
    <row r="121" spans="3:41" ht="44.45" customHeight="1" collapsed="1" thickBot="1" x14ac:dyDescent="0.3">
      <c r="C121" s="221" t="s">
        <v>55</v>
      </c>
      <c r="D121" s="222" t="s">
        <v>330</v>
      </c>
      <c r="E121" s="69">
        <f>337996.084256777+4552+31680</f>
        <v>374228.08425677702</v>
      </c>
      <c r="F121" s="72">
        <f>362720+2090+128+6863+7000</f>
        <v>378801</v>
      </c>
      <c r="G121" s="71">
        <v>352085</v>
      </c>
      <c r="H121" s="71">
        <v>367084</v>
      </c>
      <c r="I121" s="71">
        <v>401747</v>
      </c>
      <c r="J121" s="71">
        <v>423039</v>
      </c>
      <c r="K121" s="72"/>
      <c r="L121" s="72">
        <f>SUM(L122:L123)</f>
        <v>0</v>
      </c>
      <c r="M121" s="72">
        <f>SUM(M122:M123)</f>
        <v>0</v>
      </c>
      <c r="N121" s="72"/>
      <c r="O121" s="72" t="e">
        <f>GETPIVOTDATA("Summa",[4]Pivot_investicijas!$A$3,"Nodaļa","0340")</f>
        <v>#REF!</v>
      </c>
      <c r="P121" s="72">
        <f>[4]Baze_2020!D63</f>
        <v>455588</v>
      </c>
      <c r="Q121" s="72" t="e">
        <f>K121+L121+M121+N121+O121+P121</f>
        <v>#REF!</v>
      </c>
      <c r="R121" s="72" t="e">
        <f>ROUND(Q121,0)+1150</f>
        <v>#REF!</v>
      </c>
      <c r="S121" s="72" t="e">
        <f t="shared" si="113"/>
        <v>#REF!</v>
      </c>
      <c r="T121" s="90" t="s">
        <v>331</v>
      </c>
      <c r="U121" s="72" t="e">
        <f t="shared" si="131"/>
        <v>#REF!</v>
      </c>
      <c r="V121" s="72" t="e">
        <f t="shared" si="114"/>
        <v>#REF!</v>
      </c>
      <c r="W121" s="90"/>
      <c r="X121" s="72" t="e">
        <f t="shared" si="132"/>
        <v>#REF!</v>
      </c>
      <c r="Y121" s="72" t="e">
        <f t="shared" si="115"/>
        <v>#REF!</v>
      </c>
      <c r="Z121" s="90"/>
      <c r="AA121" s="72" t="e">
        <f t="shared" si="133"/>
        <v>#REF!</v>
      </c>
      <c r="AB121" s="72" t="e">
        <f t="shared" si="116"/>
        <v>#REF!</v>
      </c>
      <c r="AC121" s="90"/>
      <c r="AD121" s="72" t="e">
        <f>ROUND(AA121,0)+2631</f>
        <v>#REF!</v>
      </c>
      <c r="AE121" s="72" t="e">
        <f t="shared" si="117"/>
        <v>#REF!</v>
      </c>
      <c r="AF121" s="90" t="s">
        <v>332</v>
      </c>
      <c r="AG121" s="90"/>
      <c r="AH121" s="72">
        <v>172534</v>
      </c>
      <c r="AI121" s="73" t="e">
        <f t="shared" si="118"/>
        <v>#REF!</v>
      </c>
      <c r="AJ121" s="210"/>
      <c r="AK121" s="387" t="e">
        <f t="shared" si="119"/>
        <v>#REF!</v>
      </c>
    </row>
    <row r="122" spans="3:41" s="220" customFormat="1" ht="15" hidden="1" customHeight="1" outlineLevel="1" x14ac:dyDescent="0.25">
      <c r="C122" s="211" t="s">
        <v>66</v>
      </c>
      <c r="D122" s="212" t="s">
        <v>333</v>
      </c>
      <c r="E122" s="214"/>
      <c r="F122" s="215"/>
      <c r="G122" s="216">
        <f>F122</f>
        <v>0</v>
      </c>
      <c r="H122" s="216">
        <v>0</v>
      </c>
      <c r="I122" s="216" t="e">
        <f>C122+D122+E122+F122+H122</f>
        <v>#VALUE!</v>
      </c>
      <c r="J122" s="216">
        <v>0</v>
      </c>
      <c r="K122" s="217"/>
      <c r="L122" s="217"/>
      <c r="M122" s="217"/>
      <c r="N122" s="217"/>
      <c r="O122" s="217"/>
      <c r="P122" s="217"/>
      <c r="Q122" s="217">
        <f>K122+L122+M122+N122+P122</f>
        <v>0</v>
      </c>
      <c r="R122" s="217">
        <f>L122+M122+N122+O122+Q122</f>
        <v>0</v>
      </c>
      <c r="S122" s="217">
        <f t="shared" si="113"/>
        <v>0</v>
      </c>
      <c r="T122" s="218"/>
      <c r="U122" s="217">
        <f>O122+P122+Q122+R122+T122</f>
        <v>0</v>
      </c>
      <c r="V122" s="217">
        <f t="shared" si="114"/>
        <v>0</v>
      </c>
      <c r="W122" s="218"/>
      <c r="X122" s="217">
        <f>R122+S122+T122+U122+W122</f>
        <v>0</v>
      </c>
      <c r="Y122" s="217">
        <f t="shared" si="115"/>
        <v>0</v>
      </c>
      <c r="Z122" s="218"/>
      <c r="AA122" s="217">
        <f>U122+V122+W122+X122+Z122</f>
        <v>0</v>
      </c>
      <c r="AB122" s="217">
        <f t="shared" si="116"/>
        <v>0</v>
      </c>
      <c r="AC122" s="218"/>
      <c r="AD122" s="217">
        <f>X122+Y122+Z122+AA122+AC122</f>
        <v>0</v>
      </c>
      <c r="AE122" s="217">
        <f t="shared" si="117"/>
        <v>0</v>
      </c>
      <c r="AF122" s="218"/>
      <c r="AG122" s="218"/>
      <c r="AH122" s="219"/>
      <c r="AI122" s="218" t="e">
        <f t="shared" si="118"/>
        <v>#DIV/0!</v>
      </c>
      <c r="AJ122" s="218"/>
      <c r="AK122" s="387" t="e">
        <f t="shared" si="119"/>
        <v>#REF!</v>
      </c>
      <c r="AL122" s="378"/>
      <c r="AM122" s="378"/>
      <c r="AN122" s="378"/>
      <c r="AO122" s="378"/>
    </row>
    <row r="123" spans="3:41" s="220" customFormat="1" ht="15" hidden="1" customHeight="1" outlineLevel="1" x14ac:dyDescent="0.25">
      <c r="C123" s="211" t="s">
        <v>68</v>
      </c>
      <c r="D123" s="212" t="s">
        <v>334</v>
      </c>
      <c r="E123" s="214">
        <f>210235+450+3372+13000+5000+870</f>
        <v>232927</v>
      </c>
      <c r="F123" s="215">
        <f>210235+450+3372+13000+5000+870</f>
        <v>232927</v>
      </c>
      <c r="G123" s="216">
        <f>F123</f>
        <v>232927</v>
      </c>
      <c r="H123" s="216">
        <v>465854</v>
      </c>
      <c r="I123" s="216" t="e">
        <f>C123+D123+E123+F123+H123</f>
        <v>#VALUE!</v>
      </c>
      <c r="J123" s="216">
        <v>548543085</v>
      </c>
      <c r="K123" s="217">
        <f>210235+450+3372+13000+5000+870</f>
        <v>232927</v>
      </c>
      <c r="L123" s="217"/>
      <c r="M123" s="217"/>
      <c r="N123" s="217"/>
      <c r="O123" s="217">
        <f>210235+450+3372+13000+5000+870</f>
        <v>232927</v>
      </c>
      <c r="P123" s="217">
        <f>210235+450+3372+13000+5000+870</f>
        <v>232927</v>
      </c>
      <c r="Q123" s="217">
        <f>K123+L123+M123+N123+P123</f>
        <v>465854</v>
      </c>
      <c r="R123" s="217">
        <f>L123+M123+N123+O123+Q123</f>
        <v>698781</v>
      </c>
      <c r="S123" s="217">
        <f t="shared" si="113"/>
        <v>232927</v>
      </c>
      <c r="T123" s="218"/>
      <c r="U123" s="217">
        <f>O123+P123+Q123+R123+T123</f>
        <v>1630489</v>
      </c>
      <c r="V123" s="217">
        <f t="shared" si="114"/>
        <v>931708</v>
      </c>
      <c r="W123" s="218"/>
      <c r="X123" s="217">
        <f>R123+S123+T123+U123+W123</f>
        <v>2562197</v>
      </c>
      <c r="Y123" s="217">
        <f t="shared" si="115"/>
        <v>931708</v>
      </c>
      <c r="Z123" s="218"/>
      <c r="AA123" s="217">
        <f>U123+V123+W123+X123+Z123</f>
        <v>5124394</v>
      </c>
      <c r="AB123" s="217">
        <f t="shared" si="116"/>
        <v>2562197</v>
      </c>
      <c r="AC123" s="218"/>
      <c r="AD123" s="217">
        <f>X123+Y123+Z123+AA123+AC123</f>
        <v>8618299</v>
      </c>
      <c r="AE123" s="217">
        <f t="shared" si="117"/>
        <v>3493905</v>
      </c>
      <c r="AF123" s="218"/>
      <c r="AG123" s="218"/>
      <c r="AH123" s="219">
        <v>104226</v>
      </c>
      <c r="AI123" s="218">
        <f t="shared" si="118"/>
        <v>6.3923154342040947E-2</v>
      </c>
      <c r="AJ123" s="218"/>
      <c r="AK123" s="387" t="e">
        <f t="shared" si="119"/>
        <v>#REF!</v>
      </c>
      <c r="AL123" s="378"/>
      <c r="AM123" s="378"/>
      <c r="AN123" s="378"/>
      <c r="AO123" s="378"/>
    </row>
    <row r="124" spans="3:41" s="195" customFormat="1" ht="16.899999999999999" customHeight="1" collapsed="1" thickBot="1" x14ac:dyDescent="0.3">
      <c r="C124" s="221" t="s">
        <v>63</v>
      </c>
      <c r="D124" s="222" t="s">
        <v>335</v>
      </c>
      <c r="E124" s="69">
        <f>48875.6466952379+1020</f>
        <v>49895.646695237898</v>
      </c>
      <c r="F124" s="72">
        <v>74585</v>
      </c>
      <c r="G124" s="71">
        <v>77000</v>
      </c>
      <c r="H124" s="71">
        <v>77629</v>
      </c>
      <c r="I124" s="71">
        <v>80540</v>
      </c>
      <c r="J124" s="71">
        <v>81449</v>
      </c>
      <c r="K124" s="72"/>
      <c r="L124" s="72"/>
      <c r="M124" s="72"/>
      <c r="N124" s="72"/>
      <c r="O124" s="72" t="e">
        <f>GETPIVOTDATA("Summa",[4]Pivot_investicijas!$A$3,"Nodaļa","0490")</f>
        <v>#REF!</v>
      </c>
      <c r="P124" s="72">
        <f>[4]Baze_2020!D68</f>
        <v>83519</v>
      </c>
      <c r="Q124" s="72" t="e">
        <f>K124+L124+M124+N124+O124+P124</f>
        <v>#REF!</v>
      </c>
      <c r="R124" s="72" t="e">
        <f>ROUND(Q124,0)</f>
        <v>#REF!</v>
      </c>
      <c r="S124" s="72" t="e">
        <f t="shared" si="113"/>
        <v>#REF!</v>
      </c>
      <c r="T124" s="90"/>
      <c r="U124" s="72" t="e">
        <f t="shared" ref="U124" si="135">ROUND(R124,0)</f>
        <v>#REF!</v>
      </c>
      <c r="V124" s="72" t="e">
        <f t="shared" si="114"/>
        <v>#REF!</v>
      </c>
      <c r="W124" s="90"/>
      <c r="X124" s="72" t="e">
        <f t="shared" ref="X124" si="136">ROUND(U124,0)</f>
        <v>#REF!</v>
      </c>
      <c r="Y124" s="72" t="e">
        <f t="shared" si="115"/>
        <v>#REF!</v>
      </c>
      <c r="Z124" s="90"/>
      <c r="AA124" s="72" t="e">
        <f t="shared" ref="AA124" si="137">ROUND(X124,0)</f>
        <v>#REF!</v>
      </c>
      <c r="AB124" s="72" t="e">
        <f t="shared" si="116"/>
        <v>#REF!</v>
      </c>
      <c r="AC124" s="90"/>
      <c r="AD124" s="72" t="e">
        <f t="shared" ref="AD124" si="138">ROUND(AA124,0)</f>
        <v>#REF!</v>
      </c>
      <c r="AE124" s="72" t="e">
        <f t="shared" si="117"/>
        <v>#REF!</v>
      </c>
      <c r="AF124" s="90"/>
      <c r="AG124" s="90"/>
      <c r="AH124" s="72">
        <v>27194</v>
      </c>
      <c r="AI124" s="73" t="e">
        <f t="shared" si="118"/>
        <v>#REF!</v>
      </c>
      <c r="AJ124" s="223"/>
      <c r="AK124" s="387" t="e">
        <f t="shared" si="119"/>
        <v>#REF!</v>
      </c>
      <c r="AL124" s="378"/>
      <c r="AM124" s="378"/>
      <c r="AN124" s="378"/>
      <c r="AO124" s="378"/>
    </row>
    <row r="125" spans="3:41" ht="29.25" x14ac:dyDescent="0.25">
      <c r="C125" s="221" t="s">
        <v>70</v>
      </c>
      <c r="D125" s="222" t="s">
        <v>336</v>
      </c>
      <c r="E125" s="69">
        <f>E126+E127+E141+E142+E143</f>
        <v>4996686.0404494079</v>
      </c>
      <c r="F125" s="70">
        <f>F126+F127+F141+F142+F143</f>
        <v>6115502.5099999998</v>
      </c>
      <c r="G125" s="71">
        <f>G126+G127+G141</f>
        <v>3448754.2</v>
      </c>
      <c r="H125" s="71">
        <f>6308871.5926-27000</f>
        <v>6281871.5926000001</v>
      </c>
      <c r="I125" s="71">
        <f>I126+I127+I141</f>
        <v>5816067.7230552193</v>
      </c>
      <c r="J125" s="71">
        <v>6182788</v>
      </c>
      <c r="K125" s="72">
        <f t="shared" ref="K125:R125" si="139">K126+K127+K141</f>
        <v>257252.46000000002</v>
      </c>
      <c r="L125" s="72">
        <f t="shared" si="139"/>
        <v>1557343</v>
      </c>
      <c r="M125" s="72">
        <f t="shared" si="139"/>
        <v>1526904.8</v>
      </c>
      <c r="N125" s="72">
        <f t="shared" si="139"/>
        <v>2424422.8660000004</v>
      </c>
      <c r="O125" s="72" t="e">
        <f t="shared" si="139"/>
        <v>#REF!</v>
      </c>
      <c r="P125" s="72">
        <f t="shared" si="139"/>
        <v>2581789</v>
      </c>
      <c r="Q125" s="72" t="e">
        <f t="shared" si="139"/>
        <v>#REF!</v>
      </c>
      <c r="R125" s="72" t="e">
        <f t="shared" si="139"/>
        <v>#REF!</v>
      </c>
      <c r="S125" s="72" t="e">
        <f t="shared" si="113"/>
        <v>#REF!</v>
      </c>
      <c r="T125" s="73"/>
      <c r="U125" s="72" t="e">
        <f t="shared" ref="U125" si="140">U126+U127+U141</f>
        <v>#REF!</v>
      </c>
      <c r="V125" s="72" t="e">
        <f t="shared" si="114"/>
        <v>#REF!</v>
      </c>
      <c r="W125" s="73"/>
      <c r="X125" s="72" t="e">
        <f t="shared" ref="X125" si="141">X126+X127+X141</f>
        <v>#REF!</v>
      </c>
      <c r="Y125" s="72" t="e">
        <f t="shared" si="115"/>
        <v>#REF!</v>
      </c>
      <c r="Z125" s="73"/>
      <c r="AA125" s="72" t="e">
        <f t="shared" ref="AA125" si="142">AA126+AA127+AA141</f>
        <v>#REF!</v>
      </c>
      <c r="AB125" s="72" t="e">
        <f t="shared" si="116"/>
        <v>#REF!</v>
      </c>
      <c r="AC125" s="73"/>
      <c r="AD125" s="72" t="e">
        <f t="shared" ref="AD125" si="143">AD126+AD127+AD141</f>
        <v>#REF!</v>
      </c>
      <c r="AE125" s="72" t="e">
        <f t="shared" si="117"/>
        <v>#REF!</v>
      </c>
      <c r="AF125" s="73"/>
      <c r="AG125" s="73"/>
      <c r="AH125" s="72">
        <f>AH126+AH127+AH141</f>
        <v>2425177.85</v>
      </c>
      <c r="AI125" s="73" t="e">
        <f t="shared" si="118"/>
        <v>#REF!</v>
      </c>
      <c r="AJ125" s="210"/>
      <c r="AK125" s="387" t="e">
        <f t="shared" si="119"/>
        <v>#REF!</v>
      </c>
    </row>
    <row r="126" spans="3:41" ht="16.149999999999999" customHeight="1" x14ac:dyDescent="0.25">
      <c r="C126" s="211" t="s">
        <v>337</v>
      </c>
      <c r="D126" s="224" t="s">
        <v>338</v>
      </c>
      <c r="E126" s="225">
        <f>220175.183977325+17333</f>
        <v>237508.18397732501</v>
      </c>
      <c r="F126" s="225">
        <v>213895</v>
      </c>
      <c r="G126" s="226">
        <v>207356</v>
      </c>
      <c r="H126" s="226">
        <v>206777</v>
      </c>
      <c r="I126" s="226">
        <v>227539.3</v>
      </c>
      <c r="J126" s="226">
        <v>274837</v>
      </c>
      <c r="K126" s="227"/>
      <c r="L126" s="227"/>
      <c r="M126" s="227"/>
      <c r="N126" s="227"/>
      <c r="O126" s="227" t="e">
        <f>GETPIVOTDATA("Summa",[4]Pivot_investicijas!$A$3,"Nodaļa","0620")</f>
        <v>#REF!</v>
      </c>
      <c r="P126" s="227">
        <f>[4]Baze_2020!D79</f>
        <v>283438</v>
      </c>
      <c r="Q126" s="227" t="e">
        <f t="shared" ref="Q126:Q159" si="144">K126+L126+M126+N126+O126+P126</f>
        <v>#REF!</v>
      </c>
      <c r="R126" s="227" t="e">
        <f>ROUND(Q126,0)</f>
        <v>#REF!</v>
      </c>
      <c r="S126" s="227" t="e">
        <f t="shared" si="113"/>
        <v>#REF!</v>
      </c>
      <c r="T126" s="134"/>
      <c r="U126" s="227" t="e">
        <f t="shared" ref="U126" si="145">ROUND(R126,0)</f>
        <v>#REF!</v>
      </c>
      <c r="V126" s="227" t="e">
        <f t="shared" si="114"/>
        <v>#REF!</v>
      </c>
      <c r="W126" s="134"/>
      <c r="X126" s="227" t="e">
        <f t="shared" ref="X126" si="146">ROUND(U126,0)</f>
        <v>#REF!</v>
      </c>
      <c r="Y126" s="227" t="e">
        <f t="shared" si="115"/>
        <v>#REF!</v>
      </c>
      <c r="Z126" s="134"/>
      <c r="AA126" s="227" t="e">
        <f t="shared" ref="AA126" si="147">ROUND(X126,0)</f>
        <v>#REF!</v>
      </c>
      <c r="AB126" s="227" t="e">
        <f t="shared" si="116"/>
        <v>#REF!</v>
      </c>
      <c r="AC126" s="134"/>
      <c r="AD126" s="227" t="e">
        <f t="shared" ref="AD126" si="148">ROUND(AA126,0)</f>
        <v>#REF!</v>
      </c>
      <c r="AE126" s="227" t="e">
        <f t="shared" si="117"/>
        <v>#REF!</v>
      </c>
      <c r="AF126" s="134"/>
      <c r="AG126" s="134"/>
      <c r="AH126" s="227">
        <v>92297</v>
      </c>
      <c r="AI126" s="228" t="e">
        <f t="shared" si="118"/>
        <v>#REF!</v>
      </c>
      <c r="AJ126" s="229"/>
      <c r="AK126" s="387" t="e">
        <f t="shared" si="119"/>
        <v>#REF!</v>
      </c>
    </row>
    <row r="127" spans="3:41" x14ac:dyDescent="0.25">
      <c r="C127" s="211" t="s">
        <v>339</v>
      </c>
      <c r="D127" s="224" t="s">
        <v>340</v>
      </c>
      <c r="E127" s="225">
        <f>E128+E130+E132+E133+E134</f>
        <v>1551635.1505455296</v>
      </c>
      <c r="F127" s="225">
        <f>F128+F130+F132+F133+F134</f>
        <v>1149739.51</v>
      </c>
      <c r="G127" s="226">
        <f>G128+G129+G135+G136+G137+G138+G139</f>
        <v>456726</v>
      </c>
      <c r="H127" s="226">
        <f>1354780.01-27000</f>
        <v>1327780.01</v>
      </c>
      <c r="I127" s="226">
        <f>I128+I129+I135+I136+I137+I138+I139+I140</f>
        <v>3206808.4930552198</v>
      </c>
      <c r="J127" s="226">
        <v>2876313</v>
      </c>
      <c r="K127" s="227">
        <f>K128+K136+K137+K138+K139+K140</f>
        <v>45921.95</v>
      </c>
      <c r="L127" s="227">
        <f t="shared" ref="L127:Q127" si="149">L128+L136+L137+L138+L139+L140</f>
        <v>0</v>
      </c>
      <c r="M127" s="227">
        <f t="shared" si="149"/>
        <v>1227922.8</v>
      </c>
      <c r="N127" s="227">
        <f t="shared" si="149"/>
        <v>1261476.8660000002</v>
      </c>
      <c r="O127" s="227" t="e">
        <f t="shared" si="149"/>
        <v>#REF!</v>
      </c>
      <c r="P127" s="227">
        <f t="shared" si="149"/>
        <v>345447</v>
      </c>
      <c r="Q127" s="227" t="e">
        <f t="shared" si="149"/>
        <v>#REF!</v>
      </c>
      <c r="R127" s="227" t="e">
        <f>R128+R129+R135+R136+R137+R138+R139+R140</f>
        <v>#REF!</v>
      </c>
      <c r="S127" s="227" t="e">
        <f t="shared" si="113"/>
        <v>#REF!</v>
      </c>
      <c r="T127" s="228"/>
      <c r="U127" s="227" t="e">
        <f>U128+U129+U135+U136+U137+U138+U139+U140</f>
        <v>#REF!</v>
      </c>
      <c r="V127" s="227" t="e">
        <f t="shared" si="114"/>
        <v>#REF!</v>
      </c>
      <c r="W127" s="228"/>
      <c r="X127" s="227" t="e">
        <f>X128+X129+X135+X136+X137+X138+X139+X140</f>
        <v>#REF!</v>
      </c>
      <c r="Y127" s="227" t="e">
        <f t="shared" si="115"/>
        <v>#REF!</v>
      </c>
      <c r="Z127" s="228"/>
      <c r="AA127" s="227" t="e">
        <f>AA128+AA129+AA135+AA136+AA137+AA138+AA139+AA140</f>
        <v>#REF!</v>
      </c>
      <c r="AB127" s="227" t="e">
        <f t="shared" si="116"/>
        <v>#REF!</v>
      </c>
      <c r="AC127" s="228"/>
      <c r="AD127" s="227" t="e">
        <f>AD128+AD129+AD135+AD136+AD137+AD138+AD139+AD140</f>
        <v>#REF!</v>
      </c>
      <c r="AE127" s="227" t="e">
        <f t="shared" si="117"/>
        <v>#REF!</v>
      </c>
      <c r="AF127" s="228"/>
      <c r="AG127" s="228"/>
      <c r="AH127" s="227">
        <f>AH128+AH129+AH135+AH136+AH137+AH138+AH139+AH140</f>
        <v>1349739.85</v>
      </c>
      <c r="AI127" s="228" t="e">
        <f t="shared" si="118"/>
        <v>#REF!</v>
      </c>
      <c r="AJ127" s="230"/>
      <c r="AK127" s="387" t="e">
        <f t="shared" si="119"/>
        <v>#REF!</v>
      </c>
    </row>
    <row r="128" spans="3:41" ht="56.45" customHeight="1" x14ac:dyDescent="0.25">
      <c r="C128" s="231" t="s">
        <v>341</v>
      </c>
      <c r="D128" s="174" t="s">
        <v>342</v>
      </c>
      <c r="E128" s="75">
        <f>246327.567856757+32504+19256+20000-1746+3608+9953</f>
        <v>329902.56785675697</v>
      </c>
      <c r="F128" s="78">
        <f>371740-600+20500+4016+4000+790+7500+21435</f>
        <v>429381</v>
      </c>
      <c r="G128" s="77">
        <v>400397</v>
      </c>
      <c r="H128" s="77">
        <v>314040</v>
      </c>
      <c r="I128" s="77">
        <f>345350+1461</f>
        <v>346811</v>
      </c>
      <c r="J128" s="77">
        <v>438929</v>
      </c>
      <c r="K128" s="78"/>
      <c r="L128" s="78"/>
      <c r="M128" s="78"/>
      <c r="N128" s="78"/>
      <c r="O128" s="78" t="e">
        <f>GETPIVOTDATA("Summa",[4]Pivot_investicijas!$A$3,"Nodaļa","0630")-M128</f>
        <v>#REF!</v>
      </c>
      <c r="P128" s="78">
        <f>[4]Baze_2020!D84</f>
        <v>345447</v>
      </c>
      <c r="Q128" s="78" t="e">
        <f t="shared" si="144"/>
        <v>#REF!</v>
      </c>
      <c r="R128" s="78" t="e">
        <f>ROUND(Q128,0)+7000</f>
        <v>#REF!</v>
      </c>
      <c r="S128" s="78" t="e">
        <f t="shared" si="113"/>
        <v>#REF!</v>
      </c>
      <c r="T128" s="232" t="s">
        <v>343</v>
      </c>
      <c r="U128" s="78" t="e">
        <f t="shared" ref="U128:U140" si="150">ROUND(R128,0)</f>
        <v>#REF!</v>
      </c>
      <c r="V128" s="78" t="e">
        <f t="shared" si="114"/>
        <v>#REF!</v>
      </c>
      <c r="W128" s="232"/>
      <c r="X128" s="78" t="e">
        <f>ROUND(U128,0)+6850</f>
        <v>#REF!</v>
      </c>
      <c r="Y128" s="78" t="e">
        <f t="shared" si="115"/>
        <v>#REF!</v>
      </c>
      <c r="Z128" s="232" t="s">
        <v>344</v>
      </c>
      <c r="AA128" s="78" t="e">
        <f>ROUND(X128,0)</f>
        <v>#REF!</v>
      </c>
      <c r="AB128" s="78" t="e">
        <f t="shared" si="116"/>
        <v>#REF!</v>
      </c>
      <c r="AC128" s="232"/>
      <c r="AD128" s="78" t="e">
        <f>ROUND(AA128,0)</f>
        <v>#REF!</v>
      </c>
      <c r="AE128" s="78" t="e">
        <f t="shared" si="117"/>
        <v>#REF!</v>
      </c>
      <c r="AF128" s="232"/>
      <c r="AG128" s="232"/>
      <c r="AH128" s="78">
        <v>115132</v>
      </c>
      <c r="AI128" s="79" t="e">
        <f t="shared" si="118"/>
        <v>#REF!</v>
      </c>
      <c r="AJ128" s="232" t="s">
        <v>345</v>
      </c>
      <c r="AK128" s="387" t="e">
        <f t="shared" si="119"/>
        <v>#REF!</v>
      </c>
    </row>
    <row r="129" spans="1:43" ht="18.75" hidden="1" customHeight="1" outlineLevel="1" x14ac:dyDescent="0.25">
      <c r="A129" s="233"/>
      <c r="B129" s="233"/>
      <c r="C129" s="234" t="s">
        <v>346</v>
      </c>
      <c r="D129" s="235" t="s">
        <v>280</v>
      </c>
      <c r="E129" s="236"/>
      <c r="F129" s="126"/>
      <c r="G129" s="237">
        <v>9000</v>
      </c>
      <c r="H129" s="237">
        <v>36000</v>
      </c>
      <c r="I129" s="237">
        <f>1429158.2767+8366</f>
        <v>1437524.2767</v>
      </c>
      <c r="J129" s="237">
        <v>204164</v>
      </c>
      <c r="K129" s="126">
        <f>K92</f>
        <v>0</v>
      </c>
      <c r="L129" s="126"/>
      <c r="M129" s="126"/>
      <c r="N129" s="126">
        <f>N92</f>
        <v>0</v>
      </c>
      <c r="O129" s="126"/>
      <c r="P129" s="78"/>
      <c r="Q129" s="78">
        <f t="shared" si="144"/>
        <v>0</v>
      </c>
      <c r="R129" s="78">
        <f t="shared" ref="R129:R140" si="151">ROUND(Q129,0)</f>
        <v>0</v>
      </c>
      <c r="S129" s="78">
        <f t="shared" si="113"/>
        <v>0</v>
      </c>
      <c r="T129" s="63"/>
      <c r="U129" s="78">
        <f t="shared" si="150"/>
        <v>0</v>
      </c>
      <c r="V129" s="78">
        <f t="shared" si="114"/>
        <v>0</v>
      </c>
      <c r="W129" s="63"/>
      <c r="X129" s="78">
        <f t="shared" ref="X129:X140" si="152">ROUND(U129,0)</f>
        <v>0</v>
      </c>
      <c r="Y129" s="78">
        <f t="shared" si="115"/>
        <v>0</v>
      </c>
      <c r="Z129" s="63"/>
      <c r="AA129" s="78">
        <f t="shared" ref="AA129:AA140" si="153">ROUND(X129,0)</f>
        <v>0</v>
      </c>
      <c r="AB129" s="78">
        <f t="shared" si="116"/>
        <v>0</v>
      </c>
      <c r="AC129" s="63"/>
      <c r="AD129" s="78">
        <f t="shared" ref="AD129:AD140" si="154">ROUND(AA129,0)</f>
        <v>0</v>
      </c>
      <c r="AE129" s="78">
        <f t="shared" si="117"/>
        <v>0</v>
      </c>
      <c r="AF129" s="63"/>
      <c r="AG129" s="63"/>
      <c r="AH129" s="238">
        <v>190075.4</v>
      </c>
      <c r="AI129" s="79" t="e">
        <f t="shared" si="118"/>
        <v>#DIV/0!</v>
      </c>
      <c r="AJ129" s="98" t="s">
        <v>183</v>
      </c>
      <c r="AK129" s="387" t="e">
        <f t="shared" si="119"/>
        <v>#REF!</v>
      </c>
    </row>
    <row r="130" spans="1:43" s="233" customFormat="1" ht="21" hidden="1" customHeight="1" outlineLevel="4" thickBot="1" x14ac:dyDescent="0.3">
      <c r="C130" s="234"/>
      <c r="D130" s="239" t="s">
        <v>347</v>
      </c>
      <c r="E130" s="240">
        <v>14228.718106328364</v>
      </c>
      <c r="F130" s="126">
        <f>150000-7500</f>
        <v>142500</v>
      </c>
      <c r="G130" s="237">
        <v>0</v>
      </c>
      <c r="H130" s="237">
        <v>0</v>
      </c>
      <c r="I130" s="77">
        <v>0</v>
      </c>
      <c r="J130" s="77">
        <v>0</v>
      </c>
      <c r="K130" s="126"/>
      <c r="L130" s="126"/>
      <c r="M130" s="126"/>
      <c r="N130" s="126"/>
      <c r="O130" s="126"/>
      <c r="P130" s="126">
        <v>0</v>
      </c>
      <c r="Q130" s="78">
        <f t="shared" si="144"/>
        <v>0</v>
      </c>
      <c r="R130" s="78">
        <f t="shared" si="151"/>
        <v>0</v>
      </c>
      <c r="S130" s="78">
        <f t="shared" si="113"/>
        <v>0</v>
      </c>
      <c r="T130" s="241"/>
      <c r="U130" s="78">
        <f t="shared" si="150"/>
        <v>0</v>
      </c>
      <c r="V130" s="78">
        <f t="shared" si="114"/>
        <v>0</v>
      </c>
      <c r="W130" s="241"/>
      <c r="X130" s="78">
        <f t="shared" si="152"/>
        <v>0</v>
      </c>
      <c r="Y130" s="78">
        <f t="shared" si="115"/>
        <v>0</v>
      </c>
      <c r="Z130" s="241"/>
      <c r="AA130" s="78">
        <f t="shared" si="153"/>
        <v>0</v>
      </c>
      <c r="AB130" s="78">
        <f t="shared" si="116"/>
        <v>0</v>
      </c>
      <c r="AC130" s="241"/>
      <c r="AD130" s="78">
        <f t="shared" si="154"/>
        <v>0</v>
      </c>
      <c r="AE130" s="78">
        <f t="shared" si="117"/>
        <v>0</v>
      </c>
      <c r="AF130" s="241"/>
      <c r="AG130" s="241"/>
      <c r="AH130" s="242"/>
      <c r="AI130" s="243" t="e">
        <f t="shared" si="118"/>
        <v>#DIV/0!</v>
      </c>
      <c r="AJ130" s="241" t="s">
        <v>183</v>
      </c>
      <c r="AK130" s="387" t="e">
        <f t="shared" si="119"/>
        <v>#REF!</v>
      </c>
      <c r="AL130" s="378"/>
      <c r="AM130" s="378"/>
      <c r="AN130" s="378"/>
      <c r="AO130" s="378"/>
    </row>
    <row r="131" spans="1:43" s="244" customFormat="1" ht="19.5" hidden="1" customHeight="1" outlineLevel="2" x14ac:dyDescent="0.25">
      <c r="C131" s="234" t="s">
        <v>348</v>
      </c>
      <c r="D131" s="239" t="s">
        <v>349</v>
      </c>
      <c r="E131" s="245"/>
      <c r="F131" s="126"/>
      <c r="G131" s="237"/>
      <c r="H131" s="237">
        <v>0</v>
      </c>
      <c r="I131" s="77">
        <v>0</v>
      </c>
      <c r="J131" s="246">
        <v>0</v>
      </c>
      <c r="K131" s="247"/>
      <c r="L131" s="248"/>
      <c r="M131" s="248"/>
      <c r="N131" s="248"/>
      <c r="O131" s="126"/>
      <c r="P131" s="126"/>
      <c r="Q131" s="78">
        <f t="shared" si="144"/>
        <v>0</v>
      </c>
      <c r="R131" s="78">
        <f t="shared" si="151"/>
        <v>0</v>
      </c>
      <c r="S131" s="78">
        <f t="shared" si="113"/>
        <v>0</v>
      </c>
      <c r="T131" s="241"/>
      <c r="U131" s="78">
        <f t="shared" si="150"/>
        <v>0</v>
      </c>
      <c r="V131" s="78">
        <f t="shared" si="114"/>
        <v>0</v>
      </c>
      <c r="W131" s="241"/>
      <c r="X131" s="78">
        <f t="shared" si="152"/>
        <v>0</v>
      </c>
      <c r="Y131" s="78">
        <f t="shared" si="115"/>
        <v>0</v>
      </c>
      <c r="Z131" s="241"/>
      <c r="AA131" s="78">
        <f t="shared" si="153"/>
        <v>0</v>
      </c>
      <c r="AB131" s="78">
        <f t="shared" si="116"/>
        <v>0</v>
      </c>
      <c r="AC131" s="241"/>
      <c r="AD131" s="78">
        <f t="shared" si="154"/>
        <v>0</v>
      </c>
      <c r="AE131" s="78">
        <f t="shared" si="117"/>
        <v>0</v>
      </c>
      <c r="AF131" s="241"/>
      <c r="AG131" s="241"/>
      <c r="AH131" s="242"/>
      <c r="AI131" s="243" t="e">
        <f t="shared" si="118"/>
        <v>#DIV/0!</v>
      </c>
      <c r="AJ131" s="241" t="s">
        <v>183</v>
      </c>
      <c r="AK131" s="387" t="e">
        <f t="shared" si="119"/>
        <v>#REF!</v>
      </c>
      <c r="AL131" s="378"/>
      <c r="AM131" s="378"/>
      <c r="AN131" s="388"/>
      <c r="AO131" s="388"/>
      <c r="AP131" s="249"/>
      <c r="AQ131" s="250"/>
    </row>
    <row r="132" spans="1:43" s="233" customFormat="1" ht="45.75" hidden="1" customHeight="1" outlineLevel="2" x14ac:dyDescent="0.25">
      <c r="C132" s="251"/>
      <c r="D132" s="252" t="s">
        <v>350</v>
      </c>
      <c r="E132" s="253">
        <v>426861.54318985093</v>
      </c>
      <c r="F132" s="126">
        <f>500000-140000</f>
        <v>360000</v>
      </c>
      <c r="G132" s="237">
        <v>0</v>
      </c>
      <c r="H132" s="237">
        <v>0</v>
      </c>
      <c r="I132" s="77">
        <v>0</v>
      </c>
      <c r="J132" s="246">
        <v>0</v>
      </c>
      <c r="K132" s="247"/>
      <c r="L132" s="248"/>
      <c r="M132" s="248"/>
      <c r="N132" s="248"/>
      <c r="O132" s="126"/>
      <c r="P132" s="126">
        <v>0</v>
      </c>
      <c r="Q132" s="78">
        <f t="shared" si="144"/>
        <v>0</v>
      </c>
      <c r="R132" s="78">
        <f t="shared" si="151"/>
        <v>0</v>
      </c>
      <c r="S132" s="78">
        <f t="shared" si="113"/>
        <v>0</v>
      </c>
      <c r="T132" s="241"/>
      <c r="U132" s="78">
        <f t="shared" si="150"/>
        <v>0</v>
      </c>
      <c r="V132" s="78">
        <f t="shared" si="114"/>
        <v>0</v>
      </c>
      <c r="W132" s="241"/>
      <c r="X132" s="78">
        <f t="shared" si="152"/>
        <v>0</v>
      </c>
      <c r="Y132" s="78">
        <f t="shared" si="115"/>
        <v>0</v>
      </c>
      <c r="Z132" s="241"/>
      <c r="AA132" s="78">
        <f t="shared" si="153"/>
        <v>0</v>
      </c>
      <c r="AB132" s="78">
        <f t="shared" si="116"/>
        <v>0</v>
      </c>
      <c r="AC132" s="241"/>
      <c r="AD132" s="78">
        <f t="shared" si="154"/>
        <v>0</v>
      </c>
      <c r="AE132" s="78">
        <f t="shared" si="117"/>
        <v>0</v>
      </c>
      <c r="AF132" s="241"/>
      <c r="AG132" s="241"/>
      <c r="AH132" s="242"/>
      <c r="AI132" s="243" t="e">
        <f t="shared" si="118"/>
        <v>#DIV/0!</v>
      </c>
      <c r="AJ132" s="241" t="s">
        <v>183</v>
      </c>
      <c r="AK132" s="387" t="e">
        <f t="shared" si="119"/>
        <v>#REF!</v>
      </c>
      <c r="AL132" s="378"/>
      <c r="AM132" s="378"/>
      <c r="AN132" s="389"/>
      <c r="AO132" s="389"/>
      <c r="AP132" s="254"/>
      <c r="AQ132" s="255"/>
    </row>
    <row r="133" spans="1:43" s="233" customFormat="1" ht="17.25" hidden="1" customHeight="1" outlineLevel="2" x14ac:dyDescent="0.25">
      <c r="C133" s="234"/>
      <c r="D133" s="235" t="s">
        <v>351</v>
      </c>
      <c r="E133" s="256">
        <f>71143.5905316418+42065+1746</f>
        <v>114954.59053164181</v>
      </c>
      <c r="F133" s="126">
        <v>0</v>
      </c>
      <c r="G133" s="237">
        <v>0</v>
      </c>
      <c r="H133" s="237">
        <v>0</v>
      </c>
      <c r="I133" s="77">
        <v>0</v>
      </c>
      <c r="J133" s="77">
        <v>0</v>
      </c>
      <c r="K133" s="126"/>
      <c r="L133" s="257"/>
      <c r="M133" s="257"/>
      <c r="N133" s="257"/>
      <c r="O133" s="126"/>
      <c r="P133" s="126">
        <v>0</v>
      </c>
      <c r="Q133" s="78">
        <f t="shared" si="144"/>
        <v>0</v>
      </c>
      <c r="R133" s="78">
        <f t="shared" si="151"/>
        <v>0</v>
      </c>
      <c r="S133" s="78">
        <f t="shared" si="113"/>
        <v>0</v>
      </c>
      <c r="T133" s="243"/>
      <c r="U133" s="78">
        <f t="shared" si="150"/>
        <v>0</v>
      </c>
      <c r="V133" s="78">
        <f t="shared" si="114"/>
        <v>0</v>
      </c>
      <c r="W133" s="243"/>
      <c r="X133" s="78">
        <f t="shared" si="152"/>
        <v>0</v>
      </c>
      <c r="Y133" s="78">
        <f t="shared" si="115"/>
        <v>0</v>
      </c>
      <c r="Z133" s="243"/>
      <c r="AA133" s="78">
        <f t="shared" si="153"/>
        <v>0</v>
      </c>
      <c r="AB133" s="78">
        <f t="shared" si="116"/>
        <v>0</v>
      </c>
      <c r="AC133" s="243"/>
      <c r="AD133" s="78">
        <f t="shared" si="154"/>
        <v>0</v>
      </c>
      <c r="AE133" s="78">
        <f t="shared" si="117"/>
        <v>0</v>
      </c>
      <c r="AF133" s="243"/>
      <c r="AG133" s="243"/>
      <c r="AH133" s="242"/>
      <c r="AI133" s="243" t="e">
        <f t="shared" si="118"/>
        <v>#DIV/0!</v>
      </c>
      <c r="AJ133" s="243" t="s">
        <v>183</v>
      </c>
      <c r="AK133" s="387" t="e">
        <f t="shared" si="119"/>
        <v>#REF!</v>
      </c>
      <c r="AL133" s="378"/>
      <c r="AM133" s="378"/>
      <c r="AN133" s="389"/>
      <c r="AO133" s="389"/>
      <c r="AP133" s="254"/>
      <c r="AQ133" s="255"/>
    </row>
    <row r="134" spans="1:43" s="233" customFormat="1" ht="16.5" hidden="1" customHeight="1" outlineLevel="2" thickBot="1" x14ac:dyDescent="0.3">
      <c r="C134" s="234"/>
      <c r="D134" s="258" t="s">
        <v>352</v>
      </c>
      <c r="E134" s="256">
        <v>665687.73086095124</v>
      </c>
      <c r="F134" s="126">
        <v>217858.51</v>
      </c>
      <c r="G134" s="237">
        <v>0</v>
      </c>
      <c r="H134" s="237">
        <v>0</v>
      </c>
      <c r="I134" s="77">
        <v>0</v>
      </c>
      <c r="J134" s="77">
        <v>0</v>
      </c>
      <c r="K134" s="126"/>
      <c r="L134" s="259"/>
      <c r="M134" s="126"/>
      <c r="N134" s="126"/>
      <c r="O134" s="126"/>
      <c r="P134" s="126">
        <v>0</v>
      </c>
      <c r="Q134" s="78">
        <f t="shared" si="144"/>
        <v>0</v>
      </c>
      <c r="R134" s="78">
        <f t="shared" si="151"/>
        <v>0</v>
      </c>
      <c r="S134" s="78">
        <f t="shared" si="113"/>
        <v>0</v>
      </c>
      <c r="T134" s="243"/>
      <c r="U134" s="78">
        <f t="shared" si="150"/>
        <v>0</v>
      </c>
      <c r="V134" s="78">
        <f t="shared" si="114"/>
        <v>0</v>
      </c>
      <c r="W134" s="243"/>
      <c r="X134" s="78">
        <f t="shared" si="152"/>
        <v>0</v>
      </c>
      <c r="Y134" s="78">
        <f t="shared" si="115"/>
        <v>0</v>
      </c>
      <c r="Z134" s="243"/>
      <c r="AA134" s="78">
        <f t="shared" si="153"/>
        <v>0</v>
      </c>
      <c r="AB134" s="78">
        <f t="shared" si="116"/>
        <v>0</v>
      </c>
      <c r="AC134" s="243"/>
      <c r="AD134" s="78">
        <f t="shared" si="154"/>
        <v>0</v>
      </c>
      <c r="AE134" s="78">
        <f t="shared" si="117"/>
        <v>0</v>
      </c>
      <c r="AF134" s="243"/>
      <c r="AG134" s="243"/>
      <c r="AH134" s="242"/>
      <c r="AI134" s="243" t="e">
        <f t="shared" si="118"/>
        <v>#DIV/0!</v>
      </c>
      <c r="AJ134" s="243" t="s">
        <v>183</v>
      </c>
      <c r="AK134" s="387" t="e">
        <f t="shared" si="119"/>
        <v>#REF!</v>
      </c>
      <c r="AL134" s="378"/>
      <c r="AM134" s="378"/>
      <c r="AN134" s="390"/>
      <c r="AO134" s="390"/>
      <c r="AP134" s="260"/>
      <c r="AQ134" s="261"/>
    </row>
    <row r="135" spans="1:43" ht="34.5" hidden="1" customHeight="1" outlineLevel="1" x14ac:dyDescent="0.25">
      <c r="A135" s="233"/>
      <c r="B135" s="233"/>
      <c r="C135" s="234" t="s">
        <v>353</v>
      </c>
      <c r="D135" s="258" t="s">
        <v>354</v>
      </c>
      <c r="E135" s="256"/>
      <c r="F135" s="126"/>
      <c r="G135" s="237">
        <v>47329</v>
      </c>
      <c r="H135" s="237">
        <v>794090</v>
      </c>
      <c r="I135" s="237">
        <v>1243648.4663552199</v>
      </c>
      <c r="J135" s="237">
        <v>187979</v>
      </c>
      <c r="K135" s="126"/>
      <c r="L135" s="257"/>
      <c r="M135" s="126"/>
      <c r="N135" s="126">
        <f>N94</f>
        <v>0</v>
      </c>
      <c r="O135" s="126"/>
      <c r="P135" s="126"/>
      <c r="Q135" s="78">
        <f>K135+L135+M135+N135+O135+P135</f>
        <v>0</v>
      </c>
      <c r="R135" s="78">
        <f t="shared" si="151"/>
        <v>0</v>
      </c>
      <c r="S135" s="78">
        <f t="shared" si="113"/>
        <v>0</v>
      </c>
      <c r="T135" s="232"/>
      <c r="U135" s="78">
        <f t="shared" si="150"/>
        <v>0</v>
      </c>
      <c r="V135" s="78">
        <f t="shared" si="114"/>
        <v>0</v>
      </c>
      <c r="W135" s="232"/>
      <c r="X135" s="78">
        <f t="shared" si="152"/>
        <v>0</v>
      </c>
      <c r="Y135" s="78">
        <f t="shared" si="115"/>
        <v>0</v>
      </c>
      <c r="Z135" s="232"/>
      <c r="AA135" s="78">
        <f t="shared" si="153"/>
        <v>0</v>
      </c>
      <c r="AB135" s="78">
        <f t="shared" si="116"/>
        <v>0</v>
      </c>
      <c r="AC135" s="232"/>
      <c r="AD135" s="78">
        <f t="shared" si="154"/>
        <v>0</v>
      </c>
      <c r="AE135" s="78">
        <f t="shared" si="117"/>
        <v>0</v>
      </c>
      <c r="AF135" s="232"/>
      <c r="AG135" s="397"/>
      <c r="AH135" s="262">
        <v>154267.45000000001</v>
      </c>
      <c r="AI135" s="79" t="e">
        <f t="shared" si="118"/>
        <v>#DIV/0!</v>
      </c>
      <c r="AJ135" s="232" t="s">
        <v>183</v>
      </c>
      <c r="AK135" s="387" t="e">
        <f t="shared" si="119"/>
        <v>#REF!</v>
      </c>
    </row>
    <row r="136" spans="1:43" ht="31.5" customHeight="1" collapsed="1" x14ac:dyDescent="0.25">
      <c r="C136" s="231" t="s">
        <v>348</v>
      </c>
      <c r="D136" s="144" t="s">
        <v>286</v>
      </c>
      <c r="E136" s="75"/>
      <c r="F136" s="78"/>
      <c r="G136" s="77"/>
      <c r="H136" s="77">
        <v>41866.879999999997</v>
      </c>
      <c r="I136" s="77">
        <v>49083</v>
      </c>
      <c r="J136" s="77">
        <v>1931509</v>
      </c>
      <c r="K136" s="78"/>
      <c r="L136" s="149"/>
      <c r="M136" s="78">
        <f>M64</f>
        <v>1201628.8</v>
      </c>
      <c r="N136" s="78">
        <f>N95</f>
        <v>1261476.8660000002</v>
      </c>
      <c r="O136" s="78">
        <f>2522655-M136-N136</f>
        <v>59549.333999999799</v>
      </c>
      <c r="P136" s="78"/>
      <c r="Q136" s="60">
        <f t="shared" si="144"/>
        <v>2522655</v>
      </c>
      <c r="R136" s="78">
        <f t="shared" si="151"/>
        <v>2522655</v>
      </c>
      <c r="S136" s="78">
        <f t="shared" si="113"/>
        <v>0</v>
      </c>
      <c r="T136" s="79"/>
      <c r="U136" s="78">
        <f t="shared" si="150"/>
        <v>2522655</v>
      </c>
      <c r="V136" s="78">
        <f t="shared" si="114"/>
        <v>0</v>
      </c>
      <c r="W136" s="79"/>
      <c r="X136" s="78">
        <f t="shared" si="152"/>
        <v>2522655</v>
      </c>
      <c r="Y136" s="78">
        <f t="shared" si="115"/>
        <v>0</v>
      </c>
      <c r="Z136" s="79"/>
      <c r="AA136" s="78">
        <f t="shared" si="153"/>
        <v>2522655</v>
      </c>
      <c r="AB136" s="78">
        <f t="shared" si="116"/>
        <v>0</v>
      </c>
      <c r="AC136" s="79"/>
      <c r="AD136" s="78">
        <f t="shared" si="154"/>
        <v>2522655</v>
      </c>
      <c r="AE136" s="78">
        <f t="shared" si="117"/>
        <v>0</v>
      </c>
      <c r="AF136" s="79"/>
      <c r="AG136" s="398"/>
      <c r="AH136" s="263">
        <v>864023</v>
      </c>
      <c r="AI136" s="79">
        <f t="shared" si="118"/>
        <v>0.34250541592092459</v>
      </c>
      <c r="AJ136" s="98" t="s">
        <v>183</v>
      </c>
      <c r="AK136" s="387" t="e">
        <f t="shared" si="119"/>
        <v>#REF!</v>
      </c>
    </row>
    <row r="137" spans="1:43" ht="18" hidden="1" customHeight="1" outlineLevel="1" x14ac:dyDescent="0.25">
      <c r="C137" s="231" t="s">
        <v>355</v>
      </c>
      <c r="D137" s="144" t="s">
        <v>356</v>
      </c>
      <c r="E137" s="75"/>
      <c r="F137" s="78"/>
      <c r="G137" s="77"/>
      <c r="H137" s="77"/>
      <c r="I137" s="77">
        <v>0</v>
      </c>
      <c r="J137" s="77">
        <v>0</v>
      </c>
      <c r="K137" s="78"/>
      <c r="L137" s="149"/>
      <c r="M137" s="78"/>
      <c r="N137" s="78"/>
      <c r="O137" s="78"/>
      <c r="P137" s="78"/>
      <c r="Q137" s="60">
        <f t="shared" si="144"/>
        <v>0</v>
      </c>
      <c r="R137" s="78">
        <f t="shared" si="151"/>
        <v>0</v>
      </c>
      <c r="S137" s="78">
        <f t="shared" si="113"/>
        <v>0</v>
      </c>
      <c r="T137" s="232"/>
      <c r="U137" s="78">
        <f t="shared" si="150"/>
        <v>0</v>
      </c>
      <c r="V137" s="78">
        <f t="shared" si="114"/>
        <v>0</v>
      </c>
      <c r="W137" s="232"/>
      <c r="X137" s="78">
        <f t="shared" si="152"/>
        <v>0</v>
      </c>
      <c r="Y137" s="78">
        <f t="shared" si="115"/>
        <v>0</v>
      </c>
      <c r="Z137" s="232"/>
      <c r="AA137" s="78">
        <f t="shared" si="153"/>
        <v>0</v>
      </c>
      <c r="AB137" s="78">
        <f t="shared" si="116"/>
        <v>0</v>
      </c>
      <c r="AC137" s="232"/>
      <c r="AD137" s="78">
        <f t="shared" si="154"/>
        <v>0</v>
      </c>
      <c r="AE137" s="78">
        <f t="shared" si="117"/>
        <v>0</v>
      </c>
      <c r="AF137" s="232"/>
      <c r="AG137" s="397"/>
      <c r="AH137" s="262"/>
      <c r="AI137" s="79" t="e">
        <f t="shared" si="118"/>
        <v>#DIV/0!</v>
      </c>
      <c r="AJ137" s="232"/>
      <c r="AK137" s="387" t="e">
        <f t="shared" si="119"/>
        <v>#REF!</v>
      </c>
    </row>
    <row r="138" spans="1:43" ht="15" hidden="1" customHeight="1" outlineLevel="1" x14ac:dyDescent="0.25">
      <c r="C138" s="231" t="s">
        <v>357</v>
      </c>
      <c r="D138" s="144" t="s">
        <v>290</v>
      </c>
      <c r="E138" s="75"/>
      <c r="F138" s="78"/>
      <c r="G138" s="77"/>
      <c r="H138" s="77">
        <v>0</v>
      </c>
      <c r="I138" s="77">
        <v>0</v>
      </c>
      <c r="J138" s="77">
        <v>0</v>
      </c>
      <c r="K138" s="78"/>
      <c r="L138" s="149"/>
      <c r="M138" s="78"/>
      <c r="N138" s="78"/>
      <c r="O138" s="78"/>
      <c r="P138" s="78"/>
      <c r="Q138" s="60">
        <f t="shared" si="144"/>
        <v>0</v>
      </c>
      <c r="R138" s="78">
        <f t="shared" si="151"/>
        <v>0</v>
      </c>
      <c r="S138" s="78">
        <f t="shared" si="113"/>
        <v>0</v>
      </c>
      <c r="T138" s="79"/>
      <c r="U138" s="78">
        <f t="shared" si="150"/>
        <v>0</v>
      </c>
      <c r="V138" s="78">
        <f t="shared" si="114"/>
        <v>0</v>
      </c>
      <c r="W138" s="79"/>
      <c r="X138" s="78">
        <f t="shared" si="152"/>
        <v>0</v>
      </c>
      <c r="Y138" s="78">
        <f t="shared" si="115"/>
        <v>0</v>
      </c>
      <c r="Z138" s="79"/>
      <c r="AA138" s="78">
        <f t="shared" si="153"/>
        <v>0</v>
      </c>
      <c r="AB138" s="78">
        <f t="shared" si="116"/>
        <v>0</v>
      </c>
      <c r="AC138" s="79"/>
      <c r="AD138" s="78">
        <f t="shared" si="154"/>
        <v>0</v>
      </c>
      <c r="AE138" s="78">
        <f t="shared" si="117"/>
        <v>0</v>
      </c>
      <c r="AF138" s="79"/>
      <c r="AG138" s="398"/>
      <c r="AH138" s="262"/>
      <c r="AI138" s="79" t="e">
        <f t="shared" si="118"/>
        <v>#DIV/0!</v>
      </c>
      <c r="AJ138" s="79"/>
      <c r="AK138" s="387" t="e">
        <f t="shared" si="119"/>
        <v>#REF!</v>
      </c>
    </row>
    <row r="139" spans="1:43" ht="43.15" customHeight="1" collapsed="1" x14ac:dyDescent="0.25">
      <c r="C139" s="231" t="s">
        <v>355</v>
      </c>
      <c r="D139" s="264" t="s">
        <v>358</v>
      </c>
      <c r="E139" s="75"/>
      <c r="F139" s="78"/>
      <c r="G139" s="77"/>
      <c r="H139" s="77">
        <v>45434.130000000005</v>
      </c>
      <c r="I139" s="77">
        <v>46393</v>
      </c>
      <c r="J139" s="77">
        <v>44802</v>
      </c>
      <c r="K139" s="78">
        <f>K67</f>
        <v>13597</v>
      </c>
      <c r="L139" s="149"/>
      <c r="M139" s="78">
        <f>M67</f>
        <v>26294</v>
      </c>
      <c r="N139" s="78"/>
      <c r="O139" s="78"/>
      <c r="P139" s="78"/>
      <c r="Q139" s="60">
        <f t="shared" si="144"/>
        <v>39891</v>
      </c>
      <c r="R139" s="78">
        <f t="shared" si="151"/>
        <v>39891</v>
      </c>
      <c r="S139" s="78">
        <f t="shared" si="113"/>
        <v>0</v>
      </c>
      <c r="T139" s="232"/>
      <c r="U139" s="78">
        <f t="shared" si="150"/>
        <v>39891</v>
      </c>
      <c r="V139" s="78">
        <f t="shared" si="114"/>
        <v>0</v>
      </c>
      <c r="W139" s="232"/>
      <c r="X139" s="78">
        <f t="shared" si="152"/>
        <v>39891</v>
      </c>
      <c r="Y139" s="78">
        <f t="shared" si="115"/>
        <v>0</v>
      </c>
      <c r="Z139" s="232"/>
      <c r="AA139" s="78">
        <f t="shared" si="153"/>
        <v>39891</v>
      </c>
      <c r="AB139" s="78">
        <f t="shared" si="116"/>
        <v>0</v>
      </c>
      <c r="AC139" s="232"/>
      <c r="AD139" s="78">
        <f t="shared" si="154"/>
        <v>39891</v>
      </c>
      <c r="AE139" s="78">
        <f t="shared" si="117"/>
        <v>0</v>
      </c>
      <c r="AF139" s="232"/>
      <c r="AG139" s="397"/>
      <c r="AH139" s="263">
        <v>1810</v>
      </c>
      <c r="AI139" s="79">
        <f t="shared" si="118"/>
        <v>4.5373643177659122E-2</v>
      </c>
      <c r="AJ139" s="98" t="s">
        <v>183</v>
      </c>
      <c r="AK139" s="387" t="e">
        <f t="shared" si="119"/>
        <v>#REF!</v>
      </c>
    </row>
    <row r="140" spans="1:43" ht="27.6" customHeight="1" x14ac:dyDescent="0.25">
      <c r="C140" s="231" t="s">
        <v>357</v>
      </c>
      <c r="D140" s="264" t="s">
        <v>359</v>
      </c>
      <c r="E140" s="75"/>
      <c r="F140" s="78"/>
      <c r="G140" s="77"/>
      <c r="H140" s="77">
        <v>96349</v>
      </c>
      <c r="I140" s="77">
        <v>83348.75</v>
      </c>
      <c r="J140" s="77">
        <v>68930</v>
      </c>
      <c r="K140" s="78">
        <f>K69</f>
        <v>32324.95</v>
      </c>
      <c r="L140" s="149"/>
      <c r="M140" s="78">
        <f>M69</f>
        <v>0</v>
      </c>
      <c r="N140" s="78"/>
      <c r="O140" s="78"/>
      <c r="P140" s="78"/>
      <c r="Q140" s="60">
        <f t="shared" si="144"/>
        <v>32324.95</v>
      </c>
      <c r="R140" s="78">
        <f t="shared" si="151"/>
        <v>32325</v>
      </c>
      <c r="S140" s="78">
        <f t="shared" si="113"/>
        <v>4.9999999999272404E-2</v>
      </c>
      <c r="T140" s="232"/>
      <c r="U140" s="78">
        <f t="shared" si="150"/>
        <v>32325</v>
      </c>
      <c r="V140" s="78">
        <f t="shared" si="114"/>
        <v>0</v>
      </c>
      <c r="W140" s="232"/>
      <c r="X140" s="78">
        <f t="shared" si="152"/>
        <v>32325</v>
      </c>
      <c r="Y140" s="78">
        <f t="shared" si="115"/>
        <v>0</v>
      </c>
      <c r="Z140" s="232"/>
      <c r="AA140" s="78">
        <f t="shared" si="153"/>
        <v>32325</v>
      </c>
      <c r="AB140" s="78">
        <f t="shared" si="116"/>
        <v>0</v>
      </c>
      <c r="AC140" s="232"/>
      <c r="AD140" s="78">
        <f t="shared" si="154"/>
        <v>32325</v>
      </c>
      <c r="AE140" s="78">
        <f t="shared" si="117"/>
        <v>0</v>
      </c>
      <c r="AF140" s="232"/>
      <c r="AG140" s="397"/>
      <c r="AH140" s="265">
        <v>24432</v>
      </c>
      <c r="AI140" s="79">
        <f t="shared" ref="AI140:AI171" si="155">AH140/U140</f>
        <v>0.75582366589327143</v>
      </c>
      <c r="AJ140" s="98" t="s">
        <v>183</v>
      </c>
      <c r="AK140" s="387" t="e">
        <f t="shared" ref="AK140:AK172" si="156">Q140/$Q$233</f>
        <v>#REF!</v>
      </c>
    </row>
    <row r="141" spans="1:43" ht="29.25" customHeight="1" x14ac:dyDescent="0.25">
      <c r="C141" s="211" t="s">
        <v>360</v>
      </c>
      <c r="D141" s="224" t="s">
        <v>361</v>
      </c>
      <c r="E141" s="225">
        <f>E142+E143+E144+E147</f>
        <v>1603771.3529632767</v>
      </c>
      <c r="F141" s="266">
        <f>F142+F143+F144+F147</f>
        <v>2375934</v>
      </c>
      <c r="G141" s="267">
        <f>G142+G143+G144+G147+G148</f>
        <v>2784672.2</v>
      </c>
      <c r="H141" s="226">
        <v>4747314.5825999994</v>
      </c>
      <c r="I141" s="226">
        <f>I142+I143+I144+I146+I147+I148</f>
        <v>2381719.9299999997</v>
      </c>
      <c r="J141" s="226">
        <v>3031638</v>
      </c>
      <c r="K141" s="227">
        <f>K142+K143+K144+K145+K146+K147</f>
        <v>211330.51</v>
      </c>
      <c r="L141" s="227">
        <f t="shared" ref="L141:R141" si="157">L142+L143+L144+L145+L146+L147</f>
        <v>1557343</v>
      </c>
      <c r="M141" s="227">
        <f t="shared" si="157"/>
        <v>298982</v>
      </c>
      <c r="N141" s="227">
        <f t="shared" si="157"/>
        <v>1162946</v>
      </c>
      <c r="O141" s="227" t="e">
        <f t="shared" si="157"/>
        <v>#REF!</v>
      </c>
      <c r="P141" s="227">
        <f t="shared" si="157"/>
        <v>1952904</v>
      </c>
      <c r="Q141" s="227" t="e">
        <f t="shared" si="157"/>
        <v>#REF!</v>
      </c>
      <c r="R141" s="227" t="e">
        <f t="shared" si="157"/>
        <v>#REF!</v>
      </c>
      <c r="S141" s="227" t="e">
        <f t="shared" si="113"/>
        <v>#REF!</v>
      </c>
      <c r="T141" s="228"/>
      <c r="U141" s="227" t="e">
        <f t="shared" ref="U141" si="158">U142+U143+U144+U145+U146+U147</f>
        <v>#REF!</v>
      </c>
      <c r="V141" s="227" t="e">
        <f t="shared" si="114"/>
        <v>#REF!</v>
      </c>
      <c r="W141" s="228"/>
      <c r="X141" s="227" t="e">
        <f t="shared" ref="X141" si="159">X142+X143+X144+X145+X146+X147</f>
        <v>#REF!</v>
      </c>
      <c r="Y141" s="227" t="e">
        <f t="shared" si="115"/>
        <v>#REF!</v>
      </c>
      <c r="Z141" s="228"/>
      <c r="AA141" s="227" t="e">
        <f t="shared" ref="AA141" si="160">AA142+AA143+AA144+AA145+AA146+AA147</f>
        <v>#REF!</v>
      </c>
      <c r="AB141" s="227" t="e">
        <f t="shared" si="116"/>
        <v>#REF!</v>
      </c>
      <c r="AC141" s="228"/>
      <c r="AD141" s="227" t="e">
        <f t="shared" ref="AD141" si="161">AD142+AD143+AD144+AD145+AD146+AD147</f>
        <v>#REF!</v>
      </c>
      <c r="AE141" s="227" t="e">
        <f t="shared" si="117"/>
        <v>#REF!</v>
      </c>
      <c r="AF141" s="228"/>
      <c r="AG141" s="228"/>
      <c r="AH141" s="227">
        <f>AH142+AH143+AH144+AH146+AH147+AH148</f>
        <v>983141</v>
      </c>
      <c r="AI141" s="228" t="e">
        <f t="shared" si="155"/>
        <v>#REF!</v>
      </c>
      <c r="AJ141" s="230"/>
      <c r="AK141" s="387" t="e">
        <f t="shared" si="156"/>
        <v>#REF!</v>
      </c>
    </row>
    <row r="142" spans="1:43" ht="18.600000000000001" customHeight="1" x14ac:dyDescent="0.25">
      <c r="C142" s="231" t="s">
        <v>362</v>
      </c>
      <c r="D142" s="264" t="s">
        <v>363</v>
      </c>
      <c r="E142" s="75">
        <v>1575313.9167506199</v>
      </c>
      <c r="F142" s="78">
        <v>2292594</v>
      </c>
      <c r="G142" s="77">
        <v>2145289</v>
      </c>
      <c r="H142" s="77">
        <v>1585861</v>
      </c>
      <c r="I142" s="77">
        <f>1972483.93+8000+620+3965+18045+1624+(53585)+3000+23087-5327</f>
        <v>2079082.93</v>
      </c>
      <c r="J142" s="77">
        <v>2343399</v>
      </c>
      <c r="K142" s="78">
        <f>K56</f>
        <v>0</v>
      </c>
      <c r="L142" s="149"/>
      <c r="M142" s="78"/>
      <c r="N142" s="78"/>
      <c r="O142" s="78" t="e">
        <f>GETPIVOTDATA("Summa",[4]Pivot_investicijas!$A$3,"Nodaļa","0643")+GETPIVOTDATA("Summa",[4]Pivot_investicijas!$A$3,"Nodaļa","0644")+GETPIVOTDATA("Summa",[4]Pivot_investicijas!$A$3,"Nodaļa","0645")+GETPIVOTDATA("Summa",[4]Pivot_investicijas!$A$3,"Nodaļa","06451")+GETPIVOTDATA("Summa",[4]Pivot_investicijas!$A$3,"Nodaļa","0646")+GETPIVOTDATA("Summa",[4]Pivot_investicijas!$A$3,"Nodaļa","0647")+GETPIVOTDATA("Summa",[4]Pivot_investicijas!$A$3,"Nodaļa","0648")+GETPIVOTDATA("Summa",[4]Pivot_investicijas!$A$3,"Nodaļa","0641")</f>
        <v>#REF!</v>
      </c>
      <c r="P142" s="78">
        <f>[4]Baze_2020!D91+[4]Baze_2020!D96+[4]Baze_2020!D99+[4]Baze_2020!D103+[4]Baze_2020!D113+[4]Baze_2020!D117+[4]Baze_2020!D121+[4]Baze_2020!D134</f>
        <v>1510150</v>
      </c>
      <c r="Q142" s="78" t="e">
        <f t="shared" si="144"/>
        <v>#REF!</v>
      </c>
      <c r="R142" s="78" t="e">
        <f>ROUND(Q142,0)-1150*3+1150</f>
        <v>#REF!</v>
      </c>
      <c r="S142" s="78" t="e">
        <f t="shared" si="113"/>
        <v>#REF!</v>
      </c>
      <c r="T142" s="127" t="s">
        <v>331</v>
      </c>
      <c r="U142" s="78" t="e">
        <f t="shared" ref="U142:U146" si="162">ROUND(R142,0)</f>
        <v>#REF!</v>
      </c>
      <c r="V142" s="78" t="e">
        <f t="shared" si="114"/>
        <v>#REF!</v>
      </c>
      <c r="W142" s="127"/>
      <c r="X142" s="78" t="e">
        <f>ROUND(U142,0)+6564</f>
        <v>#REF!</v>
      </c>
      <c r="Y142" s="78" t="e">
        <f t="shared" si="115"/>
        <v>#REF!</v>
      </c>
      <c r="Z142" s="127" t="s">
        <v>364</v>
      </c>
      <c r="AA142" s="78" t="e">
        <f>ROUND(X142,0)-1271*2</f>
        <v>#REF!</v>
      </c>
      <c r="AB142" s="78" t="e">
        <f t="shared" si="116"/>
        <v>#REF!</v>
      </c>
      <c r="AC142" s="268" t="s">
        <v>365</v>
      </c>
      <c r="AD142" s="78" t="e">
        <f>ROUND(AA142,0)</f>
        <v>#REF!</v>
      </c>
      <c r="AE142" s="78" t="e">
        <f t="shared" si="117"/>
        <v>#REF!</v>
      </c>
      <c r="AF142" s="268"/>
      <c r="AG142" s="399"/>
      <c r="AH142" s="263">
        <f>91680+138699+13121+39286+159103+11282+7576+222955</f>
        <v>683702</v>
      </c>
      <c r="AI142" s="79" t="e">
        <f t="shared" si="155"/>
        <v>#REF!</v>
      </c>
      <c r="AJ142" s="80"/>
      <c r="AK142" s="387" t="e">
        <f t="shared" si="156"/>
        <v>#REF!</v>
      </c>
    </row>
    <row r="143" spans="1:43" ht="18" hidden="1" customHeight="1" outlineLevel="1" x14ac:dyDescent="0.25">
      <c r="C143" s="231" t="s">
        <v>366</v>
      </c>
      <c r="D143" s="264" t="s">
        <v>278</v>
      </c>
      <c r="E143" s="75">
        <v>28457.436212656728</v>
      </c>
      <c r="F143" s="78">
        <v>83340</v>
      </c>
      <c r="G143" s="77">
        <v>354511.2</v>
      </c>
      <c r="H143" s="77">
        <v>2811953.2250000001</v>
      </c>
      <c r="I143" s="77">
        <v>0</v>
      </c>
      <c r="J143" s="77">
        <v>0</v>
      </c>
      <c r="K143" s="78"/>
      <c r="L143" s="149"/>
      <c r="M143" s="78"/>
      <c r="N143" s="78"/>
      <c r="O143" s="78"/>
      <c r="P143" s="78"/>
      <c r="Q143" s="78">
        <f t="shared" si="144"/>
        <v>0</v>
      </c>
      <c r="R143" s="78">
        <f>ROUND(Q143,0)</f>
        <v>0</v>
      </c>
      <c r="S143" s="78">
        <f t="shared" si="113"/>
        <v>0</v>
      </c>
      <c r="T143" s="79"/>
      <c r="U143" s="78">
        <f t="shared" si="162"/>
        <v>0</v>
      </c>
      <c r="V143" s="78">
        <f t="shared" si="114"/>
        <v>0</v>
      </c>
      <c r="W143" s="79"/>
      <c r="X143" s="78">
        <f t="shared" ref="X143:X144" si="163">ROUND(U143,0)</f>
        <v>0</v>
      </c>
      <c r="Y143" s="78">
        <f t="shared" si="115"/>
        <v>0</v>
      </c>
      <c r="Z143" s="79"/>
      <c r="AA143" s="78">
        <f t="shared" ref="AA143:AA144" si="164">ROUND(X143,0)</f>
        <v>0</v>
      </c>
      <c r="AB143" s="78">
        <f t="shared" si="116"/>
        <v>0</v>
      </c>
      <c r="AC143" s="79"/>
      <c r="AD143" s="78">
        <f t="shared" ref="AD143:AD144" si="165">ROUND(AA143,0)</f>
        <v>0</v>
      </c>
      <c r="AE143" s="78">
        <f t="shared" si="117"/>
        <v>0</v>
      </c>
      <c r="AF143" s="79"/>
      <c r="AG143" s="398"/>
      <c r="AH143" s="262">
        <v>0</v>
      </c>
      <c r="AI143" s="79" t="e">
        <f t="shared" si="155"/>
        <v>#DIV/0!</v>
      </c>
      <c r="AJ143" s="80"/>
      <c r="AK143" s="387" t="e">
        <f t="shared" si="156"/>
        <v>#REF!</v>
      </c>
    </row>
    <row r="144" spans="1:43" ht="18.75" customHeight="1" collapsed="1" x14ac:dyDescent="0.25">
      <c r="C144" s="231" t="s">
        <v>366</v>
      </c>
      <c r="D144" s="264" t="s">
        <v>367</v>
      </c>
      <c r="E144" s="75"/>
      <c r="F144" s="78"/>
      <c r="G144" s="77">
        <v>18831</v>
      </c>
      <c r="H144" s="77">
        <v>244000.35759999999</v>
      </c>
      <c r="I144" s="77">
        <v>198092</v>
      </c>
      <c r="J144" s="77">
        <v>0</v>
      </c>
      <c r="K144" s="78">
        <f>K54</f>
        <v>95460.85</v>
      </c>
      <c r="L144" s="78">
        <f>L53+L54</f>
        <v>1511343</v>
      </c>
      <c r="M144" s="78"/>
      <c r="N144" s="78"/>
      <c r="O144" s="78" t="e">
        <f>GETPIVOTDATA("Summa",[4]Pivot_investicijas!$A$3,"Nodaļa","0649")+GETPIVOTDATA("Summa",[4]Pivot_investicijas!$A$3,"Nodaļa","06493")-L144-K144</f>
        <v>#REF!</v>
      </c>
      <c r="P144" s="78">
        <f>[4]Baze_2020!D126+[4]Baze_2020!D130</f>
        <v>442754</v>
      </c>
      <c r="Q144" s="78" t="e">
        <f t="shared" si="144"/>
        <v>#REF!</v>
      </c>
      <c r="R144" s="78" t="e">
        <f>ROUND(Q144,0)</f>
        <v>#REF!</v>
      </c>
      <c r="S144" s="78" t="e">
        <f t="shared" si="113"/>
        <v>#REF!</v>
      </c>
      <c r="T144" s="79"/>
      <c r="U144" s="78" t="e">
        <f t="shared" si="162"/>
        <v>#REF!</v>
      </c>
      <c r="V144" s="78" t="e">
        <f t="shared" si="114"/>
        <v>#REF!</v>
      </c>
      <c r="W144" s="79"/>
      <c r="X144" s="78" t="e">
        <f t="shared" si="163"/>
        <v>#REF!</v>
      </c>
      <c r="Y144" s="78" t="e">
        <f t="shared" si="115"/>
        <v>#REF!</v>
      </c>
      <c r="Z144" s="79"/>
      <c r="AA144" s="78" t="e">
        <f t="shared" si="164"/>
        <v>#REF!</v>
      </c>
      <c r="AB144" s="78" t="e">
        <f t="shared" si="116"/>
        <v>#REF!</v>
      </c>
      <c r="AC144" s="79"/>
      <c r="AD144" s="78" t="e">
        <f t="shared" si="165"/>
        <v>#REF!</v>
      </c>
      <c r="AE144" s="78" t="e">
        <f t="shared" si="117"/>
        <v>#REF!</v>
      </c>
      <c r="AF144" s="79"/>
      <c r="AG144" s="398"/>
      <c r="AH144" s="265">
        <f>212352+64537</f>
        <v>276889</v>
      </c>
      <c r="AI144" s="79" t="e">
        <f t="shared" si="155"/>
        <v>#REF!</v>
      </c>
      <c r="AJ144" s="98"/>
      <c r="AK144" s="387" t="e">
        <f t="shared" si="156"/>
        <v>#REF!</v>
      </c>
    </row>
    <row r="145" spans="3:41" ht="16.899999999999999" customHeight="1" x14ac:dyDescent="0.25">
      <c r="C145" s="231" t="s">
        <v>368</v>
      </c>
      <c r="D145" s="264" t="s">
        <v>369</v>
      </c>
      <c r="E145" s="75"/>
      <c r="F145" s="78"/>
      <c r="G145" s="77"/>
      <c r="H145" s="77"/>
      <c r="I145" s="77"/>
      <c r="J145" s="77"/>
      <c r="K145" s="78">
        <f>K55</f>
        <v>115869.66</v>
      </c>
      <c r="L145" s="78">
        <f>L55</f>
        <v>46000</v>
      </c>
      <c r="M145" s="78"/>
      <c r="N145" s="78"/>
      <c r="O145" s="78" t="e">
        <f>GETPIVOTDATA("Summa",[4]Pivot_investicijas!$A$3,"Nodaļa","06452")+[4]Investicijas!K10+[4]Investicijas!K11-L145-K145</f>
        <v>#REF!</v>
      </c>
      <c r="P145" s="78"/>
      <c r="Q145" s="78" t="e">
        <f>K145+L145+M145+N145+O145+P145</f>
        <v>#REF!</v>
      </c>
      <c r="R145" s="78" t="e">
        <f>ROUND(Q145,0)</f>
        <v>#REF!</v>
      </c>
      <c r="S145" s="78"/>
      <c r="T145" s="79"/>
      <c r="U145" s="78" t="e">
        <f>ROUND(R145,0)-28651</f>
        <v>#REF!</v>
      </c>
      <c r="V145" s="78" t="e">
        <f t="shared" si="114"/>
        <v>#REF!</v>
      </c>
      <c r="W145" s="232" t="s">
        <v>370</v>
      </c>
      <c r="X145" s="78" t="e">
        <f>ROUND(U145,0)</f>
        <v>#REF!</v>
      </c>
      <c r="Y145" s="78" t="e">
        <f t="shared" si="115"/>
        <v>#REF!</v>
      </c>
      <c r="Z145" s="232"/>
      <c r="AA145" s="78" t="e">
        <f>ROUND(X145,0)</f>
        <v>#REF!</v>
      </c>
      <c r="AB145" s="78" t="e">
        <f t="shared" si="116"/>
        <v>#REF!</v>
      </c>
      <c r="AC145" s="232"/>
      <c r="AD145" s="78" t="e">
        <f>ROUND(AA145,0)</f>
        <v>#REF!</v>
      </c>
      <c r="AE145" s="78" t="e">
        <f t="shared" si="117"/>
        <v>#REF!</v>
      </c>
      <c r="AF145" s="232"/>
      <c r="AG145" s="397"/>
      <c r="AH145" s="269"/>
      <c r="AI145" s="79" t="e">
        <f t="shared" si="155"/>
        <v>#REF!</v>
      </c>
      <c r="AJ145" s="98"/>
      <c r="AK145" s="387" t="e">
        <f t="shared" si="156"/>
        <v>#REF!</v>
      </c>
    </row>
    <row r="146" spans="3:41" ht="75" customHeight="1" thickBot="1" x14ac:dyDescent="0.3">
      <c r="C146" s="231" t="s">
        <v>371</v>
      </c>
      <c r="D146" s="264" t="s">
        <v>293</v>
      </c>
      <c r="E146" s="75"/>
      <c r="F146" s="78"/>
      <c r="G146" s="77"/>
      <c r="H146" s="77">
        <v>105500</v>
      </c>
      <c r="I146" s="77">
        <v>104545</v>
      </c>
      <c r="J146" s="77">
        <v>688239</v>
      </c>
      <c r="K146" s="78"/>
      <c r="L146" s="149"/>
      <c r="M146" s="78">
        <f>M61</f>
        <v>298982</v>
      </c>
      <c r="N146" s="78">
        <f>N99</f>
        <v>1162946</v>
      </c>
      <c r="O146" s="78">
        <f>1482913+110641-M146-N146</f>
        <v>131626</v>
      </c>
      <c r="P146" s="78"/>
      <c r="Q146" s="60">
        <f t="shared" si="144"/>
        <v>1593554</v>
      </c>
      <c r="R146" s="78">
        <f>ROUND(Q146,0)</f>
        <v>1593554</v>
      </c>
      <c r="S146" s="78">
        <f t="shared" si="113"/>
        <v>0</v>
      </c>
      <c r="T146" s="79"/>
      <c r="U146" s="78">
        <f t="shared" si="162"/>
        <v>1593554</v>
      </c>
      <c r="V146" s="78">
        <f t="shared" si="114"/>
        <v>0</v>
      </c>
      <c r="W146" s="79"/>
      <c r="X146" s="78">
        <f t="shared" ref="X146" si="166">ROUND(U146,0)</f>
        <v>1593554</v>
      </c>
      <c r="Y146" s="78">
        <f t="shared" si="115"/>
        <v>0</v>
      </c>
      <c r="Z146" s="79"/>
      <c r="AA146" s="78">
        <f t="shared" ref="AA146" si="167">ROUND(X146,0)</f>
        <v>1593554</v>
      </c>
      <c r="AB146" s="78">
        <f t="shared" si="116"/>
        <v>0</v>
      </c>
      <c r="AC146" s="79"/>
      <c r="AD146" s="78">
        <f>ROUND(AA146,0)-298982-1162946+22386+373000+20000</f>
        <v>547012</v>
      </c>
      <c r="AE146" s="78">
        <f t="shared" si="117"/>
        <v>-1046542</v>
      </c>
      <c r="AF146" s="232" t="s">
        <v>372</v>
      </c>
      <c r="AG146" s="397"/>
      <c r="AH146" s="265">
        <v>22550</v>
      </c>
      <c r="AI146" s="79">
        <f t="shared" si="155"/>
        <v>1.4150759873841739E-2</v>
      </c>
      <c r="AJ146" s="98" t="s">
        <v>183</v>
      </c>
      <c r="AK146" s="387" t="e">
        <f t="shared" si="156"/>
        <v>#REF!</v>
      </c>
    </row>
    <row r="147" spans="3:41" ht="15.75" hidden="1" outlineLevel="1" thickBot="1" x14ac:dyDescent="0.3">
      <c r="C147" s="231" t="s">
        <v>373</v>
      </c>
      <c r="D147" s="264" t="s">
        <v>374</v>
      </c>
      <c r="E147" s="75"/>
      <c r="F147" s="78"/>
      <c r="G147" s="77">
        <v>133446</v>
      </c>
      <c r="H147" s="77">
        <v>0</v>
      </c>
      <c r="I147" s="77">
        <v>0</v>
      </c>
      <c r="J147" s="77">
        <v>0</v>
      </c>
      <c r="K147" s="78"/>
      <c r="L147" s="149"/>
      <c r="M147" s="78"/>
      <c r="N147" s="78"/>
      <c r="O147" s="78"/>
      <c r="P147" s="78"/>
      <c r="Q147" s="78">
        <f t="shared" si="144"/>
        <v>0</v>
      </c>
      <c r="R147" s="78">
        <v>0</v>
      </c>
      <c r="S147" s="78">
        <f t="shared" si="113"/>
        <v>0</v>
      </c>
      <c r="T147" s="79"/>
      <c r="U147" s="78">
        <v>0</v>
      </c>
      <c r="V147" s="78">
        <f t="shared" si="114"/>
        <v>0</v>
      </c>
      <c r="W147" s="79"/>
      <c r="X147" s="78">
        <v>0</v>
      </c>
      <c r="Y147" s="78">
        <f t="shared" si="115"/>
        <v>0</v>
      </c>
      <c r="Z147" s="79"/>
      <c r="AA147" s="78">
        <v>0</v>
      </c>
      <c r="AB147" s="78">
        <f t="shared" si="116"/>
        <v>0</v>
      </c>
      <c r="AC147" s="79"/>
      <c r="AD147" s="78">
        <v>0</v>
      </c>
      <c r="AE147" s="78">
        <f t="shared" si="117"/>
        <v>0</v>
      </c>
      <c r="AF147" s="79"/>
      <c r="AG147" s="398"/>
      <c r="AH147" s="269"/>
      <c r="AI147" s="79" t="e">
        <f t="shared" si="155"/>
        <v>#DIV/0!</v>
      </c>
      <c r="AJ147" s="80"/>
      <c r="AK147" s="387" t="e">
        <f t="shared" si="156"/>
        <v>#REF!</v>
      </c>
    </row>
    <row r="148" spans="3:41" ht="15.75" hidden="1" outlineLevel="1" thickBot="1" x14ac:dyDescent="0.3">
      <c r="C148" s="231" t="s">
        <v>375</v>
      </c>
      <c r="D148" s="264" t="s">
        <v>349</v>
      </c>
      <c r="E148" s="75"/>
      <c r="F148" s="78"/>
      <c r="G148" s="77">
        <v>132595</v>
      </c>
      <c r="H148" s="77"/>
      <c r="I148" s="77">
        <v>0</v>
      </c>
      <c r="J148" s="77">
        <v>0</v>
      </c>
      <c r="K148" s="78"/>
      <c r="L148" s="149"/>
      <c r="M148" s="78"/>
      <c r="N148" s="78"/>
      <c r="O148" s="78"/>
      <c r="P148" s="78"/>
      <c r="Q148" s="78">
        <f t="shared" si="144"/>
        <v>0</v>
      </c>
      <c r="R148" s="78">
        <v>0</v>
      </c>
      <c r="S148" s="78">
        <f t="shared" si="113"/>
        <v>0</v>
      </c>
      <c r="T148" s="79"/>
      <c r="U148" s="78">
        <v>0</v>
      </c>
      <c r="V148" s="78">
        <f t="shared" si="114"/>
        <v>0</v>
      </c>
      <c r="W148" s="79"/>
      <c r="X148" s="78">
        <v>0</v>
      </c>
      <c r="Y148" s="78">
        <f t="shared" si="115"/>
        <v>0</v>
      </c>
      <c r="Z148" s="79"/>
      <c r="AA148" s="78">
        <v>0</v>
      </c>
      <c r="AB148" s="78">
        <f t="shared" si="116"/>
        <v>0</v>
      </c>
      <c r="AC148" s="79"/>
      <c r="AD148" s="78">
        <v>0</v>
      </c>
      <c r="AE148" s="78">
        <f t="shared" si="117"/>
        <v>0</v>
      </c>
      <c r="AF148" s="79"/>
      <c r="AG148" s="398"/>
      <c r="AH148" s="269"/>
      <c r="AI148" s="79" t="e">
        <f t="shared" si="155"/>
        <v>#DIV/0!</v>
      </c>
      <c r="AJ148" s="80"/>
      <c r="AK148" s="387" t="e">
        <f t="shared" si="156"/>
        <v>#REF!</v>
      </c>
    </row>
    <row r="149" spans="3:41" collapsed="1" x14ac:dyDescent="0.25">
      <c r="C149" s="221" t="s">
        <v>73</v>
      </c>
      <c r="D149" s="222" t="s">
        <v>376</v>
      </c>
      <c r="E149" s="69">
        <f>E150+E151+E152+E157+E158</f>
        <v>762313.22885470244</v>
      </c>
      <c r="F149" s="270">
        <f t="shared" ref="F149:N149" si="168">F150+F151+F152+F157+F158+F159</f>
        <v>1003061.066</v>
      </c>
      <c r="G149" s="71">
        <f>G150+G151+G152+G157+G158+G159</f>
        <v>1487275</v>
      </c>
      <c r="H149" s="71">
        <v>988573</v>
      </c>
      <c r="I149" s="71">
        <f>I150+I151+I152+I157+I158+I159</f>
        <v>1105111</v>
      </c>
      <c r="J149" s="71">
        <v>1118155</v>
      </c>
      <c r="K149" s="72">
        <f t="shared" si="168"/>
        <v>0</v>
      </c>
      <c r="L149" s="72">
        <f t="shared" si="168"/>
        <v>7543</v>
      </c>
      <c r="M149" s="72">
        <f t="shared" si="168"/>
        <v>0</v>
      </c>
      <c r="N149" s="72">
        <f t="shared" si="168"/>
        <v>0</v>
      </c>
      <c r="O149" s="72" t="e">
        <f>O150+O151+O152+O157+O158+O159</f>
        <v>#REF!</v>
      </c>
      <c r="P149" s="72">
        <f>P150+P151+P152+P157+P158+P159</f>
        <v>920142</v>
      </c>
      <c r="Q149" s="72" t="e">
        <f t="shared" si="144"/>
        <v>#REF!</v>
      </c>
      <c r="R149" s="72" t="e">
        <f>R150+R151+R152+R157+R158+R159</f>
        <v>#REF!</v>
      </c>
      <c r="S149" s="72" t="e">
        <f t="shared" si="113"/>
        <v>#REF!</v>
      </c>
      <c r="T149" s="73"/>
      <c r="U149" s="72" t="e">
        <f>U150+U151+U152+U157+U158+U159</f>
        <v>#REF!</v>
      </c>
      <c r="V149" s="72" t="e">
        <f t="shared" si="114"/>
        <v>#REF!</v>
      </c>
      <c r="W149" s="73"/>
      <c r="X149" s="72" t="e">
        <f>X150+X151+X152+X157+X158+X159</f>
        <v>#REF!</v>
      </c>
      <c r="Y149" s="72" t="e">
        <f t="shared" si="115"/>
        <v>#REF!</v>
      </c>
      <c r="Z149" s="73"/>
      <c r="AA149" s="72" t="e">
        <f>AA150+AA151+AA152+AA157+AA158+AA159</f>
        <v>#REF!</v>
      </c>
      <c r="AB149" s="72" t="e">
        <f t="shared" si="116"/>
        <v>#REF!</v>
      </c>
      <c r="AC149" s="73"/>
      <c r="AD149" s="72" t="e">
        <f>AD150+AD151+AD152+AD157+AD158+AD159</f>
        <v>#REF!</v>
      </c>
      <c r="AE149" s="72" t="e">
        <f t="shared" si="117"/>
        <v>#REF!</v>
      </c>
      <c r="AF149" s="73"/>
      <c r="AG149" s="73"/>
      <c r="AH149" s="72">
        <f>AH150+AH151+AH152+AH157+AH158+AH159</f>
        <v>320822</v>
      </c>
      <c r="AI149" s="73" t="e">
        <f t="shared" si="155"/>
        <v>#REF!</v>
      </c>
      <c r="AJ149" s="271">
        <f>(AH149)/$AH$233</f>
        <v>3.4031108314486108E-2</v>
      </c>
      <c r="AK149" s="387" t="e">
        <f t="shared" si="156"/>
        <v>#REF!</v>
      </c>
    </row>
    <row r="150" spans="3:41" ht="17.25" customHeight="1" x14ac:dyDescent="0.25">
      <c r="C150" s="211" t="s">
        <v>76</v>
      </c>
      <c r="D150" s="212" t="s">
        <v>377</v>
      </c>
      <c r="E150" s="130">
        <f>314660.986562399+1550+300+18375</f>
        <v>334885.98656239902</v>
      </c>
      <c r="F150" s="272">
        <f>407695+787*2*1.2359*10+2</f>
        <v>427150.06599999999</v>
      </c>
      <c r="G150" s="132">
        <v>421626</v>
      </c>
      <c r="H150" s="132">
        <v>438134</v>
      </c>
      <c r="I150" s="132">
        <v>486841</v>
      </c>
      <c r="J150" s="132">
        <v>507684</v>
      </c>
      <c r="K150" s="133"/>
      <c r="L150" s="133">
        <f>L49</f>
        <v>7543</v>
      </c>
      <c r="M150" s="133"/>
      <c r="N150" s="133"/>
      <c r="O150" s="133" t="e">
        <f>GETPIVOTDATA("Summa",[4]Pivot_investicijas!$A$3,"Nodaļa","0841")</f>
        <v>#REF!</v>
      </c>
      <c r="P150" s="133">
        <f>[4]Baze_2020!D140</f>
        <v>399041</v>
      </c>
      <c r="Q150" s="133" t="e">
        <f t="shared" si="144"/>
        <v>#REF!</v>
      </c>
      <c r="R150" s="133" t="e">
        <f t="shared" ref="R150:R159" si="169">ROUND(Q150,0)</f>
        <v>#REF!</v>
      </c>
      <c r="S150" s="133" t="e">
        <f t="shared" si="113"/>
        <v>#REF!</v>
      </c>
      <c r="T150" s="135"/>
      <c r="U150" s="133" t="e">
        <f t="shared" ref="U150:U159" si="170">ROUND(R150,0)</f>
        <v>#REF!</v>
      </c>
      <c r="V150" s="133" t="e">
        <f t="shared" si="114"/>
        <v>#REF!</v>
      </c>
      <c r="W150" s="135"/>
      <c r="X150" s="133" t="e">
        <f>ROUND(U150,0)-905</f>
        <v>#REF!</v>
      </c>
      <c r="Y150" s="133" t="e">
        <f t="shared" si="115"/>
        <v>#REF!</v>
      </c>
      <c r="Z150" s="134" t="s">
        <v>378</v>
      </c>
      <c r="AA150" s="133" t="e">
        <f>ROUND(X150,0)</f>
        <v>#REF!</v>
      </c>
      <c r="AB150" s="133" t="e">
        <f t="shared" si="116"/>
        <v>#REF!</v>
      </c>
      <c r="AC150" s="134"/>
      <c r="AD150" s="133" t="e">
        <f>ROUND(AA150,0)</f>
        <v>#REF!</v>
      </c>
      <c r="AE150" s="133" t="e">
        <f t="shared" si="117"/>
        <v>#REF!</v>
      </c>
      <c r="AF150" s="134"/>
      <c r="AG150" s="134"/>
      <c r="AH150" s="133">
        <v>117219</v>
      </c>
      <c r="AI150" s="135" t="e">
        <f t="shared" si="155"/>
        <v>#REF!</v>
      </c>
      <c r="AJ150" s="135"/>
      <c r="AK150" s="387" t="e">
        <f t="shared" si="156"/>
        <v>#REF!</v>
      </c>
      <c r="AL150" s="391"/>
    </row>
    <row r="151" spans="3:41" ht="18.600000000000001" customHeight="1" x14ac:dyDescent="0.25">
      <c r="C151" s="211" t="s">
        <v>88</v>
      </c>
      <c r="D151" s="212" t="s">
        <v>379</v>
      </c>
      <c r="E151" s="130">
        <f>33409.030113659+3805</f>
        <v>37214.030113658999</v>
      </c>
      <c r="F151" s="272">
        <v>72465</v>
      </c>
      <c r="G151" s="132">
        <v>70072</v>
      </c>
      <c r="H151" s="132">
        <v>75701</v>
      </c>
      <c r="I151" s="132">
        <v>83701</v>
      </c>
      <c r="J151" s="132">
        <v>102384</v>
      </c>
      <c r="K151" s="133"/>
      <c r="L151" s="133"/>
      <c r="M151" s="133"/>
      <c r="N151" s="133"/>
      <c r="O151" s="133"/>
      <c r="P151" s="133">
        <f>[4]Baze_2020!D152</f>
        <v>106000</v>
      </c>
      <c r="Q151" s="133">
        <f t="shared" si="144"/>
        <v>106000</v>
      </c>
      <c r="R151" s="133">
        <f t="shared" si="169"/>
        <v>106000</v>
      </c>
      <c r="S151" s="133">
        <f t="shared" si="113"/>
        <v>0</v>
      </c>
      <c r="T151" s="135"/>
      <c r="U151" s="133">
        <f t="shared" si="170"/>
        <v>106000</v>
      </c>
      <c r="V151" s="133">
        <f t="shared" si="114"/>
        <v>0</v>
      </c>
      <c r="W151" s="135"/>
      <c r="X151" s="133">
        <f t="shared" ref="X151:X159" si="171">ROUND(U151,0)</f>
        <v>106000</v>
      </c>
      <c r="Y151" s="133">
        <f t="shared" si="115"/>
        <v>0</v>
      </c>
      <c r="Z151" s="135"/>
      <c r="AA151" s="133">
        <f>ROUND(X151,0)+1271</f>
        <v>107271</v>
      </c>
      <c r="AB151" s="133">
        <f t="shared" si="116"/>
        <v>1271</v>
      </c>
      <c r="AC151" s="273" t="s">
        <v>380</v>
      </c>
      <c r="AD151" s="133">
        <f>ROUND(AA151,0)</f>
        <v>107271</v>
      </c>
      <c r="AE151" s="133">
        <f t="shared" si="117"/>
        <v>0</v>
      </c>
      <c r="AF151" s="273"/>
      <c r="AG151" s="273"/>
      <c r="AH151" s="133">
        <v>39799</v>
      </c>
      <c r="AI151" s="135">
        <f t="shared" si="155"/>
        <v>0.37546226415094341</v>
      </c>
      <c r="AJ151" s="274"/>
      <c r="AK151" s="387" t="e">
        <f t="shared" si="156"/>
        <v>#REF!</v>
      </c>
    </row>
    <row r="152" spans="3:41" ht="14.25" customHeight="1" x14ac:dyDescent="0.25">
      <c r="C152" s="211" t="s">
        <v>381</v>
      </c>
      <c r="D152" s="212" t="s">
        <v>382</v>
      </c>
      <c r="E152" s="130">
        <f>333136.977023466+2455+10210+17625</f>
        <v>363426.97702346602</v>
      </c>
      <c r="F152" s="272">
        <f>401845+32885+4486</f>
        <v>439216</v>
      </c>
      <c r="G152" s="132">
        <v>453893</v>
      </c>
      <c r="H152" s="132">
        <v>422818</v>
      </c>
      <c r="I152" s="132">
        <v>457330</v>
      </c>
      <c r="J152" s="132">
        <v>433218</v>
      </c>
      <c r="K152" s="133"/>
      <c r="L152" s="133"/>
      <c r="M152" s="133"/>
      <c r="N152" s="133"/>
      <c r="O152" s="133" t="e">
        <f>GETPIVOTDATA("Summa",[4]Pivot_investicijas!$A$3,"Nodaļa","0812")</f>
        <v>#REF!</v>
      </c>
      <c r="P152" s="133">
        <f>[4]Baze_2020!D157</f>
        <v>363993</v>
      </c>
      <c r="Q152" s="133" t="e">
        <f t="shared" si="144"/>
        <v>#REF!</v>
      </c>
      <c r="R152" s="133" t="e">
        <f t="shared" si="169"/>
        <v>#REF!</v>
      </c>
      <c r="S152" s="133" t="e">
        <f t="shared" si="113"/>
        <v>#REF!</v>
      </c>
      <c r="T152" s="135"/>
      <c r="U152" s="133" t="e">
        <f t="shared" si="170"/>
        <v>#REF!</v>
      </c>
      <c r="V152" s="133" t="e">
        <f t="shared" si="114"/>
        <v>#REF!</v>
      </c>
      <c r="W152" s="135"/>
      <c r="X152" s="133" t="e">
        <f t="shared" si="171"/>
        <v>#REF!</v>
      </c>
      <c r="Y152" s="133" t="e">
        <f t="shared" si="115"/>
        <v>#REF!</v>
      </c>
      <c r="Z152" s="135"/>
      <c r="AA152" s="133" t="e">
        <f t="shared" ref="AA152:AA159" si="172">ROUND(X152,0)</f>
        <v>#REF!</v>
      </c>
      <c r="AB152" s="133" t="e">
        <f t="shared" si="116"/>
        <v>#REF!</v>
      </c>
      <c r="AC152" s="135"/>
      <c r="AD152" s="133" t="e">
        <f t="shared" ref="AD152:AD159" si="173">ROUND(AA152,0)</f>
        <v>#REF!</v>
      </c>
      <c r="AE152" s="133" t="e">
        <f t="shared" si="117"/>
        <v>#REF!</v>
      </c>
      <c r="AF152" s="135"/>
      <c r="AG152" s="135"/>
      <c r="AH152" s="133">
        <v>154227</v>
      </c>
      <c r="AI152" s="135" t="e">
        <f t="shared" si="155"/>
        <v>#REF!</v>
      </c>
      <c r="AJ152" s="135"/>
      <c r="AK152" s="387" t="e">
        <f t="shared" si="156"/>
        <v>#REF!</v>
      </c>
    </row>
    <row r="153" spans="3:41" s="220" customFormat="1" ht="15" hidden="1" customHeight="1" outlineLevel="1" x14ac:dyDescent="0.25">
      <c r="C153" s="54" t="s">
        <v>383</v>
      </c>
      <c r="D153" s="54" t="s">
        <v>384</v>
      </c>
      <c r="E153" s="214">
        <v>590475</v>
      </c>
      <c r="F153" s="215">
        <v>590475</v>
      </c>
      <c r="G153" s="216">
        <v>590475</v>
      </c>
      <c r="H153" s="216">
        <v>590475</v>
      </c>
      <c r="I153" s="132">
        <v>590475</v>
      </c>
      <c r="J153" s="132">
        <v>590475</v>
      </c>
      <c r="K153" s="217"/>
      <c r="L153" s="217"/>
      <c r="M153" s="217"/>
      <c r="N153" s="217"/>
      <c r="O153" s="217"/>
      <c r="P153" s="217">
        <v>590475</v>
      </c>
      <c r="Q153" s="133">
        <f t="shared" si="144"/>
        <v>590475</v>
      </c>
      <c r="R153" s="133">
        <f t="shared" si="169"/>
        <v>590475</v>
      </c>
      <c r="S153" s="133">
        <f t="shared" si="113"/>
        <v>0</v>
      </c>
      <c r="T153" s="218"/>
      <c r="U153" s="133">
        <f t="shared" si="170"/>
        <v>590475</v>
      </c>
      <c r="V153" s="133">
        <f t="shared" si="114"/>
        <v>0</v>
      </c>
      <c r="W153" s="218"/>
      <c r="X153" s="133">
        <f t="shared" si="171"/>
        <v>590475</v>
      </c>
      <c r="Y153" s="133">
        <f t="shared" si="115"/>
        <v>0</v>
      </c>
      <c r="Z153" s="218"/>
      <c r="AA153" s="133">
        <f t="shared" si="172"/>
        <v>590475</v>
      </c>
      <c r="AB153" s="133">
        <f t="shared" si="116"/>
        <v>0</v>
      </c>
      <c r="AC153" s="218"/>
      <c r="AD153" s="133">
        <f t="shared" si="173"/>
        <v>590475</v>
      </c>
      <c r="AE153" s="133">
        <f t="shared" si="117"/>
        <v>0</v>
      </c>
      <c r="AF153" s="218"/>
      <c r="AG153" s="218"/>
      <c r="AH153" s="275"/>
      <c r="AI153" s="218">
        <f t="shared" si="155"/>
        <v>0</v>
      </c>
      <c r="AJ153" s="276"/>
      <c r="AK153" s="387" t="e">
        <f t="shared" si="156"/>
        <v>#REF!</v>
      </c>
      <c r="AL153" s="378"/>
      <c r="AM153" s="378"/>
      <c r="AN153" s="378"/>
      <c r="AO153" s="378"/>
    </row>
    <row r="154" spans="3:41" s="220" customFormat="1" ht="15" hidden="1" customHeight="1" outlineLevel="1" x14ac:dyDescent="0.25">
      <c r="C154" s="54" t="s">
        <v>385</v>
      </c>
      <c r="D154" s="54" t="s">
        <v>386</v>
      </c>
      <c r="E154" s="214"/>
      <c r="F154" s="215"/>
      <c r="G154" s="216">
        <v>0</v>
      </c>
      <c r="H154" s="216">
        <v>0</v>
      </c>
      <c r="I154" s="132">
        <v>0</v>
      </c>
      <c r="J154" s="132">
        <v>0</v>
      </c>
      <c r="K154" s="217"/>
      <c r="L154" s="217"/>
      <c r="M154" s="217"/>
      <c r="N154" s="217"/>
      <c r="O154" s="217"/>
      <c r="P154" s="217"/>
      <c r="Q154" s="133">
        <f t="shared" si="144"/>
        <v>0</v>
      </c>
      <c r="R154" s="133">
        <f t="shared" si="169"/>
        <v>0</v>
      </c>
      <c r="S154" s="133">
        <f t="shared" si="113"/>
        <v>0</v>
      </c>
      <c r="T154" s="218"/>
      <c r="U154" s="133">
        <f t="shared" si="170"/>
        <v>0</v>
      </c>
      <c r="V154" s="133">
        <f t="shared" si="114"/>
        <v>0</v>
      </c>
      <c r="W154" s="218"/>
      <c r="X154" s="133">
        <f t="shared" si="171"/>
        <v>0</v>
      </c>
      <c r="Y154" s="133">
        <f t="shared" si="115"/>
        <v>0</v>
      </c>
      <c r="Z154" s="218"/>
      <c r="AA154" s="133">
        <f t="shared" si="172"/>
        <v>0</v>
      </c>
      <c r="AB154" s="133">
        <f t="shared" si="116"/>
        <v>0</v>
      </c>
      <c r="AC154" s="218"/>
      <c r="AD154" s="133">
        <f t="shared" si="173"/>
        <v>0</v>
      </c>
      <c r="AE154" s="133">
        <f t="shared" si="117"/>
        <v>0</v>
      </c>
      <c r="AF154" s="218"/>
      <c r="AG154" s="218"/>
      <c r="AH154" s="275"/>
      <c r="AI154" s="218" t="e">
        <f t="shared" si="155"/>
        <v>#DIV/0!</v>
      </c>
      <c r="AJ154" s="276"/>
      <c r="AK154" s="387" t="e">
        <f t="shared" si="156"/>
        <v>#REF!</v>
      </c>
      <c r="AL154" s="378"/>
      <c r="AM154" s="378"/>
      <c r="AN154" s="378"/>
      <c r="AO154" s="378"/>
    </row>
    <row r="155" spans="3:41" s="220" customFormat="1" ht="15" hidden="1" customHeight="1" outlineLevel="1" x14ac:dyDescent="0.25">
      <c r="C155" s="54" t="s">
        <v>387</v>
      </c>
      <c r="D155" s="54" t="s">
        <v>388</v>
      </c>
      <c r="E155" s="194"/>
      <c r="F155" s="195"/>
      <c r="G155" s="196">
        <v>0</v>
      </c>
      <c r="H155" s="196">
        <v>0</v>
      </c>
      <c r="I155" s="132">
        <v>0</v>
      </c>
      <c r="J155" s="277">
        <v>0</v>
      </c>
      <c r="K155" s="1"/>
      <c r="L155" s="1"/>
      <c r="M155" s="1"/>
      <c r="N155" s="1"/>
      <c r="O155" s="1"/>
      <c r="P155" s="1"/>
      <c r="Q155" s="133">
        <f t="shared" si="144"/>
        <v>0</v>
      </c>
      <c r="R155" s="133">
        <f t="shared" si="169"/>
        <v>0</v>
      </c>
      <c r="S155" s="133">
        <f t="shared" si="113"/>
        <v>0</v>
      </c>
      <c r="T155" s="24"/>
      <c r="U155" s="133">
        <f t="shared" si="170"/>
        <v>0</v>
      </c>
      <c r="V155" s="133">
        <f t="shared" si="114"/>
        <v>0</v>
      </c>
      <c r="W155" s="24"/>
      <c r="X155" s="133">
        <f t="shared" si="171"/>
        <v>0</v>
      </c>
      <c r="Y155" s="133">
        <f t="shared" si="115"/>
        <v>0</v>
      </c>
      <c r="Z155" s="24"/>
      <c r="AA155" s="133">
        <f t="shared" si="172"/>
        <v>0</v>
      </c>
      <c r="AB155" s="133">
        <f t="shared" si="116"/>
        <v>0</v>
      </c>
      <c r="AC155" s="24"/>
      <c r="AD155" s="133">
        <f t="shared" si="173"/>
        <v>0</v>
      </c>
      <c r="AE155" s="133">
        <f t="shared" si="117"/>
        <v>0</v>
      </c>
      <c r="AF155" s="24"/>
      <c r="AG155" s="24"/>
      <c r="AH155" s="278"/>
      <c r="AI155" s="24" t="e">
        <f t="shared" si="155"/>
        <v>#DIV/0!</v>
      </c>
      <c r="AJ155" s="25"/>
      <c r="AK155" s="387" t="e">
        <f t="shared" si="156"/>
        <v>#REF!</v>
      </c>
      <c r="AL155" s="378"/>
      <c r="AM155" s="378"/>
      <c r="AN155" s="378"/>
      <c r="AO155" s="378"/>
    </row>
    <row r="156" spans="3:41" s="220" customFormat="1" ht="15" hidden="1" customHeight="1" outlineLevel="1" x14ac:dyDescent="0.25">
      <c r="C156" s="54" t="s">
        <v>389</v>
      </c>
      <c r="D156" s="54" t="s">
        <v>390</v>
      </c>
      <c r="E156" s="194" t="e">
        <v>#REF!</v>
      </c>
      <c r="F156" s="195" t="e">
        <v>#REF!</v>
      </c>
      <c r="G156" s="196" t="e">
        <v>#REF!</v>
      </c>
      <c r="H156" s="196" t="e">
        <v>#REF!</v>
      </c>
      <c r="I156" s="132" t="e">
        <v>#REF!</v>
      </c>
      <c r="J156" s="277" t="e">
        <v>#REF!</v>
      </c>
      <c r="K156" s="1"/>
      <c r="L156" s="1"/>
      <c r="M156" s="1">
        <v>9450</v>
      </c>
      <c r="N156" s="1"/>
      <c r="O156" s="1"/>
      <c r="P156" s="1" t="e">
        <v>#REF!</v>
      </c>
      <c r="Q156" s="133" t="e">
        <f t="shared" si="144"/>
        <v>#REF!</v>
      </c>
      <c r="R156" s="133" t="e">
        <f t="shared" si="169"/>
        <v>#REF!</v>
      </c>
      <c r="S156" s="133" t="e">
        <f t="shared" si="113"/>
        <v>#REF!</v>
      </c>
      <c r="T156" s="24"/>
      <c r="U156" s="133" t="e">
        <f t="shared" si="170"/>
        <v>#REF!</v>
      </c>
      <c r="V156" s="133" t="e">
        <f t="shared" si="114"/>
        <v>#REF!</v>
      </c>
      <c r="W156" s="24"/>
      <c r="X156" s="133" t="e">
        <f t="shared" si="171"/>
        <v>#REF!</v>
      </c>
      <c r="Y156" s="133" t="e">
        <f t="shared" si="115"/>
        <v>#REF!</v>
      </c>
      <c r="Z156" s="24"/>
      <c r="AA156" s="133" t="e">
        <f t="shared" si="172"/>
        <v>#REF!</v>
      </c>
      <c r="AB156" s="133" t="e">
        <f t="shared" si="116"/>
        <v>#REF!</v>
      </c>
      <c r="AC156" s="24"/>
      <c r="AD156" s="133" t="e">
        <f t="shared" si="173"/>
        <v>#REF!</v>
      </c>
      <c r="AE156" s="133" t="e">
        <f t="shared" si="117"/>
        <v>#REF!</v>
      </c>
      <c r="AF156" s="24"/>
      <c r="AG156" s="24"/>
      <c r="AH156" s="278"/>
      <c r="AI156" s="24" t="e">
        <f t="shared" si="155"/>
        <v>#REF!</v>
      </c>
      <c r="AJ156" s="25"/>
      <c r="AK156" s="387" t="e">
        <f t="shared" si="156"/>
        <v>#REF!</v>
      </c>
      <c r="AL156" s="378"/>
      <c r="AM156" s="378"/>
      <c r="AN156" s="378"/>
      <c r="AO156" s="378"/>
    </row>
    <row r="157" spans="3:41" ht="15.75" customHeight="1" collapsed="1" x14ac:dyDescent="0.25">
      <c r="C157" s="211" t="s">
        <v>391</v>
      </c>
      <c r="D157" s="212" t="s">
        <v>392</v>
      </c>
      <c r="E157" s="130">
        <v>2845.743621265673</v>
      </c>
      <c r="F157" s="272">
        <f>1500*2</f>
        <v>3000</v>
      </c>
      <c r="G157" s="132">
        <v>3000</v>
      </c>
      <c r="H157" s="132">
        <v>3000</v>
      </c>
      <c r="I157" s="132">
        <v>3000</v>
      </c>
      <c r="J157" s="132">
        <v>3000</v>
      </c>
      <c r="K157" s="133"/>
      <c r="L157" s="133"/>
      <c r="M157" s="133"/>
      <c r="N157" s="133"/>
      <c r="O157" s="133"/>
      <c r="P157" s="133">
        <f>[4]Baze_2020!D162</f>
        <v>3000</v>
      </c>
      <c r="Q157" s="133">
        <f t="shared" si="144"/>
        <v>3000</v>
      </c>
      <c r="R157" s="133">
        <f t="shared" si="169"/>
        <v>3000</v>
      </c>
      <c r="S157" s="133">
        <f t="shared" si="113"/>
        <v>0</v>
      </c>
      <c r="T157" s="135"/>
      <c r="U157" s="133">
        <f t="shared" si="170"/>
        <v>3000</v>
      </c>
      <c r="V157" s="133">
        <f t="shared" si="114"/>
        <v>0</v>
      </c>
      <c r="W157" s="135"/>
      <c r="X157" s="133">
        <f t="shared" si="171"/>
        <v>3000</v>
      </c>
      <c r="Y157" s="133">
        <f t="shared" si="115"/>
        <v>0</v>
      </c>
      <c r="Z157" s="135"/>
      <c r="AA157" s="133">
        <f t="shared" si="172"/>
        <v>3000</v>
      </c>
      <c r="AB157" s="133">
        <f t="shared" si="116"/>
        <v>0</v>
      </c>
      <c r="AC157" s="135"/>
      <c r="AD157" s="133">
        <f t="shared" si="173"/>
        <v>3000</v>
      </c>
      <c r="AE157" s="133">
        <f t="shared" si="117"/>
        <v>0</v>
      </c>
      <c r="AF157" s="135"/>
      <c r="AG157" s="135"/>
      <c r="AH157" s="133">
        <v>1500</v>
      </c>
      <c r="AI157" s="135">
        <f t="shared" si="155"/>
        <v>0.5</v>
      </c>
      <c r="AJ157" s="135" t="s">
        <v>393</v>
      </c>
      <c r="AK157" s="387" t="e">
        <f t="shared" si="156"/>
        <v>#REF!</v>
      </c>
    </row>
    <row r="158" spans="3:41" ht="18.75" customHeight="1" x14ac:dyDescent="0.25">
      <c r="C158" s="211" t="s">
        <v>394</v>
      </c>
      <c r="D158" s="212" t="s">
        <v>395</v>
      </c>
      <c r="E158" s="130">
        <f>22737.4915339127+1203</f>
        <v>23940.4915339127</v>
      </c>
      <c r="F158" s="272">
        <v>61230</v>
      </c>
      <c r="G158" s="132">
        <v>45624</v>
      </c>
      <c r="H158" s="132">
        <v>30470</v>
      </c>
      <c r="I158" s="132">
        <v>55109</v>
      </c>
      <c r="J158" s="132">
        <v>52659</v>
      </c>
      <c r="K158" s="133"/>
      <c r="L158" s="133"/>
      <c r="M158" s="133"/>
      <c r="N158" s="133"/>
      <c r="O158" s="133" t="e">
        <f>GETPIVOTDATA("Summa",[4]Pivot_investicijas!$A$3,"Nodaļa","0842")</f>
        <v>#REF!</v>
      </c>
      <c r="P158" s="133">
        <f>[4]Baze_2020!D163</f>
        <v>28880</v>
      </c>
      <c r="Q158" s="133" t="e">
        <f t="shared" si="144"/>
        <v>#REF!</v>
      </c>
      <c r="R158" s="133" t="e">
        <f t="shared" si="169"/>
        <v>#REF!</v>
      </c>
      <c r="S158" s="133" t="e">
        <f t="shared" si="113"/>
        <v>#REF!</v>
      </c>
      <c r="T158" s="135"/>
      <c r="U158" s="133" t="e">
        <f t="shared" si="170"/>
        <v>#REF!</v>
      </c>
      <c r="V158" s="133" t="e">
        <f t="shared" si="114"/>
        <v>#REF!</v>
      </c>
      <c r="W158" s="135"/>
      <c r="X158" s="133" t="e">
        <f t="shared" si="171"/>
        <v>#REF!</v>
      </c>
      <c r="Y158" s="133" t="e">
        <f t="shared" si="115"/>
        <v>#REF!</v>
      </c>
      <c r="Z158" s="135"/>
      <c r="AA158" s="133" t="e">
        <f t="shared" si="172"/>
        <v>#REF!</v>
      </c>
      <c r="AB158" s="133" t="e">
        <f t="shared" si="116"/>
        <v>#REF!</v>
      </c>
      <c r="AC158" s="135"/>
      <c r="AD158" s="133" t="e">
        <f t="shared" si="173"/>
        <v>#REF!</v>
      </c>
      <c r="AE158" s="133" t="e">
        <f t="shared" si="117"/>
        <v>#REF!</v>
      </c>
      <c r="AF158" s="135"/>
      <c r="AG158" s="135"/>
      <c r="AH158" s="133">
        <v>8077</v>
      </c>
      <c r="AI158" s="135" t="e">
        <f t="shared" si="155"/>
        <v>#REF!</v>
      </c>
      <c r="AJ158" s="274"/>
      <c r="AK158" s="387" t="e">
        <f t="shared" si="156"/>
        <v>#REF!</v>
      </c>
    </row>
    <row r="159" spans="3:41" ht="17.25" customHeight="1" thickBot="1" x14ac:dyDescent="0.3">
      <c r="C159" s="211" t="s">
        <v>396</v>
      </c>
      <c r="D159" s="212" t="s">
        <v>397</v>
      </c>
      <c r="E159" s="130"/>
      <c r="F159" s="272"/>
      <c r="G159" s="132">
        <v>493060</v>
      </c>
      <c r="H159" s="132">
        <v>18450</v>
      </c>
      <c r="I159" s="132">
        <v>19130</v>
      </c>
      <c r="J159" s="132">
        <v>19210</v>
      </c>
      <c r="K159" s="133"/>
      <c r="L159" s="133"/>
      <c r="M159" s="133"/>
      <c r="N159" s="133"/>
      <c r="O159" s="133"/>
      <c r="P159" s="133">
        <f>[4]Baze_2020!D210</f>
        <v>19228</v>
      </c>
      <c r="Q159" s="133">
        <f t="shared" si="144"/>
        <v>19228</v>
      </c>
      <c r="R159" s="133">
        <f t="shared" si="169"/>
        <v>19228</v>
      </c>
      <c r="S159" s="133">
        <f t="shared" si="113"/>
        <v>0</v>
      </c>
      <c r="T159" s="135"/>
      <c r="U159" s="133">
        <f t="shared" si="170"/>
        <v>19228</v>
      </c>
      <c r="V159" s="133">
        <f t="shared" si="114"/>
        <v>0</v>
      </c>
      <c r="W159" s="135"/>
      <c r="X159" s="133">
        <f t="shared" si="171"/>
        <v>19228</v>
      </c>
      <c r="Y159" s="133">
        <f t="shared" si="115"/>
        <v>0</v>
      </c>
      <c r="Z159" s="135"/>
      <c r="AA159" s="133">
        <f t="shared" si="172"/>
        <v>19228</v>
      </c>
      <c r="AB159" s="133">
        <f t="shared" si="116"/>
        <v>0</v>
      </c>
      <c r="AC159" s="135"/>
      <c r="AD159" s="133">
        <f t="shared" si="173"/>
        <v>19228</v>
      </c>
      <c r="AE159" s="133">
        <f t="shared" si="117"/>
        <v>0</v>
      </c>
      <c r="AF159" s="135"/>
      <c r="AG159" s="135"/>
      <c r="AH159" s="133">
        <v>0</v>
      </c>
      <c r="AI159" s="135">
        <f t="shared" si="155"/>
        <v>0</v>
      </c>
      <c r="AJ159" s="274"/>
      <c r="AK159" s="387" t="e">
        <f t="shared" si="156"/>
        <v>#REF!</v>
      </c>
    </row>
    <row r="160" spans="3:41" s="10" customFormat="1" x14ac:dyDescent="0.25">
      <c r="C160" s="221" t="s">
        <v>109</v>
      </c>
      <c r="D160" s="222" t="s">
        <v>398</v>
      </c>
      <c r="E160" s="69">
        <f>E161+E164+E168</f>
        <v>524010.96645437385</v>
      </c>
      <c r="F160" s="70">
        <f>F161+F164+F168</f>
        <v>538581</v>
      </c>
      <c r="G160" s="71">
        <f>G161+G164+G168</f>
        <v>538926.63</v>
      </c>
      <c r="H160" s="71">
        <v>549152</v>
      </c>
      <c r="I160" s="71">
        <f>I161+I164+I167+I168</f>
        <v>609567.08000000007</v>
      </c>
      <c r="J160" s="71">
        <v>1271311</v>
      </c>
      <c r="K160" s="72">
        <f>K161+K164+K167+K168</f>
        <v>7610</v>
      </c>
      <c r="L160" s="72">
        <f t="shared" ref="L160:Q160" si="174">L161+L164+L167+L168</f>
        <v>72202</v>
      </c>
      <c r="M160" s="72">
        <f t="shared" si="174"/>
        <v>786274</v>
      </c>
      <c r="N160" s="72">
        <f t="shared" si="174"/>
        <v>192466</v>
      </c>
      <c r="O160" s="72" t="e">
        <f t="shared" si="174"/>
        <v>#REF!</v>
      </c>
      <c r="P160" s="72">
        <f t="shared" si="174"/>
        <v>633324</v>
      </c>
      <c r="Q160" s="72" t="e">
        <f t="shared" si="174"/>
        <v>#REF!</v>
      </c>
      <c r="R160" s="72" t="e">
        <f>R161+R164+R167+R168</f>
        <v>#REF!</v>
      </c>
      <c r="S160" s="72" t="e">
        <f t="shared" si="113"/>
        <v>#REF!</v>
      </c>
      <c r="T160" s="73"/>
      <c r="U160" s="72" t="e">
        <f>U161+U164+U167+U168</f>
        <v>#REF!</v>
      </c>
      <c r="V160" s="72" t="e">
        <f t="shared" si="114"/>
        <v>#REF!</v>
      </c>
      <c r="W160" s="73"/>
      <c r="X160" s="72" t="e">
        <f>X161+X164+X167+X168</f>
        <v>#REF!</v>
      </c>
      <c r="Y160" s="72" t="e">
        <f t="shared" si="115"/>
        <v>#REF!</v>
      </c>
      <c r="Z160" s="73"/>
      <c r="AA160" s="72" t="e">
        <f>AA161+AA164+AA167+AA168</f>
        <v>#REF!</v>
      </c>
      <c r="AB160" s="72" t="e">
        <f t="shared" si="116"/>
        <v>#REF!</v>
      </c>
      <c r="AC160" s="73"/>
      <c r="AD160" s="72" t="e">
        <f>AD161+AD164+AD167+AD168</f>
        <v>#REF!</v>
      </c>
      <c r="AE160" s="72" t="e">
        <f t="shared" si="117"/>
        <v>#REF!</v>
      </c>
      <c r="AF160" s="73"/>
      <c r="AG160" s="73"/>
      <c r="AH160" s="72">
        <f>AH161+AH164+AH167+AH168</f>
        <v>225340</v>
      </c>
      <c r="AI160" s="73" t="e">
        <f t="shared" si="155"/>
        <v>#REF!</v>
      </c>
      <c r="AJ160" s="210">
        <f>(AH160)/$AH$233</f>
        <v>2.3902880561764154E-2</v>
      </c>
      <c r="AK160" s="387" t="e">
        <f t="shared" si="156"/>
        <v>#REF!</v>
      </c>
      <c r="AL160" s="377"/>
      <c r="AM160" s="378"/>
      <c r="AN160" s="377"/>
      <c r="AO160" s="377"/>
    </row>
    <row r="161" spans="2:41" s="10" customFormat="1" ht="15" customHeight="1" x14ac:dyDescent="0.25">
      <c r="C161" s="211" t="s">
        <v>112</v>
      </c>
      <c r="D161" s="212" t="s">
        <v>399</v>
      </c>
      <c r="E161" s="130">
        <f>432858.947871668+500+300/0.702804+700+11876+13235</f>
        <v>459596.80941485782</v>
      </c>
      <c r="F161" s="133">
        <f>414955+60000+13946</f>
        <v>488901</v>
      </c>
      <c r="G161" s="132">
        <f>G162+G163</f>
        <v>485937</v>
      </c>
      <c r="H161" s="132">
        <v>498835</v>
      </c>
      <c r="I161" s="132">
        <f>I162+I163</f>
        <v>490973</v>
      </c>
      <c r="J161" s="132">
        <v>533489</v>
      </c>
      <c r="K161" s="133">
        <f t="shared" ref="K161:R161" si="175">K162+K163</f>
        <v>0</v>
      </c>
      <c r="L161" s="133">
        <f t="shared" si="175"/>
        <v>72202</v>
      </c>
      <c r="M161" s="133">
        <f t="shared" si="175"/>
        <v>0</v>
      </c>
      <c r="N161" s="133">
        <f t="shared" si="175"/>
        <v>0</v>
      </c>
      <c r="O161" s="133" t="e">
        <f t="shared" si="175"/>
        <v>#REF!</v>
      </c>
      <c r="P161" s="133">
        <f t="shared" si="175"/>
        <v>470273</v>
      </c>
      <c r="Q161" s="133" t="e">
        <f t="shared" si="175"/>
        <v>#REF!</v>
      </c>
      <c r="R161" s="133" t="e">
        <f t="shared" si="175"/>
        <v>#REF!</v>
      </c>
      <c r="S161" s="133" t="e">
        <f t="shared" si="113"/>
        <v>#REF!</v>
      </c>
      <c r="T161" s="135"/>
      <c r="U161" s="133" t="e">
        <f t="shared" ref="U161" si="176">U162+U163</f>
        <v>#REF!</v>
      </c>
      <c r="V161" s="133" t="e">
        <f t="shared" si="114"/>
        <v>#REF!</v>
      </c>
      <c r="W161" s="135"/>
      <c r="X161" s="133" t="e">
        <f t="shared" ref="X161" si="177">X162+X163</f>
        <v>#REF!</v>
      </c>
      <c r="Y161" s="133" t="e">
        <f t="shared" si="115"/>
        <v>#REF!</v>
      </c>
      <c r="Z161" s="135"/>
      <c r="AA161" s="133" t="e">
        <f t="shared" ref="AA161" si="178">AA162+AA163</f>
        <v>#REF!</v>
      </c>
      <c r="AB161" s="133" t="e">
        <f t="shared" si="116"/>
        <v>#REF!</v>
      </c>
      <c r="AC161" s="135"/>
      <c r="AD161" s="133" t="e">
        <f t="shared" ref="AD161" si="179">AD162+AD163</f>
        <v>#REF!</v>
      </c>
      <c r="AE161" s="133" t="e">
        <f t="shared" si="117"/>
        <v>#REF!</v>
      </c>
      <c r="AF161" s="135"/>
      <c r="AG161" s="135"/>
      <c r="AH161" s="133">
        <f>AH162+AH163</f>
        <v>189047</v>
      </c>
      <c r="AI161" s="135" t="e">
        <f t="shared" si="155"/>
        <v>#REF!</v>
      </c>
      <c r="AJ161" s="274"/>
      <c r="AK161" s="387" t="e">
        <f t="shared" si="156"/>
        <v>#REF!</v>
      </c>
      <c r="AL161" s="377"/>
      <c r="AM161" s="378"/>
      <c r="AN161" s="377"/>
      <c r="AO161" s="377"/>
    </row>
    <row r="162" spans="2:41" s="279" customFormat="1" ht="15.75" customHeight="1" outlineLevel="1" x14ac:dyDescent="0.25">
      <c r="C162" s="280" t="s">
        <v>400</v>
      </c>
      <c r="D162" s="281" t="s">
        <v>401</v>
      </c>
      <c r="E162" s="282">
        <v>251569</v>
      </c>
      <c r="F162" s="283">
        <v>414955</v>
      </c>
      <c r="G162" s="284">
        <f>414045-310</f>
        <v>413735</v>
      </c>
      <c r="H162" s="284">
        <v>426633</v>
      </c>
      <c r="I162" s="284">
        <f>422271-3000-500</f>
        <v>418771</v>
      </c>
      <c r="J162" s="284">
        <v>461287</v>
      </c>
      <c r="K162" s="283"/>
      <c r="L162" s="283"/>
      <c r="M162" s="283"/>
      <c r="N162" s="283"/>
      <c r="O162" s="283" t="e">
        <f>GETPIVOTDATA("Summa",[4]Pivot_investicijas!$A$3,"Nodaļa","1010")</f>
        <v>#REF!</v>
      </c>
      <c r="P162" s="283">
        <f>[4]Baze_2020!D175</f>
        <v>470273</v>
      </c>
      <c r="Q162" s="283" t="e">
        <f>K162+L162+M162+N162+O162+P162</f>
        <v>#REF!</v>
      </c>
      <c r="R162" s="283" t="e">
        <f>ROUND(Q162,0)+1150</f>
        <v>#REF!</v>
      </c>
      <c r="S162" s="283" t="e">
        <f t="shared" si="113"/>
        <v>#REF!</v>
      </c>
      <c r="T162" s="127" t="s">
        <v>331</v>
      </c>
      <c r="U162" s="283" t="e">
        <f t="shared" ref="U162:U168" si="180">ROUND(R162,0)</f>
        <v>#REF!</v>
      </c>
      <c r="V162" s="283" t="e">
        <f t="shared" si="114"/>
        <v>#REF!</v>
      </c>
      <c r="W162" s="127"/>
      <c r="X162" s="283" t="e">
        <f>ROUND(U162,0)-6850</f>
        <v>#REF!</v>
      </c>
      <c r="Y162" s="283" t="e">
        <f t="shared" si="115"/>
        <v>#REF!</v>
      </c>
      <c r="Z162" s="127" t="s">
        <v>344</v>
      </c>
      <c r="AA162" s="283" t="e">
        <f>ROUND(X162,0)</f>
        <v>#REF!</v>
      </c>
      <c r="AB162" s="283" t="e">
        <f t="shared" si="116"/>
        <v>#REF!</v>
      </c>
      <c r="AC162" s="127"/>
      <c r="AD162" s="283" t="e">
        <f>ROUND(AA162,0)</f>
        <v>#REF!</v>
      </c>
      <c r="AE162" s="283" t="e">
        <f t="shared" si="117"/>
        <v>#REF!</v>
      </c>
      <c r="AF162" s="127"/>
      <c r="AG162" s="127"/>
      <c r="AH162" s="283">
        <v>163599</v>
      </c>
      <c r="AI162" s="285" t="e">
        <f t="shared" si="155"/>
        <v>#REF!</v>
      </c>
      <c r="AJ162" s="286"/>
      <c r="AK162" s="387" t="e">
        <f t="shared" si="156"/>
        <v>#REF!</v>
      </c>
      <c r="AL162" s="378"/>
      <c r="AM162" s="378"/>
      <c r="AN162" s="378"/>
      <c r="AO162" s="378"/>
    </row>
    <row r="163" spans="2:41" s="279" customFormat="1" outlineLevel="1" x14ac:dyDescent="0.25">
      <c r="C163" s="280" t="s">
        <v>402</v>
      </c>
      <c r="D163" s="281" t="s">
        <v>403</v>
      </c>
      <c r="E163" s="282"/>
      <c r="F163" s="283">
        <v>60000</v>
      </c>
      <c r="G163" s="284">
        <v>72202</v>
      </c>
      <c r="H163" s="284">
        <v>72202</v>
      </c>
      <c r="I163" s="284">
        <v>72202</v>
      </c>
      <c r="J163" s="284">
        <v>72202</v>
      </c>
      <c r="K163" s="283"/>
      <c r="L163" s="283">
        <f>L51</f>
        <v>72202</v>
      </c>
      <c r="M163" s="283"/>
      <c r="N163" s="283"/>
      <c r="O163" s="283"/>
      <c r="P163" s="283"/>
      <c r="Q163" s="283">
        <f>K163+L163+M163+N163+O163+P163</f>
        <v>72202</v>
      </c>
      <c r="R163" s="283">
        <f>ROUND(Q163,0)</f>
        <v>72202</v>
      </c>
      <c r="S163" s="283">
        <f t="shared" si="113"/>
        <v>0</v>
      </c>
      <c r="T163" s="285"/>
      <c r="U163" s="283">
        <f t="shared" si="180"/>
        <v>72202</v>
      </c>
      <c r="V163" s="283">
        <f t="shared" si="114"/>
        <v>0</v>
      </c>
      <c r="W163" s="285"/>
      <c r="X163" s="283">
        <f t="shared" ref="X163:X168" si="181">ROUND(U163,0)</f>
        <v>72202</v>
      </c>
      <c r="Y163" s="283">
        <f t="shared" si="115"/>
        <v>0</v>
      </c>
      <c r="Z163" s="285"/>
      <c r="AA163" s="283">
        <f t="shared" ref="AA163:AA168" si="182">ROUND(X163,0)</f>
        <v>72202</v>
      </c>
      <c r="AB163" s="283">
        <f t="shared" si="116"/>
        <v>0</v>
      </c>
      <c r="AC163" s="285"/>
      <c r="AD163" s="283">
        <f t="shared" ref="AD163:AD168" si="183">ROUND(AA163,0)</f>
        <v>72202</v>
      </c>
      <c r="AE163" s="283">
        <f t="shared" si="117"/>
        <v>0</v>
      </c>
      <c r="AF163" s="285"/>
      <c r="AG163" s="285"/>
      <c r="AH163" s="283">
        <v>25448</v>
      </c>
      <c r="AI163" s="285">
        <f t="shared" si="155"/>
        <v>0.35245561064790448</v>
      </c>
      <c r="AJ163" s="286"/>
      <c r="AK163" s="387" t="e">
        <f t="shared" si="156"/>
        <v>#REF!</v>
      </c>
      <c r="AL163" s="378"/>
      <c r="AM163" s="378"/>
      <c r="AN163" s="378"/>
      <c r="AO163" s="378"/>
    </row>
    <row r="164" spans="2:41" s="10" customFormat="1" ht="19.5" customHeight="1" x14ac:dyDescent="0.25">
      <c r="C164" s="211" t="s">
        <v>114</v>
      </c>
      <c r="D164" s="212" t="s">
        <v>404</v>
      </c>
      <c r="E164" s="130">
        <v>24388.022834246818</v>
      </c>
      <c r="F164" s="133">
        <f>5500+2200</f>
        <v>7700</v>
      </c>
      <c r="G164" s="132">
        <f t="shared" ref="G164:Q164" si="184">G165+G166</f>
        <v>8363.630000000001</v>
      </c>
      <c r="H164" s="132">
        <v>6283</v>
      </c>
      <c r="I164" s="132">
        <f>I165+I166</f>
        <v>7279.08</v>
      </c>
      <c r="J164" s="132">
        <v>5068</v>
      </c>
      <c r="K164" s="133">
        <f t="shared" si="184"/>
        <v>2656</v>
      </c>
      <c r="L164" s="133">
        <f t="shared" si="184"/>
        <v>0</v>
      </c>
      <c r="M164" s="133">
        <f t="shared" si="184"/>
        <v>2172</v>
      </c>
      <c r="N164" s="133">
        <f t="shared" si="184"/>
        <v>0</v>
      </c>
      <c r="O164" s="133">
        <f t="shared" si="184"/>
        <v>0</v>
      </c>
      <c r="P164" s="133">
        <f t="shared" si="184"/>
        <v>407</v>
      </c>
      <c r="Q164" s="133">
        <f t="shared" si="184"/>
        <v>5235</v>
      </c>
      <c r="R164" s="133">
        <f>ROUND(Q164,0)+1637</f>
        <v>6872</v>
      </c>
      <c r="S164" s="133">
        <f t="shared" si="113"/>
        <v>1637</v>
      </c>
      <c r="T164" s="134" t="s">
        <v>191</v>
      </c>
      <c r="U164" s="133">
        <f t="shared" si="180"/>
        <v>6872</v>
      </c>
      <c r="V164" s="133">
        <f t="shared" si="114"/>
        <v>0</v>
      </c>
      <c r="W164" s="134"/>
      <c r="X164" s="133">
        <f t="shared" si="181"/>
        <v>6872</v>
      </c>
      <c r="Y164" s="133">
        <f t="shared" si="115"/>
        <v>0</v>
      </c>
      <c r="Z164" s="134"/>
      <c r="AA164" s="133">
        <f t="shared" si="182"/>
        <v>6872</v>
      </c>
      <c r="AB164" s="133">
        <f t="shared" si="116"/>
        <v>0</v>
      </c>
      <c r="AC164" s="134"/>
      <c r="AD164" s="133">
        <f t="shared" si="183"/>
        <v>6872</v>
      </c>
      <c r="AE164" s="133">
        <f t="shared" si="117"/>
        <v>0</v>
      </c>
      <c r="AF164" s="134"/>
      <c r="AG164" s="134"/>
      <c r="AH164" s="133">
        <v>2055</v>
      </c>
      <c r="AI164" s="135">
        <f t="shared" si="155"/>
        <v>0.29903958090803262</v>
      </c>
      <c r="AJ164" s="274"/>
      <c r="AK164" s="387" t="e">
        <f t="shared" si="156"/>
        <v>#REF!</v>
      </c>
      <c r="AL164" s="377"/>
      <c r="AM164" s="378"/>
      <c r="AN164" s="377"/>
      <c r="AO164" s="377"/>
    </row>
    <row r="165" spans="2:41" s="279" customFormat="1" hidden="1" outlineLevel="1" x14ac:dyDescent="0.25">
      <c r="C165" s="280" t="s">
        <v>405</v>
      </c>
      <c r="D165" s="281" t="s">
        <v>406</v>
      </c>
      <c r="E165" s="282"/>
      <c r="F165" s="282"/>
      <c r="G165" s="284">
        <v>0</v>
      </c>
      <c r="H165" s="284">
        <v>1537</v>
      </c>
      <c r="I165" s="284">
        <v>1800</v>
      </c>
      <c r="J165" s="284">
        <v>1800</v>
      </c>
      <c r="K165" s="283"/>
      <c r="L165" s="283"/>
      <c r="M165" s="283"/>
      <c r="N165" s="283"/>
      <c r="O165" s="283"/>
      <c r="P165" s="283">
        <f>5235-M166-K166</f>
        <v>407</v>
      </c>
      <c r="Q165" s="283">
        <f>K165+L165+M165+N165+O165+P165</f>
        <v>407</v>
      </c>
      <c r="R165" s="283">
        <f>Q165</f>
        <v>407</v>
      </c>
      <c r="S165" s="283">
        <f t="shared" si="113"/>
        <v>0</v>
      </c>
      <c r="T165" s="285"/>
      <c r="U165" s="283">
        <f t="shared" si="180"/>
        <v>407</v>
      </c>
      <c r="V165" s="283">
        <f t="shared" si="114"/>
        <v>0</v>
      </c>
      <c r="W165" s="285"/>
      <c r="X165" s="283">
        <f t="shared" si="181"/>
        <v>407</v>
      </c>
      <c r="Y165" s="283">
        <f t="shared" si="115"/>
        <v>0</v>
      </c>
      <c r="Z165" s="285"/>
      <c r="AA165" s="283">
        <f t="shared" si="182"/>
        <v>407</v>
      </c>
      <c r="AB165" s="283">
        <f t="shared" si="116"/>
        <v>0</v>
      </c>
      <c r="AC165" s="285"/>
      <c r="AD165" s="283">
        <f t="shared" si="183"/>
        <v>407</v>
      </c>
      <c r="AE165" s="283">
        <f t="shared" si="117"/>
        <v>0</v>
      </c>
      <c r="AF165" s="285"/>
      <c r="AG165" s="285"/>
      <c r="AH165" s="287"/>
      <c r="AI165" s="285">
        <f t="shared" si="155"/>
        <v>0</v>
      </c>
      <c r="AJ165" s="286"/>
      <c r="AK165" s="387" t="e">
        <f t="shared" si="156"/>
        <v>#REF!</v>
      </c>
      <c r="AL165" s="378"/>
      <c r="AM165" s="378"/>
      <c r="AN165" s="378"/>
      <c r="AO165" s="378"/>
    </row>
    <row r="166" spans="2:41" s="279" customFormat="1" hidden="1" outlineLevel="1" x14ac:dyDescent="0.25">
      <c r="C166" s="280" t="s">
        <v>407</v>
      </c>
      <c r="D166" s="281" t="s">
        <v>408</v>
      </c>
      <c r="E166" s="282"/>
      <c r="F166" s="282"/>
      <c r="G166" s="284">
        <v>8363.630000000001</v>
      </c>
      <c r="H166" s="284">
        <v>4746</v>
      </c>
      <c r="I166" s="284">
        <f>5069.08+410</f>
        <v>5479.08</v>
      </c>
      <c r="J166" s="284">
        <v>2868</v>
      </c>
      <c r="K166" s="283">
        <f>K59</f>
        <v>2656</v>
      </c>
      <c r="L166" s="283"/>
      <c r="M166" s="283">
        <f>M59</f>
        <v>2172</v>
      </c>
      <c r="N166" s="283"/>
      <c r="O166" s="283"/>
      <c r="P166" s="283"/>
      <c r="Q166" s="283">
        <f>K166+L166+M166+N166+O166+P166</f>
        <v>4828</v>
      </c>
      <c r="R166" s="283">
        <f>Q166</f>
        <v>4828</v>
      </c>
      <c r="S166" s="283">
        <f t="shared" si="113"/>
        <v>0</v>
      </c>
      <c r="T166" s="285"/>
      <c r="U166" s="283">
        <f t="shared" si="180"/>
        <v>4828</v>
      </c>
      <c r="V166" s="283">
        <f t="shared" si="114"/>
        <v>0</v>
      </c>
      <c r="W166" s="285"/>
      <c r="X166" s="283">
        <f t="shared" si="181"/>
        <v>4828</v>
      </c>
      <c r="Y166" s="283">
        <f t="shared" si="115"/>
        <v>0</v>
      </c>
      <c r="Z166" s="285"/>
      <c r="AA166" s="283">
        <f t="shared" si="182"/>
        <v>4828</v>
      </c>
      <c r="AB166" s="283">
        <f t="shared" si="116"/>
        <v>0</v>
      </c>
      <c r="AC166" s="285"/>
      <c r="AD166" s="283">
        <f t="shared" si="183"/>
        <v>4828</v>
      </c>
      <c r="AE166" s="283">
        <f t="shared" si="117"/>
        <v>0</v>
      </c>
      <c r="AF166" s="285"/>
      <c r="AG166" s="285"/>
      <c r="AH166" s="287"/>
      <c r="AI166" s="285">
        <f t="shared" si="155"/>
        <v>0</v>
      </c>
      <c r="AJ166" s="286"/>
      <c r="AK166" s="387" t="e">
        <f t="shared" si="156"/>
        <v>#REF!</v>
      </c>
      <c r="AL166" s="378"/>
      <c r="AM166" s="378"/>
      <c r="AN166" s="378"/>
      <c r="AO166" s="378"/>
    </row>
    <row r="167" spans="2:41" s="10" customFormat="1" ht="30.6" customHeight="1" collapsed="1" x14ac:dyDescent="0.25">
      <c r="C167" s="211" t="s">
        <v>409</v>
      </c>
      <c r="D167" s="212" t="s">
        <v>299</v>
      </c>
      <c r="E167" s="130"/>
      <c r="F167" s="133"/>
      <c r="G167" s="132"/>
      <c r="H167" s="132"/>
      <c r="I167" s="132">
        <f>50000+3000</f>
        <v>53000</v>
      </c>
      <c r="J167" s="132">
        <v>658023</v>
      </c>
      <c r="K167" s="288">
        <f>K72</f>
        <v>4954</v>
      </c>
      <c r="L167" s="288">
        <f>L52</f>
        <v>0</v>
      </c>
      <c r="M167" s="288">
        <f>M72</f>
        <v>784102</v>
      </c>
      <c r="N167" s="288">
        <f>N101</f>
        <v>192466</v>
      </c>
      <c r="O167" s="133">
        <f>981522-N167-M167-K167</f>
        <v>0</v>
      </c>
      <c r="P167" s="133">
        <f>[4]Baze_2020!D183</f>
        <v>76733</v>
      </c>
      <c r="Q167" s="133">
        <f>K167+L167+M167+N167+O167+P167</f>
        <v>1058255</v>
      </c>
      <c r="R167" s="133">
        <f>ROUND(Q167,0)</f>
        <v>1058255</v>
      </c>
      <c r="S167" s="133">
        <f t="shared" si="113"/>
        <v>0</v>
      </c>
      <c r="T167" s="135"/>
      <c r="U167" s="133">
        <f t="shared" si="180"/>
        <v>1058255</v>
      </c>
      <c r="V167" s="133">
        <f t="shared" si="114"/>
        <v>0</v>
      </c>
      <c r="W167" s="135"/>
      <c r="X167" s="133">
        <f t="shared" si="181"/>
        <v>1058255</v>
      </c>
      <c r="Y167" s="133">
        <f t="shared" si="115"/>
        <v>0</v>
      </c>
      <c r="Z167" s="135"/>
      <c r="AA167" s="133">
        <f t="shared" si="182"/>
        <v>1058255</v>
      </c>
      <c r="AB167" s="133">
        <f t="shared" si="116"/>
        <v>0</v>
      </c>
      <c r="AC167" s="135"/>
      <c r="AD167" s="133">
        <f t="shared" si="183"/>
        <v>1058255</v>
      </c>
      <c r="AE167" s="133">
        <f t="shared" si="117"/>
        <v>0</v>
      </c>
      <c r="AF167" s="135"/>
      <c r="AG167" s="135"/>
      <c r="AH167" s="133">
        <v>12072</v>
      </c>
      <c r="AI167" s="135">
        <f t="shared" si="155"/>
        <v>1.1407458504802718E-2</v>
      </c>
      <c r="AJ167" s="134"/>
      <c r="AK167" s="387" t="e">
        <f t="shared" si="156"/>
        <v>#REF!</v>
      </c>
      <c r="AL167" s="377"/>
      <c r="AM167" s="378"/>
      <c r="AN167" s="377"/>
      <c r="AO167" s="377"/>
    </row>
    <row r="168" spans="2:41" s="10" customFormat="1" ht="18.75" customHeight="1" thickBot="1" x14ac:dyDescent="0.3">
      <c r="C168" s="211" t="s">
        <v>410</v>
      </c>
      <c r="D168" s="212" t="s">
        <v>411</v>
      </c>
      <c r="E168" s="130">
        <f>32420.1342052692+7606</f>
        <v>40026.134205269205</v>
      </c>
      <c r="F168" s="133">
        <f>37980+4000</f>
        <v>41980</v>
      </c>
      <c r="G168" s="132">
        <f>44316+310</f>
        <v>44626</v>
      </c>
      <c r="H168" s="132">
        <v>44034</v>
      </c>
      <c r="I168" s="132">
        <v>58315</v>
      </c>
      <c r="J168" s="132">
        <v>74731</v>
      </c>
      <c r="K168" s="133"/>
      <c r="L168" s="133"/>
      <c r="M168" s="133"/>
      <c r="N168" s="133"/>
      <c r="O168" s="133"/>
      <c r="P168" s="133">
        <f>[4]Baze_2020!D192</f>
        <v>85911</v>
      </c>
      <c r="Q168" s="133">
        <f>K168+L168+M168+N168+O168+P168</f>
        <v>85911</v>
      </c>
      <c r="R168" s="133">
        <f>ROUND(Q168,0)</f>
        <v>85911</v>
      </c>
      <c r="S168" s="133">
        <f t="shared" si="113"/>
        <v>0</v>
      </c>
      <c r="T168" s="135"/>
      <c r="U168" s="133">
        <f t="shared" si="180"/>
        <v>85911</v>
      </c>
      <c r="V168" s="133">
        <f t="shared" si="114"/>
        <v>0</v>
      </c>
      <c r="W168" s="135"/>
      <c r="X168" s="133">
        <f t="shared" si="181"/>
        <v>85911</v>
      </c>
      <c r="Y168" s="133">
        <f t="shared" si="115"/>
        <v>0</v>
      </c>
      <c r="Z168" s="135"/>
      <c r="AA168" s="133">
        <f t="shared" si="182"/>
        <v>85911</v>
      </c>
      <c r="AB168" s="133">
        <f t="shared" si="116"/>
        <v>0</v>
      </c>
      <c r="AC168" s="135"/>
      <c r="AD168" s="133">
        <f t="shared" si="183"/>
        <v>85911</v>
      </c>
      <c r="AE168" s="133">
        <f t="shared" si="117"/>
        <v>0</v>
      </c>
      <c r="AF168" s="135"/>
      <c r="AG168" s="135"/>
      <c r="AH168" s="133">
        <v>22166</v>
      </c>
      <c r="AI168" s="135">
        <f t="shared" si="155"/>
        <v>0.25801119763476155</v>
      </c>
      <c r="AJ168" s="274"/>
      <c r="AK168" s="387" t="e">
        <f t="shared" si="156"/>
        <v>#REF!</v>
      </c>
      <c r="AL168" s="377"/>
      <c r="AM168" s="378"/>
      <c r="AN168" s="377"/>
      <c r="AO168" s="377"/>
    </row>
    <row r="169" spans="2:41" x14ac:dyDescent="0.25">
      <c r="C169" s="221" t="s">
        <v>117</v>
      </c>
      <c r="D169" s="222" t="s">
        <v>412</v>
      </c>
      <c r="E169" s="69">
        <f>E170+E171+E182+E194+E198+E206+E207+E213+E221+E222+E223</f>
        <v>5979274.0153556326</v>
      </c>
      <c r="F169" s="70">
        <f>F170+F171+F182+F194+F198+F206+F207+F213+F221+F222+F223</f>
        <v>6939764</v>
      </c>
      <c r="G169" s="71">
        <f>G170+G171+G182+G194+G198+G206+G207+G213+G221+G222+G223</f>
        <v>7240625.9539992791</v>
      </c>
      <c r="H169" s="71">
        <v>8441181.2119944096</v>
      </c>
      <c r="I169" s="71">
        <f>I170+I171+I182+I194+I198+I206+I207+I213+I221+I222+I223+I224</f>
        <v>16991780.385200221</v>
      </c>
      <c r="J169" s="71">
        <v>17525451</v>
      </c>
      <c r="K169" s="72">
        <f t="shared" ref="K169:R169" si="185">K170+K171+K182+K194+K198+K206+K207+K213+K221+K222+K223+K224</f>
        <v>215031.13999999998</v>
      </c>
      <c r="L169" s="72">
        <f t="shared" si="185"/>
        <v>3136030</v>
      </c>
      <c r="M169" s="72">
        <f t="shared" si="185"/>
        <v>167460.48000000001</v>
      </c>
      <c r="N169" s="72">
        <f t="shared" si="185"/>
        <v>3089508</v>
      </c>
      <c r="O169" s="72" t="e">
        <f t="shared" si="185"/>
        <v>#REF!</v>
      </c>
      <c r="P169" s="72">
        <f t="shared" si="185"/>
        <v>6240127</v>
      </c>
      <c r="Q169" s="72" t="e">
        <f t="shared" si="185"/>
        <v>#REF!</v>
      </c>
      <c r="R169" s="72" t="e">
        <f t="shared" si="185"/>
        <v>#REF!</v>
      </c>
      <c r="S169" s="72" t="e">
        <f t="shared" si="113"/>
        <v>#REF!</v>
      </c>
      <c r="T169" s="73"/>
      <c r="U169" s="72" t="e">
        <f t="shared" ref="U169" si="186">U170+U171+U182+U194+U198+U206+U207+U213+U221+U222+U223+U224</f>
        <v>#REF!</v>
      </c>
      <c r="V169" s="72" t="e">
        <f t="shared" si="114"/>
        <v>#REF!</v>
      </c>
      <c r="W169" s="73"/>
      <c r="X169" s="72" t="e">
        <f t="shared" ref="X169" si="187">X170+X171+X182+X194+X198+X206+X207+X213+X221+X222+X223+X224</f>
        <v>#REF!</v>
      </c>
      <c r="Y169" s="72" t="e">
        <f t="shared" si="115"/>
        <v>#REF!</v>
      </c>
      <c r="Z169" s="73"/>
      <c r="AA169" s="72" t="e">
        <f t="shared" ref="AA169" si="188">AA170+AA171+AA182+AA194+AA198+AA206+AA207+AA213+AA221+AA222+AA223+AA224</f>
        <v>#REF!</v>
      </c>
      <c r="AB169" s="72" t="e">
        <f t="shared" si="116"/>
        <v>#REF!</v>
      </c>
      <c r="AC169" s="73"/>
      <c r="AD169" s="72" t="e">
        <f t="shared" ref="AD169" si="189">AD170+AD171+AD182+AD194+AD198+AD206+AD207+AD213+AD221+AD222+AD223+AD224</f>
        <v>#REF!</v>
      </c>
      <c r="AE169" s="72" t="e">
        <f t="shared" si="117"/>
        <v>#REF!</v>
      </c>
      <c r="AF169" s="73"/>
      <c r="AG169" s="73"/>
      <c r="AH169" s="72">
        <f>AH170+AH171+AH182+AH194+AH198+AH206+AH207+AH213+AH221+AH222+AH223+AH224</f>
        <v>4740937</v>
      </c>
      <c r="AI169" s="73" t="e">
        <f t="shared" si="155"/>
        <v>#REF!</v>
      </c>
      <c r="AJ169" s="210">
        <f>(AH169)/$AH$233</f>
        <v>0.50289363123213127</v>
      </c>
      <c r="AK169" s="387" t="e">
        <f t="shared" si="156"/>
        <v>#REF!</v>
      </c>
    </row>
    <row r="170" spans="2:41" ht="33" customHeight="1" x14ac:dyDescent="0.25">
      <c r="B170" s="289" t="s">
        <v>413</v>
      </c>
      <c r="C170" s="211" t="s">
        <v>120</v>
      </c>
      <c r="D170" s="224" t="s">
        <v>414</v>
      </c>
      <c r="E170" s="130">
        <v>236196.72056505087</v>
      </c>
      <c r="F170" s="130">
        <v>240800</v>
      </c>
      <c r="G170" s="132">
        <v>197975</v>
      </c>
      <c r="H170" s="132">
        <v>250219.89199999999</v>
      </c>
      <c r="I170" s="132">
        <v>256500</v>
      </c>
      <c r="J170" s="132">
        <v>300000</v>
      </c>
      <c r="K170" s="133"/>
      <c r="L170" s="133"/>
      <c r="M170" s="133"/>
      <c r="N170" s="133"/>
      <c r="O170" s="133"/>
      <c r="P170" s="133">
        <f>[4]Baze_2020!D203</f>
        <v>300000</v>
      </c>
      <c r="Q170" s="133">
        <f>K170+L170+M170+N170+O170+P170</f>
        <v>300000</v>
      </c>
      <c r="R170" s="133">
        <f>ROUND(Q170,0)</f>
        <v>300000</v>
      </c>
      <c r="S170" s="133">
        <f t="shared" si="113"/>
        <v>0</v>
      </c>
      <c r="T170" s="134"/>
      <c r="U170" s="133">
        <f t="shared" ref="U170" si="190">ROUND(R170,0)</f>
        <v>300000</v>
      </c>
      <c r="V170" s="133">
        <f t="shared" si="114"/>
        <v>0</v>
      </c>
      <c r="W170" s="134"/>
      <c r="X170" s="133">
        <f t="shared" ref="X170" si="191">ROUND(U170,0)</f>
        <v>300000</v>
      </c>
      <c r="Y170" s="133">
        <f t="shared" si="115"/>
        <v>0</v>
      </c>
      <c r="Z170" s="134"/>
      <c r="AA170" s="133">
        <f t="shared" ref="AA170" si="192">ROUND(X170,0)</f>
        <v>300000</v>
      </c>
      <c r="AB170" s="133">
        <f t="shared" si="116"/>
        <v>0</v>
      </c>
      <c r="AC170" s="134"/>
      <c r="AD170" s="133">
        <f t="shared" ref="AD170" si="193">ROUND(AA170,0)</f>
        <v>300000</v>
      </c>
      <c r="AE170" s="133">
        <f t="shared" si="117"/>
        <v>0</v>
      </c>
      <c r="AF170" s="134"/>
      <c r="AG170" s="134"/>
      <c r="AH170" s="133">
        <v>107104</v>
      </c>
      <c r="AI170" s="135">
        <f t="shared" si="155"/>
        <v>0.35701333333333335</v>
      </c>
      <c r="AJ170" s="134" t="s">
        <v>415</v>
      </c>
      <c r="AK170" s="387" t="e">
        <f t="shared" si="156"/>
        <v>#REF!</v>
      </c>
    </row>
    <row r="171" spans="2:41" ht="18" customHeight="1" x14ac:dyDescent="0.25">
      <c r="C171" s="211" t="s">
        <v>124</v>
      </c>
      <c r="D171" s="224" t="s">
        <v>416</v>
      </c>
      <c r="E171" s="130">
        <f>880694.918423913+2432+4220+750+12260+47560</f>
        <v>947916.91842391295</v>
      </c>
      <c r="F171" s="130">
        <f>F172+F176+F180</f>
        <v>1332785</v>
      </c>
      <c r="G171" s="132">
        <f>G172+G176+G180</f>
        <v>1121051</v>
      </c>
      <c r="H171" s="132">
        <f>1199014+27000</f>
        <v>1226014</v>
      </c>
      <c r="I171" s="132">
        <f>I172+I176+I180</f>
        <v>1473850.27</v>
      </c>
      <c r="J171" s="132">
        <v>2647416</v>
      </c>
      <c r="K171" s="133">
        <f t="shared" ref="K171:R171" si="194">K172+K176+K180</f>
        <v>28015.68</v>
      </c>
      <c r="L171" s="133">
        <f t="shared" si="194"/>
        <v>211674.48</v>
      </c>
      <c r="M171" s="133">
        <f t="shared" si="194"/>
        <v>102197</v>
      </c>
      <c r="N171" s="133">
        <f t="shared" si="194"/>
        <v>11868</v>
      </c>
      <c r="O171" s="133" t="e">
        <f t="shared" si="194"/>
        <v>#REF!</v>
      </c>
      <c r="P171" s="133">
        <f t="shared" si="194"/>
        <v>1247373</v>
      </c>
      <c r="Q171" s="133" t="e">
        <f t="shared" si="194"/>
        <v>#REF!</v>
      </c>
      <c r="R171" s="133" t="e">
        <f t="shared" si="194"/>
        <v>#REF!</v>
      </c>
      <c r="S171" s="133" t="e">
        <f t="shared" si="113"/>
        <v>#REF!</v>
      </c>
      <c r="T171" s="135"/>
      <c r="U171" s="133" t="e">
        <f t="shared" ref="U171" si="195">U172+U176+U180</f>
        <v>#REF!</v>
      </c>
      <c r="V171" s="133" t="e">
        <f t="shared" si="114"/>
        <v>#REF!</v>
      </c>
      <c r="W171" s="135"/>
      <c r="X171" s="133" t="e">
        <f t="shared" ref="X171" si="196">X172+X176+X180</f>
        <v>#REF!</v>
      </c>
      <c r="Y171" s="133" t="e">
        <f t="shared" si="115"/>
        <v>#REF!</v>
      </c>
      <c r="Z171" s="135"/>
      <c r="AA171" s="133" t="e">
        <f t="shared" ref="AA171" si="197">AA172+AA176+AA180</f>
        <v>#REF!</v>
      </c>
      <c r="AB171" s="133" t="e">
        <f t="shared" si="116"/>
        <v>#REF!</v>
      </c>
      <c r="AC171" s="135"/>
      <c r="AD171" s="133" t="e">
        <f t="shared" ref="AD171" si="198">AD172+AD176+AD180</f>
        <v>#REF!</v>
      </c>
      <c r="AE171" s="133" t="e">
        <f t="shared" si="117"/>
        <v>#REF!</v>
      </c>
      <c r="AF171" s="135"/>
      <c r="AG171" s="135"/>
      <c r="AH171" s="133">
        <f>AH172+AH176+AH180</f>
        <v>622509</v>
      </c>
      <c r="AI171" s="135" t="e">
        <f t="shared" si="155"/>
        <v>#REF!</v>
      </c>
      <c r="AJ171" s="135"/>
      <c r="AK171" s="387" t="e">
        <f t="shared" si="156"/>
        <v>#REF!</v>
      </c>
    </row>
    <row r="172" spans="2:41" ht="15.75" customHeight="1" x14ac:dyDescent="0.25">
      <c r="C172" s="231" t="s">
        <v>417</v>
      </c>
      <c r="D172" s="174" t="s">
        <v>418</v>
      </c>
      <c r="E172" s="290" t="e">
        <f>E173+E174+1670.9+7148+5700+4350+630</f>
        <v>#REF!</v>
      </c>
      <c r="F172" s="291">
        <v>134203</v>
      </c>
      <c r="G172" s="292">
        <v>141174</v>
      </c>
      <c r="H172" s="292">
        <v>154952</v>
      </c>
      <c r="I172" s="292">
        <v>167279.12</v>
      </c>
      <c r="J172" s="292">
        <v>194093</v>
      </c>
      <c r="K172" s="60">
        <f>1098+K46-K183</f>
        <v>12852.68</v>
      </c>
      <c r="L172" s="97">
        <f>(16640+999.54)*12</f>
        <v>211674.48</v>
      </c>
      <c r="M172" s="97"/>
      <c r="N172" s="97"/>
      <c r="O172" s="97"/>
      <c r="P172" s="97"/>
      <c r="Q172" s="97">
        <f t="shared" ref="Q172:Q180" si="199">K172+L172+M172+N172+O172+P172</f>
        <v>224527.16</v>
      </c>
      <c r="R172" s="97">
        <f>ROUND(Q172,0)+4177</f>
        <v>228704</v>
      </c>
      <c r="S172" s="97">
        <f t="shared" si="113"/>
        <v>4176.8399999999965</v>
      </c>
      <c r="T172" s="98" t="s">
        <v>146</v>
      </c>
      <c r="U172" s="97">
        <f t="shared" ref="U172:U180" si="200">ROUND(R172,0)</f>
        <v>228704</v>
      </c>
      <c r="V172" s="97">
        <f t="shared" ref="V172:V234" si="201">U172-R172</f>
        <v>0</v>
      </c>
      <c r="W172" s="98"/>
      <c r="X172" s="97">
        <f t="shared" ref="X172:X180" si="202">ROUND(U172,0)</f>
        <v>228704</v>
      </c>
      <c r="Y172" s="97">
        <f t="shared" ref="Y172:Y234" si="203">X172-U172</f>
        <v>0</v>
      </c>
      <c r="Z172" s="98"/>
      <c r="AA172" s="97">
        <f t="shared" ref="AA172:AA180" si="204">ROUND(X172,0)</f>
        <v>228704</v>
      </c>
      <c r="AB172" s="97">
        <f t="shared" ref="AB172:AB234" si="205">AA172-X172</f>
        <v>0</v>
      </c>
      <c r="AC172" s="98"/>
      <c r="AD172" s="97">
        <f t="shared" ref="AD172:AD175" si="206">ROUND(AA172,0)</f>
        <v>228704</v>
      </c>
      <c r="AE172" s="97">
        <f t="shared" ref="AE172:AE234" si="207">AD172-AA172</f>
        <v>0</v>
      </c>
      <c r="AF172" s="98"/>
      <c r="AG172" s="98"/>
      <c r="AH172" s="97">
        <v>100608</v>
      </c>
      <c r="AI172" s="293">
        <f t="shared" ref="AI172:AI195" si="208">AH172/U172</f>
        <v>0.4399048551839933</v>
      </c>
      <c r="AJ172" s="294"/>
      <c r="AK172" s="387" t="e">
        <f t="shared" si="156"/>
        <v>#REF!</v>
      </c>
    </row>
    <row r="173" spans="2:41" s="54" customFormat="1" ht="15" hidden="1" customHeight="1" outlineLevel="1" x14ac:dyDescent="0.25">
      <c r="C173" s="54" t="s">
        <v>419</v>
      </c>
      <c r="D173" s="54" t="s">
        <v>420</v>
      </c>
      <c r="E173" s="295" t="e">
        <f>#REF!</f>
        <v>#REF!</v>
      </c>
      <c r="F173" s="296"/>
      <c r="G173" s="196">
        <v>0</v>
      </c>
      <c r="H173" s="196">
        <v>0</v>
      </c>
      <c r="I173" s="292">
        <v>0</v>
      </c>
      <c r="J173" s="297">
        <v>0</v>
      </c>
      <c r="K173" s="1"/>
      <c r="L173" s="1"/>
      <c r="M173" s="1"/>
      <c r="N173" s="1"/>
      <c r="O173" s="1"/>
      <c r="P173" s="1"/>
      <c r="Q173" s="97">
        <f t="shared" si="199"/>
        <v>0</v>
      </c>
      <c r="R173" s="97">
        <f t="shared" ref="R173:R180" si="209">ROUND(Q173,0)</f>
        <v>0</v>
      </c>
      <c r="S173" s="97">
        <f t="shared" ref="S173:S234" si="210">R173-Q173</f>
        <v>0</v>
      </c>
      <c r="T173" s="24"/>
      <c r="U173" s="97">
        <f t="shared" si="200"/>
        <v>0</v>
      </c>
      <c r="V173" s="97">
        <f t="shared" si="201"/>
        <v>0</v>
      </c>
      <c r="W173" s="24"/>
      <c r="X173" s="97">
        <f t="shared" si="202"/>
        <v>0</v>
      </c>
      <c r="Y173" s="97">
        <f t="shared" si="203"/>
        <v>0</v>
      </c>
      <c r="Z173" s="24"/>
      <c r="AA173" s="97">
        <f t="shared" si="204"/>
        <v>0</v>
      </c>
      <c r="AB173" s="97">
        <f t="shared" si="205"/>
        <v>0</v>
      </c>
      <c r="AC173" s="24"/>
      <c r="AD173" s="97">
        <f t="shared" si="206"/>
        <v>0</v>
      </c>
      <c r="AE173" s="97">
        <f t="shared" si="207"/>
        <v>0</v>
      </c>
      <c r="AF173" s="24"/>
      <c r="AG173" s="24"/>
      <c r="AH173" s="278"/>
      <c r="AI173" s="24" t="e">
        <f t="shared" si="208"/>
        <v>#DIV/0!</v>
      </c>
      <c r="AJ173" s="25"/>
      <c r="AK173" s="387" t="e">
        <f t="shared" ref="AK173:AK230" si="211">Q173/$Q$233</f>
        <v>#REF!</v>
      </c>
      <c r="AL173" s="378"/>
      <c r="AM173" s="378"/>
      <c r="AN173" s="378"/>
      <c r="AO173" s="378"/>
    </row>
    <row r="174" spans="2:41" s="54" customFormat="1" ht="15" hidden="1" customHeight="1" outlineLevel="1" x14ac:dyDescent="0.25">
      <c r="C174" s="54" t="s">
        <v>421</v>
      </c>
      <c r="D174" s="54" t="s">
        <v>422</v>
      </c>
      <c r="E174" s="295" t="e">
        <f>#REF!</f>
        <v>#REF!</v>
      </c>
      <c r="F174" s="296"/>
      <c r="G174" s="196">
        <v>0</v>
      </c>
      <c r="H174" s="196">
        <v>0</v>
      </c>
      <c r="I174" s="292">
        <v>0</v>
      </c>
      <c r="J174" s="297">
        <v>0</v>
      </c>
      <c r="K174" s="1"/>
      <c r="L174" s="1"/>
      <c r="M174" s="1"/>
      <c r="N174" s="1"/>
      <c r="O174" s="1"/>
      <c r="P174" s="1"/>
      <c r="Q174" s="97">
        <f t="shared" si="199"/>
        <v>0</v>
      </c>
      <c r="R174" s="97">
        <f t="shared" si="209"/>
        <v>0</v>
      </c>
      <c r="S174" s="97">
        <f t="shared" si="210"/>
        <v>0</v>
      </c>
      <c r="T174" s="24"/>
      <c r="U174" s="97">
        <f t="shared" si="200"/>
        <v>0</v>
      </c>
      <c r="V174" s="97">
        <f t="shared" si="201"/>
        <v>0</v>
      </c>
      <c r="W174" s="24"/>
      <c r="X174" s="97">
        <f t="shared" si="202"/>
        <v>0</v>
      </c>
      <c r="Y174" s="97">
        <f t="shared" si="203"/>
        <v>0</v>
      </c>
      <c r="Z174" s="24"/>
      <c r="AA174" s="97">
        <f t="shared" si="204"/>
        <v>0</v>
      </c>
      <c r="AB174" s="97">
        <f t="shared" si="205"/>
        <v>0</v>
      </c>
      <c r="AC174" s="24"/>
      <c r="AD174" s="97">
        <f t="shared" si="206"/>
        <v>0</v>
      </c>
      <c r="AE174" s="97">
        <f t="shared" si="207"/>
        <v>0</v>
      </c>
      <c r="AF174" s="24"/>
      <c r="AG174" s="24"/>
      <c r="AH174" s="278"/>
      <c r="AI174" s="24" t="e">
        <f t="shared" si="208"/>
        <v>#DIV/0!</v>
      </c>
      <c r="AJ174" s="25"/>
      <c r="AK174" s="387" t="e">
        <f t="shared" si="211"/>
        <v>#REF!</v>
      </c>
      <c r="AL174" s="378"/>
      <c r="AM174" s="378"/>
      <c r="AN174" s="378"/>
      <c r="AO174" s="378"/>
    </row>
    <row r="175" spans="2:41" s="54" customFormat="1" ht="15" hidden="1" customHeight="1" outlineLevel="1" x14ac:dyDescent="0.25">
      <c r="C175" s="54" t="s">
        <v>423</v>
      </c>
      <c r="D175" s="54" t="s">
        <v>424</v>
      </c>
      <c r="E175" s="295" t="e">
        <f>#REF!</f>
        <v>#REF!</v>
      </c>
      <c r="F175" s="296"/>
      <c r="G175" s="196">
        <v>0</v>
      </c>
      <c r="H175" s="196">
        <v>0</v>
      </c>
      <c r="I175" s="292">
        <v>0</v>
      </c>
      <c r="J175" s="297">
        <v>0</v>
      </c>
      <c r="K175" s="1"/>
      <c r="L175" s="1"/>
      <c r="M175" s="1"/>
      <c r="N175" s="1"/>
      <c r="O175" s="1"/>
      <c r="P175" s="1"/>
      <c r="Q175" s="97">
        <f t="shared" si="199"/>
        <v>0</v>
      </c>
      <c r="R175" s="97">
        <f t="shared" si="209"/>
        <v>0</v>
      </c>
      <c r="S175" s="97">
        <f t="shared" si="210"/>
        <v>0</v>
      </c>
      <c r="T175" s="24"/>
      <c r="U175" s="97">
        <f t="shared" si="200"/>
        <v>0</v>
      </c>
      <c r="V175" s="97">
        <f t="shared" si="201"/>
        <v>0</v>
      </c>
      <c r="W175" s="24"/>
      <c r="X175" s="97">
        <f t="shared" si="202"/>
        <v>0</v>
      </c>
      <c r="Y175" s="97">
        <f t="shared" si="203"/>
        <v>0</v>
      </c>
      <c r="Z175" s="24"/>
      <c r="AA175" s="97">
        <f t="shared" si="204"/>
        <v>0</v>
      </c>
      <c r="AB175" s="97">
        <f t="shared" si="205"/>
        <v>0</v>
      </c>
      <c r="AC175" s="24"/>
      <c r="AD175" s="97">
        <f t="shared" si="206"/>
        <v>0</v>
      </c>
      <c r="AE175" s="97">
        <f t="shared" si="207"/>
        <v>0</v>
      </c>
      <c r="AF175" s="24"/>
      <c r="AG175" s="24"/>
      <c r="AH175" s="278"/>
      <c r="AI175" s="24" t="e">
        <f t="shared" si="208"/>
        <v>#DIV/0!</v>
      </c>
      <c r="AJ175" s="25"/>
      <c r="AK175" s="387" t="e">
        <f t="shared" si="211"/>
        <v>#REF!</v>
      </c>
      <c r="AL175" s="378"/>
      <c r="AM175" s="378"/>
      <c r="AN175" s="378"/>
      <c r="AO175" s="378"/>
    </row>
    <row r="176" spans="2:41" ht="19.149999999999999" customHeight="1" collapsed="1" x14ac:dyDescent="0.25">
      <c r="C176" s="231" t="s">
        <v>425</v>
      </c>
      <c r="D176" s="174" t="s">
        <v>426</v>
      </c>
      <c r="E176" s="290" t="e">
        <f>SUM(E177:E179)</f>
        <v>#REF!</v>
      </c>
      <c r="F176" s="291">
        <v>1198582</v>
      </c>
      <c r="G176" s="292">
        <v>979877</v>
      </c>
      <c r="H176" s="292">
        <v>1044062</v>
      </c>
      <c r="I176" s="292">
        <v>1124019.05</v>
      </c>
      <c r="J176" s="292">
        <v>1304110</v>
      </c>
      <c r="K176" s="97"/>
      <c r="L176" s="97"/>
      <c r="M176" s="97"/>
      <c r="N176" s="97"/>
      <c r="O176" s="97" t="e">
        <f>GETPIVOTDATA("Summa",[4]Pivot_investicijas!$A$3,"Nodaļa","0910")</f>
        <v>#REF!</v>
      </c>
      <c r="P176" s="97">
        <f>[4]Baze_2020!D204</f>
        <v>1247373</v>
      </c>
      <c r="Q176" s="97" t="e">
        <f t="shared" si="199"/>
        <v>#REF!</v>
      </c>
      <c r="R176" s="97" t="e">
        <f t="shared" si="209"/>
        <v>#REF!</v>
      </c>
      <c r="S176" s="97" t="e">
        <f t="shared" si="210"/>
        <v>#REF!</v>
      </c>
      <c r="T176" s="293"/>
      <c r="U176" s="97" t="e">
        <f t="shared" si="200"/>
        <v>#REF!</v>
      </c>
      <c r="V176" s="97" t="e">
        <f t="shared" si="201"/>
        <v>#REF!</v>
      </c>
      <c r="W176" s="293"/>
      <c r="X176" s="97" t="e">
        <f t="shared" si="202"/>
        <v>#REF!</v>
      </c>
      <c r="Y176" s="97" t="e">
        <f t="shared" si="203"/>
        <v>#REF!</v>
      </c>
      <c r="Z176" s="293"/>
      <c r="AA176" s="97" t="e">
        <f>ROUND(X176,0)+1271</f>
        <v>#REF!</v>
      </c>
      <c r="AB176" s="97" t="e">
        <f t="shared" si="205"/>
        <v>#REF!</v>
      </c>
      <c r="AC176" s="298" t="s">
        <v>427</v>
      </c>
      <c r="AD176" s="97" t="e">
        <f>ROUND(AA176,0)</f>
        <v>#REF!</v>
      </c>
      <c r="AE176" s="97" t="e">
        <f t="shared" si="207"/>
        <v>#REF!</v>
      </c>
      <c r="AF176" s="298"/>
      <c r="AG176" s="298"/>
      <c r="AH176" s="97">
        <v>441116</v>
      </c>
      <c r="AI176" s="293" t="e">
        <f t="shared" si="208"/>
        <v>#REF!</v>
      </c>
      <c r="AJ176" s="294"/>
      <c r="AK176" s="387" t="e">
        <f t="shared" si="211"/>
        <v>#REF!</v>
      </c>
    </row>
    <row r="177" spans="3:41" s="54" customFormat="1" ht="15" hidden="1" customHeight="1" outlineLevel="1" x14ac:dyDescent="0.25">
      <c r="C177" s="54" t="s">
        <v>428</v>
      </c>
      <c r="D177" s="54" t="s">
        <v>429</v>
      </c>
      <c r="E177" s="295" t="e">
        <f>#REF!</f>
        <v>#REF!</v>
      </c>
      <c r="F177" s="296"/>
      <c r="G177" s="196">
        <v>0</v>
      </c>
      <c r="H177" s="196">
        <v>0</v>
      </c>
      <c r="I177" s="292">
        <v>0</v>
      </c>
      <c r="J177" s="297">
        <v>0</v>
      </c>
      <c r="K177" s="1"/>
      <c r="L177" s="1"/>
      <c r="M177" s="1"/>
      <c r="N177" s="1"/>
      <c r="O177" s="1"/>
      <c r="P177" s="1"/>
      <c r="Q177" s="97">
        <f t="shared" si="199"/>
        <v>0</v>
      </c>
      <c r="R177" s="97">
        <f t="shared" si="209"/>
        <v>0</v>
      </c>
      <c r="S177" s="97">
        <f t="shared" si="210"/>
        <v>0</v>
      </c>
      <c r="T177" s="24"/>
      <c r="U177" s="97">
        <f t="shared" si="200"/>
        <v>0</v>
      </c>
      <c r="V177" s="97">
        <f t="shared" si="201"/>
        <v>0</v>
      </c>
      <c r="W177" s="24"/>
      <c r="X177" s="97">
        <f t="shared" si="202"/>
        <v>0</v>
      </c>
      <c r="Y177" s="97">
        <f t="shared" si="203"/>
        <v>0</v>
      </c>
      <c r="Z177" s="24"/>
      <c r="AA177" s="97">
        <f t="shared" si="204"/>
        <v>0</v>
      </c>
      <c r="AB177" s="97">
        <f t="shared" si="205"/>
        <v>0</v>
      </c>
      <c r="AC177" s="24"/>
      <c r="AD177" s="97">
        <f t="shared" ref="AD177:AD180" si="212">ROUND(AA177,0)</f>
        <v>0</v>
      </c>
      <c r="AE177" s="97">
        <f t="shared" si="207"/>
        <v>0</v>
      </c>
      <c r="AF177" s="24"/>
      <c r="AG177" s="24"/>
      <c r="AH177" s="278"/>
      <c r="AI177" s="24" t="e">
        <f t="shared" si="208"/>
        <v>#DIV/0!</v>
      </c>
      <c r="AJ177" s="25"/>
      <c r="AK177" s="387" t="e">
        <f t="shared" si="211"/>
        <v>#REF!</v>
      </c>
      <c r="AL177" s="378"/>
      <c r="AM177" s="378"/>
      <c r="AN177" s="378"/>
      <c r="AO177" s="378"/>
    </row>
    <row r="178" spans="3:41" s="54" customFormat="1" ht="15" hidden="1" customHeight="1" outlineLevel="1" x14ac:dyDescent="0.25">
      <c r="C178" s="54" t="s">
        <v>430</v>
      </c>
      <c r="D178" s="54" t="s">
        <v>431</v>
      </c>
      <c r="E178" s="295" t="e">
        <f>#REF!</f>
        <v>#REF!</v>
      </c>
      <c r="F178" s="296"/>
      <c r="G178" s="196">
        <v>0</v>
      </c>
      <c r="H178" s="196">
        <v>0</v>
      </c>
      <c r="I178" s="292">
        <v>0</v>
      </c>
      <c r="J178" s="297">
        <v>0</v>
      </c>
      <c r="K178" s="1"/>
      <c r="L178" s="1"/>
      <c r="M178" s="1"/>
      <c r="N178" s="1"/>
      <c r="O178" s="1"/>
      <c r="P178" s="1"/>
      <c r="Q178" s="97">
        <f t="shared" si="199"/>
        <v>0</v>
      </c>
      <c r="R178" s="97">
        <f t="shared" si="209"/>
        <v>0</v>
      </c>
      <c r="S178" s="97">
        <f t="shared" si="210"/>
        <v>0</v>
      </c>
      <c r="T178" s="24"/>
      <c r="U178" s="97">
        <f t="shared" si="200"/>
        <v>0</v>
      </c>
      <c r="V178" s="97">
        <f t="shared" si="201"/>
        <v>0</v>
      </c>
      <c r="W178" s="24"/>
      <c r="X178" s="97">
        <f t="shared" si="202"/>
        <v>0</v>
      </c>
      <c r="Y178" s="97">
        <f t="shared" si="203"/>
        <v>0</v>
      </c>
      <c r="Z178" s="24"/>
      <c r="AA178" s="97">
        <f t="shared" si="204"/>
        <v>0</v>
      </c>
      <c r="AB178" s="97">
        <f t="shared" si="205"/>
        <v>0</v>
      </c>
      <c r="AC178" s="24"/>
      <c r="AD178" s="97">
        <f t="shared" si="212"/>
        <v>0</v>
      </c>
      <c r="AE178" s="97">
        <f t="shared" si="207"/>
        <v>0</v>
      </c>
      <c r="AF178" s="24"/>
      <c r="AG178" s="24"/>
      <c r="AH178" s="278"/>
      <c r="AI178" s="24" t="e">
        <f t="shared" si="208"/>
        <v>#DIV/0!</v>
      </c>
      <c r="AJ178" s="25"/>
      <c r="AK178" s="387" t="e">
        <f t="shared" si="211"/>
        <v>#REF!</v>
      </c>
      <c r="AL178" s="378"/>
      <c r="AM178" s="378"/>
      <c r="AN178" s="378"/>
      <c r="AO178" s="378"/>
    </row>
    <row r="179" spans="3:41" s="54" customFormat="1" ht="0.6" hidden="1" customHeight="1" outlineLevel="1" x14ac:dyDescent="0.25">
      <c r="C179" s="54" t="s">
        <v>432</v>
      </c>
      <c r="D179" s="54" t="s">
        <v>433</v>
      </c>
      <c r="E179" s="295" t="e">
        <f>#REF!</f>
        <v>#REF!</v>
      </c>
      <c r="F179" s="296"/>
      <c r="G179" s="196">
        <v>0</v>
      </c>
      <c r="H179" s="196">
        <v>0</v>
      </c>
      <c r="I179" s="292">
        <v>0</v>
      </c>
      <c r="J179" s="297">
        <v>0</v>
      </c>
      <c r="K179" s="1"/>
      <c r="L179" s="1"/>
      <c r="M179" s="1"/>
      <c r="N179" s="1"/>
      <c r="O179" s="1"/>
      <c r="P179" s="1"/>
      <c r="Q179" s="97">
        <f t="shared" si="199"/>
        <v>0</v>
      </c>
      <c r="R179" s="97">
        <f t="shared" si="209"/>
        <v>0</v>
      </c>
      <c r="S179" s="97">
        <f t="shared" si="210"/>
        <v>0</v>
      </c>
      <c r="T179" s="24"/>
      <c r="U179" s="97">
        <f t="shared" si="200"/>
        <v>0</v>
      </c>
      <c r="V179" s="97">
        <f t="shared" si="201"/>
        <v>0</v>
      </c>
      <c r="W179" s="24"/>
      <c r="X179" s="97">
        <f t="shared" si="202"/>
        <v>0</v>
      </c>
      <c r="Y179" s="97">
        <f t="shared" si="203"/>
        <v>0</v>
      </c>
      <c r="Z179" s="24"/>
      <c r="AA179" s="97">
        <f t="shared" si="204"/>
        <v>0</v>
      </c>
      <c r="AB179" s="97">
        <f t="shared" si="205"/>
        <v>0</v>
      </c>
      <c r="AC179" s="24"/>
      <c r="AD179" s="97">
        <f t="shared" si="212"/>
        <v>0</v>
      </c>
      <c r="AE179" s="97">
        <f t="shared" si="207"/>
        <v>0</v>
      </c>
      <c r="AF179" s="24"/>
      <c r="AG179" s="24"/>
      <c r="AH179" s="278"/>
      <c r="AI179" s="24" t="e">
        <f t="shared" si="208"/>
        <v>#DIV/0!</v>
      </c>
      <c r="AJ179" s="25"/>
      <c r="AK179" s="387" t="e">
        <f t="shared" si="211"/>
        <v>#REF!</v>
      </c>
      <c r="AL179" s="378"/>
      <c r="AM179" s="378"/>
      <c r="AN179" s="378"/>
      <c r="AO179" s="378"/>
    </row>
    <row r="180" spans="3:41" ht="17.45" customHeight="1" collapsed="1" x14ac:dyDescent="0.25">
      <c r="C180" s="231" t="s">
        <v>434</v>
      </c>
      <c r="D180" s="174" t="s">
        <v>356</v>
      </c>
      <c r="E180" s="299" t="e">
        <f>#REF!</f>
        <v>#REF!</v>
      </c>
      <c r="F180" s="300"/>
      <c r="G180" s="301">
        <v>0</v>
      </c>
      <c r="H180" s="301">
        <v>27000</v>
      </c>
      <c r="I180" s="77">
        <v>182552.1</v>
      </c>
      <c r="J180" s="77">
        <v>1149213</v>
      </c>
      <c r="K180" s="302">
        <f>K63</f>
        <v>15163</v>
      </c>
      <c r="L180" s="97"/>
      <c r="M180" s="78">
        <f>M63</f>
        <v>102197</v>
      </c>
      <c r="N180" s="78">
        <f>N96</f>
        <v>11868</v>
      </c>
      <c r="O180" s="78">
        <f>195487-N180-M180-K180</f>
        <v>66259</v>
      </c>
      <c r="P180" s="78"/>
      <c r="Q180" s="60">
        <f t="shared" si="199"/>
        <v>195487</v>
      </c>
      <c r="R180" s="78">
        <f t="shared" si="209"/>
        <v>195487</v>
      </c>
      <c r="S180" s="78">
        <f t="shared" si="210"/>
        <v>0</v>
      </c>
      <c r="T180" s="98"/>
      <c r="U180" s="78">
        <f t="shared" si="200"/>
        <v>195487</v>
      </c>
      <c r="V180" s="78">
        <f t="shared" si="201"/>
        <v>0</v>
      </c>
      <c r="W180" s="98"/>
      <c r="X180" s="78">
        <f t="shared" si="202"/>
        <v>195487</v>
      </c>
      <c r="Y180" s="78">
        <f t="shared" si="203"/>
        <v>0</v>
      </c>
      <c r="Z180" s="98"/>
      <c r="AA180" s="78">
        <f t="shared" si="204"/>
        <v>195487</v>
      </c>
      <c r="AB180" s="78">
        <f t="shared" si="205"/>
        <v>0</v>
      </c>
      <c r="AC180" s="98"/>
      <c r="AD180" s="78">
        <f t="shared" si="212"/>
        <v>195487</v>
      </c>
      <c r="AE180" s="78">
        <f t="shared" si="207"/>
        <v>0</v>
      </c>
      <c r="AF180" s="98"/>
      <c r="AG180" s="400"/>
      <c r="AH180" s="263">
        <v>80785</v>
      </c>
      <c r="AI180" s="79">
        <f t="shared" si="208"/>
        <v>0.4132499859325684</v>
      </c>
      <c r="AJ180" s="303" t="s">
        <v>183</v>
      </c>
      <c r="AK180" s="387" t="e">
        <f t="shared" si="211"/>
        <v>#REF!</v>
      </c>
    </row>
    <row r="181" spans="3:41" s="220" customFormat="1" ht="15" hidden="1" customHeight="1" outlineLevel="1" x14ac:dyDescent="0.25">
      <c r="C181" s="54" t="s">
        <v>435</v>
      </c>
      <c r="D181" s="54" t="s">
        <v>436</v>
      </c>
      <c r="E181" s="194"/>
      <c r="F181" s="296"/>
      <c r="G181" s="196"/>
      <c r="H181" s="196"/>
      <c r="I181" s="196"/>
      <c r="J181" s="196"/>
      <c r="K181" s="1"/>
      <c r="L181" s="217"/>
      <c r="M181" s="217"/>
      <c r="N181" s="304"/>
      <c r="O181" s="1"/>
      <c r="P181" s="1"/>
      <c r="Q181" s="1"/>
      <c r="R181" s="1"/>
      <c r="S181" s="1">
        <f t="shared" si="210"/>
        <v>0</v>
      </c>
      <c r="T181" s="24"/>
      <c r="U181" s="1"/>
      <c r="V181" s="1">
        <f t="shared" si="201"/>
        <v>0</v>
      </c>
      <c r="W181" s="24"/>
      <c r="X181" s="1"/>
      <c r="Y181" s="1">
        <f t="shared" si="203"/>
        <v>0</v>
      </c>
      <c r="Z181" s="24"/>
      <c r="AA181" s="1"/>
      <c r="AB181" s="1">
        <f t="shared" si="205"/>
        <v>0</v>
      </c>
      <c r="AC181" s="24"/>
      <c r="AD181" s="1"/>
      <c r="AE181" s="1">
        <f t="shared" si="207"/>
        <v>0</v>
      </c>
      <c r="AF181" s="24"/>
      <c r="AG181" s="24"/>
      <c r="AH181" s="278"/>
      <c r="AI181" s="24" t="e">
        <f t="shared" si="208"/>
        <v>#DIV/0!</v>
      </c>
      <c r="AJ181" s="25"/>
      <c r="AK181" s="387" t="e">
        <f t="shared" si="211"/>
        <v>#REF!</v>
      </c>
      <c r="AL181" s="378"/>
      <c r="AM181" s="378"/>
      <c r="AN181" s="378"/>
      <c r="AO181" s="378"/>
    </row>
    <row r="182" spans="3:41" ht="18" customHeight="1" collapsed="1" x14ac:dyDescent="0.25">
      <c r="C182" s="211" t="s">
        <v>437</v>
      </c>
      <c r="D182" s="224" t="s">
        <v>438</v>
      </c>
      <c r="E182" s="130">
        <f>722113.542854053+338+3594+5795+33860</f>
        <v>765700.54285405297</v>
      </c>
      <c r="F182" s="131">
        <f>F183+F187+F191+F193</f>
        <v>845085</v>
      </c>
      <c r="G182" s="132">
        <f>G183+G187+G191+G193</f>
        <v>745797.44399927999</v>
      </c>
      <c r="H182" s="132">
        <v>700862</v>
      </c>
      <c r="I182" s="132">
        <f>I183+I187</f>
        <v>803850</v>
      </c>
      <c r="J182" s="132">
        <v>827195</v>
      </c>
      <c r="K182" s="133">
        <f>K183+K187</f>
        <v>4661</v>
      </c>
      <c r="L182" s="133">
        <f>L183+L187+L191+L192+L193</f>
        <v>71513.52</v>
      </c>
      <c r="M182" s="133">
        <f>M183+M187+M191+M192+M193</f>
        <v>0</v>
      </c>
      <c r="N182" s="133"/>
      <c r="O182" s="133" t="e">
        <f>O183+O187+O191+O193</f>
        <v>#REF!</v>
      </c>
      <c r="P182" s="133">
        <f>P183+P187+P191+P193</f>
        <v>823441</v>
      </c>
      <c r="Q182" s="133" t="e">
        <f>Q183+Q187+Q191+Q193</f>
        <v>#REF!</v>
      </c>
      <c r="R182" s="133" t="e">
        <f>R183+R187+R191+R193</f>
        <v>#REF!</v>
      </c>
      <c r="S182" s="133" t="e">
        <f t="shared" si="210"/>
        <v>#REF!</v>
      </c>
      <c r="T182" s="135"/>
      <c r="U182" s="133" t="e">
        <f>U183+U187+U191+U193</f>
        <v>#REF!</v>
      </c>
      <c r="V182" s="133" t="e">
        <f t="shared" si="201"/>
        <v>#REF!</v>
      </c>
      <c r="W182" s="135"/>
      <c r="X182" s="133" t="e">
        <f>X183+X187+X191+X193</f>
        <v>#REF!</v>
      </c>
      <c r="Y182" s="133" t="e">
        <f t="shared" si="203"/>
        <v>#REF!</v>
      </c>
      <c r="Z182" s="135"/>
      <c r="AA182" s="133" t="e">
        <f>AA183+AA187+AA191+AA193</f>
        <v>#REF!</v>
      </c>
      <c r="AB182" s="133" t="e">
        <f t="shared" si="205"/>
        <v>#REF!</v>
      </c>
      <c r="AC182" s="135"/>
      <c r="AD182" s="133" t="e">
        <f>AD183+AD187+AD191+AD193</f>
        <v>#REF!</v>
      </c>
      <c r="AE182" s="133" t="e">
        <f t="shared" si="207"/>
        <v>#REF!</v>
      </c>
      <c r="AF182" s="135"/>
      <c r="AG182" s="135"/>
      <c r="AH182" s="133">
        <f>AH183+AH187+AH193</f>
        <v>327928</v>
      </c>
      <c r="AI182" s="135" t="e">
        <f t="shared" si="208"/>
        <v>#REF!</v>
      </c>
      <c r="AJ182" s="135"/>
      <c r="AK182" s="387" t="e">
        <f t="shared" si="211"/>
        <v>#REF!</v>
      </c>
    </row>
    <row r="183" spans="3:41" ht="18" customHeight="1" x14ac:dyDescent="0.25">
      <c r="C183" s="231" t="s">
        <v>439</v>
      </c>
      <c r="D183" s="174" t="s">
        <v>418</v>
      </c>
      <c r="E183" s="305" t="e">
        <f>#REF!-2276+26500+3750+2250</f>
        <v>#REF!</v>
      </c>
      <c r="F183" s="58">
        <v>60317</v>
      </c>
      <c r="G183" s="59">
        <v>50113</v>
      </c>
      <c r="H183" s="59">
        <v>56634</v>
      </c>
      <c r="I183" s="59">
        <v>63835</v>
      </c>
      <c r="J183" s="59">
        <v>68325</v>
      </c>
      <c r="K183" s="60">
        <v>4661</v>
      </c>
      <c r="L183" s="60">
        <f>(5912+47.46)*12</f>
        <v>71513.52</v>
      </c>
      <c r="M183" s="60"/>
      <c r="N183" s="60"/>
      <c r="O183" s="60"/>
      <c r="P183" s="60"/>
      <c r="Q183" s="60">
        <f t="shared" ref="Q183:Q193" si="213">K183+L183+M183+N183+O183+P183</f>
        <v>76174.52</v>
      </c>
      <c r="R183" s="60">
        <f>ROUND(Q183,0)+1484</f>
        <v>77659</v>
      </c>
      <c r="S183" s="60">
        <f t="shared" si="210"/>
        <v>1484.4799999999959</v>
      </c>
      <c r="T183" s="98" t="s">
        <v>146</v>
      </c>
      <c r="U183" s="60">
        <f t="shared" ref="U183:U187" si="214">ROUND(R183,0)</f>
        <v>77659</v>
      </c>
      <c r="V183" s="60">
        <f t="shared" si="201"/>
        <v>0</v>
      </c>
      <c r="W183" s="98"/>
      <c r="X183" s="60">
        <f t="shared" ref="X183:X187" si="215">ROUND(U183,0)</f>
        <v>77659</v>
      </c>
      <c r="Y183" s="60">
        <f t="shared" si="203"/>
        <v>0</v>
      </c>
      <c r="Z183" s="98"/>
      <c r="AA183" s="60">
        <f t="shared" ref="AA183:AA187" si="216">ROUND(X183,0)</f>
        <v>77659</v>
      </c>
      <c r="AB183" s="60">
        <f t="shared" si="205"/>
        <v>0</v>
      </c>
      <c r="AC183" s="98"/>
      <c r="AD183" s="60">
        <f t="shared" ref="AD183:AD187" si="217">ROUND(AA183,0)</f>
        <v>77659</v>
      </c>
      <c r="AE183" s="60">
        <f t="shared" si="207"/>
        <v>0</v>
      </c>
      <c r="AF183" s="98"/>
      <c r="AG183" s="98"/>
      <c r="AH183" s="60">
        <v>34540</v>
      </c>
      <c r="AI183" s="63">
        <f t="shared" si="208"/>
        <v>0.44476493387759308</v>
      </c>
      <c r="AJ183" s="64"/>
      <c r="AK183" s="387" t="e">
        <f t="shared" si="211"/>
        <v>#REF!</v>
      </c>
    </row>
    <row r="184" spans="3:41" s="54" customFormat="1" ht="15" hidden="1" customHeight="1" outlineLevel="1" x14ac:dyDescent="0.25">
      <c r="C184" s="54" t="s">
        <v>440</v>
      </c>
      <c r="D184" s="54" t="s">
        <v>420</v>
      </c>
      <c r="E184" s="295" t="e">
        <f>#REF!</f>
        <v>#REF!</v>
      </c>
      <c r="F184" s="296"/>
      <c r="G184" s="196">
        <v>0</v>
      </c>
      <c r="H184" s="196">
        <v>0</v>
      </c>
      <c r="I184" s="59">
        <v>0</v>
      </c>
      <c r="J184" s="306">
        <v>0</v>
      </c>
      <c r="K184" s="1"/>
      <c r="L184" s="1"/>
      <c r="M184" s="1"/>
      <c r="N184" s="1"/>
      <c r="O184" s="1"/>
      <c r="P184" s="1"/>
      <c r="Q184" s="60">
        <f t="shared" si="213"/>
        <v>0</v>
      </c>
      <c r="R184" s="60">
        <f>ROUND(Q184,0)</f>
        <v>0</v>
      </c>
      <c r="S184" s="60">
        <f t="shared" si="210"/>
        <v>0</v>
      </c>
      <c r="T184" s="24"/>
      <c r="U184" s="60">
        <f t="shared" si="214"/>
        <v>0</v>
      </c>
      <c r="V184" s="60">
        <f t="shared" si="201"/>
        <v>0</v>
      </c>
      <c r="W184" s="24"/>
      <c r="X184" s="60">
        <f t="shared" si="215"/>
        <v>0</v>
      </c>
      <c r="Y184" s="60">
        <f t="shared" si="203"/>
        <v>0</v>
      </c>
      <c r="Z184" s="24"/>
      <c r="AA184" s="60">
        <f t="shared" si="216"/>
        <v>0</v>
      </c>
      <c r="AB184" s="60">
        <f t="shared" si="205"/>
        <v>0</v>
      </c>
      <c r="AC184" s="24"/>
      <c r="AD184" s="60">
        <f t="shared" si="217"/>
        <v>0</v>
      </c>
      <c r="AE184" s="60">
        <f t="shared" si="207"/>
        <v>0</v>
      </c>
      <c r="AF184" s="24"/>
      <c r="AG184" s="24"/>
      <c r="AH184" s="278"/>
      <c r="AI184" s="24" t="e">
        <f t="shared" si="208"/>
        <v>#DIV/0!</v>
      </c>
      <c r="AJ184" s="25"/>
      <c r="AK184" s="387" t="e">
        <f t="shared" si="211"/>
        <v>#REF!</v>
      </c>
      <c r="AL184" s="378"/>
      <c r="AM184" s="378"/>
      <c r="AN184" s="378"/>
      <c r="AO184" s="378"/>
    </row>
    <row r="185" spans="3:41" s="54" customFormat="1" ht="15" hidden="1" customHeight="1" outlineLevel="1" x14ac:dyDescent="0.25">
      <c r="C185" s="54" t="s">
        <v>441</v>
      </c>
      <c r="D185" s="54" t="s">
        <v>422</v>
      </c>
      <c r="E185" s="295" t="e">
        <f>#REF!</f>
        <v>#REF!</v>
      </c>
      <c r="F185" s="296"/>
      <c r="G185" s="196"/>
      <c r="H185" s="196">
        <v>0</v>
      </c>
      <c r="I185" s="59">
        <v>0</v>
      </c>
      <c r="J185" s="306">
        <v>0</v>
      </c>
      <c r="K185" s="1"/>
      <c r="L185" s="1"/>
      <c r="M185" s="1"/>
      <c r="N185" s="1"/>
      <c r="O185" s="1"/>
      <c r="P185" s="1"/>
      <c r="Q185" s="60">
        <f t="shared" si="213"/>
        <v>0</v>
      </c>
      <c r="R185" s="60">
        <f>ROUND(Q185,0)</f>
        <v>0</v>
      </c>
      <c r="S185" s="60">
        <f t="shared" si="210"/>
        <v>0</v>
      </c>
      <c r="T185" s="24"/>
      <c r="U185" s="60">
        <f t="shared" si="214"/>
        <v>0</v>
      </c>
      <c r="V185" s="60">
        <f t="shared" si="201"/>
        <v>0</v>
      </c>
      <c r="W185" s="24"/>
      <c r="X185" s="60">
        <f t="shared" si="215"/>
        <v>0</v>
      </c>
      <c r="Y185" s="60">
        <f t="shared" si="203"/>
        <v>0</v>
      </c>
      <c r="Z185" s="24"/>
      <c r="AA185" s="60">
        <f t="shared" si="216"/>
        <v>0</v>
      </c>
      <c r="AB185" s="60">
        <f t="shared" si="205"/>
        <v>0</v>
      </c>
      <c r="AC185" s="24"/>
      <c r="AD185" s="60">
        <f t="shared" si="217"/>
        <v>0</v>
      </c>
      <c r="AE185" s="60">
        <f t="shared" si="207"/>
        <v>0</v>
      </c>
      <c r="AF185" s="24"/>
      <c r="AG185" s="24"/>
      <c r="AH185" s="278"/>
      <c r="AI185" s="24" t="e">
        <f t="shared" si="208"/>
        <v>#DIV/0!</v>
      </c>
      <c r="AJ185" s="25"/>
      <c r="AK185" s="387" t="e">
        <f t="shared" si="211"/>
        <v>#REF!</v>
      </c>
      <c r="AL185" s="378"/>
      <c r="AM185" s="378"/>
      <c r="AN185" s="378"/>
      <c r="AO185" s="378"/>
    </row>
    <row r="186" spans="3:41" s="54" customFormat="1" ht="15" hidden="1" customHeight="1" outlineLevel="1" x14ac:dyDescent="0.25">
      <c r="C186" s="54" t="s">
        <v>442</v>
      </c>
      <c r="D186" s="54" t="s">
        <v>424</v>
      </c>
      <c r="E186" s="295" t="e">
        <f>#REF!</f>
        <v>#REF!</v>
      </c>
      <c r="F186" s="296"/>
      <c r="G186" s="196"/>
      <c r="H186" s="196">
        <v>0</v>
      </c>
      <c r="I186" s="59">
        <v>0</v>
      </c>
      <c r="J186" s="306">
        <v>0</v>
      </c>
      <c r="K186" s="1"/>
      <c r="L186" s="1"/>
      <c r="M186" s="1"/>
      <c r="N186" s="1"/>
      <c r="O186" s="1"/>
      <c r="P186" s="1"/>
      <c r="Q186" s="60">
        <f t="shared" si="213"/>
        <v>0</v>
      </c>
      <c r="R186" s="60">
        <f>ROUND(Q186,0)</f>
        <v>0</v>
      </c>
      <c r="S186" s="60">
        <f t="shared" si="210"/>
        <v>0</v>
      </c>
      <c r="T186" s="24"/>
      <c r="U186" s="60">
        <f t="shared" si="214"/>
        <v>0</v>
      </c>
      <c r="V186" s="60">
        <f t="shared" si="201"/>
        <v>0</v>
      </c>
      <c r="W186" s="24"/>
      <c r="X186" s="60">
        <f t="shared" si="215"/>
        <v>0</v>
      </c>
      <c r="Y186" s="60">
        <f t="shared" si="203"/>
        <v>0</v>
      </c>
      <c r="Z186" s="24"/>
      <c r="AA186" s="60">
        <f t="shared" si="216"/>
        <v>0</v>
      </c>
      <c r="AB186" s="60">
        <f t="shared" si="205"/>
        <v>0</v>
      </c>
      <c r="AC186" s="24"/>
      <c r="AD186" s="60">
        <f t="shared" si="217"/>
        <v>0</v>
      </c>
      <c r="AE186" s="60">
        <f t="shared" si="207"/>
        <v>0</v>
      </c>
      <c r="AF186" s="24"/>
      <c r="AG186" s="24"/>
      <c r="AH186" s="278"/>
      <c r="AI186" s="24" t="e">
        <f t="shared" si="208"/>
        <v>#DIV/0!</v>
      </c>
      <c r="AJ186" s="25"/>
      <c r="AK186" s="387" t="e">
        <f t="shared" si="211"/>
        <v>#REF!</v>
      </c>
      <c r="AL186" s="378"/>
      <c r="AM186" s="378"/>
      <c r="AN186" s="378"/>
      <c r="AO186" s="378"/>
    </row>
    <row r="187" spans="3:41" ht="19.899999999999999" customHeight="1" collapsed="1" x14ac:dyDescent="0.25">
      <c r="C187" s="231" t="s">
        <v>443</v>
      </c>
      <c r="D187" s="174" t="s">
        <v>426</v>
      </c>
      <c r="E187" s="305" t="e">
        <f>SUM(E188:E190)</f>
        <v>#REF!</v>
      </c>
      <c r="F187" s="58">
        <v>657086</v>
      </c>
      <c r="G187" s="59">
        <v>695684.44399927999</v>
      </c>
      <c r="H187" s="59">
        <v>644228</v>
      </c>
      <c r="I187" s="59">
        <v>740015</v>
      </c>
      <c r="J187" s="59">
        <v>758870</v>
      </c>
      <c r="K187" s="60"/>
      <c r="L187" s="60"/>
      <c r="M187" s="60"/>
      <c r="N187" s="60"/>
      <c r="O187" s="60" t="e">
        <f>GETPIVOTDATA("Summa",[4]Pivot_investicijas!$A$3,"Nodaļa","0920")</f>
        <v>#REF!</v>
      </c>
      <c r="P187" s="60">
        <f>[4]Baze_2020!D214</f>
        <v>823441</v>
      </c>
      <c r="Q187" s="60" t="e">
        <f t="shared" si="213"/>
        <v>#REF!</v>
      </c>
      <c r="R187" s="60" t="e">
        <f>ROUND(Q187,0)</f>
        <v>#REF!</v>
      </c>
      <c r="S187" s="60" t="e">
        <f t="shared" si="210"/>
        <v>#REF!</v>
      </c>
      <c r="T187" s="63"/>
      <c r="U187" s="60" t="e">
        <f t="shared" si="214"/>
        <v>#REF!</v>
      </c>
      <c r="V187" s="60" t="e">
        <f t="shared" si="201"/>
        <v>#REF!</v>
      </c>
      <c r="W187" s="63"/>
      <c r="X187" s="60" t="e">
        <f t="shared" si="215"/>
        <v>#REF!</v>
      </c>
      <c r="Y187" s="60" t="e">
        <f t="shared" si="203"/>
        <v>#REF!</v>
      </c>
      <c r="Z187" s="63"/>
      <c r="AA187" s="60" t="e">
        <f t="shared" si="216"/>
        <v>#REF!</v>
      </c>
      <c r="AB187" s="60" t="e">
        <f t="shared" si="205"/>
        <v>#REF!</v>
      </c>
      <c r="AC187" s="63"/>
      <c r="AD187" s="60" t="e">
        <f t="shared" si="217"/>
        <v>#REF!</v>
      </c>
      <c r="AE187" s="60" t="e">
        <f t="shared" si="207"/>
        <v>#REF!</v>
      </c>
      <c r="AF187" s="63"/>
      <c r="AG187" s="63"/>
      <c r="AH187" s="60">
        <v>293388</v>
      </c>
      <c r="AI187" s="63" t="e">
        <f t="shared" si="208"/>
        <v>#REF!</v>
      </c>
      <c r="AJ187" s="63"/>
      <c r="AK187" s="387" t="e">
        <f t="shared" si="211"/>
        <v>#REF!</v>
      </c>
    </row>
    <row r="188" spans="3:41" s="54" customFormat="1" ht="15" hidden="1" customHeight="1" outlineLevel="1" x14ac:dyDescent="0.25">
      <c r="C188" s="54" t="s">
        <v>444</v>
      </c>
      <c r="D188" s="54" t="s">
        <v>429</v>
      </c>
      <c r="E188" s="295" t="e">
        <f>#REF!</f>
        <v>#REF!</v>
      </c>
      <c r="F188" s="296"/>
      <c r="G188" s="196">
        <v>0</v>
      </c>
      <c r="H188" s="196">
        <v>0</v>
      </c>
      <c r="I188" s="59">
        <v>0</v>
      </c>
      <c r="J188" s="306">
        <v>0</v>
      </c>
      <c r="K188" s="1"/>
      <c r="L188" s="1"/>
      <c r="M188" s="1"/>
      <c r="N188" s="1"/>
      <c r="O188" s="1"/>
      <c r="P188" s="1"/>
      <c r="Q188" s="60">
        <f t="shared" si="213"/>
        <v>0</v>
      </c>
      <c r="R188" s="60">
        <v>0</v>
      </c>
      <c r="S188" s="60">
        <f t="shared" si="210"/>
        <v>0</v>
      </c>
      <c r="T188" s="24"/>
      <c r="U188" s="60">
        <v>0</v>
      </c>
      <c r="V188" s="60">
        <f t="shared" si="201"/>
        <v>0</v>
      </c>
      <c r="W188" s="24"/>
      <c r="X188" s="60">
        <v>0</v>
      </c>
      <c r="Y188" s="60">
        <f t="shared" si="203"/>
        <v>0</v>
      </c>
      <c r="Z188" s="24"/>
      <c r="AA188" s="60">
        <v>0</v>
      </c>
      <c r="AB188" s="60">
        <f t="shared" si="205"/>
        <v>0</v>
      </c>
      <c r="AC188" s="24"/>
      <c r="AD188" s="60">
        <v>0</v>
      </c>
      <c r="AE188" s="60">
        <f t="shared" si="207"/>
        <v>0</v>
      </c>
      <c r="AF188" s="24"/>
      <c r="AG188" s="24"/>
      <c r="AH188" s="278"/>
      <c r="AI188" s="24" t="e">
        <f t="shared" si="208"/>
        <v>#DIV/0!</v>
      </c>
      <c r="AJ188" s="25"/>
      <c r="AK188" s="387" t="e">
        <f t="shared" si="211"/>
        <v>#REF!</v>
      </c>
      <c r="AL188" s="378"/>
      <c r="AM188" s="378"/>
      <c r="AN188" s="378"/>
      <c r="AO188" s="378"/>
    </row>
    <row r="189" spans="3:41" s="54" customFormat="1" ht="15" hidden="1" customHeight="1" outlineLevel="1" x14ac:dyDescent="0.25">
      <c r="C189" s="54" t="s">
        <v>445</v>
      </c>
      <c r="D189" s="54" t="s">
        <v>431</v>
      </c>
      <c r="E189" s="295" t="e">
        <f>#REF!</f>
        <v>#REF!</v>
      </c>
      <c r="F189" s="296"/>
      <c r="G189" s="196">
        <v>0</v>
      </c>
      <c r="H189" s="196">
        <v>0</v>
      </c>
      <c r="I189" s="59">
        <v>0</v>
      </c>
      <c r="J189" s="306">
        <v>0</v>
      </c>
      <c r="K189" s="1"/>
      <c r="L189" s="1"/>
      <c r="M189" s="1"/>
      <c r="N189" s="1"/>
      <c r="O189" s="1"/>
      <c r="P189" s="1"/>
      <c r="Q189" s="60">
        <f t="shared" si="213"/>
        <v>0</v>
      </c>
      <c r="R189" s="60">
        <v>0</v>
      </c>
      <c r="S189" s="60">
        <f t="shared" si="210"/>
        <v>0</v>
      </c>
      <c r="T189" s="24"/>
      <c r="U189" s="60">
        <v>0</v>
      </c>
      <c r="V189" s="60">
        <f t="shared" si="201"/>
        <v>0</v>
      </c>
      <c r="W189" s="24"/>
      <c r="X189" s="60">
        <v>0</v>
      </c>
      <c r="Y189" s="60">
        <f t="shared" si="203"/>
        <v>0</v>
      </c>
      <c r="Z189" s="24"/>
      <c r="AA189" s="60">
        <v>0</v>
      </c>
      <c r="AB189" s="60">
        <f t="shared" si="205"/>
        <v>0</v>
      </c>
      <c r="AC189" s="24"/>
      <c r="AD189" s="60">
        <v>0</v>
      </c>
      <c r="AE189" s="60">
        <f t="shared" si="207"/>
        <v>0</v>
      </c>
      <c r="AF189" s="24"/>
      <c r="AG189" s="24"/>
      <c r="AH189" s="278"/>
      <c r="AI189" s="24" t="e">
        <f t="shared" si="208"/>
        <v>#DIV/0!</v>
      </c>
      <c r="AJ189" s="25"/>
      <c r="AK189" s="387" t="e">
        <f t="shared" si="211"/>
        <v>#REF!</v>
      </c>
      <c r="AL189" s="378"/>
      <c r="AM189" s="378"/>
      <c r="AN189" s="378"/>
      <c r="AO189" s="378"/>
    </row>
    <row r="190" spans="3:41" s="54" customFormat="1" ht="15" hidden="1" customHeight="1" outlineLevel="1" x14ac:dyDescent="0.25">
      <c r="C190" s="54" t="s">
        <v>446</v>
      </c>
      <c r="D190" s="54" t="s">
        <v>447</v>
      </c>
      <c r="E190" s="295" t="e">
        <f>#REF!</f>
        <v>#REF!</v>
      </c>
      <c r="F190" s="296"/>
      <c r="G190" s="196">
        <v>0</v>
      </c>
      <c r="H190" s="196">
        <v>0</v>
      </c>
      <c r="I190" s="59">
        <v>0</v>
      </c>
      <c r="J190" s="306">
        <v>0</v>
      </c>
      <c r="K190" s="1"/>
      <c r="L190" s="1"/>
      <c r="M190" s="1"/>
      <c r="N190" s="1"/>
      <c r="O190" s="1"/>
      <c r="P190" s="1"/>
      <c r="Q190" s="60">
        <f t="shared" si="213"/>
        <v>0</v>
      </c>
      <c r="R190" s="60">
        <v>0</v>
      </c>
      <c r="S190" s="60">
        <f t="shared" si="210"/>
        <v>0</v>
      </c>
      <c r="T190" s="24"/>
      <c r="U190" s="60">
        <v>0</v>
      </c>
      <c r="V190" s="60">
        <f t="shared" si="201"/>
        <v>0</v>
      </c>
      <c r="W190" s="24"/>
      <c r="X190" s="60">
        <v>0</v>
      </c>
      <c r="Y190" s="60">
        <f t="shared" si="203"/>
        <v>0</v>
      </c>
      <c r="Z190" s="24"/>
      <c r="AA190" s="60">
        <v>0</v>
      </c>
      <c r="AB190" s="60">
        <f t="shared" si="205"/>
        <v>0</v>
      </c>
      <c r="AC190" s="24"/>
      <c r="AD190" s="60">
        <v>0</v>
      </c>
      <c r="AE190" s="60">
        <f t="shared" si="207"/>
        <v>0</v>
      </c>
      <c r="AF190" s="24"/>
      <c r="AG190" s="24"/>
      <c r="AH190" s="278"/>
      <c r="AI190" s="24" t="e">
        <f t="shared" si="208"/>
        <v>#DIV/0!</v>
      </c>
      <c r="AJ190" s="25"/>
      <c r="AK190" s="387" t="e">
        <f t="shared" si="211"/>
        <v>#REF!</v>
      </c>
      <c r="AL190" s="378"/>
      <c r="AM190" s="378"/>
      <c r="AN190" s="378"/>
      <c r="AO190" s="378"/>
    </row>
    <row r="191" spans="3:41" hidden="1" outlineLevel="1" x14ac:dyDescent="0.25">
      <c r="C191" s="231" t="s">
        <v>448</v>
      </c>
      <c r="D191" s="174" t="s">
        <v>449</v>
      </c>
      <c r="E191" s="299" t="e">
        <f>#REF!</f>
        <v>#REF!</v>
      </c>
      <c r="F191" s="300"/>
      <c r="G191" s="301">
        <v>0</v>
      </c>
      <c r="H191" s="301">
        <v>0</v>
      </c>
      <c r="I191" s="59">
        <v>0</v>
      </c>
      <c r="J191" s="59">
        <v>0</v>
      </c>
      <c r="K191" s="302"/>
      <c r="L191" s="60"/>
      <c r="M191" s="60"/>
      <c r="N191" s="60"/>
      <c r="O191" s="302"/>
      <c r="P191" s="302"/>
      <c r="Q191" s="60">
        <f t="shared" si="213"/>
        <v>0</v>
      </c>
      <c r="R191" s="60">
        <v>0</v>
      </c>
      <c r="S191" s="60">
        <f t="shared" si="210"/>
        <v>0</v>
      </c>
      <c r="T191" s="303"/>
      <c r="U191" s="60">
        <v>0</v>
      </c>
      <c r="V191" s="60">
        <f t="shared" si="201"/>
        <v>0</v>
      </c>
      <c r="W191" s="303"/>
      <c r="X191" s="60">
        <v>0</v>
      </c>
      <c r="Y191" s="60">
        <f t="shared" si="203"/>
        <v>0</v>
      </c>
      <c r="Z191" s="303"/>
      <c r="AA191" s="60">
        <v>0</v>
      </c>
      <c r="AB191" s="60">
        <f t="shared" si="205"/>
        <v>0</v>
      </c>
      <c r="AC191" s="303"/>
      <c r="AD191" s="60">
        <v>0</v>
      </c>
      <c r="AE191" s="60">
        <f t="shared" si="207"/>
        <v>0</v>
      </c>
      <c r="AF191" s="303"/>
      <c r="AG191" s="303"/>
      <c r="AH191" s="307"/>
      <c r="AI191" s="303" t="e">
        <f t="shared" si="208"/>
        <v>#DIV/0!</v>
      </c>
      <c r="AJ191" s="308"/>
      <c r="AK191" s="387" t="e">
        <f t="shared" si="211"/>
        <v>#REF!</v>
      </c>
    </row>
    <row r="192" spans="3:41" s="220" customFormat="1" ht="15" hidden="1" customHeight="1" outlineLevel="2" x14ac:dyDescent="0.25">
      <c r="C192" s="54" t="s">
        <v>450</v>
      </c>
      <c r="D192" s="54" t="s">
        <v>436</v>
      </c>
      <c r="E192" s="194"/>
      <c r="F192" s="296"/>
      <c r="G192" s="196">
        <v>0</v>
      </c>
      <c r="H192" s="196">
        <v>0</v>
      </c>
      <c r="I192" s="59">
        <v>0</v>
      </c>
      <c r="J192" s="306">
        <v>0</v>
      </c>
      <c r="K192" s="1"/>
      <c r="L192" s="217">
        <v>0</v>
      </c>
      <c r="M192" s="217"/>
      <c r="N192" s="304"/>
      <c r="O192" s="1"/>
      <c r="P192" s="1"/>
      <c r="Q192" s="60">
        <f t="shared" si="213"/>
        <v>0</v>
      </c>
      <c r="R192" s="60">
        <f>L192+M192+N192+O192+P192+Q192</f>
        <v>0</v>
      </c>
      <c r="S192" s="60">
        <f t="shared" si="210"/>
        <v>0</v>
      </c>
      <c r="T192" s="24"/>
      <c r="U192" s="60">
        <f>O192+P192+Q192+R192+S192+T192</f>
        <v>0</v>
      </c>
      <c r="V192" s="60">
        <f t="shared" si="201"/>
        <v>0</v>
      </c>
      <c r="W192" s="24"/>
      <c r="X192" s="60">
        <f>R192+S192+T192+U192+V192+W192</f>
        <v>0</v>
      </c>
      <c r="Y192" s="60">
        <f t="shared" si="203"/>
        <v>0</v>
      </c>
      <c r="Z192" s="24"/>
      <c r="AA192" s="60">
        <f>U192+V192+W192+X192+Y192+Z192</f>
        <v>0</v>
      </c>
      <c r="AB192" s="60">
        <f t="shared" si="205"/>
        <v>0</v>
      </c>
      <c r="AC192" s="24"/>
      <c r="AD192" s="60">
        <f>X192+Y192+Z192+AA192+AB192+AC192</f>
        <v>0</v>
      </c>
      <c r="AE192" s="60">
        <f t="shared" si="207"/>
        <v>0</v>
      </c>
      <c r="AF192" s="24"/>
      <c r="AG192" s="24"/>
      <c r="AH192" s="278"/>
      <c r="AI192" s="24" t="e">
        <f t="shared" si="208"/>
        <v>#DIV/0!</v>
      </c>
      <c r="AJ192" s="25"/>
      <c r="AK192" s="387" t="e">
        <f t="shared" si="211"/>
        <v>#REF!</v>
      </c>
      <c r="AL192" s="378"/>
      <c r="AM192" s="378"/>
      <c r="AN192" s="378"/>
      <c r="AO192" s="378"/>
    </row>
    <row r="193" spans="3:47" s="313" customFormat="1" hidden="1" outlineLevel="2" x14ac:dyDescent="0.25">
      <c r="C193" s="309" t="s">
        <v>450</v>
      </c>
      <c r="D193" s="310" t="s">
        <v>451</v>
      </c>
      <c r="E193" s="311">
        <v>128769.8988622717</v>
      </c>
      <c r="F193" s="291">
        <v>127682</v>
      </c>
      <c r="G193" s="292">
        <v>0</v>
      </c>
      <c r="H193" s="292">
        <v>0</v>
      </c>
      <c r="I193" s="59" t="e">
        <f>C193+D193+E193+F193+G193+H193</f>
        <v>#VALUE!</v>
      </c>
      <c r="J193" s="59">
        <v>0</v>
      </c>
      <c r="K193" s="97"/>
      <c r="L193" s="97"/>
      <c r="M193" s="97"/>
      <c r="N193" s="97"/>
      <c r="O193" s="97"/>
      <c r="P193" s="97"/>
      <c r="Q193" s="60">
        <f t="shared" si="213"/>
        <v>0</v>
      </c>
      <c r="R193" s="60">
        <f>L193+M193+N193+O193+P193+Q193</f>
        <v>0</v>
      </c>
      <c r="S193" s="60">
        <f t="shared" si="210"/>
        <v>0</v>
      </c>
      <c r="T193" s="293"/>
      <c r="U193" s="60">
        <f>O193+P193+Q193+R193+S193+T193</f>
        <v>0</v>
      </c>
      <c r="V193" s="60">
        <f t="shared" si="201"/>
        <v>0</v>
      </c>
      <c r="W193" s="293"/>
      <c r="X193" s="60">
        <f>R193+S193+T193+U193+V193+W193</f>
        <v>0</v>
      </c>
      <c r="Y193" s="60">
        <f t="shared" si="203"/>
        <v>0</v>
      </c>
      <c r="Z193" s="293"/>
      <c r="AA193" s="60">
        <f>U193+V193+W193+X193+Y193+Z193</f>
        <v>0</v>
      </c>
      <c r="AB193" s="60">
        <f t="shared" si="205"/>
        <v>0</v>
      </c>
      <c r="AC193" s="293"/>
      <c r="AD193" s="60">
        <f>X193+Y193+Z193+AA193+AB193+AC193</f>
        <v>0</v>
      </c>
      <c r="AE193" s="60">
        <f t="shared" si="207"/>
        <v>0</v>
      </c>
      <c r="AF193" s="293"/>
      <c r="AG193" s="293"/>
      <c r="AH193" s="312"/>
      <c r="AI193" s="293" t="e">
        <f t="shared" si="208"/>
        <v>#DIV/0!</v>
      </c>
      <c r="AJ193" s="294"/>
      <c r="AK193" s="387" t="e">
        <f t="shared" si="211"/>
        <v>#REF!</v>
      </c>
      <c r="AL193" s="378"/>
      <c r="AM193" s="378"/>
      <c r="AN193" s="378"/>
      <c r="AO193" s="378"/>
    </row>
    <row r="194" spans="3:47" collapsed="1" x14ac:dyDescent="0.25">
      <c r="C194" s="211" t="s">
        <v>452</v>
      </c>
      <c r="D194" s="224" t="s">
        <v>453</v>
      </c>
      <c r="E194" s="130">
        <f>E195+E197</f>
        <v>654071.40539894486</v>
      </c>
      <c r="F194" s="131">
        <f>(F195+F197)</f>
        <v>772751</v>
      </c>
      <c r="G194" s="132">
        <f>(G195+G197)</f>
        <v>946319.6</v>
      </c>
      <c r="H194" s="132">
        <v>1414888.31999441</v>
      </c>
      <c r="I194" s="132">
        <f>(I195+I196+I197)</f>
        <v>1461668.96</v>
      </c>
      <c r="J194" s="132">
        <v>1480173</v>
      </c>
      <c r="K194" s="133">
        <f t="shared" ref="K194:Q194" si="218">(K195+K196+K197)</f>
        <v>2187</v>
      </c>
      <c r="L194" s="133">
        <f t="shared" si="218"/>
        <v>45194</v>
      </c>
      <c r="M194" s="133">
        <f t="shared" si="218"/>
        <v>0</v>
      </c>
      <c r="N194" s="133">
        <f t="shared" si="218"/>
        <v>0</v>
      </c>
      <c r="O194" s="133">
        <f t="shared" si="218"/>
        <v>0</v>
      </c>
      <c r="P194" s="133">
        <f t="shared" si="218"/>
        <v>1565148</v>
      </c>
      <c r="Q194" s="133">
        <f t="shared" si="218"/>
        <v>1612529</v>
      </c>
      <c r="R194" s="133">
        <f>(R195+R196+R197)</f>
        <v>1612529</v>
      </c>
      <c r="S194" s="133">
        <f t="shared" si="210"/>
        <v>0</v>
      </c>
      <c r="T194" s="135"/>
      <c r="U194" s="133">
        <f>(U195+U196+U197)</f>
        <v>1612529</v>
      </c>
      <c r="V194" s="133">
        <f t="shared" si="201"/>
        <v>0</v>
      </c>
      <c r="W194" s="135"/>
      <c r="X194" s="133">
        <f>(X195+X196+X197)</f>
        <v>1612529</v>
      </c>
      <c r="Y194" s="133">
        <f t="shared" si="203"/>
        <v>0</v>
      </c>
      <c r="Z194" s="135"/>
      <c r="AA194" s="133">
        <f>(AA195+AA196+AA197)</f>
        <v>1612529</v>
      </c>
      <c r="AB194" s="133">
        <f t="shared" si="205"/>
        <v>0</v>
      </c>
      <c r="AC194" s="135"/>
      <c r="AD194" s="133">
        <f>(AD195+AD196+AD197)</f>
        <v>1612529</v>
      </c>
      <c r="AE194" s="133">
        <f t="shared" si="207"/>
        <v>0</v>
      </c>
      <c r="AF194" s="135"/>
      <c r="AG194" s="135"/>
      <c r="AH194" s="133">
        <f>AH195+AH196+AH197</f>
        <v>722758</v>
      </c>
      <c r="AI194" s="135">
        <f t="shared" si="208"/>
        <v>0.44821395460174668</v>
      </c>
      <c r="AJ194" s="274"/>
      <c r="AK194" s="387" t="e">
        <f t="shared" si="211"/>
        <v>#REF!</v>
      </c>
    </row>
    <row r="195" spans="3:47" s="313" customFormat="1" x14ac:dyDescent="0.25">
      <c r="C195" s="309" t="s">
        <v>454</v>
      </c>
      <c r="D195" s="314" t="s">
        <v>455</v>
      </c>
      <c r="E195" s="57">
        <v>184523.70789010878</v>
      </c>
      <c r="F195" s="291">
        <v>190751</v>
      </c>
      <c r="G195" s="292">
        <f>236300-100</f>
        <v>236200</v>
      </c>
      <c r="H195" s="292">
        <v>288215</v>
      </c>
      <c r="I195" s="292">
        <v>359863.96</v>
      </c>
      <c r="J195" s="292">
        <v>362007</v>
      </c>
      <c r="K195" s="60">
        <f>[4]KA_31122019!H7</f>
        <v>2187</v>
      </c>
      <c r="L195" s="60">
        <v>45194</v>
      </c>
      <c r="M195" s="60"/>
      <c r="N195" s="60"/>
      <c r="O195" s="97"/>
      <c r="P195" s="97">
        <f>[4]Baze_2020!D221</f>
        <v>367993</v>
      </c>
      <c r="Q195" s="97">
        <f>K195+L195+M195+N195+O195+P195</f>
        <v>415374</v>
      </c>
      <c r="R195" s="97">
        <f>ROUND(Q195,0)</f>
        <v>415374</v>
      </c>
      <c r="S195" s="97">
        <f t="shared" si="210"/>
        <v>0</v>
      </c>
      <c r="T195" s="63"/>
      <c r="U195" s="97">
        <f t="shared" ref="U195:U197" si="219">ROUND(R195,0)</f>
        <v>415374</v>
      </c>
      <c r="V195" s="97">
        <f t="shared" si="201"/>
        <v>0</v>
      </c>
      <c r="W195" s="63"/>
      <c r="X195" s="97">
        <f t="shared" ref="X195:X197" si="220">ROUND(U195,0)</f>
        <v>415374</v>
      </c>
      <c r="Y195" s="97">
        <f t="shared" si="203"/>
        <v>0</v>
      </c>
      <c r="Z195" s="63"/>
      <c r="AA195" s="97">
        <f t="shared" ref="AA195:AA197" si="221">ROUND(X195,0)</f>
        <v>415374</v>
      </c>
      <c r="AB195" s="97">
        <f t="shared" si="205"/>
        <v>0</v>
      </c>
      <c r="AC195" s="63"/>
      <c r="AD195" s="97">
        <f t="shared" ref="AD195:AD197" si="222">ROUND(AA195,0)</f>
        <v>415374</v>
      </c>
      <c r="AE195" s="97">
        <f t="shared" si="207"/>
        <v>0</v>
      </c>
      <c r="AF195" s="63"/>
      <c r="AG195" s="63"/>
      <c r="AH195" s="60">
        <v>55382</v>
      </c>
      <c r="AI195" s="63">
        <f t="shared" si="208"/>
        <v>0.13333044437061539</v>
      </c>
      <c r="AJ195" s="64"/>
      <c r="AK195" s="387" t="e">
        <f t="shared" si="211"/>
        <v>#REF!</v>
      </c>
      <c r="AL195" s="378"/>
      <c r="AM195" s="378"/>
      <c r="AN195" s="378"/>
      <c r="AO195" s="378"/>
    </row>
    <row r="196" spans="3:47" s="313" customFormat="1" ht="16.149999999999999" customHeight="1" x14ac:dyDescent="0.25">
      <c r="C196" s="309" t="s">
        <v>456</v>
      </c>
      <c r="D196" s="314" t="s">
        <v>457</v>
      </c>
      <c r="E196" s="57"/>
      <c r="F196" s="291"/>
      <c r="G196" s="292"/>
      <c r="H196" s="292">
        <v>1334</v>
      </c>
      <c r="I196" s="292">
        <v>11505</v>
      </c>
      <c r="J196" s="292">
        <v>30011</v>
      </c>
      <c r="K196" s="60"/>
      <c r="L196" s="60"/>
      <c r="M196" s="60"/>
      <c r="N196" s="60"/>
      <c r="O196" s="97"/>
      <c r="P196" s="97">
        <f>[4]Baze_2020!D223</f>
        <v>45000.2</v>
      </c>
      <c r="Q196" s="97">
        <f>K196+L196+M196+N196+O196+P196</f>
        <v>45000.2</v>
      </c>
      <c r="R196" s="97">
        <f>ROUND(Q196,0)</f>
        <v>45000</v>
      </c>
      <c r="S196" s="97">
        <f t="shared" si="210"/>
        <v>-0.19999999999708962</v>
      </c>
      <c r="T196" s="63"/>
      <c r="U196" s="97">
        <f t="shared" si="219"/>
        <v>45000</v>
      </c>
      <c r="V196" s="97">
        <f t="shared" si="201"/>
        <v>0</v>
      </c>
      <c r="W196" s="63"/>
      <c r="X196" s="97">
        <f t="shared" si="220"/>
        <v>45000</v>
      </c>
      <c r="Y196" s="97">
        <f t="shared" si="203"/>
        <v>0</v>
      </c>
      <c r="Z196" s="63"/>
      <c r="AA196" s="97">
        <f t="shared" si="221"/>
        <v>45000</v>
      </c>
      <c r="AB196" s="97">
        <f t="shared" si="205"/>
        <v>0</v>
      </c>
      <c r="AC196" s="63"/>
      <c r="AD196" s="97">
        <f t="shared" si="222"/>
        <v>45000</v>
      </c>
      <c r="AE196" s="97">
        <f t="shared" si="207"/>
        <v>0</v>
      </c>
      <c r="AF196" s="63"/>
      <c r="AG196" s="394"/>
      <c r="AH196" s="406">
        <v>667376</v>
      </c>
      <c r="AI196" s="408">
        <f>AH196/(U196+U197)</f>
        <v>0.5574683311684786</v>
      </c>
      <c r="AJ196" s="410"/>
      <c r="AK196" s="387" t="e">
        <f t="shared" si="211"/>
        <v>#REF!</v>
      </c>
      <c r="AL196" s="378"/>
      <c r="AM196" s="378"/>
      <c r="AN196" s="378"/>
      <c r="AO196" s="378"/>
    </row>
    <row r="197" spans="3:47" x14ac:dyDescent="0.25">
      <c r="C197" s="231" t="s">
        <v>458</v>
      </c>
      <c r="D197" s="174" t="s">
        <v>459</v>
      </c>
      <c r="E197" s="57">
        <v>469547.69750883605</v>
      </c>
      <c r="F197" s="291">
        <v>582000</v>
      </c>
      <c r="G197" s="292">
        <f>710019.6+100</f>
        <v>710119.6</v>
      </c>
      <c r="H197" s="292">
        <v>1125339.31999441</v>
      </c>
      <c r="I197" s="292">
        <v>1090300</v>
      </c>
      <c r="J197" s="292">
        <v>1088155</v>
      </c>
      <c r="K197" s="60"/>
      <c r="L197" s="60"/>
      <c r="M197" s="60"/>
      <c r="N197" s="60"/>
      <c r="O197" s="97"/>
      <c r="P197" s="97">
        <f>[4]Baze_2020!D224</f>
        <v>1152154.8</v>
      </c>
      <c r="Q197" s="97">
        <f>K197+L197+M197+N197+O197+P197</f>
        <v>1152154.8</v>
      </c>
      <c r="R197" s="97">
        <f>ROUND(Q197,0)</f>
        <v>1152155</v>
      </c>
      <c r="S197" s="97">
        <f t="shared" si="210"/>
        <v>0.19999999995343387</v>
      </c>
      <c r="T197" s="63"/>
      <c r="U197" s="97">
        <f t="shared" si="219"/>
        <v>1152155</v>
      </c>
      <c r="V197" s="97">
        <f t="shared" si="201"/>
        <v>0</v>
      </c>
      <c r="W197" s="63"/>
      <c r="X197" s="97">
        <f t="shared" si="220"/>
        <v>1152155</v>
      </c>
      <c r="Y197" s="97">
        <f t="shared" si="203"/>
        <v>0</v>
      </c>
      <c r="Z197" s="63"/>
      <c r="AA197" s="97">
        <f t="shared" si="221"/>
        <v>1152155</v>
      </c>
      <c r="AB197" s="97">
        <f t="shared" si="205"/>
        <v>0</v>
      </c>
      <c r="AC197" s="63"/>
      <c r="AD197" s="97">
        <f t="shared" si="222"/>
        <v>1152155</v>
      </c>
      <c r="AE197" s="97">
        <f t="shared" si="207"/>
        <v>0</v>
      </c>
      <c r="AF197" s="63"/>
      <c r="AG197" s="401"/>
      <c r="AH197" s="407"/>
      <c r="AI197" s="409"/>
      <c r="AJ197" s="411"/>
      <c r="AK197" s="387" t="e">
        <f t="shared" si="211"/>
        <v>#REF!</v>
      </c>
    </row>
    <row r="198" spans="3:47" s="10" customFormat="1" ht="15.75" customHeight="1" x14ac:dyDescent="0.25">
      <c r="C198" s="315" t="s">
        <v>460</v>
      </c>
      <c r="D198" s="224" t="s">
        <v>461</v>
      </c>
      <c r="E198" s="225">
        <f>2132136.41356623+4233+82662+560+2889+2820+41843.5+5549.5+(99951+5682)+40832</f>
        <v>2419158.4135662299</v>
      </c>
      <c r="F198" s="316">
        <f>F199+F200+F201+F204</f>
        <v>2645009</v>
      </c>
      <c r="G198" s="226">
        <f>G199+G200+G201+G202+G204</f>
        <v>2909341.5</v>
      </c>
      <c r="H198" s="226">
        <v>2888627.5</v>
      </c>
      <c r="I198" s="226">
        <f>I199+I200+I201+I202+I204</f>
        <v>3092995.8052002201</v>
      </c>
      <c r="J198" s="226">
        <v>3506969</v>
      </c>
      <c r="K198" s="227">
        <f t="shared" ref="K198:R198" si="223">K199+K200+K201+K202+K203+K204+K205</f>
        <v>151555.46</v>
      </c>
      <c r="L198" s="227">
        <f t="shared" si="223"/>
        <v>2183973</v>
      </c>
      <c r="M198" s="227">
        <f t="shared" si="223"/>
        <v>8151.4800000000032</v>
      </c>
      <c r="N198" s="227">
        <f t="shared" si="223"/>
        <v>50815</v>
      </c>
      <c r="O198" s="227" t="e">
        <f t="shared" si="223"/>
        <v>#REF!</v>
      </c>
      <c r="P198" s="227">
        <f t="shared" si="223"/>
        <v>1353834</v>
      </c>
      <c r="Q198" s="227" t="e">
        <f t="shared" si="223"/>
        <v>#REF!</v>
      </c>
      <c r="R198" s="227" t="e">
        <f t="shared" si="223"/>
        <v>#REF!</v>
      </c>
      <c r="S198" s="227" t="e">
        <f t="shared" si="210"/>
        <v>#REF!</v>
      </c>
      <c r="T198" s="228"/>
      <c r="U198" s="227" t="e">
        <f t="shared" ref="U198" si="224">U199+U200+U201+U202+U203+U204+U205</f>
        <v>#REF!</v>
      </c>
      <c r="V198" s="227" t="e">
        <f t="shared" si="201"/>
        <v>#REF!</v>
      </c>
      <c r="W198" s="228"/>
      <c r="X198" s="227" t="e">
        <f t="shared" ref="X198" si="225">X199+X200+X201+X202+X203+X204+X205</f>
        <v>#REF!</v>
      </c>
      <c r="Y198" s="227" t="e">
        <f t="shared" si="203"/>
        <v>#REF!</v>
      </c>
      <c r="Z198" s="228"/>
      <c r="AA198" s="227" t="e">
        <f t="shared" ref="AA198" si="226">AA199+AA200+AA201+AA202+AA203+AA204+AA205</f>
        <v>#REF!</v>
      </c>
      <c r="AB198" s="227" t="e">
        <f t="shared" si="205"/>
        <v>#REF!</v>
      </c>
      <c r="AC198" s="228"/>
      <c r="AD198" s="227" t="e">
        <f t="shared" ref="AD198" si="227">AD199+AD200+AD201+AD202+AD203+AD204+AD205</f>
        <v>#REF!</v>
      </c>
      <c r="AE198" s="227" t="e">
        <f t="shared" si="207"/>
        <v>#REF!</v>
      </c>
      <c r="AF198" s="228"/>
      <c r="AG198" s="228"/>
      <c r="AH198" s="227">
        <f>AH199+AH200+AH201+AH202+AH203+AH204</f>
        <v>1596646</v>
      </c>
      <c r="AI198" s="228" t="e">
        <f>AH198/U198</f>
        <v>#REF!</v>
      </c>
      <c r="AJ198" s="135"/>
      <c r="AK198" s="387" t="e">
        <f t="shared" si="211"/>
        <v>#REF!</v>
      </c>
      <c r="AL198" s="373"/>
      <c r="AM198" s="378"/>
      <c r="AN198" s="377"/>
      <c r="AO198" s="377"/>
    </row>
    <row r="199" spans="3:47" s="54" customFormat="1" ht="15.75" customHeight="1" x14ac:dyDescent="0.25">
      <c r="C199" s="317" t="s">
        <v>462</v>
      </c>
      <c r="D199" s="174" t="s">
        <v>418</v>
      </c>
      <c r="E199" s="58"/>
      <c r="F199" s="318">
        <v>1383647</v>
      </c>
      <c r="G199" s="59">
        <v>1575587.5</v>
      </c>
      <c r="H199" s="59">
        <v>1671867.5</v>
      </c>
      <c r="I199" s="59">
        <v>1827550</v>
      </c>
      <c r="J199" s="59">
        <v>1979551</v>
      </c>
      <c r="K199" s="60">
        <f>K47</f>
        <v>95712</v>
      </c>
      <c r="L199" s="60">
        <f>L47+L48</f>
        <v>2079435</v>
      </c>
      <c r="M199" s="60"/>
      <c r="N199" s="60"/>
      <c r="O199" s="60"/>
      <c r="P199" s="60"/>
      <c r="Q199" s="60">
        <f t="shared" ref="Q199:Q206" si="228">K199+L199+M199+N199+O199+P199</f>
        <v>2175147</v>
      </c>
      <c r="R199" s="60">
        <f>ROUND(Q199,0)+28873</f>
        <v>2204020</v>
      </c>
      <c r="S199" s="60">
        <f t="shared" si="210"/>
        <v>28873</v>
      </c>
      <c r="T199" s="98" t="s">
        <v>146</v>
      </c>
      <c r="U199" s="60">
        <f t="shared" ref="U199:U206" si="229">ROUND(R199,0)</f>
        <v>2204020</v>
      </c>
      <c r="V199" s="60">
        <f t="shared" si="201"/>
        <v>0</v>
      </c>
      <c r="W199" s="98"/>
      <c r="X199" s="60">
        <f t="shared" ref="X199:X206" si="230">ROUND(U199,0)</f>
        <v>2204020</v>
      </c>
      <c r="Y199" s="60">
        <f t="shared" si="203"/>
        <v>0</v>
      </c>
      <c r="Z199" s="98"/>
      <c r="AA199" s="60">
        <f t="shared" ref="AA199:AA203" si="231">ROUND(X199,0)</f>
        <v>2204020</v>
      </c>
      <c r="AB199" s="60">
        <f t="shared" si="205"/>
        <v>0</v>
      </c>
      <c r="AC199" s="98"/>
      <c r="AD199" s="60">
        <f t="shared" ref="AD199:AD203" si="232">ROUND(AA199,0)</f>
        <v>2204020</v>
      </c>
      <c r="AE199" s="60">
        <f t="shared" si="207"/>
        <v>0</v>
      </c>
      <c r="AF199" s="98"/>
      <c r="AG199" s="98"/>
      <c r="AH199" s="60">
        <v>1016700</v>
      </c>
      <c r="AI199" s="63">
        <f>AH199/U199</f>
        <v>0.46129345468734406</v>
      </c>
      <c r="AJ199" s="64"/>
      <c r="AK199" s="387" t="e">
        <f t="shared" si="211"/>
        <v>#REF!</v>
      </c>
      <c r="AL199" s="378"/>
      <c r="AM199" s="378"/>
      <c r="AN199" s="378"/>
      <c r="AO199" s="378"/>
    </row>
    <row r="200" spans="3:47" s="54" customFormat="1" x14ac:dyDescent="0.25">
      <c r="C200" s="317" t="s">
        <v>463</v>
      </c>
      <c r="D200" s="174" t="s">
        <v>464</v>
      </c>
      <c r="E200" s="58"/>
      <c r="F200" s="318">
        <v>121095</v>
      </c>
      <c r="G200" s="59">
        <v>187313</v>
      </c>
      <c r="H200" s="59">
        <v>189178</v>
      </c>
      <c r="I200" s="59">
        <v>182162.83000000002</v>
      </c>
      <c r="J200" s="59">
        <v>193733</v>
      </c>
      <c r="K200" s="60"/>
      <c r="L200" s="60">
        <f>L43-L195-L205</f>
        <v>0</v>
      </c>
      <c r="M200" s="60"/>
      <c r="N200" s="60"/>
      <c r="O200" s="60"/>
      <c r="P200" s="60"/>
      <c r="Q200" s="60">
        <f t="shared" si="228"/>
        <v>0</v>
      </c>
      <c r="R200" s="60">
        <f t="shared" ref="R200:R205" si="233">ROUND(Q200,0)</f>
        <v>0</v>
      </c>
      <c r="S200" s="60">
        <f t="shared" si="210"/>
        <v>0</v>
      </c>
      <c r="T200" s="63"/>
      <c r="U200" s="60">
        <f t="shared" si="229"/>
        <v>0</v>
      </c>
      <c r="V200" s="60">
        <f t="shared" si="201"/>
        <v>0</v>
      </c>
      <c r="W200" s="63"/>
      <c r="X200" s="60">
        <f t="shared" si="230"/>
        <v>0</v>
      </c>
      <c r="Y200" s="60">
        <f t="shared" si="203"/>
        <v>0</v>
      </c>
      <c r="Z200" s="63"/>
      <c r="AA200" s="60">
        <f t="shared" si="231"/>
        <v>0</v>
      </c>
      <c r="AB200" s="60">
        <f t="shared" si="205"/>
        <v>0</v>
      </c>
      <c r="AC200" s="63"/>
      <c r="AD200" s="60">
        <f t="shared" si="232"/>
        <v>0</v>
      </c>
      <c r="AE200" s="60">
        <f t="shared" si="207"/>
        <v>0</v>
      </c>
      <c r="AF200" s="63"/>
      <c r="AG200" s="63"/>
      <c r="AH200" s="319"/>
      <c r="AI200" s="63"/>
      <c r="AJ200" s="64"/>
      <c r="AK200" s="387" t="e">
        <f t="shared" si="211"/>
        <v>#REF!</v>
      </c>
      <c r="AL200" s="378"/>
      <c r="AM200" s="378"/>
      <c r="AN200" s="378"/>
      <c r="AO200" s="378"/>
    </row>
    <row r="201" spans="3:47" s="54" customFormat="1" ht="42.6" customHeight="1" x14ac:dyDescent="0.25">
      <c r="C201" s="317" t="s">
        <v>465</v>
      </c>
      <c r="D201" s="174" t="s">
        <v>426</v>
      </c>
      <c r="E201" s="58"/>
      <c r="F201" s="318">
        <f>1174743-121095+50476</f>
        <v>1104124</v>
      </c>
      <c r="G201" s="59">
        <v>1095729</v>
      </c>
      <c r="H201" s="59">
        <v>967437</v>
      </c>
      <c r="I201" s="59">
        <f>1018060.97520022+10087</f>
        <v>1028147.97520022</v>
      </c>
      <c r="J201" s="59">
        <v>1004387</v>
      </c>
      <c r="K201" s="60"/>
      <c r="L201" s="60"/>
      <c r="M201" s="60"/>
      <c r="N201" s="60">
        <f>N100</f>
        <v>50815</v>
      </c>
      <c r="O201" s="60" t="e">
        <f>GETPIVOTDATA("Summa",[4]Pivot_investicijas!$A$3,"Nodaļa","0950")-N201</f>
        <v>#REF!</v>
      </c>
      <c r="P201" s="60">
        <f>[4]Baze_2020!D232</f>
        <v>896340</v>
      </c>
      <c r="Q201" s="60" t="e">
        <f t="shared" si="228"/>
        <v>#REF!</v>
      </c>
      <c r="R201" s="60" t="e">
        <f t="shared" si="233"/>
        <v>#REF!</v>
      </c>
      <c r="S201" s="60" t="e">
        <f t="shared" si="210"/>
        <v>#REF!</v>
      </c>
      <c r="T201" s="63"/>
      <c r="U201" s="60" t="e">
        <f t="shared" si="229"/>
        <v>#REF!</v>
      </c>
      <c r="V201" s="60" t="e">
        <f t="shared" si="201"/>
        <v>#REF!</v>
      </c>
      <c r="W201" s="63"/>
      <c r="X201" s="60" t="e">
        <f t="shared" si="230"/>
        <v>#REF!</v>
      </c>
      <c r="Y201" s="60" t="e">
        <f t="shared" si="203"/>
        <v>#REF!</v>
      </c>
      <c r="Z201" s="63"/>
      <c r="AA201" s="60" t="e">
        <f t="shared" si="231"/>
        <v>#REF!</v>
      </c>
      <c r="AB201" s="60" t="e">
        <f t="shared" si="205"/>
        <v>#REF!</v>
      </c>
      <c r="AC201" s="63"/>
      <c r="AD201" s="60" t="e">
        <f>ROUND(AA201,0)+235033</f>
        <v>#REF!</v>
      </c>
      <c r="AE201" s="60" t="e">
        <f t="shared" si="207"/>
        <v>#REF!</v>
      </c>
      <c r="AF201" s="98" t="s">
        <v>466</v>
      </c>
      <c r="AG201" s="98"/>
      <c r="AH201" s="60">
        <v>334298</v>
      </c>
      <c r="AI201" s="63" t="e">
        <f t="shared" ref="AI201:AI221" si="234">AH201/U201</f>
        <v>#REF!</v>
      </c>
      <c r="AJ201" s="64"/>
      <c r="AK201" s="387" t="e">
        <f t="shared" si="211"/>
        <v>#REF!</v>
      </c>
      <c r="AL201" s="378"/>
      <c r="AM201" s="378"/>
      <c r="AN201" s="378"/>
      <c r="AO201" s="378"/>
    </row>
    <row r="202" spans="3:47" s="54" customFormat="1" ht="16.899999999999999" customHeight="1" x14ac:dyDescent="0.25">
      <c r="C202" s="317" t="s">
        <v>467</v>
      </c>
      <c r="D202" s="174" t="s">
        <v>468</v>
      </c>
      <c r="E202" s="58"/>
      <c r="F202" s="318"/>
      <c r="G202" s="59">
        <v>50712</v>
      </c>
      <c r="H202" s="59">
        <v>60145</v>
      </c>
      <c r="I202" s="59">
        <f>39735+15400</f>
        <v>55135</v>
      </c>
      <c r="J202" s="59">
        <v>65873</v>
      </c>
      <c r="K202" s="60">
        <f>K68</f>
        <v>41596.519999999997</v>
      </c>
      <c r="L202" s="60"/>
      <c r="M202" s="60">
        <f>M68</f>
        <v>8151.4800000000032</v>
      </c>
      <c r="N202" s="60"/>
      <c r="O202" s="60"/>
      <c r="P202" s="60"/>
      <c r="Q202" s="60">
        <f t="shared" si="228"/>
        <v>49748</v>
      </c>
      <c r="R202" s="60">
        <f t="shared" si="233"/>
        <v>49748</v>
      </c>
      <c r="S202" s="60">
        <f t="shared" si="210"/>
        <v>0</v>
      </c>
      <c r="T202" s="63"/>
      <c r="U202" s="60">
        <f t="shared" si="229"/>
        <v>49748</v>
      </c>
      <c r="V202" s="60">
        <f t="shared" si="201"/>
        <v>0</v>
      </c>
      <c r="W202" s="63"/>
      <c r="X202" s="60">
        <f t="shared" si="230"/>
        <v>49748</v>
      </c>
      <c r="Y202" s="60">
        <f t="shared" si="203"/>
        <v>0</v>
      </c>
      <c r="Z202" s="63"/>
      <c r="AA202" s="60">
        <f t="shared" si="231"/>
        <v>49748</v>
      </c>
      <c r="AB202" s="60">
        <f t="shared" si="205"/>
        <v>0</v>
      </c>
      <c r="AC202" s="63"/>
      <c r="AD202" s="60">
        <f t="shared" si="232"/>
        <v>49748</v>
      </c>
      <c r="AE202" s="60">
        <f t="shared" si="207"/>
        <v>0</v>
      </c>
      <c r="AF202" s="63"/>
      <c r="AG202" s="63"/>
      <c r="AH202" s="60">
        <v>19561</v>
      </c>
      <c r="AI202" s="63">
        <f t="shared" si="234"/>
        <v>0.39320173675323633</v>
      </c>
      <c r="AJ202" s="64"/>
      <c r="AK202" s="387" t="e">
        <f t="shared" si="211"/>
        <v>#REF!</v>
      </c>
      <c r="AL202" s="378"/>
      <c r="AM202" s="378"/>
      <c r="AN202" s="378"/>
      <c r="AO202" s="378"/>
    </row>
    <row r="203" spans="3:47" s="54" customFormat="1" ht="17.45" customHeight="1" x14ac:dyDescent="0.25">
      <c r="C203" s="317" t="s">
        <v>469</v>
      </c>
      <c r="D203" s="174" t="s">
        <v>470</v>
      </c>
      <c r="E203" s="58"/>
      <c r="F203" s="318"/>
      <c r="G203" s="59"/>
      <c r="H203" s="59"/>
      <c r="I203" s="59"/>
      <c r="J203" s="59">
        <v>21935</v>
      </c>
      <c r="K203" s="60"/>
      <c r="L203" s="60">
        <f>L50</f>
        <v>22064</v>
      </c>
      <c r="M203" s="60"/>
      <c r="N203" s="60"/>
      <c r="O203" s="60"/>
      <c r="P203" s="60"/>
      <c r="Q203" s="60">
        <f t="shared" si="228"/>
        <v>22064</v>
      </c>
      <c r="R203" s="60">
        <f t="shared" si="233"/>
        <v>22064</v>
      </c>
      <c r="S203" s="60">
        <f t="shared" si="210"/>
        <v>0</v>
      </c>
      <c r="T203" s="98"/>
      <c r="U203" s="60">
        <f t="shared" si="229"/>
        <v>22064</v>
      </c>
      <c r="V203" s="60">
        <f t="shared" si="201"/>
        <v>0</v>
      </c>
      <c r="W203" s="98"/>
      <c r="X203" s="60">
        <f t="shared" si="230"/>
        <v>22064</v>
      </c>
      <c r="Y203" s="60">
        <f t="shared" si="203"/>
        <v>0</v>
      </c>
      <c r="Z203" s="98"/>
      <c r="AA203" s="60">
        <f t="shared" si="231"/>
        <v>22064</v>
      </c>
      <c r="AB203" s="60">
        <f t="shared" si="205"/>
        <v>0</v>
      </c>
      <c r="AC203" s="98"/>
      <c r="AD203" s="60">
        <f t="shared" si="232"/>
        <v>22064</v>
      </c>
      <c r="AE203" s="60">
        <f t="shared" si="207"/>
        <v>0</v>
      </c>
      <c r="AF203" s="98"/>
      <c r="AG203" s="98"/>
      <c r="AH203" s="60">
        <v>6268</v>
      </c>
      <c r="AI203" s="63">
        <f t="shared" si="234"/>
        <v>0.28408266860043507</v>
      </c>
      <c r="AJ203" s="64"/>
      <c r="AK203" s="387" t="e">
        <f t="shared" si="211"/>
        <v>#REF!</v>
      </c>
      <c r="AL203" s="378"/>
      <c r="AM203" s="378"/>
      <c r="AN203" s="378"/>
      <c r="AO203" s="378"/>
    </row>
    <row r="204" spans="3:47" s="296" customFormat="1" ht="15.75" customHeight="1" outlineLevel="1" x14ac:dyDescent="0.25">
      <c r="C204" s="317" t="s">
        <v>471</v>
      </c>
      <c r="D204" s="174" t="s">
        <v>472</v>
      </c>
      <c r="E204" s="58"/>
      <c r="F204" s="320">
        <f>10000+13175+12968</f>
        <v>36143</v>
      </c>
      <c r="G204" s="321">
        <v>0</v>
      </c>
      <c r="H204" s="321">
        <v>0</v>
      </c>
      <c r="I204" s="59">
        <v>0</v>
      </c>
      <c r="J204" s="59">
        <v>241490</v>
      </c>
      <c r="K204" s="60"/>
      <c r="L204" s="60"/>
      <c r="M204" s="60"/>
      <c r="N204" s="60"/>
      <c r="O204" s="60" t="e">
        <f>GETPIVOTDATA("Summa",[4]Pivot_investicijas!$A$3,"Nodaļa","0981")</f>
        <v>#REF!</v>
      </c>
      <c r="P204" s="60">
        <f>[4]Baze_2020!D225</f>
        <v>457494</v>
      </c>
      <c r="Q204" s="60" t="e">
        <f t="shared" si="228"/>
        <v>#REF!</v>
      </c>
      <c r="R204" s="60" t="e">
        <f t="shared" si="233"/>
        <v>#REF!</v>
      </c>
      <c r="S204" s="60" t="e">
        <f t="shared" si="210"/>
        <v>#REF!</v>
      </c>
      <c r="T204" s="63"/>
      <c r="U204" s="60" t="e">
        <f t="shared" si="229"/>
        <v>#REF!</v>
      </c>
      <c r="V204" s="60" t="e">
        <f t="shared" si="201"/>
        <v>#REF!</v>
      </c>
      <c r="W204" s="63"/>
      <c r="X204" s="60" t="e">
        <f>ROUND(U204,0)+905</f>
        <v>#REF!</v>
      </c>
      <c r="Y204" s="60" t="e">
        <f t="shared" si="203"/>
        <v>#REF!</v>
      </c>
      <c r="Z204" s="98" t="s">
        <v>378</v>
      </c>
      <c r="AA204" s="60" t="e">
        <f>ROUND(X204,0)</f>
        <v>#REF!</v>
      </c>
      <c r="AB204" s="60" t="e">
        <f t="shared" si="205"/>
        <v>#REF!</v>
      </c>
      <c r="AC204" s="98"/>
      <c r="AD204" s="60" t="e">
        <f>ROUND(AA204,0)</f>
        <v>#REF!</v>
      </c>
      <c r="AE204" s="60" t="e">
        <f t="shared" si="207"/>
        <v>#REF!</v>
      </c>
      <c r="AF204" s="98"/>
      <c r="AG204" s="98"/>
      <c r="AH204" s="60">
        <f>880257-AH206</f>
        <v>219819</v>
      </c>
      <c r="AI204" s="63" t="e">
        <f t="shared" si="234"/>
        <v>#REF!</v>
      </c>
      <c r="AJ204" s="64"/>
      <c r="AK204" s="387" t="e">
        <f t="shared" si="211"/>
        <v>#REF!</v>
      </c>
      <c r="AL204" s="378"/>
      <c r="AM204" s="378"/>
      <c r="AN204" s="378"/>
      <c r="AO204" s="378"/>
      <c r="AP204" s="54"/>
      <c r="AQ204" s="54"/>
      <c r="AR204" s="54"/>
      <c r="AS204" s="54"/>
      <c r="AT204" s="54"/>
      <c r="AU204" s="54"/>
    </row>
    <row r="205" spans="3:47" s="296" customFormat="1" ht="15" customHeight="1" outlineLevel="1" x14ac:dyDescent="0.25">
      <c r="C205" s="317" t="s">
        <v>473</v>
      </c>
      <c r="D205" s="174" t="s">
        <v>474</v>
      </c>
      <c r="E205" s="58"/>
      <c r="F205" s="320"/>
      <c r="G205" s="321"/>
      <c r="H205" s="321"/>
      <c r="I205" s="59"/>
      <c r="J205" s="59"/>
      <c r="K205" s="60">
        <f>[4]KA_31122019!G7</f>
        <v>14246.939999999999</v>
      </c>
      <c r="L205" s="60">
        <v>82474</v>
      </c>
      <c r="M205" s="60"/>
      <c r="N205" s="60"/>
      <c r="O205" s="60"/>
      <c r="P205" s="60"/>
      <c r="Q205" s="60">
        <f t="shared" si="228"/>
        <v>96720.94</v>
      </c>
      <c r="R205" s="60">
        <f t="shared" si="233"/>
        <v>96721</v>
      </c>
      <c r="S205" s="60"/>
      <c r="T205" s="63"/>
      <c r="U205" s="60">
        <f t="shared" si="229"/>
        <v>96721</v>
      </c>
      <c r="V205" s="60">
        <f t="shared" si="201"/>
        <v>0</v>
      </c>
      <c r="W205" s="63"/>
      <c r="X205" s="60">
        <f t="shared" si="230"/>
        <v>96721</v>
      </c>
      <c r="Y205" s="60">
        <f t="shared" si="203"/>
        <v>0</v>
      </c>
      <c r="Z205" s="63"/>
      <c r="AA205" s="60">
        <f t="shared" ref="AA205:AA206" si="235">ROUND(X205,0)</f>
        <v>96721</v>
      </c>
      <c r="AB205" s="60">
        <f t="shared" si="205"/>
        <v>0</v>
      </c>
      <c r="AC205" s="63"/>
      <c r="AD205" s="60">
        <f t="shared" ref="AD205:AD206" si="236">ROUND(AA205,0)</f>
        <v>96721</v>
      </c>
      <c r="AE205" s="60">
        <f t="shared" si="207"/>
        <v>0</v>
      </c>
      <c r="AF205" s="63"/>
      <c r="AG205" s="63"/>
      <c r="AH205" s="319"/>
      <c r="AI205" s="63">
        <f t="shared" si="234"/>
        <v>0</v>
      </c>
      <c r="AJ205" s="64"/>
      <c r="AK205" s="387" t="e">
        <f t="shared" si="211"/>
        <v>#REF!</v>
      </c>
      <c r="AL205" s="378"/>
      <c r="AM205" s="378"/>
      <c r="AN205" s="378"/>
      <c r="AO205" s="378"/>
      <c r="AP205" s="54"/>
      <c r="AQ205" s="54"/>
      <c r="AR205" s="54"/>
      <c r="AS205" s="54"/>
      <c r="AT205" s="54"/>
      <c r="AU205" s="54"/>
    </row>
    <row r="206" spans="3:47" s="10" customFormat="1" ht="18" customHeight="1" x14ac:dyDescent="0.25">
      <c r="C206" s="315" t="s">
        <v>475</v>
      </c>
      <c r="D206" s="224" t="s">
        <v>476</v>
      </c>
      <c r="E206" s="225"/>
      <c r="F206" s="227"/>
      <c r="G206" s="226">
        <v>104566.27</v>
      </c>
      <c r="H206" s="226">
        <v>559729</v>
      </c>
      <c r="I206" s="226">
        <v>8438676</v>
      </c>
      <c r="J206" s="226">
        <v>7196422</v>
      </c>
      <c r="K206" s="227">
        <f>K65</f>
        <v>0</v>
      </c>
      <c r="L206" s="227"/>
      <c r="M206" s="227">
        <f>M65</f>
        <v>0</v>
      </c>
      <c r="N206" s="227">
        <f>N93</f>
        <v>3026825</v>
      </c>
      <c r="O206" s="227">
        <f>3090582-M206-N206-K206</f>
        <v>63757</v>
      </c>
      <c r="P206" s="227"/>
      <c r="Q206" s="227">
        <f t="shared" si="228"/>
        <v>3090582</v>
      </c>
      <c r="R206" s="227">
        <f>ROUND(Q206,0)</f>
        <v>3090582</v>
      </c>
      <c r="S206" s="227">
        <f t="shared" si="210"/>
        <v>0</v>
      </c>
      <c r="T206" s="134"/>
      <c r="U206" s="227">
        <f t="shared" si="229"/>
        <v>3090582</v>
      </c>
      <c r="V206" s="227">
        <f t="shared" si="201"/>
        <v>0</v>
      </c>
      <c r="W206" s="134"/>
      <c r="X206" s="227">
        <f t="shared" si="230"/>
        <v>3090582</v>
      </c>
      <c r="Y206" s="227">
        <f t="shared" si="203"/>
        <v>0</v>
      </c>
      <c r="Z206" s="134"/>
      <c r="AA206" s="227">
        <f t="shared" si="235"/>
        <v>3090582</v>
      </c>
      <c r="AB206" s="227">
        <f t="shared" si="205"/>
        <v>0</v>
      </c>
      <c r="AC206" s="134"/>
      <c r="AD206" s="227">
        <f t="shared" si="236"/>
        <v>3090582</v>
      </c>
      <c r="AE206" s="227">
        <f t="shared" si="207"/>
        <v>0</v>
      </c>
      <c r="AF206" s="134"/>
      <c r="AG206" s="134"/>
      <c r="AH206" s="227">
        <v>660438</v>
      </c>
      <c r="AI206" s="228">
        <f t="shared" si="234"/>
        <v>0.21369373147193635</v>
      </c>
      <c r="AJ206" s="134" t="s">
        <v>183</v>
      </c>
      <c r="AK206" s="387" t="e">
        <f t="shared" si="211"/>
        <v>#REF!</v>
      </c>
      <c r="AL206" s="378"/>
      <c r="AM206" s="378"/>
      <c r="AN206" s="378"/>
      <c r="AO206" s="378"/>
      <c r="AP206" s="54"/>
      <c r="AQ206" s="54"/>
      <c r="AR206" s="54"/>
      <c r="AS206" s="54"/>
      <c r="AT206" s="54"/>
      <c r="AU206" s="54"/>
    </row>
    <row r="207" spans="3:47" s="10" customFormat="1" ht="18" customHeight="1" x14ac:dyDescent="0.25">
      <c r="C207" s="315" t="s">
        <v>477</v>
      </c>
      <c r="D207" s="224" t="s">
        <v>478</v>
      </c>
      <c r="E207" s="225">
        <f>682572.950637731+21877+9141</f>
        <v>713590.950637731</v>
      </c>
      <c r="F207" s="227">
        <f>F208+F211</f>
        <v>824136</v>
      </c>
      <c r="G207" s="226">
        <f>G208+G211</f>
        <v>863134.14</v>
      </c>
      <c r="H207" s="226">
        <v>924389.5</v>
      </c>
      <c r="I207" s="226">
        <f>I208+I211+I212</f>
        <v>939535</v>
      </c>
      <c r="J207" s="226">
        <v>970505</v>
      </c>
      <c r="K207" s="227">
        <f t="shared" ref="K207:R207" si="237">K208+K211+K212</f>
        <v>13907</v>
      </c>
      <c r="L207" s="227">
        <f t="shared" si="237"/>
        <v>424940</v>
      </c>
      <c r="M207" s="227">
        <f t="shared" si="237"/>
        <v>0</v>
      </c>
      <c r="N207" s="227">
        <f t="shared" si="237"/>
        <v>0</v>
      </c>
      <c r="O207" s="227" t="e">
        <f t="shared" si="237"/>
        <v>#REF!</v>
      </c>
      <c r="P207" s="227">
        <f t="shared" si="237"/>
        <v>640096</v>
      </c>
      <c r="Q207" s="227" t="e">
        <f t="shared" si="237"/>
        <v>#REF!</v>
      </c>
      <c r="R207" s="227" t="e">
        <f t="shared" si="237"/>
        <v>#REF!</v>
      </c>
      <c r="S207" s="227" t="e">
        <f t="shared" si="210"/>
        <v>#REF!</v>
      </c>
      <c r="T207" s="228"/>
      <c r="U207" s="227" t="e">
        <f t="shared" ref="U207" si="238">U208+U211+U212</f>
        <v>#REF!</v>
      </c>
      <c r="V207" s="227" t="e">
        <f t="shared" si="201"/>
        <v>#REF!</v>
      </c>
      <c r="W207" s="228"/>
      <c r="X207" s="227" t="e">
        <f t="shared" ref="X207" si="239">X208+X211+X212</f>
        <v>#REF!</v>
      </c>
      <c r="Y207" s="227" t="e">
        <f t="shared" si="203"/>
        <v>#REF!</v>
      </c>
      <c r="Z207" s="228"/>
      <c r="AA207" s="227" t="e">
        <f t="shared" ref="AA207" si="240">AA208+AA211+AA212</f>
        <v>#REF!</v>
      </c>
      <c r="AB207" s="227" t="e">
        <f t="shared" si="205"/>
        <v>#REF!</v>
      </c>
      <c r="AC207" s="228"/>
      <c r="AD207" s="227" t="e">
        <f t="shared" ref="AD207" si="241">AD208+AD211+AD212</f>
        <v>#REF!</v>
      </c>
      <c r="AE207" s="227" t="e">
        <f t="shared" si="207"/>
        <v>#REF!</v>
      </c>
      <c r="AF207" s="228"/>
      <c r="AG207" s="228"/>
      <c r="AH207" s="227">
        <f>AH208+AH211</f>
        <v>477246</v>
      </c>
      <c r="AI207" s="228" t="e">
        <f t="shared" si="234"/>
        <v>#REF!</v>
      </c>
      <c r="AJ207" s="135"/>
      <c r="AK207" s="387" t="e">
        <f t="shared" si="211"/>
        <v>#REF!</v>
      </c>
      <c r="AL207" s="378"/>
      <c r="AM207" s="378"/>
      <c r="AN207" s="378"/>
      <c r="AO207" s="378"/>
      <c r="AP207" s="54"/>
      <c r="AQ207" s="54"/>
      <c r="AR207" s="54"/>
      <c r="AS207" s="54"/>
      <c r="AT207" s="54"/>
      <c r="AU207" s="54"/>
    </row>
    <row r="208" spans="3:47" ht="17.25" customHeight="1" x14ac:dyDescent="0.25">
      <c r="C208" s="231" t="s">
        <v>479</v>
      </c>
      <c r="D208" s="174" t="s">
        <v>480</v>
      </c>
      <c r="E208" s="305" t="e">
        <f>E209+E210+15090+10405+5160</f>
        <v>#REF!</v>
      </c>
      <c r="F208" s="58">
        <v>321229</v>
      </c>
      <c r="G208" s="59">
        <v>307027.14</v>
      </c>
      <c r="H208" s="59">
        <v>413440.5</v>
      </c>
      <c r="I208" s="59">
        <v>400067</v>
      </c>
      <c r="J208" s="59">
        <v>395920</v>
      </c>
      <c r="K208" s="60">
        <f>K41</f>
        <v>13907</v>
      </c>
      <c r="L208" s="60">
        <f>L41</f>
        <v>424940</v>
      </c>
      <c r="M208" s="60"/>
      <c r="N208" s="60"/>
      <c r="O208" s="60"/>
      <c r="P208" s="60"/>
      <c r="Q208" s="60">
        <f>K208+L208+M208+N208+O208+P208</f>
        <v>438847</v>
      </c>
      <c r="R208" s="60">
        <f>ROUND(Q208,0)</f>
        <v>438847</v>
      </c>
      <c r="S208" s="60">
        <f t="shared" si="210"/>
        <v>0</v>
      </c>
      <c r="T208" s="63"/>
      <c r="U208" s="60">
        <f>ROUND(R208,0)-12307</f>
        <v>426540</v>
      </c>
      <c r="V208" s="60">
        <f t="shared" si="201"/>
        <v>-12307</v>
      </c>
      <c r="W208" s="98" t="s">
        <v>136</v>
      </c>
      <c r="X208" s="60">
        <f>ROUND(U208,0)</f>
        <v>426540</v>
      </c>
      <c r="Y208" s="60">
        <f t="shared" si="203"/>
        <v>0</v>
      </c>
      <c r="Z208" s="98"/>
      <c r="AA208" s="60">
        <f>ROUND(X208,0)</f>
        <v>426540</v>
      </c>
      <c r="AB208" s="60">
        <f t="shared" si="205"/>
        <v>0</v>
      </c>
      <c r="AC208" s="98"/>
      <c r="AD208" s="60">
        <f>ROUND(AA208,0)</f>
        <v>426540</v>
      </c>
      <c r="AE208" s="60">
        <f t="shared" si="207"/>
        <v>0</v>
      </c>
      <c r="AF208" s="98"/>
      <c r="AG208" s="98"/>
      <c r="AH208" s="60">
        <v>232196</v>
      </c>
      <c r="AI208" s="63">
        <f t="shared" si="234"/>
        <v>0.54437098513621229</v>
      </c>
      <c r="AJ208" s="64"/>
      <c r="AK208" s="387" t="e">
        <f t="shared" si="211"/>
        <v>#REF!</v>
      </c>
      <c r="AP208" s="54"/>
      <c r="AQ208" s="54"/>
      <c r="AR208" s="54"/>
      <c r="AS208" s="54"/>
      <c r="AT208" s="54"/>
      <c r="AU208" s="54"/>
    </row>
    <row r="209" spans="3:47" s="54" customFormat="1" ht="15" hidden="1" customHeight="1" outlineLevel="1" x14ac:dyDescent="0.25">
      <c r="C209" s="54" t="s">
        <v>481</v>
      </c>
      <c r="D209" s="54" t="s">
        <v>482</v>
      </c>
      <c r="E209" s="295" t="e">
        <f>#REF!</f>
        <v>#REF!</v>
      </c>
      <c r="F209" s="296"/>
      <c r="G209" s="196">
        <v>305427</v>
      </c>
      <c r="H209" s="196">
        <v>413440.5</v>
      </c>
      <c r="I209" s="59">
        <v>0</v>
      </c>
      <c r="J209" s="306">
        <v>0</v>
      </c>
      <c r="K209" s="1"/>
      <c r="L209" s="1"/>
      <c r="M209" s="1"/>
      <c r="N209" s="1"/>
      <c r="O209" s="1"/>
      <c r="P209" s="1"/>
      <c r="Q209" s="60">
        <f>K209+L209+M209+N209+O209+P209</f>
        <v>0</v>
      </c>
      <c r="R209" s="60">
        <f>ROUND(Q209,0)</f>
        <v>0</v>
      </c>
      <c r="S209" s="60">
        <f t="shared" si="210"/>
        <v>0</v>
      </c>
      <c r="T209" s="24"/>
      <c r="U209" s="60">
        <f t="shared" ref="U209:U212" si="242">ROUND(R209,0)</f>
        <v>0</v>
      </c>
      <c r="V209" s="60">
        <f t="shared" si="201"/>
        <v>0</v>
      </c>
      <c r="W209" s="24"/>
      <c r="X209" s="60">
        <f t="shared" ref="X209:X212" si="243">ROUND(U209,0)</f>
        <v>0</v>
      </c>
      <c r="Y209" s="60">
        <f t="shared" si="203"/>
        <v>0</v>
      </c>
      <c r="Z209" s="24"/>
      <c r="AA209" s="60">
        <f t="shared" ref="AA209:AA212" si="244">ROUND(X209,0)</f>
        <v>0</v>
      </c>
      <c r="AB209" s="60">
        <f t="shared" si="205"/>
        <v>0</v>
      </c>
      <c r="AC209" s="24"/>
      <c r="AD209" s="60">
        <f t="shared" ref="AD209:AD212" si="245">ROUND(AA209,0)</f>
        <v>0</v>
      </c>
      <c r="AE209" s="60">
        <f t="shared" si="207"/>
        <v>0</v>
      </c>
      <c r="AF209" s="24"/>
      <c r="AG209" s="24"/>
      <c r="AH209" s="278"/>
      <c r="AI209" s="24" t="e">
        <f t="shared" si="234"/>
        <v>#DIV/0!</v>
      </c>
      <c r="AJ209" s="25"/>
      <c r="AK209" s="387" t="e">
        <f t="shared" si="211"/>
        <v>#REF!</v>
      </c>
      <c r="AL209" s="378"/>
      <c r="AM209" s="378"/>
      <c r="AN209" s="378"/>
      <c r="AO209" s="378"/>
    </row>
    <row r="210" spans="3:47" s="54" customFormat="1" ht="15" hidden="1" customHeight="1" outlineLevel="1" x14ac:dyDescent="0.25">
      <c r="C210" s="54" t="s">
        <v>483</v>
      </c>
      <c r="D210" s="54" t="s">
        <v>484</v>
      </c>
      <c r="E210" s="295" t="e">
        <f>#REF!</f>
        <v>#REF!</v>
      </c>
      <c r="F210" s="296"/>
      <c r="G210" s="196">
        <v>0</v>
      </c>
      <c r="H210" s="196">
        <v>0</v>
      </c>
      <c r="I210" s="59">
        <v>0</v>
      </c>
      <c r="J210" s="306">
        <v>0</v>
      </c>
      <c r="K210" s="1"/>
      <c r="L210" s="1"/>
      <c r="M210" s="1"/>
      <c r="N210" s="1"/>
      <c r="O210" s="1"/>
      <c r="P210" s="1"/>
      <c r="Q210" s="60">
        <f>K210+L210+M210+N210+O210+P210</f>
        <v>0</v>
      </c>
      <c r="R210" s="60">
        <f>ROUND(Q210,0)</f>
        <v>0</v>
      </c>
      <c r="S210" s="60">
        <f t="shared" si="210"/>
        <v>0</v>
      </c>
      <c r="T210" s="24"/>
      <c r="U210" s="60">
        <f t="shared" si="242"/>
        <v>0</v>
      </c>
      <c r="V210" s="60">
        <f t="shared" si="201"/>
        <v>0</v>
      </c>
      <c r="W210" s="24"/>
      <c r="X210" s="60">
        <f t="shared" si="243"/>
        <v>0</v>
      </c>
      <c r="Y210" s="60">
        <f t="shared" si="203"/>
        <v>0</v>
      </c>
      <c r="Z210" s="24"/>
      <c r="AA210" s="60">
        <f t="shared" si="244"/>
        <v>0</v>
      </c>
      <c r="AB210" s="60">
        <f t="shared" si="205"/>
        <v>0</v>
      </c>
      <c r="AC210" s="24"/>
      <c r="AD210" s="60">
        <f t="shared" si="245"/>
        <v>0</v>
      </c>
      <c r="AE210" s="60">
        <f t="shared" si="207"/>
        <v>0</v>
      </c>
      <c r="AF210" s="24"/>
      <c r="AG210" s="24"/>
      <c r="AH210" s="278"/>
      <c r="AI210" s="24" t="e">
        <f t="shared" si="234"/>
        <v>#DIV/0!</v>
      </c>
      <c r="AJ210" s="25"/>
      <c r="AK210" s="387" t="e">
        <f t="shared" si="211"/>
        <v>#REF!</v>
      </c>
      <c r="AL210" s="378"/>
      <c r="AM210" s="378"/>
      <c r="AN210" s="378"/>
      <c r="AO210" s="378"/>
    </row>
    <row r="211" spans="3:47" collapsed="1" x14ac:dyDescent="0.25">
      <c r="C211" s="231" t="s">
        <v>485</v>
      </c>
      <c r="D211" s="174" t="s">
        <v>426</v>
      </c>
      <c r="E211" s="299" t="e">
        <f>#REF!</f>
        <v>#REF!</v>
      </c>
      <c r="F211" s="300">
        <v>502907</v>
      </c>
      <c r="G211" s="301">
        <v>556107</v>
      </c>
      <c r="H211" s="301">
        <v>509749</v>
      </c>
      <c r="I211" s="59">
        <v>539468</v>
      </c>
      <c r="J211" s="59">
        <v>574585</v>
      </c>
      <c r="K211" s="302"/>
      <c r="L211" s="60"/>
      <c r="M211" s="60"/>
      <c r="N211" s="60"/>
      <c r="O211" s="60" t="e">
        <f>GETPIVOTDATA("Summa",[4]Pivot_investicijas!$A$3,"Nodaļa","0960")</f>
        <v>#REF!</v>
      </c>
      <c r="P211" s="60">
        <f>[4]Baze_2020!D239</f>
        <v>640096</v>
      </c>
      <c r="Q211" s="60" t="e">
        <f>K211+L211+M211+N211+O211+P211</f>
        <v>#REF!</v>
      </c>
      <c r="R211" s="60" t="e">
        <f>ROUND(Q211,0)</f>
        <v>#REF!</v>
      </c>
      <c r="S211" s="60" t="e">
        <f t="shared" si="210"/>
        <v>#REF!</v>
      </c>
      <c r="T211" s="303"/>
      <c r="U211" s="60" t="e">
        <f t="shared" si="242"/>
        <v>#REF!</v>
      </c>
      <c r="V211" s="60" t="e">
        <f t="shared" si="201"/>
        <v>#REF!</v>
      </c>
      <c r="W211" s="303"/>
      <c r="X211" s="60" t="e">
        <f t="shared" si="243"/>
        <v>#REF!</v>
      </c>
      <c r="Y211" s="60" t="e">
        <f t="shared" si="203"/>
        <v>#REF!</v>
      </c>
      <c r="Z211" s="303"/>
      <c r="AA211" s="60" t="e">
        <f t="shared" si="244"/>
        <v>#REF!</v>
      </c>
      <c r="AB211" s="60" t="e">
        <f t="shared" si="205"/>
        <v>#REF!</v>
      </c>
      <c r="AC211" s="303"/>
      <c r="AD211" s="60" t="e">
        <f t="shared" si="245"/>
        <v>#REF!</v>
      </c>
      <c r="AE211" s="60" t="e">
        <f t="shared" si="207"/>
        <v>#REF!</v>
      </c>
      <c r="AF211" s="303"/>
      <c r="AG211" s="303"/>
      <c r="AH211" s="60">
        <v>245050</v>
      </c>
      <c r="AI211" s="303" t="e">
        <f t="shared" si="234"/>
        <v>#REF!</v>
      </c>
      <c r="AJ211" s="308"/>
      <c r="AK211" s="387" t="e">
        <f t="shared" si="211"/>
        <v>#REF!</v>
      </c>
      <c r="AP211" s="54"/>
      <c r="AQ211" s="54"/>
      <c r="AR211" s="54"/>
      <c r="AS211" s="54"/>
      <c r="AT211" s="54"/>
      <c r="AU211" s="54"/>
    </row>
    <row r="212" spans="3:47" ht="17.25" customHeight="1" outlineLevel="1" x14ac:dyDescent="0.25">
      <c r="C212" s="231" t="s">
        <v>486</v>
      </c>
      <c r="D212" s="322" t="s">
        <v>487</v>
      </c>
      <c r="E212" s="299" t="e">
        <f>#REF!</f>
        <v>#REF!</v>
      </c>
      <c r="F212" s="300"/>
      <c r="G212" s="301">
        <v>0</v>
      </c>
      <c r="H212" s="301">
        <v>1200</v>
      </c>
      <c r="I212" s="59">
        <v>0</v>
      </c>
      <c r="J212" s="59">
        <v>0</v>
      </c>
      <c r="K212" s="302"/>
      <c r="L212" s="60"/>
      <c r="M212" s="60"/>
      <c r="N212" s="60"/>
      <c r="O212" s="60" t="e">
        <f>GETPIVOTDATA("Summa",[4]Pivot_investicijas!$A$3,"Nodaļa","0966")</f>
        <v>#REF!</v>
      </c>
      <c r="P212" s="302"/>
      <c r="Q212" s="60" t="e">
        <f>K212+L212+M212+N212+O212+P212</f>
        <v>#REF!</v>
      </c>
      <c r="R212" s="60" t="e">
        <f>ROUND(Q212,0)+5200</f>
        <v>#REF!</v>
      </c>
      <c r="S212" s="60" t="e">
        <f t="shared" si="210"/>
        <v>#REF!</v>
      </c>
      <c r="T212" s="98" t="s">
        <v>179</v>
      </c>
      <c r="U212" s="60" t="e">
        <f t="shared" si="242"/>
        <v>#REF!</v>
      </c>
      <c r="V212" s="60" t="e">
        <f t="shared" si="201"/>
        <v>#REF!</v>
      </c>
      <c r="W212" s="98"/>
      <c r="X212" s="60" t="e">
        <f t="shared" si="243"/>
        <v>#REF!</v>
      </c>
      <c r="Y212" s="60" t="e">
        <f t="shared" si="203"/>
        <v>#REF!</v>
      </c>
      <c r="Z212" s="98"/>
      <c r="AA212" s="60" t="e">
        <f t="shared" si="244"/>
        <v>#REF!</v>
      </c>
      <c r="AB212" s="60" t="e">
        <f t="shared" si="205"/>
        <v>#REF!</v>
      </c>
      <c r="AC212" s="98"/>
      <c r="AD212" s="60" t="e">
        <f t="shared" si="245"/>
        <v>#REF!</v>
      </c>
      <c r="AE212" s="60" t="e">
        <f t="shared" si="207"/>
        <v>#REF!</v>
      </c>
      <c r="AF212" s="98"/>
      <c r="AG212" s="98"/>
      <c r="AH212" s="302">
        <v>0</v>
      </c>
      <c r="AI212" s="303" t="e">
        <f t="shared" si="234"/>
        <v>#REF!</v>
      </c>
      <c r="AJ212" s="308"/>
      <c r="AK212" s="387" t="e">
        <f t="shared" si="211"/>
        <v>#REF!</v>
      </c>
      <c r="AP212" s="54"/>
      <c r="AQ212" s="54"/>
      <c r="AR212" s="54"/>
      <c r="AS212" s="54"/>
      <c r="AT212" s="54"/>
      <c r="AU212" s="54"/>
    </row>
    <row r="213" spans="3:47" ht="20.25" customHeight="1" x14ac:dyDescent="0.25">
      <c r="C213" s="323" t="s">
        <v>488</v>
      </c>
      <c r="D213" s="224" t="s">
        <v>489</v>
      </c>
      <c r="E213" s="225">
        <f>214071.06390971+14055</f>
        <v>228126.06390971001</v>
      </c>
      <c r="F213" s="227">
        <f>253900+996+8292</f>
        <v>263188</v>
      </c>
      <c r="G213" s="226">
        <f t="shared" ref="G213:Q213" si="246">G214+G220</f>
        <v>293646</v>
      </c>
      <c r="H213" s="226">
        <v>337060</v>
      </c>
      <c r="I213" s="226">
        <f>I214+I220</f>
        <v>376458.35</v>
      </c>
      <c r="J213" s="226">
        <v>443748</v>
      </c>
      <c r="K213" s="227">
        <f t="shared" si="246"/>
        <v>45</v>
      </c>
      <c r="L213" s="227">
        <f t="shared" si="246"/>
        <v>198735</v>
      </c>
      <c r="M213" s="227">
        <f t="shared" si="246"/>
        <v>0</v>
      </c>
      <c r="N213" s="227">
        <f t="shared" si="246"/>
        <v>0</v>
      </c>
      <c r="O213" s="227" t="e">
        <f t="shared" si="246"/>
        <v>#REF!</v>
      </c>
      <c r="P213" s="227">
        <f t="shared" si="246"/>
        <v>265640</v>
      </c>
      <c r="Q213" s="227" t="e">
        <f t="shared" si="246"/>
        <v>#REF!</v>
      </c>
      <c r="R213" s="227" t="e">
        <f>R214+R220</f>
        <v>#REF!</v>
      </c>
      <c r="S213" s="227" t="e">
        <f t="shared" si="210"/>
        <v>#REF!</v>
      </c>
      <c r="T213" s="228"/>
      <c r="U213" s="227" t="e">
        <f>U214+U220</f>
        <v>#REF!</v>
      </c>
      <c r="V213" s="227" t="e">
        <f t="shared" si="201"/>
        <v>#REF!</v>
      </c>
      <c r="W213" s="228"/>
      <c r="X213" s="227" t="e">
        <f>X214+X220</f>
        <v>#REF!</v>
      </c>
      <c r="Y213" s="227" t="e">
        <f t="shared" si="203"/>
        <v>#REF!</v>
      </c>
      <c r="Z213" s="228"/>
      <c r="AA213" s="227" t="e">
        <f>AA214+AA220</f>
        <v>#REF!</v>
      </c>
      <c r="AB213" s="227" t="e">
        <f t="shared" si="205"/>
        <v>#REF!</v>
      </c>
      <c r="AC213" s="228"/>
      <c r="AD213" s="227" t="e">
        <f>AD214+AD220</f>
        <v>#REF!</v>
      </c>
      <c r="AE213" s="227" t="e">
        <f t="shared" si="207"/>
        <v>#REF!</v>
      </c>
      <c r="AF213" s="228"/>
      <c r="AG213" s="228"/>
      <c r="AH213" s="227">
        <f>AH214+AH220</f>
        <v>159048</v>
      </c>
      <c r="AI213" s="228" t="e">
        <f t="shared" si="234"/>
        <v>#REF!</v>
      </c>
      <c r="AJ213" s="274"/>
      <c r="AK213" s="387" t="e">
        <f t="shared" si="211"/>
        <v>#REF!</v>
      </c>
      <c r="AP213" s="54"/>
      <c r="AQ213" s="54"/>
      <c r="AR213" s="54"/>
      <c r="AS213" s="54"/>
      <c r="AT213" s="54"/>
      <c r="AU213" s="54"/>
    </row>
    <row r="214" spans="3:47" x14ac:dyDescent="0.25">
      <c r="C214" s="324" t="s">
        <v>490</v>
      </c>
      <c r="D214" s="174" t="s">
        <v>480</v>
      </c>
      <c r="E214" s="305" t="e">
        <f>#REF!+2000</f>
        <v>#REF!</v>
      </c>
      <c r="F214" s="325"/>
      <c r="G214" s="59">
        <v>105779</v>
      </c>
      <c r="H214" s="59">
        <v>159887</v>
      </c>
      <c r="I214" s="59">
        <v>171667.35</v>
      </c>
      <c r="J214" s="59">
        <v>181606</v>
      </c>
      <c r="K214" s="60">
        <f>K42</f>
        <v>45</v>
      </c>
      <c r="L214" s="60">
        <f>L42</f>
        <v>198735</v>
      </c>
      <c r="M214" s="60"/>
      <c r="N214" s="60"/>
      <c r="O214" s="60"/>
      <c r="P214" s="60"/>
      <c r="Q214" s="60">
        <f t="shared" ref="Q214:Q224" si="247">K214+L214+M214+N214+O214+P214</f>
        <v>198780</v>
      </c>
      <c r="R214" s="60">
        <f t="shared" ref="R214:R224" si="248">ROUND(Q214,0)</f>
        <v>198780</v>
      </c>
      <c r="S214" s="60">
        <f t="shared" si="210"/>
        <v>0</v>
      </c>
      <c r="T214" s="63"/>
      <c r="U214" s="60">
        <f t="shared" ref="U214:U224" si="249">ROUND(R214,0)</f>
        <v>198780</v>
      </c>
      <c r="V214" s="60">
        <f t="shared" si="201"/>
        <v>0</v>
      </c>
      <c r="W214" s="63"/>
      <c r="X214" s="60">
        <f t="shared" ref="X214:X224" si="250">ROUND(U214,0)</f>
        <v>198780</v>
      </c>
      <c r="Y214" s="60">
        <f t="shared" si="203"/>
        <v>0</v>
      </c>
      <c r="Z214" s="63"/>
      <c r="AA214" s="60">
        <f t="shared" ref="AA214:AA224" si="251">ROUND(X214,0)</f>
        <v>198780</v>
      </c>
      <c r="AB214" s="60">
        <f t="shared" si="205"/>
        <v>0</v>
      </c>
      <c r="AC214" s="63"/>
      <c r="AD214" s="60">
        <f t="shared" ref="AD214:AD224" si="252">ROUND(AA214,0)</f>
        <v>198780</v>
      </c>
      <c r="AE214" s="60">
        <f t="shared" si="207"/>
        <v>0</v>
      </c>
      <c r="AF214" s="63"/>
      <c r="AG214" s="63"/>
      <c r="AH214" s="60">
        <v>94969</v>
      </c>
      <c r="AI214" s="63">
        <f t="shared" si="234"/>
        <v>0.4777593319247409</v>
      </c>
      <c r="AJ214" s="64"/>
      <c r="AK214" s="387" t="e">
        <f t="shared" si="211"/>
        <v>#REF!</v>
      </c>
      <c r="AP214" s="54"/>
      <c r="AQ214" s="54"/>
      <c r="AR214" s="54"/>
      <c r="AS214" s="54"/>
      <c r="AT214" s="54"/>
      <c r="AU214" s="54"/>
    </row>
    <row r="215" spans="3:47" s="331" customFormat="1" ht="15" hidden="1" customHeight="1" outlineLevel="1" x14ac:dyDescent="0.25">
      <c r="C215" s="54" t="s">
        <v>491</v>
      </c>
      <c r="D215" s="54" t="s">
        <v>429</v>
      </c>
      <c r="E215" s="326" t="e">
        <f>E216+E217</f>
        <v>#REF!</v>
      </c>
      <c r="F215" s="327"/>
      <c r="G215" s="59">
        <v>102929</v>
      </c>
      <c r="H215" s="59">
        <v>158620</v>
      </c>
      <c r="I215" s="59">
        <v>0</v>
      </c>
      <c r="J215" s="59">
        <v>0</v>
      </c>
      <c r="K215" s="328"/>
      <c r="L215" s="328"/>
      <c r="M215" s="328"/>
      <c r="N215" s="328"/>
      <c r="O215" s="328"/>
      <c r="P215" s="328"/>
      <c r="Q215" s="60">
        <f t="shared" si="247"/>
        <v>0</v>
      </c>
      <c r="R215" s="60">
        <f t="shared" si="248"/>
        <v>0</v>
      </c>
      <c r="S215" s="60">
        <f t="shared" si="210"/>
        <v>0</v>
      </c>
      <c r="T215" s="329"/>
      <c r="U215" s="60">
        <f t="shared" si="249"/>
        <v>0</v>
      </c>
      <c r="V215" s="60">
        <f t="shared" si="201"/>
        <v>0</v>
      </c>
      <c r="W215" s="329"/>
      <c r="X215" s="60">
        <f t="shared" si="250"/>
        <v>0</v>
      </c>
      <c r="Y215" s="60">
        <f t="shared" si="203"/>
        <v>0</v>
      </c>
      <c r="Z215" s="329"/>
      <c r="AA215" s="60">
        <f t="shared" si="251"/>
        <v>0</v>
      </c>
      <c r="AB215" s="60">
        <f t="shared" si="205"/>
        <v>0</v>
      </c>
      <c r="AC215" s="329"/>
      <c r="AD215" s="60">
        <f t="shared" si="252"/>
        <v>0</v>
      </c>
      <c r="AE215" s="60">
        <f t="shared" si="207"/>
        <v>0</v>
      </c>
      <c r="AF215" s="329"/>
      <c r="AG215" s="402"/>
      <c r="AH215" s="278"/>
      <c r="AI215" s="329" t="e">
        <f t="shared" si="234"/>
        <v>#DIV/0!</v>
      </c>
      <c r="AJ215" s="330"/>
      <c r="AK215" s="387" t="e">
        <f t="shared" si="211"/>
        <v>#REF!</v>
      </c>
      <c r="AL215" s="378"/>
      <c r="AM215" s="378"/>
      <c r="AN215" s="378"/>
      <c r="AO215" s="378"/>
      <c r="AP215" s="54"/>
      <c r="AQ215" s="54"/>
      <c r="AR215" s="54"/>
      <c r="AS215" s="54"/>
      <c r="AT215" s="54"/>
      <c r="AU215" s="54"/>
    </row>
    <row r="216" spans="3:47" s="331" customFormat="1" ht="15" hidden="1" customHeight="1" outlineLevel="1" x14ac:dyDescent="0.25">
      <c r="C216" s="54" t="s">
        <v>492</v>
      </c>
      <c r="D216" s="54" t="s">
        <v>493</v>
      </c>
      <c r="E216" s="326" t="e">
        <f>SUM(#REF!)</f>
        <v>#REF!</v>
      </c>
      <c r="F216" s="327"/>
      <c r="G216" s="59">
        <v>102929</v>
      </c>
      <c r="H216" s="59">
        <v>158620</v>
      </c>
      <c r="I216" s="59">
        <v>0</v>
      </c>
      <c r="J216" s="59">
        <v>0</v>
      </c>
      <c r="K216" s="328"/>
      <c r="L216" s="328"/>
      <c r="M216" s="328"/>
      <c r="N216" s="328"/>
      <c r="O216" s="328"/>
      <c r="P216" s="328"/>
      <c r="Q216" s="60">
        <f t="shared" si="247"/>
        <v>0</v>
      </c>
      <c r="R216" s="60">
        <f t="shared" si="248"/>
        <v>0</v>
      </c>
      <c r="S216" s="60">
        <f t="shared" si="210"/>
        <v>0</v>
      </c>
      <c r="T216" s="329"/>
      <c r="U216" s="60">
        <f t="shared" si="249"/>
        <v>0</v>
      </c>
      <c r="V216" s="60">
        <f t="shared" si="201"/>
        <v>0</v>
      </c>
      <c r="W216" s="329"/>
      <c r="X216" s="60">
        <f t="shared" si="250"/>
        <v>0</v>
      </c>
      <c r="Y216" s="60">
        <f t="shared" si="203"/>
        <v>0</v>
      </c>
      <c r="Z216" s="329"/>
      <c r="AA216" s="60">
        <f t="shared" si="251"/>
        <v>0</v>
      </c>
      <c r="AB216" s="60">
        <f t="shared" si="205"/>
        <v>0</v>
      </c>
      <c r="AC216" s="329"/>
      <c r="AD216" s="60">
        <f t="shared" si="252"/>
        <v>0</v>
      </c>
      <c r="AE216" s="60">
        <f t="shared" si="207"/>
        <v>0</v>
      </c>
      <c r="AF216" s="329"/>
      <c r="AG216" s="402"/>
      <c r="AH216" s="278"/>
      <c r="AI216" s="329" t="e">
        <f t="shared" si="234"/>
        <v>#DIV/0!</v>
      </c>
      <c r="AJ216" s="330"/>
      <c r="AK216" s="387" t="e">
        <f t="shared" si="211"/>
        <v>#REF!</v>
      </c>
      <c r="AL216" s="378"/>
      <c r="AM216" s="378"/>
      <c r="AN216" s="378"/>
      <c r="AO216" s="378"/>
      <c r="AP216" s="54"/>
      <c r="AQ216" s="54"/>
      <c r="AR216" s="54"/>
      <c r="AS216" s="54"/>
      <c r="AT216" s="54"/>
      <c r="AU216" s="54"/>
    </row>
    <row r="217" spans="3:47" s="331" customFormat="1" ht="15" hidden="1" customHeight="1" outlineLevel="1" x14ac:dyDescent="0.25">
      <c r="C217" s="54" t="s">
        <v>494</v>
      </c>
      <c r="D217" s="54" t="s">
        <v>495</v>
      </c>
      <c r="E217" s="326" t="e">
        <f>SUM(#REF!)</f>
        <v>#REF!</v>
      </c>
      <c r="F217" s="327"/>
      <c r="G217" s="59">
        <v>0</v>
      </c>
      <c r="H217" s="59">
        <v>0</v>
      </c>
      <c r="I217" s="59">
        <v>0</v>
      </c>
      <c r="J217" s="59">
        <v>0</v>
      </c>
      <c r="K217" s="328"/>
      <c r="L217" s="328"/>
      <c r="M217" s="328"/>
      <c r="N217" s="328"/>
      <c r="O217" s="328"/>
      <c r="P217" s="328"/>
      <c r="Q217" s="60">
        <f t="shared" si="247"/>
        <v>0</v>
      </c>
      <c r="R217" s="60">
        <f t="shared" si="248"/>
        <v>0</v>
      </c>
      <c r="S217" s="60">
        <f t="shared" si="210"/>
        <v>0</v>
      </c>
      <c r="T217" s="329"/>
      <c r="U217" s="60">
        <f t="shared" si="249"/>
        <v>0</v>
      </c>
      <c r="V217" s="60">
        <f t="shared" si="201"/>
        <v>0</v>
      </c>
      <c r="W217" s="329"/>
      <c r="X217" s="60">
        <f t="shared" si="250"/>
        <v>0</v>
      </c>
      <c r="Y217" s="60">
        <f t="shared" si="203"/>
        <v>0</v>
      </c>
      <c r="Z217" s="329"/>
      <c r="AA217" s="60">
        <f t="shared" si="251"/>
        <v>0</v>
      </c>
      <c r="AB217" s="60">
        <f t="shared" si="205"/>
        <v>0</v>
      </c>
      <c r="AC217" s="329"/>
      <c r="AD217" s="60">
        <f t="shared" si="252"/>
        <v>0</v>
      </c>
      <c r="AE217" s="60">
        <f t="shared" si="207"/>
        <v>0</v>
      </c>
      <c r="AF217" s="329"/>
      <c r="AG217" s="329"/>
      <c r="AH217" s="307"/>
      <c r="AI217" s="329" t="e">
        <f t="shared" si="234"/>
        <v>#DIV/0!</v>
      </c>
      <c r="AJ217" s="330"/>
      <c r="AK217" s="387" t="e">
        <f t="shared" si="211"/>
        <v>#REF!</v>
      </c>
      <c r="AL217" s="378"/>
      <c r="AM217" s="378"/>
      <c r="AN217" s="378"/>
      <c r="AO217" s="378"/>
      <c r="AP217" s="54"/>
      <c r="AQ217" s="54"/>
      <c r="AR217" s="54"/>
      <c r="AS217" s="54"/>
      <c r="AT217" s="54"/>
      <c r="AU217" s="54"/>
    </row>
    <row r="218" spans="3:47" s="331" customFormat="1" ht="15" hidden="1" customHeight="1" outlineLevel="1" x14ac:dyDescent="0.25">
      <c r="C218" s="54" t="s">
        <v>496</v>
      </c>
      <c r="D218" s="54" t="s">
        <v>497</v>
      </c>
      <c r="E218" s="326">
        <v>21570</v>
      </c>
      <c r="F218" s="327"/>
      <c r="G218" s="59">
        <v>0</v>
      </c>
      <c r="H218" s="59">
        <v>0</v>
      </c>
      <c r="I218" s="59">
        <v>0</v>
      </c>
      <c r="J218" s="59">
        <v>0</v>
      </c>
      <c r="K218" s="328"/>
      <c r="L218" s="328"/>
      <c r="M218" s="328"/>
      <c r="N218" s="328"/>
      <c r="O218" s="328"/>
      <c r="P218" s="328"/>
      <c r="Q218" s="60">
        <f t="shared" si="247"/>
        <v>0</v>
      </c>
      <c r="R218" s="60">
        <f t="shared" si="248"/>
        <v>0</v>
      </c>
      <c r="S218" s="60">
        <f t="shared" si="210"/>
        <v>0</v>
      </c>
      <c r="T218" s="329"/>
      <c r="U218" s="60">
        <f t="shared" si="249"/>
        <v>0</v>
      </c>
      <c r="V218" s="60">
        <f t="shared" si="201"/>
        <v>0</v>
      </c>
      <c r="W218" s="329"/>
      <c r="X218" s="60">
        <f t="shared" si="250"/>
        <v>0</v>
      </c>
      <c r="Y218" s="60">
        <f t="shared" si="203"/>
        <v>0</v>
      </c>
      <c r="Z218" s="329"/>
      <c r="AA218" s="60">
        <f t="shared" si="251"/>
        <v>0</v>
      </c>
      <c r="AB218" s="60">
        <f t="shared" si="205"/>
        <v>0</v>
      </c>
      <c r="AC218" s="329"/>
      <c r="AD218" s="60">
        <f t="shared" si="252"/>
        <v>0</v>
      </c>
      <c r="AE218" s="60">
        <f t="shared" si="207"/>
        <v>0</v>
      </c>
      <c r="AF218" s="329"/>
      <c r="AG218" s="329"/>
      <c r="AH218" s="319"/>
      <c r="AI218" s="329" t="e">
        <f t="shared" si="234"/>
        <v>#DIV/0!</v>
      </c>
      <c r="AJ218" s="330"/>
      <c r="AK218" s="387" t="e">
        <f t="shared" si="211"/>
        <v>#REF!</v>
      </c>
      <c r="AL218" s="378"/>
      <c r="AM218" s="378"/>
      <c r="AN218" s="378"/>
      <c r="AO218" s="378"/>
      <c r="AP218" s="54"/>
      <c r="AQ218" s="54"/>
      <c r="AR218" s="54"/>
      <c r="AS218" s="54"/>
      <c r="AT218" s="54"/>
      <c r="AU218" s="54"/>
    </row>
    <row r="219" spans="3:47" s="331" customFormat="1" ht="7.9" hidden="1" customHeight="1" outlineLevel="1" x14ac:dyDescent="0.25">
      <c r="C219" s="54" t="s">
        <v>498</v>
      </c>
      <c r="D219" s="54" t="s">
        <v>499</v>
      </c>
      <c r="E219" s="326">
        <v>7870</v>
      </c>
      <c r="F219" s="327"/>
      <c r="G219" s="59">
        <v>0</v>
      </c>
      <c r="H219" s="59">
        <v>0</v>
      </c>
      <c r="I219" s="59">
        <v>0</v>
      </c>
      <c r="J219" s="59">
        <v>0</v>
      </c>
      <c r="K219" s="328"/>
      <c r="L219" s="328"/>
      <c r="M219" s="328"/>
      <c r="N219" s="328"/>
      <c r="O219" s="328"/>
      <c r="P219" s="328"/>
      <c r="Q219" s="60">
        <f t="shared" si="247"/>
        <v>0</v>
      </c>
      <c r="R219" s="60">
        <f t="shared" si="248"/>
        <v>0</v>
      </c>
      <c r="S219" s="60">
        <f t="shared" si="210"/>
        <v>0</v>
      </c>
      <c r="T219" s="329"/>
      <c r="U219" s="60">
        <f t="shared" si="249"/>
        <v>0</v>
      </c>
      <c r="V219" s="60">
        <f t="shared" si="201"/>
        <v>0</v>
      </c>
      <c r="W219" s="329"/>
      <c r="X219" s="60">
        <f t="shared" si="250"/>
        <v>0</v>
      </c>
      <c r="Y219" s="60">
        <f t="shared" si="203"/>
        <v>0</v>
      </c>
      <c r="Z219" s="329"/>
      <c r="AA219" s="60">
        <f t="shared" si="251"/>
        <v>0</v>
      </c>
      <c r="AB219" s="60">
        <f t="shared" si="205"/>
        <v>0</v>
      </c>
      <c r="AC219" s="329"/>
      <c r="AD219" s="60">
        <f t="shared" si="252"/>
        <v>0</v>
      </c>
      <c r="AE219" s="60">
        <f t="shared" si="207"/>
        <v>0</v>
      </c>
      <c r="AF219" s="329"/>
      <c r="AG219" s="402"/>
      <c r="AH219" s="278"/>
      <c r="AI219" s="329" t="e">
        <f t="shared" si="234"/>
        <v>#DIV/0!</v>
      </c>
      <c r="AJ219" s="330"/>
      <c r="AK219" s="387" t="e">
        <f t="shared" si="211"/>
        <v>#REF!</v>
      </c>
      <c r="AL219" s="378"/>
      <c r="AM219" s="378"/>
      <c r="AN219" s="378"/>
      <c r="AO219" s="378"/>
      <c r="AP219" s="54"/>
      <c r="AQ219" s="54"/>
      <c r="AR219" s="54"/>
      <c r="AS219" s="54"/>
      <c r="AT219" s="54"/>
      <c r="AU219" s="54"/>
    </row>
    <row r="220" spans="3:47" s="11" customFormat="1" ht="15.6" customHeight="1" collapsed="1" x14ac:dyDescent="0.25">
      <c r="C220" s="324" t="s">
        <v>500</v>
      </c>
      <c r="D220" s="174" t="s">
        <v>501</v>
      </c>
      <c r="E220" s="305" t="e">
        <f>#REF!</f>
        <v>#REF!</v>
      </c>
      <c r="F220" s="325"/>
      <c r="G220" s="59">
        <v>187867</v>
      </c>
      <c r="H220" s="59">
        <v>177173</v>
      </c>
      <c r="I220" s="59">
        <f>195302+2348+528+5100+1513</f>
        <v>204791</v>
      </c>
      <c r="J220" s="59">
        <v>262142</v>
      </c>
      <c r="K220" s="60"/>
      <c r="L220" s="60"/>
      <c r="M220" s="60"/>
      <c r="N220" s="60"/>
      <c r="O220" s="60" t="e">
        <f>GETPIVOTDATA("Summa",[4]Pivot_investicijas!$A$3,"Nodaļa","0965")</f>
        <v>#REF!</v>
      </c>
      <c r="P220" s="60">
        <f>[4]Baze_2020!D246</f>
        <v>265640</v>
      </c>
      <c r="Q220" s="60" t="e">
        <f t="shared" si="247"/>
        <v>#REF!</v>
      </c>
      <c r="R220" s="60" t="e">
        <f t="shared" si="248"/>
        <v>#REF!</v>
      </c>
      <c r="S220" s="60" t="e">
        <f t="shared" si="210"/>
        <v>#REF!</v>
      </c>
      <c r="T220" s="63"/>
      <c r="U220" s="60" t="e">
        <f t="shared" si="249"/>
        <v>#REF!</v>
      </c>
      <c r="V220" s="60" t="e">
        <f t="shared" si="201"/>
        <v>#REF!</v>
      </c>
      <c r="W220" s="63"/>
      <c r="X220" s="60" t="e">
        <f t="shared" si="250"/>
        <v>#REF!</v>
      </c>
      <c r="Y220" s="60" t="e">
        <f t="shared" si="203"/>
        <v>#REF!</v>
      </c>
      <c r="Z220" s="63"/>
      <c r="AA220" s="60" t="e">
        <f t="shared" si="251"/>
        <v>#REF!</v>
      </c>
      <c r="AB220" s="60" t="e">
        <f t="shared" si="205"/>
        <v>#REF!</v>
      </c>
      <c r="AC220" s="63"/>
      <c r="AD220" s="60" t="e">
        <f t="shared" si="252"/>
        <v>#REF!</v>
      </c>
      <c r="AE220" s="60" t="e">
        <f t="shared" si="207"/>
        <v>#REF!</v>
      </c>
      <c r="AF220" s="63"/>
      <c r="AG220" s="403"/>
      <c r="AH220" s="332">
        <v>64079</v>
      </c>
      <c r="AI220" s="63" t="e">
        <f t="shared" si="234"/>
        <v>#REF!</v>
      </c>
      <c r="AJ220" s="64"/>
      <c r="AK220" s="387" t="e">
        <f t="shared" si="211"/>
        <v>#REF!</v>
      </c>
      <c r="AL220" s="378"/>
      <c r="AM220" s="378"/>
      <c r="AN220" s="378"/>
      <c r="AO220" s="378"/>
      <c r="AP220" s="54"/>
      <c r="AQ220" s="54"/>
      <c r="AR220" s="54"/>
      <c r="AS220" s="54"/>
      <c r="AT220" s="54"/>
      <c r="AU220" s="54"/>
    </row>
    <row r="221" spans="3:47" s="11" customFormat="1" ht="21" customHeight="1" x14ac:dyDescent="0.25">
      <c r="C221" s="323" t="s">
        <v>502</v>
      </c>
      <c r="D221" s="224" t="s">
        <v>503</v>
      </c>
      <c r="E221" s="130">
        <v>14513</v>
      </c>
      <c r="F221" s="133">
        <f>14753+982</f>
        <v>15735</v>
      </c>
      <c r="G221" s="132">
        <v>16035</v>
      </c>
      <c r="H221" s="132">
        <v>18403</v>
      </c>
      <c r="I221" s="132">
        <v>19296</v>
      </c>
      <c r="J221" s="132">
        <v>20935</v>
      </c>
      <c r="K221" s="133"/>
      <c r="L221" s="133"/>
      <c r="M221" s="133"/>
      <c r="N221" s="133"/>
      <c r="O221" s="133"/>
      <c r="P221" s="133">
        <f>[4]Baze_2020!D252</f>
        <v>21186</v>
      </c>
      <c r="Q221" s="133">
        <f t="shared" si="247"/>
        <v>21186</v>
      </c>
      <c r="R221" s="133">
        <f t="shared" si="248"/>
        <v>21186</v>
      </c>
      <c r="S221" s="133">
        <f t="shared" si="210"/>
        <v>0</v>
      </c>
      <c r="T221" s="135"/>
      <c r="U221" s="133">
        <f t="shared" si="249"/>
        <v>21186</v>
      </c>
      <c r="V221" s="133">
        <f t="shared" si="201"/>
        <v>0</v>
      </c>
      <c r="W221" s="135"/>
      <c r="X221" s="133">
        <f t="shared" si="250"/>
        <v>21186</v>
      </c>
      <c r="Y221" s="133">
        <f t="shared" si="203"/>
        <v>0</v>
      </c>
      <c r="Z221" s="135"/>
      <c r="AA221" s="133">
        <f t="shared" si="251"/>
        <v>21186</v>
      </c>
      <c r="AB221" s="133">
        <f t="shared" si="205"/>
        <v>0</v>
      </c>
      <c r="AC221" s="135"/>
      <c r="AD221" s="133">
        <f t="shared" si="252"/>
        <v>21186</v>
      </c>
      <c r="AE221" s="133">
        <f t="shared" si="207"/>
        <v>0</v>
      </c>
      <c r="AF221" s="135"/>
      <c r="AG221" s="135"/>
      <c r="AH221" s="133">
        <v>10593</v>
      </c>
      <c r="AI221" s="135">
        <f t="shared" si="234"/>
        <v>0.5</v>
      </c>
      <c r="AJ221" s="274"/>
      <c r="AK221" s="387" t="e">
        <f t="shared" si="211"/>
        <v>#REF!</v>
      </c>
      <c r="AL221" s="378"/>
      <c r="AM221" s="378"/>
      <c r="AN221" s="378"/>
      <c r="AO221" s="378"/>
      <c r="AP221" s="54"/>
      <c r="AQ221" s="54"/>
      <c r="AR221" s="54"/>
      <c r="AS221" s="54"/>
      <c r="AT221" s="54"/>
      <c r="AU221" s="54"/>
    </row>
    <row r="222" spans="3:47" s="11" customFormat="1" ht="15.75" customHeight="1" x14ac:dyDescent="0.25">
      <c r="C222" s="323" t="s">
        <v>504</v>
      </c>
      <c r="D222" s="224" t="s">
        <v>505</v>
      </c>
      <c r="E222" s="130"/>
      <c r="F222" s="133">
        <v>275</v>
      </c>
      <c r="G222" s="132">
        <v>7461</v>
      </c>
      <c r="H222" s="132">
        <v>0</v>
      </c>
      <c r="I222" s="132">
        <v>0</v>
      </c>
      <c r="J222" s="132">
        <v>0</v>
      </c>
      <c r="K222" s="133"/>
      <c r="L222" s="133"/>
      <c r="M222" s="133"/>
      <c r="N222" s="133"/>
      <c r="O222" s="133"/>
      <c r="P222" s="133"/>
      <c r="Q222" s="133">
        <f t="shared" si="247"/>
        <v>0</v>
      </c>
      <c r="R222" s="133">
        <f t="shared" si="248"/>
        <v>0</v>
      </c>
      <c r="S222" s="133">
        <f t="shared" si="210"/>
        <v>0</v>
      </c>
      <c r="T222" s="135"/>
      <c r="U222" s="133">
        <f t="shared" si="249"/>
        <v>0</v>
      </c>
      <c r="V222" s="133">
        <f t="shared" si="201"/>
        <v>0</v>
      </c>
      <c r="W222" s="135"/>
      <c r="X222" s="133">
        <f t="shared" si="250"/>
        <v>0</v>
      </c>
      <c r="Y222" s="133">
        <f t="shared" si="203"/>
        <v>0</v>
      </c>
      <c r="Z222" s="135"/>
      <c r="AA222" s="133">
        <f t="shared" si="251"/>
        <v>0</v>
      </c>
      <c r="AB222" s="133">
        <f t="shared" si="205"/>
        <v>0</v>
      </c>
      <c r="AC222" s="135"/>
      <c r="AD222" s="133">
        <f t="shared" si="252"/>
        <v>0</v>
      </c>
      <c r="AE222" s="133">
        <f t="shared" si="207"/>
        <v>0</v>
      </c>
      <c r="AF222" s="135"/>
      <c r="AG222" s="135"/>
      <c r="AH222" s="333"/>
      <c r="AI222" s="135"/>
      <c r="AJ222" s="274"/>
      <c r="AK222" s="387" t="e">
        <f t="shared" si="211"/>
        <v>#REF!</v>
      </c>
      <c r="AL222" s="378"/>
      <c r="AM222" s="378"/>
      <c r="AN222" s="378"/>
      <c r="AO222" s="378"/>
    </row>
    <row r="223" spans="3:47" s="11" customFormat="1" ht="20.25" customHeight="1" x14ac:dyDescent="0.25">
      <c r="C223" s="323" t="s">
        <v>506</v>
      </c>
      <c r="D223" s="224" t="s">
        <v>507</v>
      </c>
      <c r="E223" s="130"/>
      <c r="F223" s="133"/>
      <c r="G223" s="132">
        <v>35299</v>
      </c>
      <c r="H223" s="132">
        <v>32400</v>
      </c>
      <c r="I223" s="132">
        <v>38854</v>
      </c>
      <c r="J223" s="132">
        <v>52539</v>
      </c>
      <c r="K223" s="133"/>
      <c r="L223" s="133"/>
      <c r="M223" s="133"/>
      <c r="N223" s="133"/>
      <c r="O223" s="133" t="e">
        <f>GETPIVOTDATA("Summa",[4]Pivot_investicijas!$A$3,"Nodaļa","0930")</f>
        <v>#REF!</v>
      </c>
      <c r="P223" s="133">
        <f>[4]Baze_2020!D254</f>
        <v>23409</v>
      </c>
      <c r="Q223" s="288" t="e">
        <f t="shared" si="247"/>
        <v>#REF!</v>
      </c>
      <c r="R223" s="133" t="e">
        <f t="shared" si="248"/>
        <v>#REF!</v>
      </c>
      <c r="S223" s="133" t="e">
        <f t="shared" si="210"/>
        <v>#REF!</v>
      </c>
      <c r="T223" s="134"/>
      <c r="U223" s="133" t="e">
        <f t="shared" si="249"/>
        <v>#REF!</v>
      </c>
      <c r="V223" s="133" t="e">
        <f t="shared" si="201"/>
        <v>#REF!</v>
      </c>
      <c r="W223" s="134"/>
      <c r="X223" s="133" t="e">
        <f t="shared" si="250"/>
        <v>#REF!</v>
      </c>
      <c r="Y223" s="133" t="e">
        <f t="shared" si="203"/>
        <v>#REF!</v>
      </c>
      <c r="Z223" s="134"/>
      <c r="AA223" s="133" t="e">
        <f t="shared" si="251"/>
        <v>#REF!</v>
      </c>
      <c r="AB223" s="133" t="e">
        <f t="shared" si="205"/>
        <v>#REF!</v>
      </c>
      <c r="AC223" s="134"/>
      <c r="AD223" s="133" t="e">
        <f t="shared" si="252"/>
        <v>#REF!</v>
      </c>
      <c r="AE223" s="133" t="e">
        <f t="shared" si="207"/>
        <v>#REF!</v>
      </c>
      <c r="AF223" s="134"/>
      <c r="AG223" s="134"/>
      <c r="AH223" s="133">
        <v>25183</v>
      </c>
      <c r="AI223" s="135" t="e">
        <f>AH223/U223</f>
        <v>#REF!</v>
      </c>
      <c r="AJ223" s="134"/>
      <c r="AK223" s="387" t="e">
        <f t="shared" si="211"/>
        <v>#REF!</v>
      </c>
      <c r="AL223" s="378"/>
      <c r="AM223" s="378"/>
      <c r="AN223" s="378"/>
      <c r="AO223" s="378"/>
    </row>
    <row r="224" spans="3:47" s="11" customFormat="1" ht="34.5" customHeight="1" x14ac:dyDescent="0.25">
      <c r="C224" s="323" t="s">
        <v>508</v>
      </c>
      <c r="D224" s="224" t="s">
        <v>509</v>
      </c>
      <c r="E224" s="130"/>
      <c r="F224" s="133"/>
      <c r="G224" s="132"/>
      <c r="H224" s="132">
        <v>115588</v>
      </c>
      <c r="I224" s="132">
        <v>90096</v>
      </c>
      <c r="J224" s="132">
        <v>79549</v>
      </c>
      <c r="K224" s="133">
        <f>K70</f>
        <v>14660</v>
      </c>
      <c r="L224" s="133"/>
      <c r="M224" s="133">
        <f>M70</f>
        <v>57112</v>
      </c>
      <c r="N224" s="133"/>
      <c r="O224" s="133"/>
      <c r="P224" s="133"/>
      <c r="Q224" s="288">
        <f t="shared" si="247"/>
        <v>71772</v>
      </c>
      <c r="R224" s="133">
        <f t="shared" si="248"/>
        <v>71772</v>
      </c>
      <c r="S224" s="133">
        <f t="shared" si="210"/>
        <v>0</v>
      </c>
      <c r="T224" s="134"/>
      <c r="U224" s="133">
        <f t="shared" si="249"/>
        <v>71772</v>
      </c>
      <c r="V224" s="133">
        <f t="shared" si="201"/>
        <v>0</v>
      </c>
      <c r="W224" s="134"/>
      <c r="X224" s="133">
        <f t="shared" si="250"/>
        <v>71772</v>
      </c>
      <c r="Y224" s="133">
        <f t="shared" si="203"/>
        <v>0</v>
      </c>
      <c r="Z224" s="134"/>
      <c r="AA224" s="133">
        <f t="shared" si="251"/>
        <v>71772</v>
      </c>
      <c r="AB224" s="133">
        <f t="shared" si="205"/>
        <v>0</v>
      </c>
      <c r="AC224" s="134"/>
      <c r="AD224" s="133">
        <f t="shared" si="252"/>
        <v>71772</v>
      </c>
      <c r="AE224" s="133">
        <f t="shared" si="207"/>
        <v>0</v>
      </c>
      <c r="AF224" s="134"/>
      <c r="AG224" s="134"/>
      <c r="AH224" s="133">
        <v>31484</v>
      </c>
      <c r="AI224" s="135">
        <f>AH224/U224</f>
        <v>0.43866688959482808</v>
      </c>
      <c r="AJ224" s="229"/>
      <c r="AK224" s="387" t="e">
        <f t="shared" si="211"/>
        <v>#REF!</v>
      </c>
      <c r="AL224" s="378"/>
      <c r="AM224" s="378"/>
      <c r="AN224" s="378"/>
      <c r="AO224" s="378"/>
    </row>
    <row r="225" spans="3:41" s="10" customFormat="1" ht="15" customHeight="1" x14ac:dyDescent="0.25">
      <c r="C225" s="221" t="s">
        <v>127</v>
      </c>
      <c r="D225" s="222" t="s">
        <v>510</v>
      </c>
      <c r="E225" s="69">
        <f t="shared" ref="E225:Q225" si="253">SUM(E226:E229)</f>
        <v>486687.74134467135</v>
      </c>
      <c r="F225" s="72">
        <f t="shared" si="253"/>
        <v>135711</v>
      </c>
      <c r="G225" s="71">
        <f>SUM(G226:G229)</f>
        <v>832074</v>
      </c>
      <c r="H225" s="71">
        <v>162041</v>
      </c>
      <c r="I225" s="71">
        <f>SUM(I226:I229)</f>
        <v>132861</v>
      </c>
      <c r="J225" s="71">
        <v>0</v>
      </c>
      <c r="K225" s="72">
        <f t="shared" si="253"/>
        <v>0</v>
      </c>
      <c r="L225" s="72">
        <f t="shared" si="253"/>
        <v>0</v>
      </c>
      <c r="M225" s="72">
        <f t="shared" si="253"/>
        <v>0</v>
      </c>
      <c r="N225" s="72"/>
      <c r="O225" s="72">
        <f>SUM(O226:O229)</f>
        <v>0</v>
      </c>
      <c r="P225" s="72">
        <f t="shared" si="253"/>
        <v>0</v>
      </c>
      <c r="Q225" s="72">
        <f t="shared" si="253"/>
        <v>0</v>
      </c>
      <c r="R225" s="72">
        <f>SUM(R226:R229)</f>
        <v>0</v>
      </c>
      <c r="S225" s="72">
        <f t="shared" si="210"/>
        <v>0</v>
      </c>
      <c r="T225" s="73"/>
      <c r="U225" s="72">
        <f>SUM(U226:U229)</f>
        <v>28651</v>
      </c>
      <c r="V225" s="72">
        <f t="shared" si="201"/>
        <v>28651</v>
      </c>
      <c r="W225" s="73"/>
      <c r="X225" s="72">
        <f>SUM(X226:X229)</f>
        <v>28651</v>
      </c>
      <c r="Y225" s="72">
        <f t="shared" si="203"/>
        <v>0</v>
      </c>
      <c r="Z225" s="73"/>
      <c r="AA225" s="72">
        <f>SUM(AA226:AA229)</f>
        <v>28651</v>
      </c>
      <c r="AB225" s="72">
        <f t="shared" si="205"/>
        <v>0</v>
      </c>
      <c r="AC225" s="73"/>
      <c r="AD225" s="72">
        <f>SUM(AD226:AD229)</f>
        <v>28651</v>
      </c>
      <c r="AE225" s="72">
        <f t="shared" si="207"/>
        <v>0</v>
      </c>
      <c r="AF225" s="73"/>
      <c r="AG225" s="73"/>
      <c r="AH225" s="72">
        <f>SUM(AH226:AH229)</f>
        <v>28651</v>
      </c>
      <c r="AI225" s="73">
        <f>AH225/U225</f>
        <v>1</v>
      </c>
      <c r="AJ225" s="74"/>
      <c r="AK225" s="387" t="e">
        <f t="shared" si="211"/>
        <v>#REF!</v>
      </c>
      <c r="AL225" s="378"/>
      <c r="AM225" s="378"/>
      <c r="AN225" s="378"/>
      <c r="AO225" s="377"/>
    </row>
    <row r="226" spans="3:41" s="54" customFormat="1" ht="15" hidden="1" customHeight="1" outlineLevel="1" x14ac:dyDescent="0.25">
      <c r="C226" s="211" t="s">
        <v>134</v>
      </c>
      <c r="D226" s="212" t="s">
        <v>511</v>
      </c>
      <c r="E226" s="130">
        <v>0</v>
      </c>
      <c r="F226" s="133">
        <v>0</v>
      </c>
      <c r="G226" s="132">
        <v>0</v>
      </c>
      <c r="H226" s="132">
        <v>0</v>
      </c>
      <c r="I226" s="132">
        <v>0</v>
      </c>
      <c r="J226" s="132">
        <v>0</v>
      </c>
      <c r="K226" s="133">
        <v>0</v>
      </c>
      <c r="L226" s="133">
        <v>0</v>
      </c>
      <c r="M226" s="133">
        <v>0</v>
      </c>
      <c r="N226" s="133"/>
      <c r="O226" s="133">
        <v>0</v>
      </c>
      <c r="P226" s="133">
        <v>0</v>
      </c>
      <c r="Q226" s="133">
        <v>0</v>
      </c>
      <c r="R226" s="133">
        <v>0</v>
      </c>
      <c r="S226" s="133">
        <f t="shared" si="210"/>
        <v>0</v>
      </c>
      <c r="T226" s="135"/>
      <c r="U226" s="133">
        <v>0</v>
      </c>
      <c r="V226" s="133">
        <f t="shared" si="201"/>
        <v>0</v>
      </c>
      <c r="W226" s="135"/>
      <c r="X226" s="133">
        <v>0</v>
      </c>
      <c r="Y226" s="133">
        <f t="shared" si="203"/>
        <v>0</v>
      </c>
      <c r="Z226" s="135"/>
      <c r="AA226" s="133">
        <v>0</v>
      </c>
      <c r="AB226" s="133">
        <f t="shared" si="205"/>
        <v>0</v>
      </c>
      <c r="AC226" s="135"/>
      <c r="AD226" s="133">
        <v>0</v>
      </c>
      <c r="AE226" s="133">
        <f t="shared" si="207"/>
        <v>0</v>
      </c>
      <c r="AF226" s="135"/>
      <c r="AG226" s="135"/>
      <c r="AH226" s="333">
        <v>0</v>
      </c>
      <c r="AI226" s="135" t="e">
        <f>AH226/U226</f>
        <v>#DIV/0!</v>
      </c>
      <c r="AJ226" s="274"/>
      <c r="AK226" s="387" t="e">
        <f t="shared" si="211"/>
        <v>#REF!</v>
      </c>
      <c r="AL226" s="378"/>
      <c r="AM226" s="378"/>
      <c r="AN226" s="378"/>
      <c r="AO226" s="378"/>
    </row>
    <row r="227" spans="3:41" s="54" customFormat="1" ht="15" hidden="1" customHeight="1" outlineLevel="1" x14ac:dyDescent="0.25">
      <c r="C227" s="211" t="s">
        <v>138</v>
      </c>
      <c r="D227" s="212" t="s">
        <v>512</v>
      </c>
      <c r="E227" s="130">
        <v>0</v>
      </c>
      <c r="F227" s="133">
        <v>0</v>
      </c>
      <c r="G227" s="132">
        <v>0</v>
      </c>
      <c r="H227" s="132">
        <v>0</v>
      </c>
      <c r="I227" s="132">
        <v>0</v>
      </c>
      <c r="J227" s="132">
        <v>0</v>
      </c>
      <c r="K227" s="133">
        <v>0</v>
      </c>
      <c r="L227" s="133">
        <v>0</v>
      </c>
      <c r="M227" s="133">
        <v>0</v>
      </c>
      <c r="N227" s="133"/>
      <c r="O227" s="133">
        <v>0</v>
      </c>
      <c r="P227" s="133">
        <v>0</v>
      </c>
      <c r="Q227" s="133">
        <v>0</v>
      </c>
      <c r="R227" s="133">
        <v>0</v>
      </c>
      <c r="S227" s="133">
        <f t="shared" si="210"/>
        <v>0</v>
      </c>
      <c r="T227" s="135"/>
      <c r="U227" s="133">
        <v>0</v>
      </c>
      <c r="V227" s="133">
        <f t="shared" si="201"/>
        <v>0</v>
      </c>
      <c r="W227" s="135"/>
      <c r="X227" s="133">
        <v>0</v>
      </c>
      <c r="Y227" s="133">
        <f t="shared" si="203"/>
        <v>0</v>
      </c>
      <c r="Z227" s="135"/>
      <c r="AA227" s="133">
        <v>0</v>
      </c>
      <c r="AB227" s="133">
        <f t="shared" si="205"/>
        <v>0</v>
      </c>
      <c r="AC227" s="135"/>
      <c r="AD227" s="133">
        <v>0</v>
      </c>
      <c r="AE227" s="133">
        <f t="shared" si="207"/>
        <v>0</v>
      </c>
      <c r="AF227" s="135"/>
      <c r="AG227" s="135"/>
      <c r="AH227" s="333">
        <v>0</v>
      </c>
      <c r="AI227" s="135" t="e">
        <f>AH227/U227</f>
        <v>#DIV/0!</v>
      </c>
      <c r="AJ227" s="274"/>
      <c r="AK227" s="387" t="e">
        <f t="shared" si="211"/>
        <v>#REF!</v>
      </c>
      <c r="AL227" s="378"/>
      <c r="AM227" s="378"/>
      <c r="AN227" s="378"/>
      <c r="AO227" s="378"/>
    </row>
    <row r="228" spans="3:41" s="10" customFormat="1" collapsed="1" x14ac:dyDescent="0.25">
      <c r="C228" s="211" t="s">
        <v>513</v>
      </c>
      <c r="D228" s="212" t="s">
        <v>514</v>
      </c>
      <c r="E228" s="130">
        <f>335948.571721277+13442</f>
        <v>349390.57172127703</v>
      </c>
      <c r="F228" s="133"/>
      <c r="G228" s="132">
        <v>652074</v>
      </c>
      <c r="H228" s="132">
        <v>147923</v>
      </c>
      <c r="I228" s="132">
        <v>0</v>
      </c>
      <c r="J228" s="132">
        <v>0</v>
      </c>
      <c r="K228" s="133"/>
      <c r="L228" s="133"/>
      <c r="M228" s="133"/>
      <c r="N228" s="133"/>
      <c r="O228" s="133"/>
      <c r="P228" s="133"/>
      <c r="Q228" s="133">
        <f>K228+L228+M228+N228+O228+P228</f>
        <v>0</v>
      </c>
      <c r="R228" s="133">
        <f>ROUND(Q228,0)</f>
        <v>0</v>
      </c>
      <c r="S228" s="133">
        <f t="shared" si="210"/>
        <v>0</v>
      </c>
      <c r="T228" s="134"/>
      <c r="U228" s="133">
        <f t="shared" ref="U228:U231" si="254">ROUND(R228,0)</f>
        <v>0</v>
      </c>
      <c r="V228" s="133">
        <f t="shared" si="201"/>
        <v>0</v>
      </c>
      <c r="W228" s="134"/>
      <c r="X228" s="133">
        <f t="shared" ref="X228" si="255">ROUND(U228,0)</f>
        <v>0</v>
      </c>
      <c r="Y228" s="133">
        <f t="shared" si="203"/>
        <v>0</v>
      </c>
      <c r="Z228" s="134"/>
      <c r="AA228" s="133">
        <f t="shared" ref="AA228" si="256">ROUND(X228,0)</f>
        <v>0</v>
      </c>
      <c r="AB228" s="133">
        <f t="shared" si="205"/>
        <v>0</v>
      </c>
      <c r="AC228" s="134"/>
      <c r="AD228" s="133">
        <f t="shared" ref="AD228" si="257">ROUND(AA228,0)</f>
        <v>0</v>
      </c>
      <c r="AE228" s="133">
        <f t="shared" si="207"/>
        <v>0</v>
      </c>
      <c r="AF228" s="134"/>
      <c r="AG228" s="134"/>
      <c r="AH228" s="333"/>
      <c r="AI228" s="135">
        <v>0</v>
      </c>
      <c r="AJ228" s="229"/>
      <c r="AK228" s="387" t="e">
        <f t="shared" si="211"/>
        <v>#REF!</v>
      </c>
      <c r="AL228" s="378"/>
      <c r="AM228" s="378"/>
      <c r="AN228" s="378"/>
      <c r="AO228" s="377"/>
    </row>
    <row r="229" spans="3:41" ht="17.25" customHeight="1" thickBot="1" x14ac:dyDescent="0.3">
      <c r="C229" s="211" t="s">
        <v>515</v>
      </c>
      <c r="D229" s="212" t="s">
        <v>516</v>
      </c>
      <c r="E229" s="130">
        <v>137297.16962339429</v>
      </c>
      <c r="F229" s="133">
        <v>135711</v>
      </c>
      <c r="G229" s="132">
        <v>180000</v>
      </c>
      <c r="H229" s="132">
        <v>14118</v>
      </c>
      <c r="I229" s="132">
        <v>132861</v>
      </c>
      <c r="J229" s="132">
        <v>0</v>
      </c>
      <c r="K229" s="133"/>
      <c r="L229" s="133"/>
      <c r="M229" s="133"/>
      <c r="N229" s="133"/>
      <c r="O229" s="133"/>
      <c r="P229" s="133"/>
      <c r="Q229" s="133">
        <f>K229+L229+M229+N229+O229+P229</f>
        <v>0</v>
      </c>
      <c r="R229" s="133">
        <f>ROUND(Q229,0)</f>
        <v>0</v>
      </c>
      <c r="S229" s="133">
        <f t="shared" si="210"/>
        <v>0</v>
      </c>
      <c r="T229" s="135"/>
      <c r="U229" s="133">
        <f>ROUND(R229,0)+28651</f>
        <v>28651</v>
      </c>
      <c r="V229" s="133">
        <f t="shared" si="201"/>
        <v>28651</v>
      </c>
      <c r="W229" s="134" t="s">
        <v>370</v>
      </c>
      <c r="X229" s="133">
        <f>ROUND(U229,0)</f>
        <v>28651</v>
      </c>
      <c r="Y229" s="133">
        <f t="shared" si="203"/>
        <v>0</v>
      </c>
      <c r="Z229" s="134"/>
      <c r="AA229" s="133">
        <f>ROUND(X229,0)</f>
        <v>28651</v>
      </c>
      <c r="AB229" s="133">
        <f t="shared" si="205"/>
        <v>0</v>
      </c>
      <c r="AC229" s="134"/>
      <c r="AD229" s="133">
        <f>ROUND(AA229,0)</f>
        <v>28651</v>
      </c>
      <c r="AE229" s="133">
        <f t="shared" si="207"/>
        <v>0</v>
      </c>
      <c r="AF229" s="134"/>
      <c r="AG229" s="134"/>
      <c r="AH229" s="133">
        <v>28651</v>
      </c>
      <c r="AI229" s="135">
        <f t="shared" ref="AI229:AI234" si="258">AH229/U229</f>
        <v>1</v>
      </c>
      <c r="AJ229" s="274"/>
      <c r="AK229" s="387" t="e">
        <f t="shared" si="211"/>
        <v>#REF!</v>
      </c>
    </row>
    <row r="230" spans="3:41" ht="15.75" thickBot="1" x14ac:dyDescent="0.3">
      <c r="C230" s="334"/>
      <c r="D230" s="335" t="s">
        <v>517</v>
      </c>
      <c r="E230" s="336">
        <f>E108+E119+E121+E124+E125+E144+E149+E169+E160+E225</f>
        <v>15300788.026782734</v>
      </c>
      <c r="F230" s="337">
        <f>F108+F119+F121+F124+F125+F144+F149+F169+F160+F225</f>
        <v>17402085.915265664</v>
      </c>
      <c r="G230" s="338">
        <f>G108+G119+G121+G124+G125+G149+G160+G169+G225</f>
        <v>16765381.283999279</v>
      </c>
      <c r="H230" s="338">
        <v>19674858.804594409</v>
      </c>
      <c r="I230" s="338">
        <f>I108+I119+I121+I124+I125+I149+I160+I169+I225</f>
        <v>27998939.18825544</v>
      </c>
      <c r="J230" s="338">
        <v>28907637</v>
      </c>
      <c r="K230" s="339">
        <f>K108+K119+K121+K124+K125+K149+K160+K169+K225</f>
        <v>479893.6</v>
      </c>
      <c r="L230" s="339">
        <f t="shared" ref="L230:R230" si="259">L108+L119+L121+L124+L125+L149+L160+L169+L225</f>
        <v>4775388</v>
      </c>
      <c r="M230" s="339">
        <f t="shared" si="259"/>
        <v>2480639.2799999998</v>
      </c>
      <c r="N230" s="339">
        <f t="shared" si="259"/>
        <v>5706396.8660000004</v>
      </c>
      <c r="O230" s="339" t="e">
        <f t="shared" si="259"/>
        <v>#REF!</v>
      </c>
      <c r="P230" s="339">
        <f t="shared" si="259"/>
        <v>13449181.815011736</v>
      </c>
      <c r="Q230" s="339" t="e">
        <f t="shared" si="259"/>
        <v>#REF!</v>
      </c>
      <c r="R230" s="339" t="e">
        <f t="shared" si="259"/>
        <v>#REF!</v>
      </c>
      <c r="S230" s="339" t="e">
        <f t="shared" si="210"/>
        <v>#REF!</v>
      </c>
      <c r="T230" s="340"/>
      <c r="U230" s="339" t="e">
        <f t="shared" ref="U230" si="260">U108+U119+U121+U124+U125+U149+U160+U169+U225</f>
        <v>#REF!</v>
      </c>
      <c r="V230" s="339" t="e">
        <f t="shared" si="201"/>
        <v>#REF!</v>
      </c>
      <c r="W230" s="340"/>
      <c r="X230" s="339" t="e">
        <f t="shared" ref="X230" si="261">X108+X119+X121+X124+X125+X149+X160+X169+X225</f>
        <v>#REF!</v>
      </c>
      <c r="Y230" s="339" t="e">
        <f t="shared" si="203"/>
        <v>#REF!</v>
      </c>
      <c r="Z230" s="340"/>
      <c r="AA230" s="339" t="e">
        <f t="shared" ref="AA230" si="262">AA108+AA119+AA121+AA124+AA125+AA149+AA160+AA169+AA225</f>
        <v>#REF!</v>
      </c>
      <c r="AB230" s="339" t="e">
        <f t="shared" si="205"/>
        <v>#REF!</v>
      </c>
      <c r="AC230" s="340"/>
      <c r="AD230" s="339" t="e">
        <f t="shared" ref="AD230" si="263">AD108+AD119+AD121+AD124+AD125+AD149+AD160+AD169+AD225</f>
        <v>#REF!</v>
      </c>
      <c r="AE230" s="339" t="e">
        <f t="shared" si="207"/>
        <v>#REF!</v>
      </c>
      <c r="AF230" s="340"/>
      <c r="AG230" s="340"/>
      <c r="AH230" s="339">
        <f>AH108+AH119+AH121+AH124+AH125+AH149+AH169+AH160+AH225</f>
        <v>8916502.8499999996</v>
      </c>
      <c r="AI230" s="340" t="e">
        <f t="shared" si="258"/>
        <v>#REF!</v>
      </c>
      <c r="AJ230" s="341"/>
      <c r="AK230" s="387" t="e">
        <f t="shared" si="211"/>
        <v>#REF!</v>
      </c>
      <c r="AL230" s="373" t="e">
        <f>#REF!-#REF!-#REF!-#REF!-#REF!-#REF!-#REF!-#REF!-#REF!-#REF!-#REF!-#REF!-#REF!</f>
        <v>#REF!</v>
      </c>
    </row>
    <row r="231" spans="3:41" s="10" customFormat="1" ht="44.45" customHeight="1" thickBot="1" x14ac:dyDescent="0.3">
      <c r="C231" s="221" t="s">
        <v>130</v>
      </c>
      <c r="D231" s="222" t="s">
        <v>518</v>
      </c>
      <c r="E231" s="69">
        <v>396693.81506081356</v>
      </c>
      <c r="F231" s="72">
        <v>866624</v>
      </c>
      <c r="G231" s="71">
        <v>898430</v>
      </c>
      <c r="H231" s="71">
        <v>712247</v>
      </c>
      <c r="I231" s="71">
        <v>913662.54646814754</v>
      </c>
      <c r="J231" s="71">
        <v>1493720</v>
      </c>
      <c r="K231" s="72"/>
      <c r="L231" s="72"/>
      <c r="M231" s="72">
        <f>M232</f>
        <v>0</v>
      </c>
      <c r="N231" s="72"/>
      <c r="O231" s="72"/>
      <c r="P231" s="72">
        <f>[4]Baze_2020!D264</f>
        <v>1486694.054866666</v>
      </c>
      <c r="Q231" s="72">
        <f>L231+M231+P231</f>
        <v>1486694.054866666</v>
      </c>
      <c r="R231" s="72">
        <f>ROUND(Q231,0)</f>
        <v>1486694</v>
      </c>
      <c r="S231" s="72">
        <f t="shared" si="210"/>
        <v>-5.4866665974259377E-2</v>
      </c>
      <c r="T231" s="73"/>
      <c r="U231" s="72">
        <f t="shared" si="254"/>
        <v>1486694</v>
      </c>
      <c r="V231" s="72">
        <f t="shared" si="201"/>
        <v>0</v>
      </c>
      <c r="W231" s="73"/>
      <c r="X231" s="72">
        <f t="shared" ref="X231" si="264">ROUND(U231,0)</f>
        <v>1486694</v>
      </c>
      <c r="Y231" s="72">
        <f t="shared" si="203"/>
        <v>0</v>
      </c>
      <c r="Z231" s="73"/>
      <c r="AA231" s="72">
        <f t="shared" ref="AA231" si="265">ROUND(X231,0)</f>
        <v>1486694</v>
      </c>
      <c r="AB231" s="72">
        <f t="shared" si="205"/>
        <v>0</v>
      </c>
      <c r="AC231" s="73"/>
      <c r="AD231" s="72">
        <f>ROUND(AA231,0)-409318</f>
        <v>1077376</v>
      </c>
      <c r="AE231" s="72">
        <f t="shared" si="207"/>
        <v>-409318</v>
      </c>
      <c r="AF231" s="90" t="s">
        <v>519</v>
      </c>
      <c r="AG231" s="90"/>
      <c r="AH231" s="72">
        <f>249207.4+261605.4</f>
        <v>510812.8</v>
      </c>
      <c r="AI231" s="73">
        <f t="shared" si="258"/>
        <v>0.34358973669093973</v>
      </c>
      <c r="AJ231" s="210">
        <f>(AH231)/$AH$233</f>
        <v>5.4184331888791688E-2</v>
      </c>
      <c r="AK231" s="387" t="e">
        <f>Q231/$Q$233</f>
        <v>#REF!</v>
      </c>
      <c r="AL231" s="378"/>
      <c r="AM231" s="378"/>
      <c r="AN231" s="378"/>
      <c r="AO231" s="377"/>
    </row>
    <row r="232" spans="3:41" s="54" customFormat="1" ht="15.75" hidden="1" customHeight="1" outlineLevel="1" thickBot="1" x14ac:dyDescent="0.3">
      <c r="C232" s="54" t="s">
        <v>134</v>
      </c>
      <c r="D232" s="54" t="s">
        <v>520</v>
      </c>
      <c r="E232" s="342" t="e">
        <f>SUM(#REF!)</f>
        <v>#REF!</v>
      </c>
      <c r="F232" s="343" t="e">
        <f>SUM(#REF!)</f>
        <v>#REF!</v>
      </c>
      <c r="G232" s="344" t="e">
        <f>SUM(#REF!)</f>
        <v>#REF!</v>
      </c>
      <c r="H232" s="344" t="e">
        <v>#REF!</v>
      </c>
      <c r="I232" s="344" t="e">
        <f>SUM(#REF!)</f>
        <v>#REF!</v>
      </c>
      <c r="J232" s="344" t="e">
        <v>#REF!</v>
      </c>
      <c r="K232" s="328" t="e">
        <f>SUM(#REF!)</f>
        <v>#REF!</v>
      </c>
      <c r="L232" s="328"/>
      <c r="M232" s="328"/>
      <c r="N232" s="328"/>
      <c r="O232" s="328" t="e">
        <f>SUM(#REF!)</f>
        <v>#REF!</v>
      </c>
      <c r="P232" s="328" t="e">
        <f>SUM(#REF!)</f>
        <v>#REF!</v>
      </c>
      <c r="Q232" s="328" t="e">
        <f>SUM(#REF!)</f>
        <v>#REF!</v>
      </c>
      <c r="R232" s="328" t="e">
        <f>SUM(#REF!)</f>
        <v>#REF!</v>
      </c>
      <c r="S232" s="328" t="e">
        <f t="shared" si="210"/>
        <v>#REF!</v>
      </c>
      <c r="T232" s="329"/>
      <c r="U232" s="328" t="e">
        <f>SUM(#REF!)</f>
        <v>#REF!</v>
      </c>
      <c r="V232" s="328" t="e">
        <f t="shared" si="201"/>
        <v>#REF!</v>
      </c>
      <c r="W232" s="329"/>
      <c r="X232" s="328" t="e">
        <f>SUM(#REF!)</f>
        <v>#REF!</v>
      </c>
      <c r="Y232" s="328" t="e">
        <f t="shared" si="203"/>
        <v>#REF!</v>
      </c>
      <c r="Z232" s="329"/>
      <c r="AA232" s="328" t="e">
        <f>SUM(#REF!)</f>
        <v>#REF!</v>
      </c>
      <c r="AB232" s="328" t="e">
        <f t="shared" si="205"/>
        <v>#REF!</v>
      </c>
      <c r="AC232" s="329"/>
      <c r="AD232" s="328" t="e">
        <f>SUM(#REF!)</f>
        <v>#REF!</v>
      </c>
      <c r="AE232" s="328" t="e">
        <f t="shared" si="207"/>
        <v>#REF!</v>
      </c>
      <c r="AF232" s="329"/>
      <c r="AG232" s="329"/>
      <c r="AH232" s="328" t="e">
        <f>SUM(#REF!)</f>
        <v>#REF!</v>
      </c>
      <c r="AI232" s="329" t="e">
        <f t="shared" si="258"/>
        <v>#REF!</v>
      </c>
      <c r="AJ232" s="330"/>
      <c r="AK232" s="387" t="e">
        <f>Q232/$Q$233</f>
        <v>#REF!</v>
      </c>
      <c r="AL232" s="378"/>
      <c r="AM232" s="378"/>
      <c r="AN232" s="378"/>
      <c r="AO232" s="378"/>
    </row>
    <row r="233" spans="3:41" ht="15.75" collapsed="1" thickBot="1" x14ac:dyDescent="0.3">
      <c r="C233" s="334"/>
      <c r="D233" s="335" t="s">
        <v>521</v>
      </c>
      <c r="E233" s="345">
        <f>E230+E231</f>
        <v>15697481.841843547</v>
      </c>
      <c r="F233" s="346">
        <f>F230+F231</f>
        <v>18268709.915265664</v>
      </c>
      <c r="G233" s="347">
        <f>G230+G231</f>
        <v>17663811.283999279</v>
      </c>
      <c r="H233" s="347">
        <v>20387105.804594409</v>
      </c>
      <c r="I233" s="347">
        <f>I230+I231</f>
        <v>28912601.734723587</v>
      </c>
      <c r="J233" s="347">
        <v>30401357</v>
      </c>
      <c r="K233" s="348">
        <f t="shared" ref="K233:P233" si="266">K230+K231</f>
        <v>479893.6</v>
      </c>
      <c r="L233" s="348">
        <f>L230+L231</f>
        <v>4775388</v>
      </c>
      <c r="M233" s="348">
        <f t="shared" si="266"/>
        <v>2480639.2799999998</v>
      </c>
      <c r="N233" s="348">
        <f t="shared" si="266"/>
        <v>5706396.8660000004</v>
      </c>
      <c r="O233" s="348" t="e">
        <f t="shared" si="266"/>
        <v>#REF!</v>
      </c>
      <c r="P233" s="348">
        <f t="shared" si="266"/>
        <v>14935875.869878402</v>
      </c>
      <c r="Q233" s="348" t="e">
        <f>Q230+Q231</f>
        <v>#REF!</v>
      </c>
      <c r="R233" s="348" t="e">
        <f>R230+R231</f>
        <v>#REF!</v>
      </c>
      <c r="S233" s="348" t="e">
        <f t="shared" si="210"/>
        <v>#REF!</v>
      </c>
      <c r="T233" s="349"/>
      <c r="U233" s="348" t="e">
        <f>U230+U231</f>
        <v>#REF!</v>
      </c>
      <c r="V233" s="348" t="e">
        <f t="shared" si="201"/>
        <v>#REF!</v>
      </c>
      <c r="W233" s="349"/>
      <c r="X233" s="348" t="e">
        <f>X230+X231</f>
        <v>#REF!</v>
      </c>
      <c r="Y233" s="348" t="e">
        <f t="shared" si="203"/>
        <v>#REF!</v>
      </c>
      <c r="Z233" s="349"/>
      <c r="AA233" s="348" t="e">
        <f>AA230+AA231</f>
        <v>#REF!</v>
      </c>
      <c r="AB233" s="348" t="e">
        <f t="shared" si="205"/>
        <v>#REF!</v>
      </c>
      <c r="AC233" s="349"/>
      <c r="AD233" s="348" t="e">
        <f>AD230+AD231</f>
        <v>#REF!</v>
      </c>
      <c r="AE233" s="348" t="e">
        <f t="shared" si="207"/>
        <v>#REF!</v>
      </c>
      <c r="AF233" s="349"/>
      <c r="AG233" s="349"/>
      <c r="AH233" s="348">
        <f>AH230+AH231</f>
        <v>9427315.6500000004</v>
      </c>
      <c r="AI233" s="349" t="e">
        <f t="shared" si="258"/>
        <v>#REF!</v>
      </c>
      <c r="AJ233" s="350"/>
      <c r="AK233" s="387" t="e">
        <f>Q233/$Q$233</f>
        <v>#REF!</v>
      </c>
    </row>
    <row r="234" spans="3:41" ht="16.5" thickTop="1" thickBot="1" x14ac:dyDescent="0.3">
      <c r="C234" s="351" t="s">
        <v>522</v>
      </c>
      <c r="D234" s="352" t="s">
        <v>523</v>
      </c>
      <c r="E234" s="353" t="e">
        <f>E102-E233</f>
        <v>#REF!</v>
      </c>
      <c r="F234" s="354" t="e">
        <f>F102-F233</f>
        <v>#REF!</v>
      </c>
      <c r="G234" s="355">
        <f>G102-G233</f>
        <v>138413.89631379023</v>
      </c>
      <c r="H234" s="355">
        <v>189602.49961328879</v>
      </c>
      <c r="I234" s="355">
        <f>I102-I233</f>
        <v>74001.427340082824</v>
      </c>
      <c r="J234" s="355">
        <v>130258</v>
      </c>
      <c r="K234" s="356">
        <f t="shared" ref="K234:R234" si="267">K102-K233</f>
        <v>0</v>
      </c>
      <c r="L234" s="356">
        <f t="shared" si="267"/>
        <v>0</v>
      </c>
      <c r="M234" s="356">
        <f t="shared" si="267"/>
        <v>0</v>
      </c>
      <c r="N234" s="356">
        <f t="shared" si="267"/>
        <v>0</v>
      </c>
      <c r="O234" s="356" t="e">
        <f t="shared" si="267"/>
        <v>#REF!</v>
      </c>
      <c r="P234" s="356">
        <f t="shared" si="267"/>
        <v>-823551.31587840244</v>
      </c>
      <c r="Q234" s="356" t="e">
        <f t="shared" si="267"/>
        <v>#REF!</v>
      </c>
      <c r="R234" s="356" t="e">
        <f t="shared" si="267"/>
        <v>#REF!</v>
      </c>
      <c r="S234" s="356" t="e">
        <f t="shared" si="210"/>
        <v>#REF!</v>
      </c>
      <c r="T234" s="357"/>
      <c r="U234" s="356" t="e">
        <f t="shared" ref="U234" si="268">U102-U233</f>
        <v>#REF!</v>
      </c>
      <c r="V234" s="356" t="e">
        <f t="shared" si="201"/>
        <v>#REF!</v>
      </c>
      <c r="W234" s="357"/>
      <c r="X234" s="356" t="e">
        <f t="shared" ref="X234" si="269">X102-X233</f>
        <v>#REF!</v>
      </c>
      <c r="Y234" s="356" t="e">
        <f t="shared" si="203"/>
        <v>#REF!</v>
      </c>
      <c r="Z234" s="357"/>
      <c r="AA234" s="356" t="e">
        <f t="shared" ref="AA234" si="270">AA102-AA233</f>
        <v>#REF!</v>
      </c>
      <c r="AB234" s="356" t="e">
        <f t="shared" si="205"/>
        <v>#REF!</v>
      </c>
      <c r="AC234" s="357"/>
      <c r="AD234" s="356" t="e">
        <f t="shared" ref="AD234" si="271">AD102-AD233</f>
        <v>#REF!</v>
      </c>
      <c r="AE234" s="356" t="e">
        <f t="shared" si="207"/>
        <v>#REF!</v>
      </c>
      <c r="AF234" s="357"/>
      <c r="AG234" s="357"/>
      <c r="AH234" s="356">
        <f>AH102-AH233</f>
        <v>3886810</v>
      </c>
      <c r="AI234" s="357" t="e">
        <f t="shared" si="258"/>
        <v>#REF!</v>
      </c>
      <c r="AJ234" s="358"/>
      <c r="AK234" s="387" t="e">
        <f>Q234/$Q$233</f>
        <v>#REF!</v>
      </c>
    </row>
    <row r="235" spans="3:41" x14ac:dyDescent="0.25">
      <c r="D235" s="359"/>
      <c r="E235" s="360"/>
      <c r="F235" s="361"/>
      <c r="G235" s="362"/>
      <c r="H235" s="362"/>
      <c r="I235" s="362"/>
      <c r="J235" s="362"/>
      <c r="K235" s="102"/>
      <c r="L235" s="102"/>
      <c r="M235" s="173" t="s">
        <v>524</v>
      </c>
      <c r="N235" s="102"/>
      <c r="O235" s="102"/>
      <c r="P235" s="102"/>
      <c r="Q235" s="102"/>
      <c r="R235" s="102"/>
      <c r="S235" s="102"/>
      <c r="T235" s="363"/>
      <c r="U235" s="102"/>
      <c r="V235" s="102"/>
      <c r="W235" s="363"/>
      <c r="X235" s="102"/>
      <c r="Y235" s="102"/>
      <c r="Z235" s="363"/>
      <c r="AA235" s="102"/>
      <c r="AB235" s="102"/>
      <c r="AC235" s="363"/>
      <c r="AD235" s="102"/>
      <c r="AE235" s="102"/>
      <c r="AF235" s="363"/>
      <c r="AG235" s="363"/>
      <c r="AH235" s="102"/>
      <c r="AI235" s="363"/>
      <c r="AJ235" s="364"/>
    </row>
  </sheetData>
  <mergeCells count="11">
    <mergeCell ref="C1:D1"/>
    <mergeCell ref="C3:D3"/>
    <mergeCell ref="AH47:AH48"/>
    <mergeCell ref="AI47:AI48"/>
    <mergeCell ref="AH78:AH79"/>
    <mergeCell ref="AI78:AI79"/>
    <mergeCell ref="C105:D105"/>
    <mergeCell ref="C106:D106"/>
    <mergeCell ref="AH196:AH197"/>
    <mergeCell ref="AI196:AI197"/>
    <mergeCell ref="AJ196:AJ197"/>
  </mergeCells>
  <conditionalFormatting sqref="Q234">
    <cfRule type="cellIs" dxfId="13" priority="14" operator="lessThan">
      <formula>0</formula>
    </cfRule>
  </conditionalFormatting>
  <conditionalFormatting sqref="G234">
    <cfRule type="cellIs" dxfId="12" priority="13" operator="lessThan">
      <formula>0</formula>
    </cfRule>
  </conditionalFormatting>
  <conditionalFormatting sqref="H234">
    <cfRule type="cellIs" dxfId="11" priority="12" operator="lessThan">
      <formula>0</formula>
    </cfRule>
  </conditionalFormatting>
  <conditionalFormatting sqref="R234">
    <cfRule type="cellIs" dxfId="10" priority="11" operator="lessThan">
      <formula>0</formula>
    </cfRule>
  </conditionalFormatting>
  <conditionalFormatting sqref="S234">
    <cfRule type="cellIs" dxfId="9" priority="10" operator="lessThan">
      <formula>0</formula>
    </cfRule>
  </conditionalFormatting>
  <conditionalFormatting sqref="I234:J234">
    <cfRule type="cellIs" dxfId="8" priority="9" operator="lessThan">
      <formula>0</formula>
    </cfRule>
  </conditionalFormatting>
  <conditionalFormatting sqref="U234">
    <cfRule type="cellIs" dxfId="7" priority="8" operator="lessThan">
      <formula>0</formula>
    </cfRule>
  </conditionalFormatting>
  <conditionalFormatting sqref="V234">
    <cfRule type="cellIs" dxfId="6" priority="7" operator="lessThan">
      <formula>0</formula>
    </cfRule>
  </conditionalFormatting>
  <conditionalFormatting sqref="X234">
    <cfRule type="cellIs" dxfId="5" priority="6" operator="lessThan">
      <formula>0</formula>
    </cfRule>
  </conditionalFormatting>
  <conditionalFormatting sqref="Y234">
    <cfRule type="cellIs" dxfId="4" priority="5" operator="lessThan">
      <formula>0</formula>
    </cfRule>
  </conditionalFormatting>
  <conditionalFormatting sqref="AA234">
    <cfRule type="cellIs" dxfId="3" priority="4" operator="lessThan">
      <formula>0</formula>
    </cfRule>
  </conditionalFormatting>
  <conditionalFormatting sqref="AB234">
    <cfRule type="cellIs" dxfId="2" priority="3" operator="lessThan">
      <formula>0</formula>
    </cfRule>
  </conditionalFormatting>
  <conditionalFormatting sqref="AD234">
    <cfRule type="cellIs" dxfId="1" priority="2" operator="lessThan">
      <formula>0</formula>
    </cfRule>
  </conditionalFormatting>
  <conditionalFormatting sqref="AE234">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61" fitToHeight="0" orientation="landscape" r:id="rId1"/>
  <rowBreaks count="5" manualBreakCount="5">
    <brk id="39" min="2" max="28" man="1"/>
    <brk id="72" min="2" max="28" man="1"/>
    <brk id="102" min="2" max="28" man="1"/>
    <brk id="146" min="2" max="28" man="1"/>
    <brk id="206" min="2" max="2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2020.gada budzeta izpilde</vt:lpstr>
      <vt:lpstr>'2020.gada budzeta izpilde'!Print_Area</vt:lpstr>
      <vt:lpstr>'2020.gada budzeta izpilde'!Print_Titles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2020-06-26T09:30:17Z</dcterms:created>
  <dcterms:modified xsi:type="dcterms:W3CDTF">2020-07-06T14:39:13Z</dcterms:modified>
</cp:coreProperties>
</file>