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Jevgenija\Nextcloud\Domes lēmumi un protokoli\2024\04_APRĪLIS\25.04.2024\Dokumentu PROJEKTI\"/>
    </mc:Choice>
  </mc:AlternateContent>
  <xr:revisionPtr revIDLastSave="0" documentId="8_{7F65C057-CA94-46C0-AED6-3EBA6123505C}" xr6:coauthVersionLast="47" xr6:coauthVersionMax="47" xr10:uidLastSave="{00000000-0000-0000-0000-000000000000}"/>
  <bookViews>
    <workbookView xWindow="-120" yWindow="-120" windowWidth="29040" windowHeight="15720" xr2:uid="{BAFB1703-7015-40EC-87E5-79BA7E2AC65F}"/>
  </bookViews>
  <sheets>
    <sheet name="2024.gada budzeta plans_apvieno" sheetId="2" r:id="rId1"/>
    <sheet name="Saistibas_25042024" sheetId="1" r:id="rId2"/>
  </sheets>
  <definedNames>
    <definedName name="_0812">#REF!</definedName>
    <definedName name="_xlnm._FilterDatabase" localSheetId="0" hidden="1">'2024.gada budzeta plans_apvieno'!#REF!</definedName>
    <definedName name="_xlnm._FilterDatabase" localSheetId="1" hidden="1">Saistibas_25042024!$C$5:$AV$138</definedName>
    <definedName name="Apmaksa" localSheetId="0">#REF!</definedName>
    <definedName name="Apmaksa">#REF!</definedName>
    <definedName name="Darijums" localSheetId="0">#REF!</definedName>
    <definedName name="Darijums">#REF!</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#REF!</definedName>
    <definedName name="Parvadataji" localSheetId="0">#REF!</definedName>
    <definedName name="Parvadataji">#REF!</definedName>
    <definedName name="_xlnm.Print_Area" localSheetId="0">'2024.gada budzeta plans_apvieno'!$A$1:$N$298</definedName>
    <definedName name="_xlnm.Print_Titles" localSheetId="0">'2024.gada budzeta plans_apvieno'!$5:$5</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96" i="2" l="1"/>
  <c r="I296" i="2" s="1"/>
  <c r="H295" i="2"/>
  <c r="M294" i="2"/>
  <c r="J294" i="2"/>
  <c r="G294" i="2"/>
  <c r="M293" i="2"/>
  <c r="J293" i="2"/>
  <c r="G293" i="2"/>
  <c r="L292" i="2"/>
  <c r="I292" i="2"/>
  <c r="F292" i="2"/>
  <c r="F291" i="2"/>
  <c r="I291" i="2" s="1"/>
  <c r="L291" i="2" s="1"/>
  <c r="F290" i="2"/>
  <c r="I290" i="2" s="1"/>
  <c r="F288" i="2"/>
  <c r="I288" i="2" s="1"/>
  <c r="F287" i="2"/>
  <c r="G287" i="2" s="1"/>
  <c r="F286" i="2"/>
  <c r="G286" i="2" s="1"/>
  <c r="F285" i="2"/>
  <c r="I285" i="2" s="1"/>
  <c r="F284" i="2"/>
  <c r="F283" i="2"/>
  <c r="G283" i="2" s="1"/>
  <c r="F282" i="2"/>
  <c r="G282" i="2" s="1"/>
  <c r="F281" i="2"/>
  <c r="G281" i="2" s="1"/>
  <c r="F279" i="2"/>
  <c r="I279" i="2" s="1"/>
  <c r="J279" i="2" s="1"/>
  <c r="F278" i="2"/>
  <c r="G278" i="2" s="1"/>
  <c r="I276" i="2"/>
  <c r="G276" i="2"/>
  <c r="F275" i="2"/>
  <c r="G275" i="2" s="1"/>
  <c r="F274" i="2"/>
  <c r="I274" i="2" s="1"/>
  <c r="J274" i="2" s="1"/>
  <c r="F272" i="2"/>
  <c r="G272" i="2" s="1"/>
  <c r="I271" i="2"/>
  <c r="G271" i="2"/>
  <c r="F270" i="2"/>
  <c r="G270" i="2" s="1"/>
  <c r="F269" i="2"/>
  <c r="I269" i="2" s="1"/>
  <c r="F268" i="2"/>
  <c r="I268" i="2" s="1"/>
  <c r="F267" i="2"/>
  <c r="I267" i="2" s="1"/>
  <c r="F266" i="2"/>
  <c r="I266" i="2" s="1"/>
  <c r="I265" i="2"/>
  <c r="L265" i="2" s="1"/>
  <c r="M265" i="2" s="1"/>
  <c r="G265" i="2"/>
  <c r="F264" i="2"/>
  <c r="I264" i="2" s="1"/>
  <c r="F263" i="2"/>
  <c r="I263" i="2" s="1"/>
  <c r="L263" i="2" s="1"/>
  <c r="M263" i="2" s="1"/>
  <c r="F262" i="2"/>
  <c r="F261" i="2"/>
  <c r="I261" i="2" s="1"/>
  <c r="J261" i="2" s="1"/>
  <c r="H259" i="2"/>
  <c r="F258" i="2"/>
  <c r="F257" i="2"/>
  <c r="I257" i="2" s="1"/>
  <c r="F256" i="2"/>
  <c r="F255" i="2"/>
  <c r="I255" i="2" s="1"/>
  <c r="F254" i="2"/>
  <c r="I254" i="2" s="1"/>
  <c r="F253" i="2"/>
  <c r="I253" i="2" s="1"/>
  <c r="F252" i="2"/>
  <c r="G252" i="2" s="1"/>
  <c r="I251" i="2"/>
  <c r="L251" i="2" s="1"/>
  <c r="M251" i="2" s="1"/>
  <c r="G251" i="2"/>
  <c r="F250" i="2"/>
  <c r="G250" i="2"/>
  <c r="F249" i="2"/>
  <c r="I249" i="2" s="1"/>
  <c r="F246" i="2"/>
  <c r="F245" i="2"/>
  <c r="I245" i="2" s="1"/>
  <c r="F244" i="2"/>
  <c r="F242" i="2"/>
  <c r="I242" i="2" s="1"/>
  <c r="F241" i="2"/>
  <c r="G241" i="2" s="1"/>
  <c r="F240" i="2"/>
  <c r="I240" i="2" s="1"/>
  <c r="L240" i="2" s="1"/>
  <c r="M240" i="2" s="1"/>
  <c r="F238" i="2"/>
  <c r="F237" i="2"/>
  <c r="F236" i="2"/>
  <c r="I236" i="2" s="1"/>
  <c r="I234" i="2"/>
  <c r="J234" i="2" s="1"/>
  <c r="G234" i="2"/>
  <c r="F233" i="2"/>
  <c r="F232" i="2"/>
  <c r="G232" i="2" s="1"/>
  <c r="I230" i="2"/>
  <c r="G230" i="2"/>
  <c r="F229" i="2"/>
  <c r="F228" i="2"/>
  <c r="G228" i="2" s="1"/>
  <c r="F226" i="2"/>
  <c r="F224" i="2"/>
  <c r="G224" i="2" s="1"/>
  <c r="F223" i="2"/>
  <c r="G223" i="2" s="1"/>
  <c r="F222" i="2"/>
  <c r="G222" i="2" s="1"/>
  <c r="F221" i="2"/>
  <c r="I221" i="2" s="1"/>
  <c r="L221" i="2" s="1"/>
  <c r="F220" i="2"/>
  <c r="F219" i="2"/>
  <c r="I219" i="2" s="1"/>
  <c r="F218" i="2"/>
  <c r="F217" i="2"/>
  <c r="I217" i="2" s="1"/>
  <c r="F215" i="2"/>
  <c r="I215" i="2" s="1"/>
  <c r="F214" i="2"/>
  <c r="G214" i="2" s="1"/>
  <c r="F212" i="2"/>
  <c r="I212" i="2" s="1"/>
  <c r="F211" i="2"/>
  <c r="I211" i="2" s="1"/>
  <c r="L211" i="2" s="1"/>
  <c r="F210" i="2"/>
  <c r="I210" i="2" s="1"/>
  <c r="L210" i="2" s="1"/>
  <c r="F209" i="2"/>
  <c r="F208" i="2"/>
  <c r="F205" i="2"/>
  <c r="I205" i="2" s="1"/>
  <c r="F204" i="2"/>
  <c r="I204" i="2" s="1"/>
  <c r="I203" i="2"/>
  <c r="G203" i="2"/>
  <c r="F202" i="2"/>
  <c r="F200" i="2"/>
  <c r="I200" i="2" s="1"/>
  <c r="F199" i="2"/>
  <c r="I199" i="2" s="1"/>
  <c r="F198" i="2"/>
  <c r="I198" i="2" s="1"/>
  <c r="F197" i="2"/>
  <c r="I197" i="2" s="1"/>
  <c r="J197" i="2" s="1"/>
  <c r="F196" i="2"/>
  <c r="I196" i="2" s="1"/>
  <c r="J196" i="2" s="1"/>
  <c r="F195" i="2"/>
  <c r="I195" i="2" s="1"/>
  <c r="J195" i="2" s="1"/>
  <c r="F194" i="2"/>
  <c r="I194" i="2" s="1"/>
  <c r="J194" i="2" s="1"/>
  <c r="F193" i="2"/>
  <c r="I193" i="2" s="1"/>
  <c r="J193" i="2" s="1"/>
  <c r="H192" i="2"/>
  <c r="F190" i="2"/>
  <c r="F189" i="2"/>
  <c r="I189" i="2" s="1"/>
  <c r="F188" i="2"/>
  <c r="G188" i="2" s="1"/>
  <c r="F187" i="2"/>
  <c r="I187" i="2" s="1"/>
  <c r="L187" i="2" s="1"/>
  <c r="F186" i="2"/>
  <c r="G186" i="2" s="1"/>
  <c r="F185" i="2"/>
  <c r="I185" i="2" s="1"/>
  <c r="J185" i="2" s="1"/>
  <c r="F184" i="2"/>
  <c r="I184" i="2" s="1"/>
  <c r="L183" i="2"/>
  <c r="M183" i="2" s="1"/>
  <c r="J183" i="2"/>
  <c r="F182" i="2"/>
  <c r="I182" i="2" s="1"/>
  <c r="F181" i="2"/>
  <c r="G181" i="2" s="1"/>
  <c r="F180" i="2"/>
  <c r="F179" i="2"/>
  <c r="G179" i="2" s="1"/>
  <c r="F178" i="2"/>
  <c r="I178" i="2" s="1"/>
  <c r="J178" i="2" s="1"/>
  <c r="F176" i="2"/>
  <c r="I176" i="2" s="1"/>
  <c r="L176" i="2" s="1"/>
  <c r="F175" i="2"/>
  <c r="I175" i="2" s="1"/>
  <c r="L175" i="2" s="1"/>
  <c r="M175" i="2" s="1"/>
  <c r="F174" i="2"/>
  <c r="F173" i="2"/>
  <c r="I173" i="2" s="1"/>
  <c r="M171" i="2"/>
  <c r="F171" i="2"/>
  <c r="J171" i="2" s="1"/>
  <c r="M170" i="2"/>
  <c r="F170" i="2"/>
  <c r="J170" i="2" s="1"/>
  <c r="M169" i="2"/>
  <c r="F169" i="2"/>
  <c r="J169" i="2" s="1"/>
  <c r="F168" i="2"/>
  <c r="I168" i="2" s="1"/>
  <c r="F167" i="2"/>
  <c r="I167" i="2" s="1"/>
  <c r="L167" i="2" s="1"/>
  <c r="M167" i="2" s="1"/>
  <c r="F166" i="2"/>
  <c r="G166" i="2" s="1"/>
  <c r="F165" i="2"/>
  <c r="F164" i="2"/>
  <c r="F163" i="2"/>
  <c r="I163" i="2" s="1"/>
  <c r="L163" i="2" s="1"/>
  <c r="M163" i="2" s="1"/>
  <c r="F162" i="2"/>
  <c r="I162" i="2" s="1"/>
  <c r="F161" i="2"/>
  <c r="G161" i="2" s="1"/>
  <c r="F160" i="2"/>
  <c r="G160" i="2" s="1"/>
  <c r="F159" i="2"/>
  <c r="G159" i="2" s="1"/>
  <c r="F158" i="2"/>
  <c r="G158" i="2" s="1"/>
  <c r="F157" i="2"/>
  <c r="G157" i="2" s="1"/>
  <c r="F156" i="2"/>
  <c r="I156" i="2" s="1"/>
  <c r="F155" i="2"/>
  <c r="F153" i="2"/>
  <c r="I153" i="2" s="1"/>
  <c r="L153" i="2" s="1"/>
  <c r="F152" i="2"/>
  <c r="I152" i="2" s="1"/>
  <c r="F151" i="2"/>
  <c r="G151" i="2" s="1"/>
  <c r="F149" i="2"/>
  <c r="G149" i="2" s="1"/>
  <c r="F147" i="2"/>
  <c r="I147" i="2" s="1"/>
  <c r="F146" i="2"/>
  <c r="I146" i="2" s="1"/>
  <c r="F145" i="2"/>
  <c r="I145" i="2" s="1"/>
  <c r="L145" i="2" s="1"/>
  <c r="F142" i="2"/>
  <c r="I142" i="2" s="1"/>
  <c r="L142" i="2" s="1"/>
  <c r="F141" i="2"/>
  <c r="G141" i="2" s="1"/>
  <c r="F140" i="2"/>
  <c r="G140" i="2" s="1"/>
  <c r="F139" i="2"/>
  <c r="I139" i="2" s="1"/>
  <c r="F138" i="2"/>
  <c r="F137" i="2"/>
  <c r="I137" i="2" s="1"/>
  <c r="F136" i="2"/>
  <c r="I136" i="2" s="1"/>
  <c r="L136" i="2" s="1"/>
  <c r="F135" i="2"/>
  <c r="G135" i="2" s="1"/>
  <c r="F134" i="2"/>
  <c r="I134" i="2" s="1"/>
  <c r="J134" i="2" s="1"/>
  <c r="F133" i="2"/>
  <c r="F132" i="2"/>
  <c r="I132" i="2" s="1"/>
  <c r="F131" i="2"/>
  <c r="I131" i="2" s="1"/>
  <c r="J131" i="2" s="1"/>
  <c r="F123" i="2"/>
  <c r="I123" i="2" s="1"/>
  <c r="J123" i="2" s="1"/>
  <c r="F122" i="2"/>
  <c r="I122" i="2" s="1"/>
  <c r="J122" i="2" s="1"/>
  <c r="F121" i="2"/>
  <c r="G121" i="2" s="1"/>
  <c r="F120" i="2"/>
  <c r="G120" i="2" s="1"/>
  <c r="F119" i="2"/>
  <c r="F118" i="2"/>
  <c r="G118" i="2" s="1"/>
  <c r="F117" i="2"/>
  <c r="I117" i="2" s="1"/>
  <c r="F116" i="2"/>
  <c r="I116" i="2" s="1"/>
  <c r="J116" i="2" s="1"/>
  <c r="F115" i="2"/>
  <c r="G115" i="2" s="1"/>
  <c r="F114" i="2"/>
  <c r="I114" i="2" s="1"/>
  <c r="L114" i="2" s="1"/>
  <c r="F113" i="2"/>
  <c r="G113" i="2" s="1"/>
  <c r="F112" i="2"/>
  <c r="G112" i="2" s="1"/>
  <c r="F109" i="2"/>
  <c r="I109" i="2" s="1"/>
  <c r="F106" i="2"/>
  <c r="I106" i="2" s="1"/>
  <c r="F105" i="2"/>
  <c r="I105" i="2" s="1"/>
  <c r="J105" i="2" s="1"/>
  <c r="F104" i="2"/>
  <c r="I104" i="2" s="1"/>
  <c r="L104" i="2" s="1"/>
  <c r="F103" i="2"/>
  <c r="I103" i="2" s="1"/>
  <c r="J103" i="2" s="1"/>
  <c r="F101" i="2"/>
  <c r="I101" i="2" s="1"/>
  <c r="F100" i="2"/>
  <c r="F99" i="2"/>
  <c r="I99" i="2" s="1"/>
  <c r="F97" i="2"/>
  <c r="I97" i="2" s="1"/>
  <c r="M96" i="2"/>
  <c r="J96" i="2"/>
  <c r="G96" i="2"/>
  <c r="F94" i="2"/>
  <c r="I94" i="2" s="1"/>
  <c r="F93" i="2"/>
  <c r="F90" i="2"/>
  <c r="F89" i="2"/>
  <c r="G89" i="2" s="1"/>
  <c r="F87" i="2"/>
  <c r="G87" i="2" s="1"/>
  <c r="F86" i="2"/>
  <c r="G86" i="2" s="1"/>
  <c r="F85" i="2"/>
  <c r="I85" i="2" s="1"/>
  <c r="F84" i="2"/>
  <c r="G84" i="2" s="1"/>
  <c r="F83" i="2"/>
  <c r="G83" i="2" s="1"/>
  <c r="F82" i="2"/>
  <c r="F81" i="2"/>
  <c r="F80" i="2"/>
  <c r="I80" i="2" s="1"/>
  <c r="F79" i="2"/>
  <c r="F78" i="2"/>
  <c r="G78" i="2" s="1"/>
  <c r="F77" i="2"/>
  <c r="F76" i="2"/>
  <c r="I76" i="2" s="1"/>
  <c r="G75" i="2"/>
  <c r="F75" i="2"/>
  <c r="I75" i="2" s="1"/>
  <c r="F74" i="2"/>
  <c r="I74" i="2" s="1"/>
  <c r="F73" i="2"/>
  <c r="I73" i="2" s="1"/>
  <c r="F72" i="2"/>
  <c r="I72" i="2" s="1"/>
  <c r="L72" i="2" s="1"/>
  <c r="M72" i="2" s="1"/>
  <c r="F71" i="2"/>
  <c r="I71" i="2" s="1"/>
  <c r="L71" i="2" s="1"/>
  <c r="M71" i="2" s="1"/>
  <c r="F70" i="2"/>
  <c r="I70" i="2" s="1"/>
  <c r="L70" i="2" s="1"/>
  <c r="M70" i="2" s="1"/>
  <c r="F69" i="2"/>
  <c r="I69" i="2" s="1"/>
  <c r="F68" i="2"/>
  <c r="I68" i="2" s="1"/>
  <c r="F67" i="2"/>
  <c r="G67" i="2" s="1"/>
  <c r="F65" i="2"/>
  <c r="I65" i="2" s="1"/>
  <c r="L65" i="2" s="1"/>
  <c r="F64" i="2"/>
  <c r="I64" i="2" s="1"/>
  <c r="L64" i="2" s="1"/>
  <c r="F63" i="2"/>
  <c r="I63" i="2" s="1"/>
  <c r="F62" i="2"/>
  <c r="I62" i="2" s="1"/>
  <c r="L62" i="2" s="1"/>
  <c r="F61" i="2"/>
  <c r="I61" i="2" s="1"/>
  <c r="F60" i="2"/>
  <c r="I60" i="2" s="1"/>
  <c r="J60" i="2" s="1"/>
  <c r="M59" i="2"/>
  <c r="J59" i="2"/>
  <c r="G59" i="2"/>
  <c r="F58" i="2"/>
  <c r="I58" i="2" s="1"/>
  <c r="F57" i="2"/>
  <c r="F56" i="2"/>
  <c r="I56" i="2" s="1"/>
  <c r="L56" i="2" s="1"/>
  <c r="F55" i="2"/>
  <c r="I55" i="2" s="1"/>
  <c r="F54" i="2"/>
  <c r="I54" i="2" s="1"/>
  <c r="F53" i="2"/>
  <c r="I53" i="2" s="1"/>
  <c r="L53" i="2" s="1"/>
  <c r="F52" i="2"/>
  <c r="I52" i="2" s="1"/>
  <c r="F51" i="2"/>
  <c r="L49" i="2"/>
  <c r="J49" i="2"/>
  <c r="G49" i="2"/>
  <c r="M48" i="2"/>
  <c r="J48" i="2"/>
  <c r="I48" i="2"/>
  <c r="L48" i="2" s="1"/>
  <c r="G48" i="2"/>
  <c r="I47" i="2"/>
  <c r="F47" i="2"/>
  <c r="F46" i="2"/>
  <c r="I46" i="2" s="1"/>
  <c r="F45" i="2"/>
  <c r="F44" i="2"/>
  <c r="I44" i="2" s="1"/>
  <c r="J44" i="2" s="1"/>
  <c r="F41" i="2"/>
  <c r="F40" i="2"/>
  <c r="F39" i="2"/>
  <c r="F38" i="2"/>
  <c r="I38" i="2" s="1"/>
  <c r="L38" i="2" s="1"/>
  <c r="F36" i="2"/>
  <c r="I36" i="2" s="1"/>
  <c r="F35" i="2"/>
  <c r="F33" i="2"/>
  <c r="I33" i="2" s="1"/>
  <c r="L33" i="2" s="1"/>
  <c r="M33" i="2" s="1"/>
  <c r="F32" i="2"/>
  <c r="I32" i="2" s="1"/>
  <c r="L32" i="2" s="1"/>
  <c r="F31" i="2"/>
  <c r="G31" i="2" s="1"/>
  <c r="F30" i="2"/>
  <c r="F29" i="2"/>
  <c r="F28" i="2"/>
  <c r="I28" i="2" s="1"/>
  <c r="F26" i="2"/>
  <c r="I26" i="2" s="1"/>
  <c r="F25" i="2"/>
  <c r="F24" i="2"/>
  <c r="I24" i="2" s="1"/>
  <c r="F21" i="2"/>
  <c r="I21" i="2" s="1"/>
  <c r="F20" i="2"/>
  <c r="I20" i="2" s="1"/>
  <c r="L20" i="2" s="1"/>
  <c r="M20" i="2" s="1"/>
  <c r="F18" i="2"/>
  <c r="I18" i="2" s="1"/>
  <c r="L18" i="2" s="1"/>
  <c r="F17" i="2"/>
  <c r="G17" i="2" s="1"/>
  <c r="F15" i="2"/>
  <c r="I15" i="2" s="1"/>
  <c r="F14" i="2"/>
  <c r="G14" i="2" s="1"/>
  <c r="F12" i="2"/>
  <c r="I12" i="2" s="1"/>
  <c r="F11" i="2"/>
  <c r="F8" i="2"/>
  <c r="G8" i="2" s="1"/>
  <c r="G266" i="2" l="1"/>
  <c r="J47" i="2"/>
  <c r="M292" i="2"/>
  <c r="I144" i="2"/>
  <c r="G249" i="2"/>
  <c r="G58" i="2"/>
  <c r="G170" i="2"/>
  <c r="G26" i="2"/>
  <c r="F248" i="2"/>
  <c r="G193" i="2"/>
  <c r="F50" i="2"/>
  <c r="G210" i="2"/>
  <c r="I223" i="2"/>
  <c r="L223" i="2" s="1"/>
  <c r="F98" i="2"/>
  <c r="G98" i="2" s="1"/>
  <c r="G263" i="2"/>
  <c r="G162" i="2"/>
  <c r="I181" i="2"/>
  <c r="J142" i="2"/>
  <c r="G204" i="2"/>
  <c r="J251" i="2"/>
  <c r="L60" i="2"/>
  <c r="G245" i="2"/>
  <c r="G145" i="2"/>
  <c r="I166" i="2"/>
  <c r="L166" i="2" s="1"/>
  <c r="M166" i="2" s="1"/>
  <c r="L195" i="2"/>
  <c r="M195" i="2" s="1"/>
  <c r="G61" i="2"/>
  <c r="G97" i="2"/>
  <c r="I159" i="2"/>
  <c r="J159" i="2" s="1"/>
  <c r="I143" i="2"/>
  <c r="L47" i="2"/>
  <c r="M47" i="2" s="1"/>
  <c r="I87" i="2"/>
  <c r="J87" i="2" s="1"/>
  <c r="I161" i="2"/>
  <c r="J223" i="2"/>
  <c r="G254" i="2"/>
  <c r="I275" i="2"/>
  <c r="I179" i="2"/>
  <c r="J179" i="2" s="1"/>
  <c r="I250" i="2"/>
  <c r="J173" i="2"/>
  <c r="L173" i="2"/>
  <c r="M173" i="2" s="1"/>
  <c r="L162" i="2"/>
  <c r="M162" i="2" s="1"/>
  <c r="J162" i="2"/>
  <c r="J70" i="2"/>
  <c r="G168" i="2"/>
  <c r="G268" i="2"/>
  <c r="G288" i="2"/>
  <c r="G132" i="2"/>
  <c r="I141" i="2"/>
  <c r="I281" i="2"/>
  <c r="I280" i="2" s="1"/>
  <c r="F289" i="2"/>
  <c r="G289" i="2" s="1"/>
  <c r="I8" i="2"/>
  <c r="I7" i="2" s="1"/>
  <c r="G28" i="2"/>
  <c r="G63" i="2"/>
  <c r="L116" i="2"/>
  <c r="M116" i="2" s="1"/>
  <c r="G122" i="2"/>
  <c r="G195" i="2"/>
  <c r="M210" i="2"/>
  <c r="J114" i="2"/>
  <c r="L199" i="2"/>
  <c r="M199" i="2" s="1"/>
  <c r="L276" i="2"/>
  <c r="M276" i="2" s="1"/>
  <c r="I282" i="2"/>
  <c r="G173" i="2"/>
  <c r="G46" i="2"/>
  <c r="M65" i="2"/>
  <c r="G74" i="2"/>
  <c r="I112" i="2"/>
  <c r="L112" i="2" s="1"/>
  <c r="I135" i="2"/>
  <c r="J135" i="2" s="1"/>
  <c r="G163" i="2"/>
  <c r="G189" i="2"/>
  <c r="L203" i="2"/>
  <c r="M203" i="2" s="1"/>
  <c r="I232" i="2"/>
  <c r="G261" i="2"/>
  <c r="J265" i="2"/>
  <c r="F277" i="2"/>
  <c r="G277" i="2" s="1"/>
  <c r="G290" i="2"/>
  <c r="G21" i="2"/>
  <c r="I31" i="2"/>
  <c r="L31" i="2" s="1"/>
  <c r="G101" i="2"/>
  <c r="I118" i="2"/>
  <c r="J118" i="2" s="1"/>
  <c r="F273" i="2"/>
  <c r="G273" i="2" s="1"/>
  <c r="J292" i="2"/>
  <c r="G54" i="2"/>
  <c r="I278" i="2"/>
  <c r="G285" i="2"/>
  <c r="G114" i="2"/>
  <c r="G156" i="2"/>
  <c r="G199" i="2"/>
  <c r="G255" i="2"/>
  <c r="I95" i="2"/>
  <c r="J95" i="2" s="1"/>
  <c r="J97" i="2"/>
  <c r="L97" i="2"/>
  <c r="J156" i="2"/>
  <c r="L156" i="2"/>
  <c r="L215" i="2"/>
  <c r="J215" i="2"/>
  <c r="L236" i="2"/>
  <c r="M236" i="2" s="1"/>
  <c r="J236" i="2"/>
  <c r="J63" i="2"/>
  <c r="L63" i="2"/>
  <c r="M63" i="2" s="1"/>
  <c r="L184" i="2"/>
  <c r="J204" i="2"/>
  <c r="L204" i="2"/>
  <c r="M204" i="2" s="1"/>
  <c r="L253" i="2"/>
  <c r="J253" i="2"/>
  <c r="L255" i="2"/>
  <c r="J255" i="2"/>
  <c r="J189" i="2"/>
  <c r="L189" i="2"/>
  <c r="L68" i="2"/>
  <c r="M68" i="2" s="1"/>
  <c r="J212" i="2"/>
  <c r="L212" i="2"/>
  <c r="J94" i="2"/>
  <c r="L217" i="2"/>
  <c r="J217" i="2"/>
  <c r="L254" i="2"/>
  <c r="J254" i="2"/>
  <c r="L182" i="2"/>
  <c r="J182" i="2"/>
  <c r="I241" i="2"/>
  <c r="I252" i="2"/>
  <c r="J252" i="2" s="1"/>
  <c r="L44" i="2"/>
  <c r="M44" i="2" s="1"/>
  <c r="G68" i="2"/>
  <c r="F95" i="2"/>
  <c r="G95" i="2" s="1"/>
  <c r="J136" i="2"/>
  <c r="G169" i="2"/>
  <c r="G176" i="2"/>
  <c r="G182" i="2"/>
  <c r="G184" i="2"/>
  <c r="I186" i="2"/>
  <c r="J186" i="2" s="1"/>
  <c r="L193" i="2"/>
  <c r="J199" i="2"/>
  <c r="I84" i="2"/>
  <c r="G94" i="2"/>
  <c r="F111" i="2"/>
  <c r="G111" i="2" s="1"/>
  <c r="I120" i="2"/>
  <c r="G197" i="2"/>
  <c r="G221" i="2"/>
  <c r="M223" i="2"/>
  <c r="G269" i="2"/>
  <c r="L278" i="2"/>
  <c r="M278" i="2" s="1"/>
  <c r="F280" i="2"/>
  <c r="G55" i="2"/>
  <c r="G64" i="2"/>
  <c r="G72" i="2"/>
  <c r="M114" i="2"/>
  <c r="G117" i="2"/>
  <c r="M187" i="2"/>
  <c r="G205" i="2"/>
  <c r="G211" i="2"/>
  <c r="G215" i="2"/>
  <c r="G274" i="2"/>
  <c r="G12" i="2"/>
  <c r="G32" i="2"/>
  <c r="G62" i="2"/>
  <c r="J64" i="2"/>
  <c r="G99" i="2"/>
  <c r="L105" i="2"/>
  <c r="M105" i="2" s="1"/>
  <c r="G131" i="2"/>
  <c r="I160" i="2"/>
  <c r="G167" i="2"/>
  <c r="G194" i="2"/>
  <c r="G217" i="2"/>
  <c r="G240" i="2"/>
  <c r="G242" i="2"/>
  <c r="G253" i="2"/>
  <c r="I283" i="2"/>
  <c r="G69" i="2"/>
  <c r="G85" i="2"/>
  <c r="G109" i="2"/>
  <c r="I121" i="2"/>
  <c r="G134" i="2"/>
  <c r="G152" i="2"/>
  <c r="G196" i="2"/>
  <c r="G200" i="2"/>
  <c r="I224" i="2"/>
  <c r="I286" i="2"/>
  <c r="L286" i="2" s="1"/>
  <c r="G15" i="2"/>
  <c r="G52" i="2"/>
  <c r="F66" i="2"/>
  <c r="G66" i="2" s="1"/>
  <c r="G73" i="2"/>
  <c r="F102" i="2"/>
  <c r="G102" i="2" s="1"/>
  <c r="L109" i="2"/>
  <c r="I149" i="2"/>
  <c r="I157" i="2"/>
  <c r="J157" i="2" s="1"/>
  <c r="J175" i="2"/>
  <c r="G185" i="2"/>
  <c r="L196" i="2"/>
  <c r="G198" i="2"/>
  <c r="G236" i="2"/>
  <c r="G267" i="2"/>
  <c r="L185" i="2"/>
  <c r="G212" i="2"/>
  <c r="I228" i="2"/>
  <c r="J15" i="2"/>
  <c r="J65" i="2"/>
  <c r="I67" i="2"/>
  <c r="J67" i="2" s="1"/>
  <c r="G70" i="2"/>
  <c r="I86" i="2"/>
  <c r="I115" i="2"/>
  <c r="J115" i="2" s="1"/>
  <c r="G139" i="2"/>
  <c r="I188" i="2"/>
  <c r="I222" i="2"/>
  <c r="L222" i="2" s="1"/>
  <c r="G257" i="2"/>
  <c r="G296" i="2"/>
  <c r="I83" i="2"/>
  <c r="L83" i="2" s="1"/>
  <c r="I158" i="2"/>
  <c r="L158" i="2" s="1"/>
  <c r="F239" i="2"/>
  <c r="G239" i="2" s="1"/>
  <c r="I272" i="2"/>
  <c r="I287" i="2"/>
  <c r="G11" i="2"/>
  <c r="F10" i="2"/>
  <c r="I11" i="2"/>
  <c r="M38" i="2"/>
  <c r="L36" i="2"/>
  <c r="J36" i="2"/>
  <c r="L24" i="2"/>
  <c r="J24" i="2"/>
  <c r="I45" i="2"/>
  <c r="G45" i="2"/>
  <c r="M32" i="2"/>
  <c r="G47" i="2"/>
  <c r="L55" i="2"/>
  <c r="J55" i="2"/>
  <c r="L74" i="2"/>
  <c r="M74" i="2" s="1"/>
  <c r="J74" i="2"/>
  <c r="G79" i="2"/>
  <c r="I79" i="2"/>
  <c r="J85" i="2"/>
  <c r="L85" i="2"/>
  <c r="I25" i="2"/>
  <c r="I23" i="2" s="1"/>
  <c r="G25" i="2"/>
  <c r="L54" i="2"/>
  <c r="J54" i="2"/>
  <c r="L61" i="2"/>
  <c r="J61" i="2"/>
  <c r="L26" i="2"/>
  <c r="J26" i="2"/>
  <c r="L73" i="2"/>
  <c r="M73" i="2" s="1"/>
  <c r="J73" i="2"/>
  <c r="L8" i="2"/>
  <c r="G30" i="2"/>
  <c r="I30" i="2"/>
  <c r="J8" i="2"/>
  <c r="I77" i="2"/>
  <c r="G77" i="2"/>
  <c r="M64" i="2"/>
  <c r="M60" i="2"/>
  <c r="I29" i="2"/>
  <c r="G29" i="2"/>
  <c r="F27" i="2"/>
  <c r="G27" i="2" s="1"/>
  <c r="M62" i="2"/>
  <c r="G93" i="2"/>
  <c r="I93" i="2"/>
  <c r="F92" i="2"/>
  <c r="G35" i="2"/>
  <c r="F34" i="2"/>
  <c r="G34" i="2" s="1"/>
  <c r="I35" i="2"/>
  <c r="J76" i="2"/>
  <c r="L76" i="2"/>
  <c r="L120" i="2"/>
  <c r="J120" i="2"/>
  <c r="J132" i="2"/>
  <c r="L132" i="2"/>
  <c r="I17" i="2"/>
  <c r="J33" i="2"/>
  <c r="I40" i="2"/>
  <c r="G40" i="2"/>
  <c r="M56" i="2"/>
  <c r="J69" i="2"/>
  <c r="G71" i="2"/>
  <c r="L80" i="2"/>
  <c r="J80" i="2"/>
  <c r="I89" i="2"/>
  <c r="I100" i="2"/>
  <c r="G100" i="2"/>
  <c r="I113" i="2"/>
  <c r="M185" i="2"/>
  <c r="J20" i="2"/>
  <c r="M49" i="2"/>
  <c r="L69" i="2"/>
  <c r="J71" i="2"/>
  <c r="L115" i="2"/>
  <c r="L118" i="2"/>
  <c r="L121" i="2"/>
  <c r="L249" i="2"/>
  <c r="I248" i="2"/>
  <c r="J249" i="2"/>
  <c r="I19" i="2"/>
  <c r="I51" i="2"/>
  <c r="G51" i="2"/>
  <c r="G53" i="2"/>
  <c r="I90" i="2"/>
  <c r="G90" i="2"/>
  <c r="L139" i="2"/>
  <c r="J139" i="2"/>
  <c r="I140" i="2"/>
  <c r="L15" i="2"/>
  <c r="M53" i="2"/>
  <c r="F16" i="2"/>
  <c r="G16" i="2" s="1"/>
  <c r="I14" i="2"/>
  <c r="G18" i="2"/>
  <c r="J32" i="2"/>
  <c r="G36" i="2"/>
  <c r="J53" i="2"/>
  <c r="I57" i="2"/>
  <c r="G57" i="2"/>
  <c r="J72" i="2"/>
  <c r="L75" i="2"/>
  <c r="M75" i="2" s="1"/>
  <c r="J75" i="2"/>
  <c r="I78" i="2"/>
  <c r="J101" i="2"/>
  <c r="L101" i="2"/>
  <c r="L146" i="2"/>
  <c r="L144" i="2" s="1"/>
  <c r="J146" i="2"/>
  <c r="G155" i="2"/>
  <c r="F154" i="2"/>
  <c r="I155" i="2"/>
  <c r="M145" i="2"/>
  <c r="G246" i="2"/>
  <c r="I246" i="2"/>
  <c r="M18" i="2"/>
  <c r="L28" i="2"/>
  <c r="J28" i="2"/>
  <c r="L12" i="2"/>
  <c r="J12" i="2"/>
  <c r="F13" i="2"/>
  <c r="G13" i="2" s="1"/>
  <c r="J18" i="2"/>
  <c r="L21" i="2"/>
  <c r="J21" i="2"/>
  <c r="I39" i="2"/>
  <c r="G39" i="2"/>
  <c r="F37" i="2"/>
  <c r="G37" i="2" s="1"/>
  <c r="I41" i="2"/>
  <c r="G41" i="2"/>
  <c r="J68" i="2"/>
  <c r="I119" i="2"/>
  <c r="G119" i="2"/>
  <c r="J153" i="2"/>
  <c r="L84" i="2"/>
  <c r="J84" i="2"/>
  <c r="M153" i="2"/>
  <c r="F7" i="2"/>
  <c r="F88" i="2"/>
  <c r="G88" i="2" s="1"/>
  <c r="L46" i="2"/>
  <c r="J46" i="2"/>
  <c r="J62" i="2"/>
  <c r="L106" i="2"/>
  <c r="J106" i="2"/>
  <c r="M112" i="2"/>
  <c r="L117" i="2"/>
  <c r="J117" i="2"/>
  <c r="L134" i="2"/>
  <c r="G24" i="2"/>
  <c r="F23" i="2"/>
  <c r="G50" i="2"/>
  <c r="F43" i="2"/>
  <c r="L52" i="2"/>
  <c r="J52" i="2"/>
  <c r="I82" i="2"/>
  <c r="G82" i="2"/>
  <c r="J137" i="2"/>
  <c r="G180" i="2"/>
  <c r="I180" i="2"/>
  <c r="J38" i="2"/>
  <c r="J56" i="2"/>
  <c r="L58" i="2"/>
  <c r="J58" i="2"/>
  <c r="L137" i="2"/>
  <c r="J141" i="2"/>
  <c r="L141" i="2"/>
  <c r="M254" i="2"/>
  <c r="L99" i="2"/>
  <c r="J109" i="2"/>
  <c r="I164" i="2"/>
  <c r="G164" i="2"/>
  <c r="I209" i="2"/>
  <c r="G209" i="2"/>
  <c r="J99" i="2"/>
  <c r="L131" i="2"/>
  <c r="G133" i="2"/>
  <c r="F130" i="2"/>
  <c r="M136" i="2"/>
  <c r="I138" i="2"/>
  <c r="G138" i="2"/>
  <c r="M142" i="2"/>
  <c r="I165" i="2"/>
  <c r="G165" i="2"/>
  <c r="J181" i="2"/>
  <c r="M212" i="2"/>
  <c r="G38" i="2"/>
  <c r="G44" i="2"/>
  <c r="G60" i="2"/>
  <c r="J104" i="2"/>
  <c r="J112" i="2"/>
  <c r="I133" i="2"/>
  <c r="L181" i="2"/>
  <c r="L188" i="2"/>
  <c r="F19" i="2"/>
  <c r="G19" i="2" s="1"/>
  <c r="G20" i="2"/>
  <c r="G33" i="2"/>
  <c r="G56" i="2"/>
  <c r="G65" i="2"/>
  <c r="I81" i="2"/>
  <c r="G81" i="2"/>
  <c r="M104" i="2"/>
  <c r="L123" i="2"/>
  <c r="J147" i="2"/>
  <c r="L152" i="2"/>
  <c r="J152" i="2"/>
  <c r="I262" i="2"/>
  <c r="G262" i="2"/>
  <c r="F260" i="2"/>
  <c r="L94" i="2"/>
  <c r="J145" i="2"/>
  <c r="L147" i="2"/>
  <c r="F207" i="2"/>
  <c r="I208" i="2"/>
  <c r="G208" i="2"/>
  <c r="L242" i="2"/>
  <c r="J242" i="2"/>
  <c r="I239" i="2"/>
  <c r="L103" i="2"/>
  <c r="I102" i="2"/>
  <c r="F216" i="2"/>
  <c r="I218" i="2"/>
  <c r="G218" i="2"/>
  <c r="I151" i="2"/>
  <c r="J200" i="2"/>
  <c r="J210" i="2"/>
  <c r="F110" i="2"/>
  <c r="J176" i="2"/>
  <c r="M193" i="2"/>
  <c r="L200" i="2"/>
  <c r="G76" i="2"/>
  <c r="G105" i="2"/>
  <c r="G116" i="2"/>
  <c r="G123" i="2"/>
  <c r="G137" i="2"/>
  <c r="G147" i="2"/>
  <c r="G153" i="2"/>
  <c r="M156" i="2"/>
  <c r="L159" i="2"/>
  <c r="M176" i="2"/>
  <c r="L198" i="2"/>
  <c r="J198" i="2"/>
  <c r="M211" i="2"/>
  <c r="M221" i="2"/>
  <c r="G80" i="2"/>
  <c r="G103" i="2"/>
  <c r="G104" i="2"/>
  <c r="G106" i="2"/>
  <c r="G136" i="2"/>
  <c r="G142" i="2"/>
  <c r="F144" i="2"/>
  <c r="F143" i="2" s="1"/>
  <c r="G143" i="2" s="1"/>
  <c r="G146" i="2"/>
  <c r="G144" i="2" s="1"/>
  <c r="J163" i="2"/>
  <c r="G171" i="2"/>
  <c r="J167" i="2"/>
  <c r="J211" i="2"/>
  <c r="J221" i="2"/>
  <c r="J219" i="2"/>
  <c r="L219" i="2"/>
  <c r="L264" i="2"/>
  <c r="J264" i="2"/>
  <c r="G178" i="2"/>
  <c r="F177" i="2"/>
  <c r="G177" i="2" s="1"/>
  <c r="L205" i="2"/>
  <c r="J205" i="2"/>
  <c r="G219" i="2"/>
  <c r="I226" i="2"/>
  <c r="G226" i="2"/>
  <c r="G264" i="2"/>
  <c r="I174" i="2"/>
  <c r="G174" i="2"/>
  <c r="I260" i="2"/>
  <c r="L267" i="2"/>
  <c r="J267" i="2"/>
  <c r="G248" i="2"/>
  <c r="L288" i="2"/>
  <c r="M288" i="2" s="1"/>
  <c r="J288" i="2"/>
  <c r="L168" i="2"/>
  <c r="M168" i="2" s="1"/>
  <c r="J168" i="2"/>
  <c r="L178" i="2"/>
  <c r="J184" i="2"/>
  <c r="J187" i="2"/>
  <c r="I190" i="2"/>
  <c r="G190" i="2"/>
  <c r="G220" i="2"/>
  <c r="I220" i="2"/>
  <c r="G258" i="2"/>
  <c r="I258" i="2"/>
  <c r="L230" i="2"/>
  <c r="M230" i="2" s="1"/>
  <c r="F247" i="2"/>
  <c r="F192" i="2"/>
  <c r="L194" i="2"/>
  <c r="J203" i="2"/>
  <c r="J230" i="2"/>
  <c r="L257" i="2"/>
  <c r="J257" i="2"/>
  <c r="L261" i="2"/>
  <c r="I270" i="2"/>
  <c r="I192" i="2"/>
  <c r="I202" i="2"/>
  <c r="G202" i="2"/>
  <c r="I233" i="2"/>
  <c r="G233" i="2"/>
  <c r="F231" i="2"/>
  <c r="G231" i="2" s="1"/>
  <c r="I237" i="2"/>
  <c r="G237" i="2"/>
  <c r="F235" i="2"/>
  <c r="G235" i="2" s="1"/>
  <c r="I277" i="2"/>
  <c r="J278" i="2"/>
  <c r="L296" i="2"/>
  <c r="J296" i="2"/>
  <c r="F148" i="2"/>
  <c r="G148" i="2" s="1"/>
  <c r="M215" i="2"/>
  <c r="I229" i="2"/>
  <c r="G229" i="2"/>
  <c r="F227" i="2"/>
  <c r="L266" i="2"/>
  <c r="J266" i="2"/>
  <c r="J275" i="2"/>
  <c r="L290" i="2"/>
  <c r="J290" i="2"/>
  <c r="I289" i="2"/>
  <c r="G175" i="2"/>
  <c r="G187" i="2"/>
  <c r="L241" i="2"/>
  <c r="I256" i="2"/>
  <c r="G256" i="2"/>
  <c r="L269" i="2"/>
  <c r="M269" i="2" s="1"/>
  <c r="J269" i="2"/>
  <c r="L271" i="2"/>
  <c r="M271" i="2" s="1"/>
  <c r="L275" i="2"/>
  <c r="L197" i="2"/>
  <c r="F201" i="2"/>
  <c r="G201" i="2" s="1"/>
  <c r="I214" i="2"/>
  <c r="J241" i="2"/>
  <c r="L245" i="2"/>
  <c r="J245" i="2"/>
  <c r="J271" i="2"/>
  <c r="G280" i="2"/>
  <c r="I284" i="2"/>
  <c r="G284" i="2"/>
  <c r="M291" i="2"/>
  <c r="F213" i="2"/>
  <c r="G213" i="2" s="1"/>
  <c r="J263" i="2"/>
  <c r="I273" i="2"/>
  <c r="L274" i="2"/>
  <c r="L279" i="2"/>
  <c r="J291" i="2"/>
  <c r="L268" i="2"/>
  <c r="J268" i="2"/>
  <c r="L234" i="2"/>
  <c r="M234" i="2" s="1"/>
  <c r="I238" i="2"/>
  <c r="G238" i="2"/>
  <c r="J240" i="2"/>
  <c r="I244" i="2"/>
  <c r="G244" i="2"/>
  <c r="F243" i="2"/>
  <c r="G243" i="2" s="1"/>
  <c r="L285" i="2"/>
  <c r="J285" i="2"/>
  <c r="L287" i="2"/>
  <c r="J287" i="2"/>
  <c r="G291" i="2"/>
  <c r="J276" i="2"/>
  <c r="G292" i="2"/>
  <c r="G279" i="2"/>
  <c r="J281" i="2" l="1"/>
  <c r="J31" i="2"/>
  <c r="J286" i="2"/>
  <c r="L179" i="2"/>
  <c r="M179" i="2" s="1"/>
  <c r="L281" i="2"/>
  <c r="M281" i="2" s="1"/>
  <c r="I177" i="2"/>
  <c r="I172" i="2" s="1"/>
  <c r="J166" i="2"/>
  <c r="L252" i="2"/>
  <c r="L135" i="2"/>
  <c r="M135" i="2" s="1"/>
  <c r="J250" i="2"/>
  <c r="L250" i="2"/>
  <c r="M250" i="2" s="1"/>
  <c r="I130" i="2"/>
  <c r="J130" i="2" s="1"/>
  <c r="L67" i="2"/>
  <c r="I37" i="2"/>
  <c r="J37" i="2" s="1"/>
  <c r="L161" i="2"/>
  <c r="M161" i="2" s="1"/>
  <c r="J161" i="2"/>
  <c r="L87" i="2"/>
  <c r="I27" i="2"/>
  <c r="I22" i="2" s="1"/>
  <c r="M217" i="2"/>
  <c r="M109" i="2"/>
  <c r="J232" i="2"/>
  <c r="J102" i="2"/>
  <c r="J158" i="2"/>
  <c r="J83" i="2"/>
  <c r="L277" i="2"/>
  <c r="M277" i="2" s="1"/>
  <c r="L282" i="2"/>
  <c r="L232" i="2"/>
  <c r="L192" i="2"/>
  <c r="M192" i="2" s="1"/>
  <c r="J121" i="2"/>
  <c r="G192" i="2"/>
  <c r="G191" i="2" s="1"/>
  <c r="J282" i="2"/>
  <c r="L149" i="2"/>
  <c r="L157" i="2"/>
  <c r="M157" i="2" s="1"/>
  <c r="L224" i="2"/>
  <c r="J224" i="2"/>
  <c r="M182" i="2"/>
  <c r="M253" i="2"/>
  <c r="F206" i="2"/>
  <c r="J188" i="2"/>
  <c r="J149" i="2"/>
  <c r="J222" i="2"/>
  <c r="L86" i="2"/>
  <c r="M86" i="2" s="1"/>
  <c r="J86" i="2"/>
  <c r="L228" i="2"/>
  <c r="J228" i="2"/>
  <c r="F172" i="2"/>
  <c r="L186" i="2"/>
  <c r="G216" i="2"/>
  <c r="J160" i="2"/>
  <c r="L160" i="2"/>
  <c r="M189" i="2"/>
  <c r="M184" i="2"/>
  <c r="I66" i="2"/>
  <c r="J66" i="2" s="1"/>
  <c r="I148" i="2"/>
  <c r="L239" i="2"/>
  <c r="M239" i="2" s="1"/>
  <c r="L272" i="2"/>
  <c r="J272" i="2"/>
  <c r="M255" i="2"/>
  <c r="L95" i="2"/>
  <c r="M95" i="2" s="1"/>
  <c r="M97" i="2"/>
  <c r="L283" i="2"/>
  <c r="J283" i="2"/>
  <c r="G207" i="2"/>
  <c r="M196" i="2"/>
  <c r="J23" i="2"/>
  <c r="M144" i="2"/>
  <c r="L143" i="2"/>
  <c r="M143" i="2" s="1"/>
  <c r="M52" i="2"/>
  <c r="M279" i="2"/>
  <c r="L190" i="2"/>
  <c r="J190" i="2"/>
  <c r="J280" i="2"/>
  <c r="M106" i="2"/>
  <c r="M15" i="2"/>
  <c r="L45" i="2"/>
  <c r="J45" i="2"/>
  <c r="J238" i="2"/>
  <c r="L238" i="2"/>
  <c r="G227" i="2"/>
  <c r="J270" i="2"/>
  <c r="L270" i="2"/>
  <c r="L258" i="2"/>
  <c r="J258" i="2"/>
  <c r="M178" i="2"/>
  <c r="M147" i="2"/>
  <c r="J262" i="2"/>
  <c r="L262" i="2"/>
  <c r="M262" i="2" s="1"/>
  <c r="M188" i="2"/>
  <c r="M158" i="2"/>
  <c r="L246" i="2"/>
  <c r="J246" i="2"/>
  <c r="G154" i="2"/>
  <c r="J248" i="2"/>
  <c r="I247" i="2"/>
  <c r="J247" i="2" s="1"/>
  <c r="J113" i="2"/>
  <c r="I111" i="2"/>
  <c r="J111" i="2" s="1"/>
  <c r="L113" i="2"/>
  <c r="M54" i="2"/>
  <c r="J244" i="2"/>
  <c r="I243" i="2"/>
  <c r="L244" i="2"/>
  <c r="F191" i="2"/>
  <c r="L273" i="2"/>
  <c r="M273" i="2" s="1"/>
  <c r="M274" i="2"/>
  <c r="J277" i="2"/>
  <c r="M219" i="2"/>
  <c r="L165" i="2"/>
  <c r="M165" i="2" s="1"/>
  <c r="J165" i="2"/>
  <c r="L180" i="2"/>
  <c r="J180" i="2"/>
  <c r="M21" i="2"/>
  <c r="J273" i="2"/>
  <c r="J256" i="2"/>
  <c r="L256" i="2"/>
  <c r="M286" i="2"/>
  <c r="M261" i="2"/>
  <c r="M194" i="2"/>
  <c r="M267" i="2"/>
  <c r="M200" i="2"/>
  <c r="L102" i="2"/>
  <c r="M102" i="2" s="1"/>
  <c r="M103" i="2"/>
  <c r="M222" i="2"/>
  <c r="J144" i="2"/>
  <c r="I13" i="2"/>
  <c r="L14" i="2"/>
  <c r="J14" i="2"/>
  <c r="L90" i="2"/>
  <c r="J90" i="2"/>
  <c r="M249" i="2"/>
  <c r="L248" i="2"/>
  <c r="L40" i="2"/>
  <c r="J40" i="2"/>
  <c r="M76" i="2"/>
  <c r="M296" i="2"/>
  <c r="J289" i="2"/>
  <c r="M205" i="2"/>
  <c r="M287" i="2"/>
  <c r="M290" i="2"/>
  <c r="L289" i="2"/>
  <c r="M289" i="2" s="1"/>
  <c r="J192" i="2"/>
  <c r="F22" i="2"/>
  <c r="G22" i="2" s="1"/>
  <c r="G23" i="2"/>
  <c r="M120" i="2"/>
  <c r="L79" i="2"/>
  <c r="J79" i="2"/>
  <c r="M285" i="2"/>
  <c r="L214" i="2"/>
  <c r="I213" i="2"/>
  <c r="J214" i="2"/>
  <c r="J229" i="2"/>
  <c r="I227" i="2"/>
  <c r="J227" i="2" s="1"/>
  <c r="L229" i="2"/>
  <c r="J260" i="2"/>
  <c r="I259" i="2"/>
  <c r="J239" i="2"/>
  <c r="M123" i="2"/>
  <c r="M181" i="2"/>
  <c r="M141" i="2"/>
  <c r="M134" i="2"/>
  <c r="M87" i="2"/>
  <c r="L119" i="2"/>
  <c r="J119" i="2"/>
  <c r="L29" i="2"/>
  <c r="J29" i="2"/>
  <c r="L19" i="2"/>
  <c r="M19" i="2" s="1"/>
  <c r="M24" i="2"/>
  <c r="J209" i="2"/>
  <c r="L209" i="2"/>
  <c r="M12" i="2"/>
  <c r="M146" i="2"/>
  <c r="L78" i="2"/>
  <c r="J78" i="2"/>
  <c r="M121" i="2"/>
  <c r="L17" i="2"/>
  <c r="J17" i="2"/>
  <c r="I16" i="2"/>
  <c r="J35" i="2"/>
  <c r="I34" i="2"/>
  <c r="L35" i="2"/>
  <c r="M241" i="2"/>
  <c r="M257" i="2"/>
  <c r="G247" i="2"/>
  <c r="L148" i="2"/>
  <c r="M149" i="2"/>
  <c r="L133" i="2"/>
  <c r="J133" i="2"/>
  <c r="M137" i="2"/>
  <c r="L82" i="2"/>
  <c r="J82" i="2"/>
  <c r="J140" i="2"/>
  <c r="L140" i="2"/>
  <c r="L100" i="2"/>
  <c r="J100" i="2"/>
  <c r="L30" i="2"/>
  <c r="J30" i="2"/>
  <c r="M83" i="2"/>
  <c r="M55" i="2"/>
  <c r="J11" i="2"/>
  <c r="L11" i="2"/>
  <c r="I10" i="2"/>
  <c r="L220" i="2"/>
  <c r="J220" i="2"/>
  <c r="M242" i="2"/>
  <c r="L81" i="2"/>
  <c r="J81" i="2"/>
  <c r="L138" i="2"/>
  <c r="J138" i="2"/>
  <c r="L164" i="2"/>
  <c r="M164" i="2" s="1"/>
  <c r="J164" i="2"/>
  <c r="M67" i="2"/>
  <c r="G7" i="2"/>
  <c r="F6" i="2"/>
  <c r="G6" i="2" s="1"/>
  <c r="L51" i="2"/>
  <c r="J51" i="2"/>
  <c r="I50" i="2"/>
  <c r="M118" i="2"/>
  <c r="L89" i="2"/>
  <c r="I88" i="2"/>
  <c r="J89" i="2"/>
  <c r="J143" i="2"/>
  <c r="G10" i="2"/>
  <c r="F9" i="2"/>
  <c r="G9" i="2" s="1"/>
  <c r="J237" i="2"/>
  <c r="I235" i="2"/>
  <c r="J235" i="2" s="1"/>
  <c r="L237" i="2"/>
  <c r="M252" i="2"/>
  <c r="J284" i="2"/>
  <c r="L284" i="2"/>
  <c r="L151" i="2"/>
  <c r="J151" i="2"/>
  <c r="M117" i="2"/>
  <c r="M46" i="2"/>
  <c r="L41" i="2"/>
  <c r="J41" i="2"/>
  <c r="M139" i="2"/>
  <c r="J19" i="2"/>
  <c r="M115" i="2"/>
  <c r="M26" i="2"/>
  <c r="J25" i="2"/>
  <c r="L25" i="2"/>
  <c r="M197" i="2"/>
  <c r="M268" i="2"/>
  <c r="M275" i="2"/>
  <c r="J233" i="2"/>
  <c r="I231" i="2"/>
  <c r="J231" i="2" s="1"/>
  <c r="L233" i="2"/>
  <c r="L226" i="2"/>
  <c r="J226" i="2"/>
  <c r="M159" i="2"/>
  <c r="M94" i="2"/>
  <c r="M264" i="2"/>
  <c r="M152" i="2"/>
  <c r="G130" i="2"/>
  <c r="I98" i="2"/>
  <c r="M58" i="2"/>
  <c r="M84" i="2"/>
  <c r="M80" i="2"/>
  <c r="M132" i="2"/>
  <c r="F91" i="2"/>
  <c r="G91" i="2" s="1"/>
  <c r="G92" i="2"/>
  <c r="M31" i="2"/>
  <c r="M99" i="2"/>
  <c r="L57" i="2"/>
  <c r="J57" i="2"/>
  <c r="L93" i="2"/>
  <c r="I92" i="2"/>
  <c r="J93" i="2"/>
  <c r="L7" i="2"/>
  <c r="M8" i="2"/>
  <c r="M85" i="2"/>
  <c r="M36" i="2"/>
  <c r="L174" i="2"/>
  <c r="J174" i="2"/>
  <c r="L39" i="2"/>
  <c r="J39" i="2"/>
  <c r="L208" i="2"/>
  <c r="J208" i="2"/>
  <c r="I207" i="2"/>
  <c r="M266" i="2"/>
  <c r="F108" i="2"/>
  <c r="G108" i="2" s="1"/>
  <c r="I110" i="2"/>
  <c r="G110" i="2"/>
  <c r="M131" i="2"/>
  <c r="F42" i="2"/>
  <c r="G42" i="2" s="1"/>
  <c r="G43" i="2"/>
  <c r="M28" i="2"/>
  <c r="M101" i="2"/>
  <c r="M245" i="2"/>
  <c r="I201" i="2"/>
  <c r="J201" i="2" s="1"/>
  <c r="L202" i="2"/>
  <c r="J202" i="2"/>
  <c r="M198" i="2"/>
  <c r="L218" i="2"/>
  <c r="J218" i="2"/>
  <c r="I216" i="2"/>
  <c r="F259" i="2"/>
  <c r="F225" i="2" s="1"/>
  <c r="G260" i="2"/>
  <c r="G259" i="2" s="1"/>
  <c r="L155" i="2"/>
  <c r="I154" i="2"/>
  <c r="J155" i="2"/>
  <c r="M69" i="2"/>
  <c r="L77" i="2"/>
  <c r="J77" i="2"/>
  <c r="J7" i="2"/>
  <c r="M61" i="2"/>
  <c r="J27" i="2" l="1"/>
  <c r="J177" i="2"/>
  <c r="L280" i="2"/>
  <c r="M280" i="2" s="1"/>
  <c r="G206" i="2"/>
  <c r="M282" i="2"/>
  <c r="L260" i="2"/>
  <c r="M232" i="2"/>
  <c r="I150" i="2"/>
  <c r="L130" i="2"/>
  <c r="G172" i="2"/>
  <c r="G150" i="2" s="1"/>
  <c r="G295" i="2" s="1"/>
  <c r="F150" i="2"/>
  <c r="J148" i="2"/>
  <c r="M283" i="2"/>
  <c r="M228" i="2"/>
  <c r="M224" i="2"/>
  <c r="M148" i="2"/>
  <c r="M160" i="2"/>
  <c r="M186" i="2"/>
  <c r="M272" i="2"/>
  <c r="G225" i="2"/>
  <c r="F295" i="2"/>
  <c r="F297" i="2" s="1"/>
  <c r="G297" i="2" s="1"/>
  <c r="M130" i="2"/>
  <c r="M77" i="2"/>
  <c r="J216" i="2"/>
  <c r="M7" i="2"/>
  <c r="M151" i="2"/>
  <c r="J88" i="2"/>
  <c r="J34" i="2"/>
  <c r="L259" i="2"/>
  <c r="M259" i="2" s="1"/>
  <c r="M260" i="2"/>
  <c r="M25" i="2"/>
  <c r="F107" i="2"/>
  <c r="J213" i="2"/>
  <c r="M258" i="2"/>
  <c r="L201" i="2"/>
  <c r="M202" i="2"/>
  <c r="M208" i="2"/>
  <c r="L207" i="2"/>
  <c r="M29" i="2"/>
  <c r="L247" i="2"/>
  <c r="M247" i="2" s="1"/>
  <c r="M248" i="2"/>
  <c r="M180" i="2"/>
  <c r="M45" i="2"/>
  <c r="I91" i="2"/>
  <c r="J91" i="2" s="1"/>
  <c r="J92" i="2"/>
  <c r="M89" i="2"/>
  <c r="L88" i="2"/>
  <c r="M88" i="2" s="1"/>
  <c r="J16" i="2"/>
  <c r="M209" i="2"/>
  <c r="M214" i="2"/>
  <c r="L213" i="2"/>
  <c r="M213" i="2" s="1"/>
  <c r="M90" i="2"/>
  <c r="M270" i="2"/>
  <c r="M226" i="2"/>
  <c r="M100" i="2"/>
  <c r="J207" i="2"/>
  <c r="I206" i="2"/>
  <c r="J206" i="2" s="1"/>
  <c r="M233" i="2"/>
  <c r="L231" i="2"/>
  <c r="M231" i="2" s="1"/>
  <c r="M81" i="2"/>
  <c r="M39" i="2"/>
  <c r="L37" i="2"/>
  <c r="M37" i="2" s="1"/>
  <c r="M218" i="2"/>
  <c r="L216" i="2"/>
  <c r="M216" i="2" s="1"/>
  <c r="J172" i="2"/>
  <c r="M93" i="2"/>
  <c r="L92" i="2"/>
  <c r="M237" i="2"/>
  <c r="L235" i="2"/>
  <c r="M235" i="2" s="1"/>
  <c r="L66" i="2"/>
  <c r="M66" i="2" s="1"/>
  <c r="M30" i="2"/>
  <c r="M82" i="2"/>
  <c r="I191" i="2"/>
  <c r="J191" i="2" s="1"/>
  <c r="L243" i="2"/>
  <c r="M243" i="2" s="1"/>
  <c r="M244" i="2"/>
  <c r="M17" i="2"/>
  <c r="L16" i="2"/>
  <c r="M16" i="2" s="1"/>
  <c r="M119" i="2"/>
  <c r="M14" i="2"/>
  <c r="L13" i="2"/>
  <c r="M13" i="2" s="1"/>
  <c r="M256" i="2"/>
  <c r="J110" i="2"/>
  <c r="L110" i="2"/>
  <c r="I108" i="2"/>
  <c r="M174" i="2"/>
  <c r="M41" i="2"/>
  <c r="M220" i="2"/>
  <c r="L23" i="2"/>
  <c r="J13" i="2"/>
  <c r="J243" i="2"/>
  <c r="L27" i="2"/>
  <c r="M27" i="2" s="1"/>
  <c r="M284" i="2"/>
  <c r="J10" i="2"/>
  <c r="I9" i="2"/>
  <c r="I6" i="2"/>
  <c r="M79" i="2"/>
  <c r="M238" i="2"/>
  <c r="M190" i="2"/>
  <c r="J98" i="2"/>
  <c r="L98" i="2"/>
  <c r="M98" i="2" s="1"/>
  <c r="M35" i="2"/>
  <c r="L34" i="2"/>
  <c r="M34" i="2" s="1"/>
  <c r="J154" i="2"/>
  <c r="M155" i="2"/>
  <c r="L154" i="2"/>
  <c r="M154" i="2" s="1"/>
  <c r="M57" i="2"/>
  <c r="J50" i="2"/>
  <c r="I43" i="2"/>
  <c r="L10" i="2"/>
  <c r="M11" i="2"/>
  <c r="M133" i="2"/>
  <c r="J259" i="2"/>
  <c r="M246" i="2"/>
  <c r="J22" i="2"/>
  <c r="L50" i="2"/>
  <c r="M51" i="2"/>
  <c r="M138" i="2"/>
  <c r="M140" i="2"/>
  <c r="M78" i="2"/>
  <c r="M229" i="2"/>
  <c r="L227" i="2"/>
  <c r="M227" i="2" s="1"/>
  <c r="L177" i="2"/>
  <c r="M177" i="2" s="1"/>
  <c r="I225" i="2"/>
  <c r="J225" i="2" s="1"/>
  <c r="M40" i="2"/>
  <c r="M113" i="2"/>
  <c r="L111" i="2"/>
  <c r="M111" i="2" s="1"/>
  <c r="J150" i="2" l="1"/>
  <c r="L6" i="2"/>
  <c r="M6" i="2" s="1"/>
  <c r="G107" i="2"/>
  <c r="F124" i="2"/>
  <c r="J6" i="2"/>
  <c r="M110" i="2"/>
  <c r="L108" i="2"/>
  <c r="M108" i="2" s="1"/>
  <c r="M207" i="2"/>
  <c r="L206" i="2"/>
  <c r="M206" i="2" s="1"/>
  <c r="J108" i="2"/>
  <c r="M92" i="2"/>
  <c r="L91" i="2"/>
  <c r="M91" i="2" s="1"/>
  <c r="J9" i="2"/>
  <c r="L225" i="2"/>
  <c r="M225" i="2" s="1"/>
  <c r="M10" i="2"/>
  <c r="L9" i="2"/>
  <c r="M9" i="2" s="1"/>
  <c r="J43" i="2"/>
  <c r="I42" i="2"/>
  <c r="M23" i="2"/>
  <c r="L22" i="2"/>
  <c r="M22" i="2" s="1"/>
  <c r="M50" i="2"/>
  <c r="L43" i="2"/>
  <c r="M201" i="2"/>
  <c r="L191" i="2"/>
  <c r="M191" i="2" s="1"/>
  <c r="I295" i="2"/>
  <c r="L172" i="2"/>
  <c r="M172" i="2" s="1"/>
  <c r="J42" i="2" l="1"/>
  <c r="I107" i="2"/>
  <c r="I297" i="2"/>
  <c r="J297" i="2" s="1"/>
  <c r="J295" i="2"/>
  <c r="L150" i="2"/>
  <c r="F298" i="2"/>
  <c r="G298" i="2" s="1"/>
  <c r="G124" i="2"/>
  <c r="M43" i="2"/>
  <c r="L42" i="2"/>
  <c r="M42" i="2" s="1"/>
  <c r="I124" i="2" l="1"/>
  <c r="J107" i="2"/>
  <c r="L107" i="2"/>
  <c r="M150" i="2"/>
  <c r="L295" i="2"/>
  <c r="M107" i="2" l="1"/>
  <c r="L124" i="2"/>
  <c r="L297" i="2"/>
  <c r="M297" i="2" s="1"/>
  <c r="M295" i="2"/>
  <c r="I298" i="2"/>
  <c r="J124" i="2"/>
  <c r="J298" i="2" l="1"/>
  <c r="L298" i="2"/>
  <c r="M124" i="2"/>
  <c r="M29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E287" authorId="0" shapeId="0" xr:uid="{70A065F4-D904-42F5-BE94-03D9ED9B8470}">
      <text>
        <r>
          <rPr>
            <b/>
            <sz val="9"/>
            <color indexed="81"/>
            <rFont val="Tahoma"/>
            <family val="2"/>
            <charset val="186"/>
          </rPr>
          <t>Sarmīte Mūze:</t>
        </r>
        <r>
          <rPr>
            <sz val="9"/>
            <color indexed="81"/>
            <rFont val="Tahoma"/>
            <family val="2"/>
            <charset val="186"/>
          </rPr>
          <t xml:space="preserve">
Šis ir jāizņem no 0930 un jāliek 0982 algā.
</t>
        </r>
      </text>
    </comment>
    <comment ref="F287" authorId="0" shapeId="0" xr:uid="{6698D193-2613-4245-ABFD-A6C7A4D61BC4}">
      <text>
        <r>
          <rPr>
            <b/>
            <sz val="9"/>
            <color indexed="81"/>
            <rFont val="Tahoma"/>
            <family val="2"/>
            <charset val="186"/>
          </rPr>
          <t>Sarmīte Mūze:</t>
        </r>
        <r>
          <rPr>
            <sz val="9"/>
            <color indexed="81"/>
            <rFont val="Tahoma"/>
            <family val="2"/>
            <charset val="186"/>
          </rPr>
          <t xml:space="preserve">
Šis ir jāizņem no 0930 un jāliek 0982 algā.
</t>
        </r>
      </text>
    </comment>
    <comment ref="I287" authorId="0" shapeId="0" xr:uid="{258B440E-F13F-43DC-B1BF-07FA740BE965}">
      <text>
        <r>
          <rPr>
            <b/>
            <sz val="9"/>
            <color indexed="81"/>
            <rFont val="Tahoma"/>
            <family val="2"/>
            <charset val="186"/>
          </rPr>
          <t>Sarmīte Mūze:</t>
        </r>
        <r>
          <rPr>
            <sz val="9"/>
            <color indexed="81"/>
            <rFont val="Tahoma"/>
            <family val="2"/>
            <charset val="186"/>
          </rPr>
          <t xml:space="preserve">
Šis ir jāizņem no 0930 un jāliek 0982 algā.
</t>
        </r>
      </text>
    </comment>
    <comment ref="L287" authorId="0" shapeId="0" xr:uid="{7882D16D-8695-4362-94E1-A33283F6ECBD}">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Baiba Kanča</author>
    <author>Sarmīte Mūze</author>
  </authors>
  <commentList>
    <comment ref="K118" authorId="0" shapeId="0" xr:uid="{10BDA549-6543-4876-A0C9-948F987073BD}">
      <text>
        <r>
          <rPr>
            <b/>
            <sz val="9"/>
            <color indexed="81"/>
            <rFont val="Tahoma"/>
            <family val="2"/>
            <charset val="186"/>
          </rPr>
          <t>Baiba Kanča:</t>
        </r>
        <r>
          <rPr>
            <sz val="9"/>
            <color indexed="81"/>
            <rFont val="Tahoma"/>
            <family val="2"/>
            <charset val="186"/>
          </rPr>
          <t xml:space="preserve">
Nav izņemta visa aizņēmuma summa. Atmaksas grafikā ielikts viss plānotais aizņēmums!
</t>
        </r>
      </text>
    </comment>
    <comment ref="D134" authorId="1" shapeId="0" xr:uid="{C9FBA713-4BF7-4945-8DBD-660AC21A493C}">
      <text>
        <r>
          <rPr>
            <b/>
            <sz val="9"/>
            <color indexed="81"/>
            <rFont val="Tahoma"/>
            <family val="2"/>
            <charset val="186"/>
          </rPr>
          <t>Sarmīte Mūze:</t>
        </r>
        <r>
          <rPr>
            <sz val="9"/>
            <color indexed="81"/>
            <rFont val="Tahoma"/>
            <family val="2"/>
            <charset val="186"/>
          </rPr>
          <t xml:space="preserve">
Ja ir ERAF 5'000'000</t>
        </r>
      </text>
    </comment>
  </commentList>
</comments>
</file>

<file path=xl/sharedStrings.xml><?xml version="1.0" encoding="utf-8"?>
<sst xmlns="http://schemas.openxmlformats.org/spreadsheetml/2006/main" count="1747" uniqueCount="1132">
  <si>
    <t>Ādažu novada pašvaldības aizņēmumu un citu ilgtermiņa saistību pārskats</t>
  </si>
  <si>
    <t>Aizņēmumu pamatsummu un procentu atmaksa faktiskajiem un plānotajiem aizņēmumiem.</t>
  </si>
  <si>
    <t>A/C</t>
  </si>
  <si>
    <t>Nr.p.k.</t>
  </si>
  <si>
    <t>Nosaukums</t>
  </si>
  <si>
    <t>Aizņēmuma līgums</t>
  </si>
  <si>
    <t>Trančes numurs</t>
  </si>
  <si>
    <t>Līguma noslēgšanas datums</t>
  </si>
  <si>
    <t>Aizņēmuma beigu termiņš</t>
  </si>
  <si>
    <t>Aizņēmuma valūta</t>
  </si>
  <si>
    <t>Aizņēmuma summa, EUR</t>
  </si>
  <si>
    <t>Neatmaksātās pamatsummas atlikums</t>
  </si>
  <si>
    <t>% likmes maiņas datums</t>
  </si>
  <si>
    <t>% likmes veids</t>
  </si>
  <si>
    <t>Kopējā procentu likme (gadā), %</t>
  </si>
  <si>
    <t>Procentu likme , %</t>
  </si>
  <si>
    <t>Apkalpošanas maksa, %</t>
  </si>
  <si>
    <t>Maksājuma veids</t>
  </si>
  <si>
    <t>2023 faktiski samaksāts</t>
  </si>
  <si>
    <t>2023 atlikušais maksājums</t>
  </si>
  <si>
    <t>Pavisam kopā</t>
  </si>
  <si>
    <t>2031 - 2053</t>
  </si>
  <si>
    <t>Kopsumma 2024 - 2053</t>
  </si>
  <si>
    <t>A</t>
  </si>
  <si>
    <t xml:space="preserve">Stabilizācijas aizdevums </t>
  </si>
  <si>
    <t>A2/1/11/107</t>
  </si>
  <si>
    <t>P-50/2011</t>
  </si>
  <si>
    <t>11.04.2011</t>
  </si>
  <si>
    <t>20.04.2036</t>
  </si>
  <si>
    <t>EUR</t>
  </si>
  <si>
    <t>Pamatsumma</t>
  </si>
  <si>
    <t>(1.kārtas 2.posms)</t>
  </si>
  <si>
    <t>12.04.2024</t>
  </si>
  <si>
    <t>Procentu maksa</t>
  </si>
  <si>
    <t>A2/1/11/549</t>
  </si>
  <si>
    <t>P-350/2011</t>
  </si>
  <si>
    <t>22.09.2011</t>
  </si>
  <si>
    <t>22.12.2031</t>
  </si>
  <si>
    <t>(1.kārtas 3.posms)</t>
  </si>
  <si>
    <t>22.09.2023</t>
  </si>
  <si>
    <t>ĀŪ</t>
  </si>
  <si>
    <t>Stabilizācijas aizdevums</t>
  </si>
  <si>
    <t>A2/1/12/328</t>
  </si>
  <si>
    <t>P-219/2012</t>
  </si>
  <si>
    <t>11.07.2012</t>
  </si>
  <si>
    <t>25.03.2032</t>
  </si>
  <si>
    <t>SIA "Ādažu ūdens" (2.kārta 1.posms)</t>
  </si>
  <si>
    <t>06.07.2024</t>
  </si>
  <si>
    <t>A2/1/13/1000</t>
  </si>
  <si>
    <t>P-441/2013</t>
  </si>
  <si>
    <t>26.11.2013</t>
  </si>
  <si>
    <t>27.11.2023</t>
  </si>
  <si>
    <t>(2.kārta 2.posms)</t>
  </si>
  <si>
    <t>22.11.2023</t>
  </si>
  <si>
    <t>Gaujas ielas rekonstrukcija</t>
  </si>
  <si>
    <t>A2/1/17/301</t>
  </si>
  <si>
    <t>P-196/2017</t>
  </si>
  <si>
    <t>19.05.2017</t>
  </si>
  <si>
    <t>20.05.2032</t>
  </si>
  <si>
    <t xml:space="preserve"> (1.-3.kārta)</t>
  </si>
  <si>
    <t>18.05.2024</t>
  </si>
  <si>
    <t>A2/1/17/596</t>
  </si>
  <si>
    <t>P-450/2017</t>
  </si>
  <si>
    <t>21.08.2017</t>
  </si>
  <si>
    <t>20.08.2032</t>
  </si>
  <si>
    <t xml:space="preserve"> (4.kārta)</t>
  </si>
  <si>
    <t>18.08.2024</t>
  </si>
  <si>
    <t xml:space="preserve">Jaunās skolas būvniecība </t>
  </si>
  <si>
    <t>A2/1/18/123</t>
  </si>
  <si>
    <t>P-94/2018</t>
  </si>
  <si>
    <t>03.04.2018</t>
  </si>
  <si>
    <t>22.06.2048</t>
  </si>
  <si>
    <t>(1.-2. kārta)</t>
  </si>
  <si>
    <t>29.03.2024</t>
  </si>
  <si>
    <t>C</t>
  </si>
  <si>
    <t xml:space="preserve">ELFLA projekts pievadceļu attīstība </t>
  </si>
  <si>
    <t>A2/1/18/139</t>
  </si>
  <si>
    <t>P-109/2018</t>
  </si>
  <si>
    <t>05.04.2018</t>
  </si>
  <si>
    <t>22.03.2038</t>
  </si>
  <si>
    <t xml:space="preserve">lauksaimniecības uzņēmumiem </t>
  </si>
  <si>
    <t>30.01.2024</t>
  </si>
  <si>
    <t>Ceļu, ielu infrastruktūras programma</t>
  </si>
  <si>
    <t>A2/1/18/251</t>
  </si>
  <si>
    <t>P-205/2018</t>
  </si>
  <si>
    <t>28.05.2018</t>
  </si>
  <si>
    <t>20.05.2038</t>
  </si>
  <si>
    <t>(1.kārta)</t>
  </si>
  <si>
    <t>24.05.2024</t>
  </si>
  <si>
    <t xml:space="preserve">Komunālās saimniecības </t>
  </si>
  <si>
    <t>A2/1/18/252</t>
  </si>
  <si>
    <t>P-200/2018</t>
  </si>
  <si>
    <t>20.05.2025</t>
  </si>
  <si>
    <t xml:space="preserve">investīcijas transportam </t>
  </si>
  <si>
    <t xml:space="preserve">ES Interreg Igaunijas - Latvijas projekts </t>
  </si>
  <si>
    <t>A2/1/18/255</t>
  </si>
  <si>
    <t>P-203/2018</t>
  </si>
  <si>
    <t>20.05.2033</t>
  </si>
  <si>
    <t>"Hiking Route Along the Baltic Sea Coastline in Latvia-Estonia"</t>
  </si>
  <si>
    <t xml:space="preserve">ERAF projekts Natura 2000 </t>
  </si>
  <si>
    <t>A2/1/18/254</t>
  </si>
  <si>
    <t>P-202/2018</t>
  </si>
  <si>
    <t>Atpūtas taka Carnikavā</t>
  </si>
  <si>
    <t>Prioritāro projektu īstenošana:</t>
  </si>
  <si>
    <t>A2/1/18/452</t>
  </si>
  <si>
    <t>P-374/2018</t>
  </si>
  <si>
    <t>12.07.2018</t>
  </si>
  <si>
    <t>20.06.2028</t>
  </si>
  <si>
    <t xml:space="preserve"> bērnu rotaļu laukumi Carnikavas novadā</t>
  </si>
  <si>
    <t>11.07.2024</t>
  </si>
  <si>
    <t>Izglītības iestāžu investīciju projekts -</t>
  </si>
  <si>
    <t>A2/1/18/529</t>
  </si>
  <si>
    <t>P-435/2018</t>
  </si>
  <si>
    <t>03.08.2018</t>
  </si>
  <si>
    <t>20.07.2048</t>
  </si>
  <si>
    <t xml:space="preserve"> Piejūras PII būvniecība</t>
  </si>
  <si>
    <t>01.08.2024</t>
  </si>
  <si>
    <t xml:space="preserve">Izglītības iestāžu investīciju projekts - </t>
  </si>
  <si>
    <t>A2/1/18/528</t>
  </si>
  <si>
    <t>P-436/2018</t>
  </si>
  <si>
    <t>Carnikavas izglītības iestādes būvniecība no moduļiem</t>
  </si>
  <si>
    <t>A2/1/18/611</t>
  </si>
  <si>
    <t>P-500/2018</t>
  </si>
  <si>
    <t>04.09.2018</t>
  </si>
  <si>
    <t>20.08.2038</t>
  </si>
  <si>
    <t xml:space="preserve"> (2.kārta)</t>
  </si>
  <si>
    <t>30.08.2024</t>
  </si>
  <si>
    <t xml:space="preserve">Ceļu, ielu infrastruktūras programma </t>
  </si>
  <si>
    <t>A2/1/18/643</t>
  </si>
  <si>
    <t>P-537/2018</t>
  </si>
  <si>
    <t>12.09.2018</t>
  </si>
  <si>
    <t>(3.kārta)</t>
  </si>
  <si>
    <t>11.09.2024</t>
  </si>
  <si>
    <t>Attekas ielas rekonstrukcija</t>
  </si>
  <si>
    <t>A2/1/18/644</t>
  </si>
  <si>
    <t>P-538/2018</t>
  </si>
  <si>
    <t>20.09.2033</t>
  </si>
  <si>
    <t>12.09.2024</t>
  </si>
  <si>
    <t>Muižas ielas rekonstrukcijai</t>
  </si>
  <si>
    <t>A2/1/18/711</t>
  </si>
  <si>
    <t>P-580/2018</t>
  </si>
  <si>
    <t>10.10.2018</t>
  </si>
  <si>
    <t>20.09.2028</t>
  </si>
  <si>
    <t>03.10.2023</t>
  </si>
  <si>
    <t>A2/1/18/777</t>
  </si>
  <si>
    <t>P-643/2018</t>
  </si>
  <si>
    <t>12.11.2018</t>
  </si>
  <si>
    <t>20.10.2038</t>
  </si>
  <si>
    <t>( 4.kārta)</t>
  </si>
  <si>
    <t>08.11.2023</t>
  </si>
  <si>
    <t xml:space="preserve">Prioritārais projekts Dambja būvniecība </t>
  </si>
  <si>
    <t>A2/1/18/818</t>
  </si>
  <si>
    <t>P-666/2018</t>
  </si>
  <si>
    <t>21.11.2018</t>
  </si>
  <si>
    <t>22.11.2038</t>
  </si>
  <si>
    <t xml:space="preserve">Valteru ielā </t>
  </si>
  <si>
    <t>14.11.2023</t>
  </si>
  <si>
    <t xml:space="preserve">Pārjaunojuma līgums </t>
  </si>
  <si>
    <t>A2/1/19/50</t>
  </si>
  <si>
    <t>PP-5/2019</t>
  </si>
  <si>
    <t>05.03.2019</t>
  </si>
  <si>
    <t>20.09.2035</t>
  </si>
  <si>
    <t>visiem līgumiem līdz 2015.gadam</t>
  </si>
  <si>
    <t>26.02.2024</t>
  </si>
  <si>
    <t>ELFLA Eimuru - Mangaļu poldera</t>
  </si>
  <si>
    <t>A2/1/19/57</t>
  </si>
  <si>
    <t>P-31/2019</t>
  </si>
  <si>
    <t>06.03.2019</t>
  </si>
  <si>
    <t>20.02.2029</t>
  </si>
  <si>
    <t xml:space="preserve"> meliorācijas grāvju atjaunošana Carnikavas novadā</t>
  </si>
  <si>
    <t>06.03.2024</t>
  </si>
  <si>
    <t xml:space="preserve">ERAF projekta SAM 3.3.1. Uzņēmējdarbības </t>
  </si>
  <si>
    <t>A2/1/19/225</t>
  </si>
  <si>
    <t>P-150/2019</t>
  </si>
  <si>
    <t>13.06.2019</t>
  </si>
  <si>
    <t>20.05.2049</t>
  </si>
  <si>
    <t>attīstībai nepieciešamās infrastruktūras Carnikavas novada Garciemā" īstenošanai</t>
  </si>
  <si>
    <t>06.06.2024</t>
  </si>
  <si>
    <t>SAM 4.2.2. ĀPII remontdarbi</t>
  </si>
  <si>
    <t>A2/1/19/370</t>
  </si>
  <si>
    <t>P-236/2019</t>
  </si>
  <si>
    <t>09.10.2019</t>
  </si>
  <si>
    <t>20.09.2034</t>
  </si>
  <si>
    <t>08.10.2023</t>
  </si>
  <si>
    <t>SAM 5.5.1. Kultūras objektu būvniecība</t>
  </si>
  <si>
    <t>A2/1/19/460</t>
  </si>
  <si>
    <t>P-292/2019</t>
  </si>
  <si>
    <t>11.12.2019</t>
  </si>
  <si>
    <t>21.11.2039</t>
  </si>
  <si>
    <t>06.12.2023</t>
  </si>
  <si>
    <t>Jaunās skolas būvniecība (3. kārta)</t>
  </si>
  <si>
    <t>A2/1/20/158</t>
  </si>
  <si>
    <t>P-119/2020</t>
  </si>
  <si>
    <t>29.04.2020</t>
  </si>
  <si>
    <t>20.04.2048</t>
  </si>
  <si>
    <t>29.04.2024</t>
  </si>
  <si>
    <t>Ataru ceļa rekonstrukcija</t>
  </si>
  <si>
    <t>A2/1/20/411</t>
  </si>
  <si>
    <t>P-177/2020</t>
  </si>
  <si>
    <t>08.07.2020</t>
  </si>
  <si>
    <t>20.06.2035</t>
  </si>
  <si>
    <t>08.07.2024</t>
  </si>
  <si>
    <t>KF projekts "Ūdenssaimniecības</t>
  </si>
  <si>
    <t>A2/1/20/675</t>
  </si>
  <si>
    <t>P-339/2020</t>
  </si>
  <si>
    <t>01.10.2020</t>
  </si>
  <si>
    <t>20.09.2050</t>
  </si>
  <si>
    <t xml:space="preserve"> pakalpojumu attīstība Carnikavā III kārta"</t>
  </si>
  <si>
    <t>01.10.2023</t>
  </si>
  <si>
    <t xml:space="preserve">Carnikavas novada pašvaldības transporta </t>
  </si>
  <si>
    <t>A2/1/20/676</t>
  </si>
  <si>
    <t>P-338/2020</t>
  </si>
  <si>
    <t>20.09.2040</t>
  </si>
  <si>
    <t>infrstruktūras attīstība</t>
  </si>
  <si>
    <t>Priežu ielas rekonstrukcija</t>
  </si>
  <si>
    <t>A2/1/20/746</t>
  </si>
  <si>
    <t>P-392/2020</t>
  </si>
  <si>
    <t>14.10.2020</t>
  </si>
  <si>
    <t>22.09.2025</t>
  </si>
  <si>
    <t>FIX</t>
  </si>
  <si>
    <t xml:space="preserve"> Bukultu ielas rekonstrukcija</t>
  </si>
  <si>
    <t>A2/1/20/745</t>
  </si>
  <si>
    <t>P-393/2020</t>
  </si>
  <si>
    <t>ERAF "Carnikavas pamatskolas pārbūve"</t>
  </si>
  <si>
    <t>A2/1/21/10</t>
  </si>
  <si>
    <t>P-4/2021</t>
  </si>
  <si>
    <t>26.01.2021</t>
  </si>
  <si>
    <t>20.01.2051</t>
  </si>
  <si>
    <t>26.01.2024</t>
  </si>
  <si>
    <t>LAD  projekts koka laipu taka uz jūru</t>
  </si>
  <si>
    <t>A2/1/21/11</t>
  </si>
  <si>
    <t>P-3/2021</t>
  </si>
  <si>
    <t>20.01.2031</t>
  </si>
  <si>
    <t>Prioritārais projekts -</t>
  </si>
  <si>
    <t>A2/1/21/41</t>
  </si>
  <si>
    <t>P-10/2021</t>
  </si>
  <si>
    <t>24.02.2021</t>
  </si>
  <si>
    <t>20.02.2051</t>
  </si>
  <si>
    <t>PII Piejūra" būvniecība"</t>
  </si>
  <si>
    <t>24.02.2024</t>
  </si>
  <si>
    <t>Budžeta un finanšu vadībai</t>
  </si>
  <si>
    <t>A2/1/21/96</t>
  </si>
  <si>
    <t>P-43/2021</t>
  </si>
  <si>
    <t>25.03.2021</t>
  </si>
  <si>
    <t>20.03.2024</t>
  </si>
  <si>
    <t xml:space="preserve"> (Aprīkojums PII Piejūra)</t>
  </si>
  <si>
    <t>PII Piejūra būvniecības pabeigšana</t>
  </si>
  <si>
    <t>A2/1/21/120</t>
  </si>
  <si>
    <t>P-69/2021</t>
  </si>
  <si>
    <t>08.04.2021</t>
  </si>
  <si>
    <t>20.03.2051</t>
  </si>
  <si>
    <t>08.04.2024</t>
  </si>
  <si>
    <t xml:space="preserve">Investīciju projektu īstenošanai </t>
  </si>
  <si>
    <t>A2/1/21/139</t>
  </si>
  <si>
    <t>PP-14/2021</t>
  </si>
  <si>
    <t>26.04.2021</t>
  </si>
  <si>
    <t>21.06.2038</t>
  </si>
  <si>
    <t>(saistību pārjaunojums)</t>
  </si>
  <si>
    <t>22.04.2024</t>
  </si>
  <si>
    <t>Stacijas ielas pārbūve</t>
  </si>
  <si>
    <t>A2/1/21/169</t>
  </si>
  <si>
    <t>P-89/2021</t>
  </si>
  <si>
    <t>30.04.2021</t>
  </si>
  <si>
    <t>20.04.2051</t>
  </si>
  <si>
    <t>30.04.2024</t>
  </si>
  <si>
    <t>Lielās ielas pārbūve</t>
  </si>
  <si>
    <t>A2/1/21/232</t>
  </si>
  <si>
    <t>P-163/2021</t>
  </si>
  <si>
    <t>27.05.2021</t>
  </si>
  <si>
    <t>20.05.2041</t>
  </si>
  <si>
    <t>27.05.2024</t>
  </si>
  <si>
    <t xml:space="preserve">Autostāvvietas izbūve Karlsona parkā, </t>
  </si>
  <si>
    <t>A2/1/21/231</t>
  </si>
  <si>
    <t>P-164/2021</t>
  </si>
  <si>
    <t>Garciemā, Carnikavas novadā</t>
  </si>
  <si>
    <t>Pirmās ielas stāvlaukums pie ĀPII</t>
  </si>
  <si>
    <t>A2/1/21/632</t>
  </si>
  <si>
    <t>P-481/2021</t>
  </si>
  <si>
    <t>14.10.2021</t>
  </si>
  <si>
    <t>21.09.2026</t>
  </si>
  <si>
    <t xml:space="preserve">SAM 9311 Deinstitucionalizācija - </t>
  </si>
  <si>
    <t>A2/1/21/729</t>
  </si>
  <si>
    <t>P-556/2021</t>
  </si>
  <si>
    <t>02.12.2021</t>
  </si>
  <si>
    <t>20.11.2040</t>
  </si>
  <si>
    <t>Dienas centrs</t>
  </si>
  <si>
    <t>02.12.2023</t>
  </si>
  <si>
    <t>Mežaparka ceļa pārbūve</t>
  </si>
  <si>
    <t>A2/1/21/728</t>
  </si>
  <si>
    <t>P-557/2021</t>
  </si>
  <si>
    <t>20.11.2031</t>
  </si>
  <si>
    <t>Ķiršu ielas rekonstrukcija</t>
  </si>
  <si>
    <t>A2/1/21/727</t>
  </si>
  <si>
    <t>P-558/2021</t>
  </si>
  <si>
    <t xml:space="preserve">Carnikavas pamatskolas infrastruktūras </t>
  </si>
  <si>
    <t>A2/1/21/776</t>
  </si>
  <si>
    <t>P-583/2021</t>
  </si>
  <si>
    <t>23.12.2021</t>
  </si>
  <si>
    <t>21.12.2026</t>
  </si>
  <si>
    <t>uzlabošana un mācību vides labiekārtošana</t>
  </si>
  <si>
    <t>23.12.2023</t>
  </si>
  <si>
    <t xml:space="preserve">Laivu ielas (no Cēlāju ciema līdz jūrai Carnikavā) </t>
  </si>
  <si>
    <t>A2/1/22/15</t>
  </si>
  <si>
    <t>P-7/2022</t>
  </si>
  <si>
    <t>02.02.2022</t>
  </si>
  <si>
    <t>20.01.2037</t>
  </si>
  <si>
    <t>un tai piegulošā auto stāvlaukuma projektēšana un būvniecība</t>
  </si>
  <si>
    <t>02.02.2024</t>
  </si>
  <si>
    <t xml:space="preserve">SAM 5.1.1. Pretplūdu pasākumi </t>
  </si>
  <si>
    <t>A2/1/22/123</t>
  </si>
  <si>
    <t>P-70/2022</t>
  </si>
  <si>
    <t>31.05.2022</t>
  </si>
  <si>
    <t>20.05.2037</t>
  </si>
  <si>
    <t>Ādažu centra polderī</t>
  </si>
  <si>
    <t>31.05.2024</t>
  </si>
  <si>
    <t>Gaujas ielas gājēju celiņa izbūve</t>
  </si>
  <si>
    <t>A2/1/22/165</t>
  </si>
  <si>
    <t>P-112/2022</t>
  </si>
  <si>
    <t>04.07.2022</t>
  </si>
  <si>
    <t>21.06.2027</t>
  </si>
  <si>
    <t>04.07.2024</t>
  </si>
  <si>
    <t>Skolas ielas projektēšana izbūve - 3.kārta</t>
  </si>
  <si>
    <t>A2/1/22/239</t>
  </si>
  <si>
    <t>P-160/2022</t>
  </si>
  <si>
    <t>20.07.2022</t>
  </si>
  <si>
    <t>20.07.2027</t>
  </si>
  <si>
    <t>20.07.2024</t>
  </si>
  <si>
    <t xml:space="preserve">Skolas siltināšana </t>
  </si>
  <si>
    <t>A2/1/22/250</t>
  </si>
  <si>
    <t>P-164/2022</t>
  </si>
  <si>
    <t>03.08.2022</t>
  </si>
  <si>
    <t>20.07.2032</t>
  </si>
  <si>
    <t>un stadiona rekonstrukcija</t>
  </si>
  <si>
    <t>03.08.2024</t>
  </si>
  <si>
    <t>Aizvēju ielas Garciemā,</t>
  </si>
  <si>
    <t>A2/1/22/265</t>
  </si>
  <si>
    <t>P-175/2022</t>
  </si>
  <si>
    <t>08.08.2022</t>
  </si>
  <si>
    <t>20.07.2029</t>
  </si>
  <si>
    <t xml:space="preserve"> dubultā virsmas apstrāde (2.daļa)</t>
  </si>
  <si>
    <t>08.08.2024</t>
  </si>
  <si>
    <t xml:space="preserve">Carnikavas stadiona rekonstrukcija </t>
  </si>
  <si>
    <t>A2/1/22/536</t>
  </si>
  <si>
    <t>P-363/2022</t>
  </si>
  <si>
    <t>29.11.2022</t>
  </si>
  <si>
    <t>20.11.2037</t>
  </si>
  <si>
    <t>(Prioritārais)</t>
  </si>
  <si>
    <t>A2/1/22/538</t>
  </si>
  <si>
    <t>P-361/2022</t>
  </si>
  <si>
    <t>22.11.2032</t>
  </si>
  <si>
    <t>(Covid19)</t>
  </si>
  <si>
    <t xml:space="preserve">ERAF projekta (Nr.5.1.1.0/17/I/009) </t>
  </si>
  <si>
    <t>A2/1/22/582</t>
  </si>
  <si>
    <t>P-389/2022</t>
  </si>
  <si>
    <t>23.12.2022</t>
  </si>
  <si>
    <t>21.12.2037</t>
  </si>
  <si>
    <t>“Novērst plūdu un krasta erozijas risku apdraudējumu Ādažu novadā, 1. daļa” īstenošanai</t>
  </si>
  <si>
    <t xml:space="preserve">Apgaismojuma izbūve uz Salas </t>
  </si>
  <si>
    <t>A2/1/23/103</t>
  </si>
  <si>
    <t>P-57/2023</t>
  </si>
  <si>
    <t>09.05.2023</t>
  </si>
  <si>
    <t>aizsargdamja D-2 posmā, Carnikavas pagastā</t>
  </si>
  <si>
    <t>Carnikavas stadiona rekonstrukcija</t>
  </si>
  <si>
    <t>A2/1/23/156</t>
  </si>
  <si>
    <t>P-104/2023</t>
  </si>
  <si>
    <t>26.06.2023</t>
  </si>
  <si>
    <t xml:space="preserve"> (Prioritārais 2023.g.)</t>
  </si>
  <si>
    <t>26.06.2024</t>
  </si>
  <si>
    <t xml:space="preserve"> "Auto stāvlaukuma Lilastē paplašināšana,</t>
  </si>
  <si>
    <t>A2/1/23/245</t>
  </si>
  <si>
    <t>P-181/2023</t>
  </si>
  <si>
    <t>02.08.2023</t>
  </si>
  <si>
    <t>20.07.2026</t>
  </si>
  <si>
    <t xml:space="preserve"> atpūtas vietu, labiekārtojuma, labierīcību, kempinga iespēju projektēšana un izbūve"</t>
  </si>
  <si>
    <t xml:space="preserve">Ķiršu ielas III kārta </t>
  </si>
  <si>
    <t>A2/1/23/290</t>
  </si>
  <si>
    <t>P-222/2023</t>
  </si>
  <si>
    <t>20.07.2033</t>
  </si>
  <si>
    <t>no Saules ielas līdz Attekas ielai 0.17km</t>
  </si>
  <si>
    <t xml:space="preserve">Ādažu vidusskolas ēkas B korpusa </t>
  </si>
  <si>
    <t>A2/1/23/429</t>
  </si>
  <si>
    <t>P-344/2023</t>
  </si>
  <si>
    <t>un savienojuma daļas starp korpusiem (C un B) fasādes atjaunošana</t>
  </si>
  <si>
    <t xml:space="preserve"> ”Mobilitātes punkta infrastruktūras izveidošana </t>
  </si>
  <si>
    <t>Plānots</t>
  </si>
  <si>
    <t>Rīgas metropoles areālā – “Carnikava””</t>
  </si>
  <si>
    <t>Maģistrālā  veloceļa izbūve Rīga-Carnikava</t>
  </si>
  <si>
    <t>EKII projekts</t>
  </si>
  <si>
    <t xml:space="preserve">Ādažu vidusskolas ēkas A korpusa </t>
  </si>
  <si>
    <t>un centrālās daļas fasādes atjaunošana.</t>
  </si>
  <si>
    <t>PII Podnieki UN Krastupes iela</t>
  </si>
  <si>
    <t>Aizņēmumu portfeļa kopsumma:</t>
  </si>
  <si>
    <t>Aizņēmumi kopā:</t>
  </si>
  <si>
    <t>Citas ilgtermiņa saistības.</t>
  </si>
  <si>
    <t>Saistību mērķis</t>
  </si>
  <si>
    <t>Līguma Nr.</t>
  </si>
  <si>
    <t>Trānčes Nr.</t>
  </si>
  <si>
    <t>Aizņēmuma summa</t>
  </si>
  <si>
    <t>Galvojums SIA "Ādažu ūdens"</t>
  </si>
  <si>
    <t>Līzings - jauna automašīna Volvo V60</t>
  </si>
  <si>
    <t>(Operatīvais līzings)</t>
  </si>
  <si>
    <t>Līzings - frontālais iekrāvējs</t>
  </si>
  <si>
    <t>Līzings - mikroautobuss</t>
  </si>
  <si>
    <t>Līzings - skolēnu autobuss</t>
  </si>
  <si>
    <t>Kalngales NAI</t>
  </si>
  <si>
    <t xml:space="preserve">Citas ilgtermiņa saistības kopā: </t>
  </si>
  <si>
    <t>Aizņēmumu pamatsummas atmaksa:</t>
  </si>
  <si>
    <t>Aizņēmumu procentu maksa:</t>
  </si>
  <si>
    <t>Citas ilgtermiņa saistības:</t>
  </si>
  <si>
    <t>Aizņēmumi un citas ilgtemiņa saistības kopā:</t>
  </si>
  <si>
    <t>Saistību apmērs % no pamatbudžeta ieņēmumiem:</t>
  </si>
  <si>
    <t>Pašvaldības pamatbudžeta ieņēmumi bez mērķdotācijām un iemaksām PFIF saimnieciskajā gadā:</t>
  </si>
  <si>
    <t>Ādažu pašvaldības apvienotais budžets</t>
  </si>
  <si>
    <t>KA</t>
  </si>
  <si>
    <t>2024. gads</t>
  </si>
  <si>
    <t xml:space="preserve">Ieņēmumu daļa </t>
  </si>
  <si>
    <t xml:space="preserve">N.p.k. </t>
  </si>
  <si>
    <t>Sadaļa</t>
  </si>
  <si>
    <t>CKS</t>
  </si>
  <si>
    <t>2024. gada budžets</t>
  </si>
  <si>
    <t>25.01.2024. grozījumi</t>
  </si>
  <si>
    <t>Izmaiņa 25.01.2024. - 28.12.2023.</t>
  </si>
  <si>
    <t xml:space="preserve">Komentāri </t>
  </si>
  <si>
    <t>28.03.2024. grozījumi</t>
  </si>
  <si>
    <t>Izmaiņa 28.03.2024. -25.01.2024.</t>
  </si>
  <si>
    <t>25.04.2024. grozījumi</t>
  </si>
  <si>
    <t>Izmaiņa 25.04.2024. -28.03.2024.</t>
  </si>
  <si>
    <t>1., 2., 3., 4., 5.1.</t>
  </si>
  <si>
    <t>Nodokļu ieņēmumi</t>
  </si>
  <si>
    <t>1.1.1.0.</t>
  </si>
  <si>
    <t>1.</t>
  </si>
  <si>
    <t>Iedzīvotāju ienākuma nodoklis</t>
  </si>
  <si>
    <t>PB</t>
  </si>
  <si>
    <t>01.1.1.2.</t>
  </si>
  <si>
    <t>1.1.</t>
  </si>
  <si>
    <t>pārskata gada</t>
  </si>
  <si>
    <t>Uz 06.03. IIN izpilde lielāka par plānoto šajā periodā.</t>
  </si>
  <si>
    <t>1., 2., 3., 4.</t>
  </si>
  <si>
    <t>Nekustamā īpašuma nodokļu ieņēmumi</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</si>
  <si>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</si>
  <si>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</si>
  <si>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</si>
  <si>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</si>
  <si>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</si>
  <si>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</si>
  <si>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</si>
  <si>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</si>
  <si>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</si>
  <si>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</si>
  <si>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</si>
  <si>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</si>
  <si>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</si>
  <si>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</si>
  <si>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</si>
  <si>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</si>
  <si>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</si>
  <si>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</si>
  <si>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</si>
  <si>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</si>
  <si>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</si>
  <si>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</si>
  <si>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</si>
  <si>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</si>
  <si>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</si>
  <si>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</si>
  <si>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</si>
  <si>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</si>
  <si>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</si>
  <si>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</si>
  <si>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</si>
  <si>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</si>
  <si>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</si>
  <si>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</si>
  <si>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</si>
  <si>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</si>
  <si>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</si>
  <si>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</si>
  <si>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</si>
  <si>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</si>
  <si>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</si>
  <si>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</si>
  <si>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</si>
  <si>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</si>
  <si>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</si>
  <si>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</si>
  <si>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</si>
  <si>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</si>
  <si>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</si>
  <si>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</si>
  <si>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</si>
  <si>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</si>
  <si>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</si>
  <si>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</si>
  <si>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</si>
  <si>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</si>
  <si>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</si>
  <si>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09.5.1.7.</t>
  </si>
  <si>
    <t>6.2.4.</t>
  </si>
  <si>
    <t>t.sk.: - nodeva par reklāmas, afišu un sludinājumu izvietošanu publiskās vietās</t>
  </si>
  <si>
    <t>09.5.2.1.</t>
  </si>
  <si>
    <t>6.2.5.</t>
  </si>
  <si>
    <t>t.sk.: - nodeva par būvatļaujas saņemšanu</t>
  </si>
  <si>
    <t>09.5.2.9.</t>
  </si>
  <si>
    <t>6.2.6.</t>
  </si>
  <si>
    <t>t.sk.: - pārējās nodevas</t>
  </si>
  <si>
    <t>10.0.0.0.</t>
  </si>
  <si>
    <t>7.</t>
  </si>
  <si>
    <t>Naudas sodi un sankcijas</t>
  </si>
  <si>
    <t>10.1.4.0.</t>
  </si>
  <si>
    <t>7.1.</t>
  </si>
  <si>
    <t>10.1.5.0.</t>
  </si>
  <si>
    <t>7.2.</t>
  </si>
  <si>
    <t>Naudas sodi, ko uzliek par pārkāpumiem ceļu satiksmē</t>
  </si>
  <si>
    <t>12.0.0.0.</t>
  </si>
  <si>
    <t>8.</t>
  </si>
  <si>
    <t>Pārējie nenodokļu ieņēmumi</t>
  </si>
  <si>
    <t>12.3.9.9.; 8.3.9.0.; 8.6.1.2.</t>
  </si>
  <si>
    <t>8.1.</t>
  </si>
  <si>
    <t>citi nenodokļu ieņēmumi</t>
  </si>
  <si>
    <t>Konta atlikuma nakts depozīta ieņēmumi.</t>
  </si>
  <si>
    <t>Procentu ieņēmumi no nakts depozīta (šobrīd + EUR 9'309 pret plānoto).</t>
  </si>
  <si>
    <t>12.3.9.5.</t>
  </si>
  <si>
    <t>8.2.</t>
  </si>
  <si>
    <t>līgumsodi un procentu maksājumi par saistību neizpildi</t>
  </si>
  <si>
    <t>8.3.</t>
  </si>
  <si>
    <t>ieņēmumi no zvejas tiesību nomas</t>
  </si>
  <si>
    <t>13.1.0.0.</t>
  </si>
  <si>
    <t>9.</t>
  </si>
  <si>
    <t>Ieņēmumi no pašvaldības īpašuma pārdošana</t>
  </si>
  <si>
    <t>Saņemta nauda no izsolēm. Kopsummā izpilde par EUR 23'095 lielāka kā gada plāns.</t>
  </si>
  <si>
    <t>10.</t>
  </si>
  <si>
    <t>Valsts budžeta transferti un projektu finansējums</t>
  </si>
  <si>
    <t>10.1.</t>
  </si>
  <si>
    <t>Valsts budžeta transferti</t>
  </si>
  <si>
    <t>mērķdotācija</t>
  </si>
  <si>
    <t>18.6.2.3.</t>
  </si>
  <si>
    <t>10.1.1.</t>
  </si>
  <si>
    <t>dotācija mākslas skolas algām</t>
  </si>
  <si>
    <t>Precizēta MD</t>
  </si>
  <si>
    <t>18.6.2.4.</t>
  </si>
  <si>
    <t>10.1.2.</t>
  </si>
  <si>
    <t>dotācija sporta skolai</t>
  </si>
  <si>
    <t xml:space="preserve">Precizēta MD </t>
  </si>
  <si>
    <t>18.6.2.10.; 18.6.2.11</t>
  </si>
  <si>
    <t>10.1.3.</t>
  </si>
  <si>
    <t>dotācija skolēnu ēdināšanai</t>
  </si>
  <si>
    <t>18.6.2.5.</t>
  </si>
  <si>
    <t>10.1.4.</t>
  </si>
  <si>
    <t>dotācija mācību līdzekļiem</t>
  </si>
  <si>
    <t>MD mācību līdzekļiem 2024.gadam (sadalās starp izgl. iestādēm)</t>
  </si>
  <si>
    <t xml:space="preserve">  10.1.4.1.</t>
  </si>
  <si>
    <t>t.sk.: - dotācija mācību grāmatām</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</si>
  <si>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</si>
  <si>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</si>
  <si>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</si>
  <si>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</si>
  <si>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</si>
  <si>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</si>
  <si>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</si>
  <si>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</si>
  <si>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</si>
  <si>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</si>
  <si>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</si>
  <si>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</si>
  <si>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</si>
  <si>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18.6.2.9.</t>
  </si>
  <si>
    <t>10.1.6.</t>
  </si>
  <si>
    <t>dotācija māksliniecisko kolektīvu vadītāju atalgojumam</t>
  </si>
  <si>
    <t>18.6.3.1.</t>
  </si>
  <si>
    <t>10.1.7.</t>
  </si>
  <si>
    <t>Projekts "Skolas soma" Ādaži</t>
  </si>
  <si>
    <t>Jauns līgums 2024.gadam.</t>
  </si>
  <si>
    <t>10.1.8.</t>
  </si>
  <si>
    <t>Projekts "Skolas soma" Carnikava</t>
  </si>
  <si>
    <t>18.6.2.7.</t>
  </si>
  <si>
    <t>10.1.9.</t>
  </si>
  <si>
    <t>dotācija asistenta pakalpojumu nodrošināšanai</t>
  </si>
  <si>
    <t>10.1.10.</t>
  </si>
  <si>
    <t>dotācija sociālajiem darbiniekiem, kuri strādā ar ģimenēm un bērniem</t>
  </si>
  <si>
    <t>AM līdzfinansējums Vecštāles ceļa rekonstrukcijai</t>
  </si>
  <si>
    <t>0420 (18.6.2.9.)</t>
  </si>
  <si>
    <t>10.1.11.</t>
  </si>
  <si>
    <t>valsts dotācija ceļu uzturēšanai</t>
  </si>
  <si>
    <t>Precizēta dotācija +59'292, papildus dotācija par pārņemtajiem ceļiem EUR 1'248</t>
  </si>
  <si>
    <t>Precizēta dotācija par papildus pārņemtajiem ceļiem EUR 3966</t>
  </si>
  <si>
    <t>Valsts finansējums projektu konkursā "Atbalsts jaunatnes politikas īstenošanai vietējā līmenī" Projekts "Mobilais darbs ar jaunatni Ādažu novadā"</t>
  </si>
  <si>
    <t>10.1.12.</t>
  </si>
  <si>
    <t>Dotācijas Ukrainas pilsoņu atbalstam</t>
  </si>
  <si>
    <t>10.1.13.</t>
  </si>
  <si>
    <t>Dotācijas "Energoresursu atbalsts"</t>
  </si>
  <si>
    <t>18.6.2.6.1.</t>
  </si>
  <si>
    <t>10.1.14.</t>
  </si>
  <si>
    <t>Dotācija nodarbinātības pasākumiem</t>
  </si>
  <si>
    <t>0630</t>
  </si>
  <si>
    <t>18.6.2.9.;</t>
  </si>
  <si>
    <t>10.1.15.</t>
  </si>
  <si>
    <t>pārējās dotācijas</t>
  </si>
  <si>
    <t>Valsts finansējums parakstu vākšanai tautas nobalsošanas ierosināšanai par apturēto likumu “Grozījumi Notariāta likumā”</t>
  </si>
  <si>
    <t>CVK finansējums Eiropas parlamenta vēlēšanu nodrošināšanai</t>
  </si>
  <si>
    <t>10.2.</t>
  </si>
  <si>
    <t>ES struktūrfondu līdzekļi un aktivitāšu līdzfinansējumi</t>
  </si>
  <si>
    <t>0634</t>
  </si>
  <si>
    <t>18.6.3.6.</t>
  </si>
  <si>
    <t>10.2.1.</t>
  </si>
  <si>
    <t>Plūdu risku projekts</t>
  </si>
  <si>
    <t>Precizēta projekta NP</t>
  </si>
  <si>
    <t>10.2.2.</t>
  </si>
  <si>
    <t>Pastaigu taka gar Baltezera kanālu</t>
  </si>
  <si>
    <t>18.6.3.4</t>
  </si>
  <si>
    <t>10.2.3.</t>
  </si>
  <si>
    <t>LAD, Jūras Zeme projekts, Mākslu skolas ārtelpas projekts Garā iela 20, Carnikavā</t>
  </si>
  <si>
    <t>10.2.4.</t>
  </si>
  <si>
    <t>Publiskās ārtelpas izveide Gaujas ielā 31 Ādažos</t>
  </si>
  <si>
    <t>10.2.5.</t>
  </si>
  <si>
    <t>Projekts "Eiropas pilsētu iniciatīva"</t>
  </si>
  <si>
    <t>10.2.6.</t>
  </si>
  <si>
    <t>Projekts jauniešu asociāciju federācija Eiropas mobilitātei. CERV programmas projekts "YOUTth and democracy: empowering Europe's next generation"</t>
  </si>
  <si>
    <t>10.2.7.</t>
  </si>
  <si>
    <t>Projekts par energokopienām. Magliano Alpi pašvaldības Itālijā CERV Town Twinning programmas projektsa ietvaros</t>
  </si>
  <si>
    <t>0632.6</t>
  </si>
  <si>
    <t>10.2.8.</t>
  </si>
  <si>
    <t>LIFE NewBauhaus projekts</t>
  </si>
  <si>
    <t>10.2.9.</t>
  </si>
  <si>
    <t>Dalība atveseļošanas un noturības mehānisma pasākumā “Atbalsta pasākumi cilvēkiem ar invaliditāti mājokļu vides pieejamības nodrošināšanai”</t>
  </si>
  <si>
    <t>Saskaņā ar projekta nosacījumiem, tiks ieskaitīts avanss EUR 18'299</t>
  </si>
  <si>
    <t xml:space="preserve">18.6.3.13. </t>
  </si>
  <si>
    <t>10.2.10.</t>
  </si>
  <si>
    <t>SAM 9.2.4.2. projekts "Pasākumi vietējās sabiedrības veselības veicināšanai Ādažu novadā"</t>
  </si>
  <si>
    <t xml:space="preserve">18.6.3.14.  </t>
  </si>
  <si>
    <t>10.2.11.</t>
  </si>
  <si>
    <t>VISA projekts "Atbalsts izglītojamo individuālo kompetenču attīstībai"</t>
  </si>
  <si>
    <t>10.2.12.</t>
  </si>
  <si>
    <t>SAM 9311 Deinstitucionalizācija - Dienas centrs - specializētās darbnīcas</t>
  </si>
  <si>
    <t>10.2.13.</t>
  </si>
  <si>
    <t>Dienas centrs - pakalpojumi (Ā)</t>
  </si>
  <si>
    <t>10.2.14.</t>
  </si>
  <si>
    <t>ESF projekts Atbalsts priekšlaicīgas mācību pārtraukšanas samazināšanai ©</t>
  </si>
  <si>
    <t>18.6.3.20.</t>
  </si>
  <si>
    <t>10.2.15.</t>
  </si>
  <si>
    <t>SAM 5.5.1. Kultūras objektu būvniecība ©</t>
  </si>
  <si>
    <t>10.2.16.</t>
  </si>
  <si>
    <t>ERASMUS + projekti</t>
  </si>
  <si>
    <t>10.2.17.</t>
  </si>
  <si>
    <t xml:space="preserve"> ”Mobilitātes punkta infrastruktūras izveidošana Rīgas metropoles areālā – “Carnikava””</t>
  </si>
  <si>
    <t>10.2.18.</t>
  </si>
  <si>
    <t>10.2.19.</t>
  </si>
  <si>
    <t>Ģimenes ārsta prakses izveide_Garā iela 20 (ERAF, SAM 9.3.2. 4.kārta)</t>
  </si>
  <si>
    <t>0633.6</t>
  </si>
  <si>
    <t>10.2.20.</t>
  </si>
  <si>
    <t>Pēc lēmuma precizēta naudas plūsma.</t>
  </si>
  <si>
    <t>18.6.4.0.</t>
  </si>
  <si>
    <t>10.3.</t>
  </si>
  <si>
    <t>IIN budžeta dotācija</t>
  </si>
  <si>
    <t>11.</t>
  </si>
  <si>
    <t>Pašvaldību budžeta transferti</t>
  </si>
  <si>
    <t>19.2.1.0.</t>
  </si>
  <si>
    <t>11.1.</t>
  </si>
  <si>
    <t>no citām pašvaldībām izglītības funkciju nodrošināšanai</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</si>
  <si>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</si>
  <si>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</si>
  <si>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</si>
  <si>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</si>
  <si>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</si>
  <si>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</si>
  <si>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</si>
  <si>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</si>
  <si>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</si>
  <si>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</si>
  <si>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</si>
  <si>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</si>
  <si>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</si>
  <si>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</si>
  <si>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</si>
  <si>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 ©</t>
  </si>
  <si>
    <t>12.2.1.</t>
  </si>
  <si>
    <t>ES Padomes projekts LIFE COHABIT ©</t>
  </si>
  <si>
    <t>0630.2</t>
  </si>
  <si>
    <t>12.2.2.</t>
  </si>
  <si>
    <t>pārrobežu EST-LAT projekts "Militārais mantojums</t>
  </si>
  <si>
    <t>21.3.8.0.</t>
  </si>
  <si>
    <t>12.3.</t>
  </si>
  <si>
    <t>ieņēmumi par nomu un īri</t>
  </si>
  <si>
    <t>21.3.8.1.</t>
  </si>
  <si>
    <t>12.3.1.</t>
  </si>
  <si>
    <t>ieņēmumi par telpu nomu</t>
  </si>
  <si>
    <t>21.3.8.4.</t>
  </si>
  <si>
    <t>12.3.2.</t>
  </si>
  <si>
    <t>ieņēmumi par zemes nomu</t>
  </si>
  <si>
    <t>21.3.8.9.</t>
  </si>
  <si>
    <t>12.3.3.</t>
  </si>
  <si>
    <t>pārējie ieņēmumi par nomu ©</t>
  </si>
  <si>
    <t>21.3.9.0.</t>
  </si>
  <si>
    <t>12.4.</t>
  </si>
  <si>
    <t>budžeta iestāžu maksas pakalpojumi</t>
  </si>
  <si>
    <t>0812</t>
  </si>
  <si>
    <t>12.4.1.</t>
  </si>
  <si>
    <t>21.3.9.3.</t>
  </si>
  <si>
    <t>12.4.2.</t>
  </si>
  <si>
    <t>ieņēmumi no biļešu realizācijas</t>
  </si>
  <si>
    <t>21.3.9.4.</t>
  </si>
  <si>
    <t>12.4.3.</t>
  </si>
  <si>
    <t>ieņēmumi no dzīvokļu un komunālajiem pakalpojumiem ©</t>
  </si>
  <si>
    <t>KA nepalielina izdevumus, bet samazina plānotos ieņēmumus</t>
  </si>
  <si>
    <t>21.3.9.9.; CKS</t>
  </si>
  <si>
    <t>12.5.</t>
  </si>
  <si>
    <t>pārējie ieņēmumi/stāvvietu ieņēmumi</t>
  </si>
  <si>
    <t>Finansējums Piekrastes apsaimniekošanai ieskaitīts 2023.gada beigās (stāv KA)</t>
  </si>
  <si>
    <t>KOPĀ IEŅĒMUMI:</t>
  </si>
  <si>
    <t>13.</t>
  </si>
  <si>
    <t>Naudas līdzekļu atlikums gada sākumā</t>
  </si>
  <si>
    <t>13.1.</t>
  </si>
  <si>
    <t>Naudas atlikums iezīmētiem mērķiem</t>
  </si>
  <si>
    <t>EUR 104'970 DRN; 
EUR 230 Nodarbinātība; 
EUR - 1 Plūdi; 
EUR 750 ind. komp. att.; 
EUR - 1'034 DI soc. pakalp.; 
EUR - 1'841 Atbalsts priekšlaicīgas māc. Pārtraukš. Samaz.; 
EUR 19'357 Carn. Stad (VK aizņēmums); 
EUR 1'832 Mākslas skolas dotāc; 
EUR 41 ĀBJSS dotāc.; 
EUR 1'093 Aotoceļu MD; 
EUR 13'000 drošības nauda CKS (jāatmaksā); 
EUR 168'382 CKS Saimnieciskā darbība; 
EUR 10'621 Piekrastes apsaimn.; 
EUR 3'808 5-6 gad. MD; 
EUR 904 māc. līdz. MD; 
EUR 17'685 MD pedag.+interešu izgl; 
EUR 76'439 MD ēdināš; 
EUR 38'150 DI darbnīcas;
EUR 31'285 Atskaitīts LAD finansējums Salas dambim (jāatgriež kredīts)
EUR 133'640 Atskaitīts LAD finansējums Lilastes stāvlaukumam (jāatgriež kredīts)</t>
  </si>
  <si>
    <t>13.2.</t>
  </si>
  <si>
    <t>Naudas atlikums pašvaldības līdzekļi</t>
  </si>
  <si>
    <t xml:space="preserve">14. </t>
  </si>
  <si>
    <t>Valsts Kases kredīti</t>
  </si>
  <si>
    <t>14.1.</t>
  </si>
  <si>
    <t>14.2.</t>
  </si>
  <si>
    <t>0630; 0903</t>
  </si>
  <si>
    <t>Jaunas pirmsskolas izglītības iestādes Podniekos</t>
  </si>
  <si>
    <t>F40321210</t>
  </si>
  <si>
    <t>SAM 5.1.1. Pretplūdu pasākumi Ādažu centra polderī, Ādažu novadā</t>
  </si>
  <si>
    <t>Precizēta aizņēmumu summa pēc līguma summas pārcelšanas no 2023.gada</t>
  </si>
  <si>
    <t>14.5.</t>
  </si>
  <si>
    <t>14.6.</t>
  </si>
  <si>
    <t>0954</t>
  </si>
  <si>
    <t>14.3.</t>
  </si>
  <si>
    <t>Ādažu vidusskolas ēkas B korpusa un savienojuma daļas starp korpusiem (C un B) fasādes atjaunošana</t>
  </si>
  <si>
    <t>Decembra rēķins izrakstīts 30.12., samaksa pārceļas uz 2024.gadu, pārcelts 2023.gada aizņēmuma neizņemtais atlikums.</t>
  </si>
  <si>
    <t>14.4.</t>
  </si>
  <si>
    <t>Ādažu vidusskolas ēkas A korpusa, savienojuma daļas starp korpusiem (A un B), kā arī, vidusskolas centrālās daļas, tai skaitā torņa fasādes atjaunošana.</t>
  </si>
  <si>
    <t>14.10.</t>
  </si>
  <si>
    <t>Katlu mājas pārbūve Carnikavā, Tulpju iela 5</t>
  </si>
  <si>
    <t>14.11.</t>
  </si>
  <si>
    <t>Ķiršu ielas III kārta no Saules ielas līdz Attekas ielai 0.17km</t>
  </si>
  <si>
    <t>14.12.</t>
  </si>
  <si>
    <t>Draudzības iela posmā no Saules ielai līdz Podnieku ielai ar ietvi 0.35km</t>
  </si>
  <si>
    <t>PAVISAM KOPĀ IEŅĒMUMI:</t>
  </si>
  <si>
    <t xml:space="preserve">Izdevumu daļa </t>
  </si>
  <si>
    <t>Izmaiņa 23.03.2023. - 26.01.2023.</t>
  </si>
  <si>
    <t>Komentāri</t>
  </si>
  <si>
    <t>Izmaiņa 27.03.2024. -25.01.2024.</t>
  </si>
  <si>
    <t>Vispārējie valdības dienesti</t>
  </si>
  <si>
    <t>0110</t>
  </si>
  <si>
    <t>pārvalde</t>
  </si>
  <si>
    <t>0111</t>
  </si>
  <si>
    <t>1.2.</t>
  </si>
  <si>
    <t>deputāti</t>
  </si>
  <si>
    <t>0130</t>
  </si>
  <si>
    <t>1.3.</t>
  </si>
  <si>
    <t>administratīvā komisija</t>
  </si>
  <si>
    <t>0140</t>
  </si>
  <si>
    <t>1.4.</t>
  </si>
  <si>
    <t>iepirkumu komisija</t>
  </si>
  <si>
    <t>0120</t>
  </si>
  <si>
    <t>1.5.</t>
  </si>
  <si>
    <t>vēlēšanu komisija</t>
  </si>
  <si>
    <t>0150</t>
  </si>
  <si>
    <t>1.6.</t>
  </si>
  <si>
    <t>pārējās komisijas</t>
  </si>
  <si>
    <t>1.7.</t>
  </si>
  <si>
    <t>aizņēmumu procentu maksājumi</t>
  </si>
  <si>
    <t>1.8.</t>
  </si>
  <si>
    <t>Iemaksas PFIF</t>
  </si>
  <si>
    <t>Uz 06.03. IIN izpilde lielāka par plānoto šajā periodā, līdz ar to arī palielinās iemaksas izlīdzināšanas fondā.</t>
  </si>
  <si>
    <t>0170</t>
  </si>
  <si>
    <t>1.9.</t>
  </si>
  <si>
    <t>Informācijas tehnoloģiju nodaļa, vispārējas nozīmes dienestu darbība un pakalpojumi - datortīkla uzturēšana ©</t>
  </si>
  <si>
    <t>Ekonomija uz neaizpildītajām vakancēm</t>
  </si>
  <si>
    <t>Pārējie vispārēja rakstura transferti</t>
  </si>
  <si>
    <t>0610</t>
  </si>
  <si>
    <t>Izdevumi neparedzētiem gadījumiem</t>
  </si>
  <si>
    <t>0340</t>
  </si>
  <si>
    <t>Sabiedriskā kārtība un drošība</t>
  </si>
  <si>
    <t>Uzkopšanas gada maksa ielikta CKS, bet janvāra maksājums vēl jāveic caur policijas budžetu</t>
  </si>
  <si>
    <t>EUR 13'315 no dotācijas ceļu uzturēšanai uz Pašvaldības policiju ātruma kontroles mērierīces iegādei.</t>
  </si>
  <si>
    <t>Ekonomiskā darbība</t>
  </si>
  <si>
    <t>0490</t>
  </si>
  <si>
    <t>Sabiedriskās attiecības, laikraksts</t>
  </si>
  <si>
    <t>4.1.1.</t>
  </si>
  <si>
    <t>Sabiedrisko attiecību nodaļa</t>
  </si>
  <si>
    <t>Avīzes drukai noslēdzies iepirkums, papildus iebudžetētajam nepieciešami EUR 3283, jo pirmos mēnešus vēl lielā cena. Nepieciešamā summa pārcelta no nodaļas sadaļas datotehnika un informatīvie baneri. EUR 544 papildus nepieciešami avīzes izplatīšanai, no drukas, vizualizācijas un publ. aptaujām.</t>
  </si>
  <si>
    <t>EUR 660 no finansējuma publiskajām apspriešanām, reklāmām uz sadaļu"Ādažu vēstis" izplatīšanas izmaksu pieaugumam.</t>
  </si>
  <si>
    <t>4.1.2.</t>
  </si>
  <si>
    <t>Ādažu vēstis</t>
  </si>
  <si>
    <t>0420</t>
  </si>
  <si>
    <t>Autoceļu fonds</t>
  </si>
  <si>
    <t>KA EUR 1'093, precizēta dotācija +59'292, papildus dotācija par pārņemtajiem ceļiem EUR 1'248</t>
  </si>
  <si>
    <t>Vides aizsardzība</t>
  </si>
  <si>
    <t>0510</t>
  </si>
  <si>
    <t>Dabas resursu nodokļa izlietojums</t>
  </si>
  <si>
    <t>Pašvaldības teritoriju un mājokļu apsaimniekošana</t>
  </si>
  <si>
    <t>0620</t>
  </si>
  <si>
    <t>Būvvalde</t>
  </si>
  <si>
    <t>0660</t>
  </si>
  <si>
    <t>6.3.</t>
  </si>
  <si>
    <t>Teritorijas plānošanas nodaļa</t>
  </si>
  <si>
    <t>6.4.</t>
  </si>
  <si>
    <t>Attīstības un projektu nodaļa</t>
  </si>
  <si>
    <t>6.4.1.</t>
  </si>
  <si>
    <t>nodaļa</t>
  </si>
  <si>
    <r>
      <rPr>
        <u/>
        <sz val="11"/>
        <rFont val="Times New Roman"/>
        <family val="1"/>
        <charset val="186"/>
      </rPr>
      <t>1) EUR 2'000 no konta atlikuma apmeklētāju skaitītāja nomaiņai Atpūtas takā dabas parkā “Piejūra”
2)</t>
    </r>
    <r>
      <rPr>
        <b/>
        <u/>
        <sz val="11"/>
        <rFont val="Times New Roman"/>
        <family val="1"/>
        <charset val="186"/>
      </rPr>
      <t xml:space="preserve"> Iekš. groz.:</t>
    </r>
    <r>
      <rPr>
        <sz val="11"/>
        <rFont val="Times New Roman"/>
        <family val="1"/>
        <charset val="186"/>
      </rPr>
      <t xml:space="preserve"> EUR 13'541 no Z-svētku rotājumu finansējuma CoHabit finansējuma atmaksai no EKK 2239 uz EKK 7246</t>
    </r>
  </si>
  <si>
    <t>1) - EUR 7'349 ekonomija uz neaizpildītajām vakancēm;
2) No mobilitātes punkta projekta EUR 5'000 uzņēmējdarbības konkuram izmaksu iegumu analīzes veikšanai un EUR 26'640 tehniskā projekta izstrādāšanai.</t>
  </si>
  <si>
    <t>0630.1</t>
  </si>
  <si>
    <t>6.4.2.</t>
  </si>
  <si>
    <t>Projekts "Sabiedrība ar dvēseli"</t>
  </si>
  <si>
    <t>6.4.3.</t>
  </si>
  <si>
    <t>Iedzīvotāju iniciatīvas un konkursi.</t>
  </si>
  <si>
    <t>0632.5</t>
  </si>
  <si>
    <t>6.4.4.</t>
  </si>
  <si>
    <t>TEP “Atjaunojamo energoresursu izmantošana Ādažu novadā” (EUCF)</t>
  </si>
  <si>
    <t>0633.1</t>
  </si>
  <si>
    <t>6.4.5.</t>
  </si>
  <si>
    <t>”Mobilitātes punkta infrastruktūras izveidošana Rīgas metropoles areālā – “Carnikava””</t>
  </si>
  <si>
    <t>Pēc naudas plūsmas 2024.gadā mazāks finansējuma apjoms. No mobilitātes punkta proejekta EUR 5'000 uzņēmējdarbības konkuram izmaksu iegumu analīzes veikšanai un EUR 26'640 tehniskā projekta izstrādāšanai.</t>
  </si>
  <si>
    <t>0633.2</t>
  </si>
  <si>
    <t>6.4.6.</t>
  </si>
  <si>
    <t>0631.1</t>
  </si>
  <si>
    <t>6.4.7.</t>
  </si>
  <si>
    <t>0632.7</t>
  </si>
  <si>
    <t>6.4.8.</t>
  </si>
  <si>
    <t>6.4.9.</t>
  </si>
  <si>
    <t>6.4.10.</t>
  </si>
  <si>
    <t>6.4.11.</t>
  </si>
  <si>
    <t>6.4.12.</t>
  </si>
  <si>
    <t>6.4.13.</t>
  </si>
  <si>
    <t>6.4.14.</t>
  </si>
  <si>
    <t>ANM pasākuma "Atbalsta pasākumi cilvēkiem ar invaliditāti mājokļu vides pieejamības nodrošināšanai" projekts</t>
  </si>
  <si>
    <t>Pārrobežu EST-LAT projekts "Militārais mantojums ©</t>
  </si>
  <si>
    <t>0633.5</t>
  </si>
  <si>
    <t>6.5.</t>
  </si>
  <si>
    <t>Objektu un teritorijas apsaimniekošana un uzturēšana</t>
  </si>
  <si>
    <t>0670</t>
  </si>
  <si>
    <t>6.5.1.</t>
  </si>
  <si>
    <t xml:space="preserve">Nekustamā īpašumas nodaļa </t>
  </si>
  <si>
    <t>0648</t>
  </si>
  <si>
    <t>6.5.2.</t>
  </si>
  <si>
    <t>Vecštāles ceļa rekonstrukcija</t>
  </si>
  <si>
    <t>6.5.3.</t>
  </si>
  <si>
    <t>precizēts KA, VK aizņēmuma summa un atlikušais ienākošais ERAF finansējums</t>
  </si>
  <si>
    <t>CKS_apsaimniek</t>
  </si>
  <si>
    <t>6.5.4.</t>
  </si>
  <si>
    <t>Pašvaldības aģentūra "Carnikavas Komunālserviss"</t>
  </si>
  <si>
    <t>KA nepalielina izdevumus, bet samazina plānotos ieņēmumsu</t>
  </si>
  <si>
    <t>6.5.5.</t>
  </si>
  <si>
    <t>P/A "Carnikavas komunālserviss" teritorijas un īpašumu apsaimniekošana</t>
  </si>
  <si>
    <t>6.5.5.1</t>
  </si>
  <si>
    <t>Dotācija CKS teritorijas uzturēšanai</t>
  </si>
  <si>
    <t>1) KA - EUR 13'000 drošības nauda CKS (jāatmaksā).
2) Uzkopšanas gada maksa ielikta CKS, bet janvāra maksājums vēl jāveic caur policijas budžetu. (EUR 645).
3) Noslēdzies iepirkums remontam Garā iela 20 ārsta prakse. Summa par EUR 1'835 lielāka.</t>
  </si>
  <si>
    <t>CKS iekšējā pārstrukturēšana:
1) EUR 10'919 no CKS teritorijas kopšanas nodaļas uz CKS AVS uzturēšanas nodaļu.
2) EUR 6'705 no CKS teritorijas kopšanas nodaļas uz CKS AVS PII uzturēšanas nodaļu.
3) EUR 19'453 no CKS teritorijas kopšanas nodaļas uz CKS AVS sākumskolas uzturēšanas nodaļu.</t>
  </si>
  <si>
    <t>1) - EUR 9'076 Ekonomija uz neaizpildītajām vakancēm;
2) + EUR 3'500 atbalstīts zemsv. aktivit. - VW LT 46 hidromanipulatora kapitālais remonts</t>
  </si>
  <si>
    <t>6.5.5.2.</t>
  </si>
  <si>
    <t>Dotācija CKS ceļu uzturēšanai</t>
  </si>
  <si>
    <t>6.5.5.3.</t>
  </si>
  <si>
    <t>Teritorijas uzturēšana (Dome)</t>
  </si>
  <si>
    <t>6.5.6.</t>
  </si>
  <si>
    <t>Tirgus laukuma lietus kanalizācijas izbūve Ādažos</t>
  </si>
  <si>
    <t>6.5.7.</t>
  </si>
  <si>
    <t>Viršu ielas/atzars uz Sproģu ielu asfaltbetona seguma atjaunošana posmā no Dzērveņu ielas līdz Serģu iela (980 m)</t>
  </si>
  <si>
    <t>Viršu ielas prognozētās palielinātās izmaksas</t>
  </si>
  <si>
    <t>6.5.8.</t>
  </si>
  <si>
    <t>Liepu alejas rekonstrukcija</t>
  </si>
  <si>
    <t>6.5.9.</t>
  </si>
  <si>
    <t>Dzirnupes ielas tilta projekts, Carnikava</t>
  </si>
  <si>
    <t>6.5.10.</t>
  </si>
  <si>
    <t>6.5.11.</t>
  </si>
  <si>
    <t>Attekas ielas turpinājums 0,5 km - projektēšana</t>
  </si>
  <si>
    <t>6.5.12.</t>
  </si>
  <si>
    <t xml:space="preserve">Apgaismes stabi Attekas ielas savienojumā no Ķiršu līdz Draudzības ielai. </t>
  </si>
  <si>
    <t>6.5.13.</t>
  </si>
  <si>
    <t>Kļavu ielā divkārtas virsmas apstrāde 0.35km</t>
  </si>
  <si>
    <t>Atbalstīts zemsvītras projekts</t>
  </si>
  <si>
    <t>0633.4</t>
  </si>
  <si>
    <t>6.5.14.</t>
  </si>
  <si>
    <t>Mežmalas ielas seguma vienkāršotā atjaunošana, 0.22km, Alderi</t>
  </si>
  <si>
    <t>Atpūta, kultūra un reliģija</t>
  </si>
  <si>
    <t>Kultūra</t>
  </si>
  <si>
    <t>0841.1</t>
  </si>
  <si>
    <t>7.1.1.</t>
  </si>
  <si>
    <t xml:space="preserve">Ādažu kultūras centrs </t>
  </si>
  <si>
    <t>0841.2</t>
  </si>
  <si>
    <t>7.1.2.</t>
  </si>
  <si>
    <t>Tautas nams "Ozolaine" ©</t>
  </si>
  <si>
    <t>+ EUR 8'500 atbalstīts zemsv. aktivit. - Lielās zāles grīdas seguma remonts</t>
  </si>
  <si>
    <t>0841.3</t>
  </si>
  <si>
    <t>7.1.3.</t>
  </si>
  <si>
    <t>Muzejs un Carnikavas novadpētniecības centrs</t>
  </si>
  <si>
    <t>08412</t>
  </si>
  <si>
    <t>7.1.4.</t>
  </si>
  <si>
    <t>Tūrisms</t>
  </si>
  <si>
    <t>0844.1</t>
  </si>
  <si>
    <t>7.3.</t>
  </si>
  <si>
    <t>SAM 5.5.1. Kultūras objektu būvniecība (maksājumi projekta partneriem) ©</t>
  </si>
  <si>
    <t>AND trūkstošais finansējums uz, ko jāatmaksā citām pašv.</t>
  </si>
  <si>
    <t>0844.2</t>
  </si>
  <si>
    <t>7.4.</t>
  </si>
  <si>
    <t>ES projekts Eiropa pilsoņiem (diskriminētām personām) ©</t>
  </si>
  <si>
    <t>0830</t>
  </si>
  <si>
    <t>7.5.</t>
  </si>
  <si>
    <t xml:space="preserve">Ādažu bibliotēka </t>
  </si>
  <si>
    <t>0831</t>
  </si>
  <si>
    <t>7.6.</t>
  </si>
  <si>
    <t xml:space="preserve">Carnikavas bibliotēka </t>
  </si>
  <si>
    <t>7.8.</t>
  </si>
  <si>
    <t>Sporta daļa</t>
  </si>
  <si>
    <t>7.8.1.</t>
  </si>
  <si>
    <t>-  sporta funkcijas nodrošināšana</t>
  </si>
  <si>
    <t>Atalgojums, kas pāriet uz CKS</t>
  </si>
  <si>
    <t>EUR 43'878 Sporta centra uzturēšana, ko veic CKS</t>
  </si>
  <si>
    <t>Latvijas Jaunatnes Olimpiāde Valmierā - NENOTIKS</t>
  </si>
  <si>
    <t>7.8.2.</t>
  </si>
  <si>
    <t>- uzturēšanas izmaksas (CKS)</t>
  </si>
  <si>
    <t>0880</t>
  </si>
  <si>
    <t>7.9.</t>
  </si>
  <si>
    <t>Evaņģēliski luteriskās draudzes</t>
  </si>
  <si>
    <t>0843</t>
  </si>
  <si>
    <t>7.10.</t>
  </si>
  <si>
    <t>Multihalle</t>
  </si>
  <si>
    <t>Sociālā aizsardzība</t>
  </si>
  <si>
    <t>Sociālais dienests</t>
  </si>
  <si>
    <t>8.1.1.</t>
  </si>
  <si>
    <t xml:space="preserve">Sociālās funkcijas nodrošināšana </t>
  </si>
  <si>
    <t>8.1.2.</t>
  </si>
  <si>
    <t>Pabalsti</t>
  </si>
  <si>
    <t>8.1.3.</t>
  </si>
  <si>
    <t>Mērķdotācija</t>
  </si>
  <si>
    <t>8.1.5.</t>
  </si>
  <si>
    <t>Asistentu pakalpojumi</t>
  </si>
  <si>
    <t>8.1.6.</t>
  </si>
  <si>
    <t>Sociālā centra "Kadiķis" uzturēšana</t>
  </si>
  <si>
    <t>Stipendiāti / bezdarbnieki</t>
  </si>
  <si>
    <t>8.2.1.</t>
  </si>
  <si>
    <t>Domes finansējums</t>
  </si>
  <si>
    <t>8.2.2.</t>
  </si>
  <si>
    <t>NVA finansējums</t>
  </si>
  <si>
    <t>SAM 9311 Deinstitucionalizācija - Dienas centrs</t>
  </si>
  <si>
    <t>1014.3</t>
  </si>
  <si>
    <t>8.3.1.</t>
  </si>
  <si>
    <t>DI centra uzturēšanas izdevumi</t>
  </si>
  <si>
    <t>8.3.2.</t>
  </si>
  <si>
    <t>DI projekts- specializētās darbnīcas</t>
  </si>
  <si>
    <t>DI projekta KA</t>
  </si>
  <si>
    <t>1014.1</t>
  </si>
  <si>
    <t>8.3.3.</t>
  </si>
  <si>
    <t>DI centra pakalpojumi (projekts)</t>
  </si>
  <si>
    <t>8.4.</t>
  </si>
  <si>
    <t>Bāriņtiesa</t>
  </si>
  <si>
    <t>8.5.</t>
  </si>
  <si>
    <t>8.6.</t>
  </si>
  <si>
    <t>1013.1</t>
  </si>
  <si>
    <t>8.7.</t>
  </si>
  <si>
    <t>SAM 9.2.4.2. projekts "Pasākumi vietējās sabiedrības veselības veicināšanai Ādažu novada pašvaldības Ādažu pagastā"</t>
  </si>
  <si>
    <t>1013.2</t>
  </si>
  <si>
    <t>8.8.</t>
  </si>
  <si>
    <t>SAM 9.2.4.2. projekts "Pasākumi vietējās sabiedrības veselības veicināšanai Ādažu novada pašvaldības Carnikavas pagastā"</t>
  </si>
  <si>
    <t>Izglītība</t>
  </si>
  <si>
    <t>7210 (0940; 0970)</t>
  </si>
  <si>
    <t>9.1.</t>
  </si>
  <si>
    <t>Norēķini ar pašvaldību budžetiem par izglītības iestāžu pakalpojumiem</t>
  </si>
  <si>
    <t>9.2.</t>
  </si>
  <si>
    <t>Ādažu Pirmsskolas izglītības iestāde</t>
  </si>
  <si>
    <t>0911</t>
  </si>
  <si>
    <t>9.2.1.</t>
  </si>
  <si>
    <t>pedagogu algas, grāmatas (mērķdotācija)</t>
  </si>
  <si>
    <t>Mērķdotācijas KA</t>
  </si>
  <si>
    <t>MD 2024.gadam māc. līdz.iegāde</t>
  </si>
  <si>
    <t>0910</t>
  </si>
  <si>
    <t>9.2.2.</t>
  </si>
  <si>
    <t>pārējās izmaksas</t>
  </si>
  <si>
    <t>Atalgojums, kas pāriet uz CKS un algas korekcija, precizējot MD</t>
  </si>
  <si>
    <t>EUR 145'959 ĀPII uzturēšana, ko veic CKS</t>
  </si>
  <si>
    <t>9.2.3.</t>
  </si>
  <si>
    <t>uzturēšanas izmaksas (CKS)</t>
  </si>
  <si>
    <t>9.3.</t>
  </si>
  <si>
    <t>Kadagas PII</t>
  </si>
  <si>
    <t>0921</t>
  </si>
  <si>
    <t>9.3.1.</t>
  </si>
  <si>
    <t>0920</t>
  </si>
  <si>
    <t>9.3.2.</t>
  </si>
  <si>
    <t>EUR 64'977 KPII uzturēšana, ko veic CKS</t>
  </si>
  <si>
    <t>9.3.3.</t>
  </si>
  <si>
    <t>9.4.</t>
  </si>
  <si>
    <t>Pirmsskolas izglītības iestāde "Riekstiņš"</t>
  </si>
  <si>
    <t>09011</t>
  </si>
  <si>
    <t>9.4.1.</t>
  </si>
  <si>
    <t>MD mācību līdzekļiem 2024.gadam</t>
  </si>
  <si>
    <t>0901; 650_0901</t>
  </si>
  <si>
    <t>9.4.2.</t>
  </si>
  <si>
    <t>Grīdas kopšanas ierīces iegādi un Nosūces uzstādīšanu realizēs CKS</t>
  </si>
  <si>
    <t>9.4.3.</t>
  </si>
  <si>
    <t>0902; 650_0902</t>
  </si>
  <si>
    <t>9.5.</t>
  </si>
  <si>
    <t>Pirmsskolas izglītības iestādes "Piejūra"</t>
  </si>
  <si>
    <t>09021</t>
  </si>
  <si>
    <t>9.5.1.</t>
  </si>
  <si>
    <t>9.5.2.</t>
  </si>
  <si>
    <t>9.5.3.</t>
  </si>
  <si>
    <t>9.6.</t>
  </si>
  <si>
    <t>Privātās izglītības iestādes</t>
  </si>
  <si>
    <t>0970</t>
  </si>
  <si>
    <t>9.6.1.</t>
  </si>
  <si>
    <t>ĀBVS</t>
  </si>
  <si>
    <t>Prezizēta MD un Mērķdotācijas KA</t>
  </si>
  <si>
    <t>Koriģēts interešu izgl. finansējuma sadalījums EUR 49'310 no privātajiem īstenotājiem uz pašvald. Iestādēm un ĀBVS. (uz ĀVS EUR 22'060; uz CPS EUR 18425; uz ĀBVS EUR 8'825)</t>
  </si>
  <si>
    <t>0940</t>
  </si>
  <si>
    <t>9.6.2.</t>
  </si>
  <si>
    <t xml:space="preserve">Pārējās privātās PII </t>
  </si>
  <si>
    <t>9.6.3.</t>
  </si>
  <si>
    <t>Pārējās privātās vidējās izglītības iestādes</t>
  </si>
  <si>
    <t>9.7.</t>
  </si>
  <si>
    <t>Carnikavas pamatskola</t>
  </si>
  <si>
    <t>09821</t>
  </si>
  <si>
    <t>9.7.1.</t>
  </si>
  <si>
    <t>9.7.1.1.</t>
  </si>
  <si>
    <t>MD pedagogiem</t>
  </si>
  <si>
    <t>9.7.1.2.</t>
  </si>
  <si>
    <t>MD interešu izglītība</t>
  </si>
  <si>
    <t>9.7.1.3.</t>
  </si>
  <si>
    <t>MD mācību līdzekļiem</t>
  </si>
  <si>
    <t>9.7.2.</t>
  </si>
  <si>
    <t>ēdināšana (mērķdotācija)</t>
  </si>
  <si>
    <t>0982; 0650_0982</t>
  </si>
  <si>
    <t>9.7.3.</t>
  </si>
  <si>
    <t>Precizēts sadalījums starp pašvaldību un MD</t>
  </si>
  <si>
    <r>
      <rPr>
        <b/>
        <u/>
        <sz val="11"/>
        <rFont val="Times New Roman"/>
        <family val="1"/>
        <charset val="186"/>
      </rPr>
      <t>Protokoll. Iekš groz.:</t>
    </r>
    <r>
      <rPr>
        <sz val="11"/>
        <rFont val="Times New Roman"/>
        <family val="1"/>
        <charset val="186"/>
      </rPr>
      <t xml:space="preserve"> EUR 7'250 no EKK 2264 (multifunkcionālā printera noma uz EKK 5238 printeru iegādei)</t>
    </r>
  </si>
  <si>
    <t>9.7.4.</t>
  </si>
  <si>
    <t>09822</t>
  </si>
  <si>
    <t>9.7.5.</t>
  </si>
  <si>
    <t>projekts "Skolas soma"</t>
  </si>
  <si>
    <t>09825</t>
  </si>
  <si>
    <t>9.7.6.</t>
  </si>
  <si>
    <t>projekti Erasmus+; NordPlus</t>
  </si>
  <si>
    <t>EUR 27'100 Erasmus, NordPlus finansējums attiecināms uz Carnikavas pamatskolu nevis Ādažu vidusskolu</t>
  </si>
  <si>
    <t>0982</t>
  </si>
  <si>
    <t>9.7.7.</t>
  </si>
  <si>
    <t>mācību vides labiekārtošana</t>
  </si>
  <si>
    <t>09823</t>
  </si>
  <si>
    <t>9.8.</t>
  </si>
  <si>
    <t>KA (VK aizņēmums) un uz 2024.gadu pārceļamā summa, jo būvnieks navarēja pabeigt projektu, saskaņā ar līguma termiņiem</t>
  </si>
  <si>
    <t>9.9.</t>
  </si>
  <si>
    <t>Ādažu vidusskola</t>
  </si>
  <si>
    <t>9.9.1.</t>
  </si>
  <si>
    <t>9.9.1.1.</t>
  </si>
  <si>
    <t>9.9.1.2.</t>
  </si>
  <si>
    <t>9.9.1.3.</t>
  </si>
  <si>
    <t>0950</t>
  </si>
  <si>
    <t>9.9.2.</t>
  </si>
  <si>
    <t>Atalgojums, kas pāriet uz CKS; atalgojuma korekcija, dalot likmes MD</t>
  </si>
  <si>
    <t>EUR 146'203 ĀVS uzturēšana, ko veic CKS</t>
  </si>
  <si>
    <t>+ EUR 21'000 atbalstīts zemsv. aktivit. - 3 uzlādes skapju iegāde; 16 datoru iegāde obligātā mācību procesa nodrošināšanai</t>
  </si>
  <si>
    <t>9.9.3.</t>
  </si>
  <si>
    <t>1) EUR 10'919 no CKS teritorijas kopšanas nodaļas uz CKS AVS uzturēšanas nodaļu.
2) EUR 146'203 ĀVS uzturēšana, ko veic CKS</t>
  </si>
  <si>
    <t>0957</t>
  </si>
  <si>
    <t>9.9.4.</t>
  </si>
  <si>
    <t>projekts Erasmus+</t>
  </si>
  <si>
    <t>0951</t>
  </si>
  <si>
    <t>9.9.5.</t>
  </si>
  <si>
    <t>9.9.6.</t>
  </si>
  <si>
    <t>Decembra rēķins izrakstīts 30.12., samaksa pārceļas uz 2024.gadu</t>
  </si>
  <si>
    <t>9.9.7.</t>
  </si>
  <si>
    <t>0981</t>
  </si>
  <si>
    <t>9.9.8.</t>
  </si>
  <si>
    <t>sākumskolas uzturēšanas izmaksas</t>
  </si>
  <si>
    <t>Atalgojums, kas pāriet uz CKS; atalgojuma korekcija, dalot likes MD</t>
  </si>
  <si>
    <t>EUR 58'159 ĀVS sākumskolas uzturēšana, ko veic CKS</t>
  </si>
  <si>
    <t>9.9.9.</t>
  </si>
  <si>
    <t>sākumskolas uzturēšanas izmaksas (CKS)</t>
  </si>
  <si>
    <t>1) EUR 19'453 no CKS teritorijas kopšanas nodaļas uz CKS AVS sākumskolas uzturēšanas nodaļu.
2) EUR 58'159 ĀVS sākumskolas uzturēšana, ko veic CKS</t>
  </si>
  <si>
    <t>9.9.10.</t>
  </si>
  <si>
    <t>sākumskolas ēdināšana (mērķdotācija)</t>
  </si>
  <si>
    <t>9.9.11.</t>
  </si>
  <si>
    <t xml:space="preserve">PII </t>
  </si>
  <si>
    <t>0952.1</t>
  </si>
  <si>
    <t>9.9.11.1.</t>
  </si>
  <si>
    <t>- pedagogu algas, māc. līdzekļi (mērķdotācija)</t>
  </si>
  <si>
    <t>0952</t>
  </si>
  <si>
    <t>9.9.11.2.</t>
  </si>
  <si>
    <t>-  uzturēšana</t>
  </si>
  <si>
    <t>EUR 6'000 ĀVS uzturēšana, ko veic CKS</t>
  </si>
  <si>
    <t>9.9.11.3.</t>
  </si>
  <si>
    <t>1) EUR 6'705 no CKS teritorijas kopšanas nodaļas uz CKS AVS PII uzturēšanas nodaļu.
2) EUR 6'000 ĀVS uzturēšana, ko veic CKS</t>
  </si>
  <si>
    <t>9.10.</t>
  </si>
  <si>
    <t>Ādažu novada  Mākslu skola</t>
  </si>
  <si>
    <t>9.10.1.</t>
  </si>
  <si>
    <t>pedagogu algas (mērķdotācija)</t>
  </si>
  <si>
    <t>KA, precizēta MD</t>
  </si>
  <si>
    <t>9.10.2.</t>
  </si>
  <si>
    <t>Atalgojuma pieaugums pēc MD apstiprināšanas un algu tarifikācijas</t>
  </si>
  <si>
    <t>+ EUR 15'000 atbalstīts zemsv. aktivit. - sienu un durvju aiļu izbūve ar durvju uzst. Garā 20, mēbeļu un aprīkojuma iegāde</t>
  </si>
  <si>
    <t>9.11.</t>
  </si>
  <si>
    <t>Sporta skola</t>
  </si>
  <si>
    <t>Precizēta MD un pašvaldības finansējums atalgojumam</t>
  </si>
  <si>
    <t>09651</t>
  </si>
  <si>
    <t>9.11.1.</t>
  </si>
  <si>
    <t>0965</t>
  </si>
  <si>
    <t>9.11.2.</t>
  </si>
  <si>
    <t>Pašvaldības finansējums</t>
  </si>
  <si>
    <t>0930</t>
  </si>
  <si>
    <t>9.12.</t>
  </si>
  <si>
    <t>Izglītības un jaunatnes nodaļa</t>
  </si>
  <si>
    <t>9.13.</t>
  </si>
  <si>
    <t>Līdzfinansējums skolēnu dalībai konkursos</t>
  </si>
  <si>
    <t>0931</t>
  </si>
  <si>
    <t>9.14.</t>
  </si>
  <si>
    <t xml:space="preserve">ESF projekts Atbalsts priekšlaicīgas mācību pārtraukšanas samazināšanai © </t>
  </si>
  <si>
    <t>0932</t>
  </si>
  <si>
    <t>9.15.</t>
  </si>
  <si>
    <t>ESF projekts Karjeras atbalsts vispārējās un profesionālās izglītības iestādēs ©</t>
  </si>
  <si>
    <t>0933</t>
  </si>
  <si>
    <t>9.16.</t>
  </si>
  <si>
    <t>Valsts finansējums projektu konkursā "Atbalsts jaunatnes politikas īstenošanai vietējā līmenī"  projekts "Mobilais darbs ar jaunatni Ādažu novadā"</t>
  </si>
  <si>
    <t>0903</t>
  </si>
  <si>
    <t>9.17.</t>
  </si>
  <si>
    <t>Jaunas pirmsskolas izglītības iestādes Podniekos būvniecība</t>
  </si>
  <si>
    <t>9.18.</t>
  </si>
  <si>
    <t>0956</t>
  </si>
  <si>
    <t>9.18.1.</t>
  </si>
  <si>
    <t>Ādaži</t>
  </si>
  <si>
    <t>09824</t>
  </si>
  <si>
    <t>9.18.2.</t>
  </si>
  <si>
    <t>Carnikava</t>
  </si>
  <si>
    <t>10</t>
  </si>
  <si>
    <t>Ieguldījumi uzņēmumu pamatkapitālā</t>
  </si>
  <si>
    <t>SIA "Ādažu ūdens"</t>
  </si>
  <si>
    <t>SIA "Garkalnes ūdens"</t>
  </si>
  <si>
    <t>KOPĀ IZDEVUMI:</t>
  </si>
  <si>
    <t>Kredītu pamatsummas atmaksa</t>
  </si>
  <si>
    <t>EUR 37'335 Atskaitīts LAD finansējums Salas dambim (jāatgriež kredīts)
EUR 133'640 Atskaitīts LAD finansējums Lilastes stāvlaukumam (jāatgriež kredīts) + 67, lai nosegtu 2024. visu pamatsummu</t>
  </si>
  <si>
    <t>PAVISAM KOPĀ IZDEVUMI:</t>
  </si>
  <si>
    <t>-</t>
  </si>
  <si>
    <t>Naudas līdzekļu atlikums uz gada beigām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</si>
</sst>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_-* #,##0.000_-;\-* #,##0.000_-;_-* &quot;-&quot;??_-;_-@_-"/>
    <numFmt numFmtId="166" formatCode="0.0%"/>
  </numFmts>
  <fonts count="39" x14ac:knownFonts="1">
    <font>
      <sz val="11"/>
      <color indexed="8"/>
      <name val="Calibri"/>
      <family val="2"/>
      <charset val="186"/>
    </font>
    <font>
      <sz val="11"/>
      <color theme="1"/>
      <name val="Calibri"/>
      <family val="2"/>
      <charset val="186"/>
      <scheme val="minor"/>
    </font>
    <font>
      <sz val="11"/>
      <color indexed="8"/>
      <name val="Calibri"/>
      <family val="2"/>
      <charset val="186"/>
    </font>
    <font>
      <sz val="11"/>
      <name val="Calibri"/>
      <family val="2"/>
      <charset val="186"/>
      <scheme val="minor"/>
    </font>
    <font>
      <sz val="10"/>
      <name val="Arial"/>
      <family val="2"/>
      <charset val="186"/>
    </font>
    <font>
      <b/>
      <sz val="12"/>
      <name val="Calibri"/>
      <family val="2"/>
      <charset val="186"/>
      <scheme val="minor"/>
    </font>
    <font>
      <b/>
      <sz val="10"/>
      <name val="Calibri"/>
      <family val="2"/>
      <charset val="186"/>
      <scheme val="minor"/>
    </font>
    <font>
      <b/>
      <sz val="11"/>
      <name val="Calibri"/>
      <family val="2"/>
      <charset val="186"/>
      <scheme val="minor"/>
    </font>
    <font>
      <sz val="10"/>
      <name val="Calibri"/>
      <family val="2"/>
      <charset val="186"/>
      <scheme val="minor"/>
    </font>
    <font>
      <sz val="11"/>
      <name val="Calibri"/>
      <family val="2"/>
      <charset val="186"/>
    </font>
    <font>
      <b/>
      <sz val="10"/>
      <name val="Arial"/>
      <family val="2"/>
      <charset val="186"/>
    </font>
    <font>
      <sz val="9"/>
      <name val="Calibri"/>
      <family val="2"/>
      <charset val="186"/>
      <scheme val="minor"/>
    </font>
    <font>
      <i/>
      <sz val="11"/>
      <name val="Calibri"/>
      <family val="2"/>
      <charset val="186"/>
      <scheme val="minor"/>
    </font>
    <font>
      <b/>
      <sz val="9"/>
      <color indexed="81"/>
      <name val="Tahoma"/>
      <family val="2"/>
      <charset val="186"/>
    </font>
    <font>
      <sz val="9"/>
      <color indexed="81"/>
      <name val="Tahoma"/>
      <family val="2"/>
      <charset val="186"/>
    </font>
    <font>
      <b/>
      <sz val="14"/>
      <name val="Calibri"/>
      <family val="2"/>
      <charset val="186"/>
      <scheme val="minor"/>
    </font>
    <font>
      <b/>
      <sz val="11"/>
      <name val="Calibri"/>
      <family val="2"/>
      <charset val="186"/>
    </font>
    <font>
      <b/>
      <i/>
      <sz val="10"/>
      <name val="Calibri"/>
      <family val="2"/>
      <charset val="186"/>
      <scheme val="minor"/>
    </font>
    <font>
      <sz val="11"/>
      <name val="Times New Roman"/>
      <family val="1"/>
      <charset val="186"/>
    </font>
    <font>
      <b/>
      <sz val="20"/>
      <color indexed="8"/>
      <name val="Times New Roman"/>
      <family val="1"/>
      <charset val="186"/>
    </font>
    <font>
      <b/>
      <sz val="20"/>
      <color rgb="FFFF0000"/>
      <name val="Times New Roman"/>
      <family val="1"/>
      <charset val="186"/>
    </font>
    <font>
      <sz val="11"/>
      <color rgb="FFFF0000"/>
      <name val="Times New Roman"/>
      <family val="1"/>
      <charset val="186"/>
    </font>
    <font>
      <sz val="9"/>
      <color theme="1"/>
      <name val="Arial"/>
      <family val="2"/>
      <charset val="186"/>
    </font>
    <font>
      <b/>
      <sz val="16"/>
      <color theme="1"/>
      <name val="Times New Roman"/>
      <family val="1"/>
      <charset val="186"/>
    </font>
    <font>
      <b/>
      <sz val="11"/>
      <name val="Times New Roman"/>
      <family val="1"/>
      <charset val="186"/>
    </font>
    <font>
      <b/>
      <sz val="11"/>
      <color rgb="FFFF0000"/>
      <name val="Times New Roman"/>
      <family val="1"/>
      <charset val="186"/>
    </font>
    <font>
      <u/>
      <sz val="9"/>
      <color theme="10"/>
      <name val="Arial"/>
      <family val="2"/>
      <charset val="186"/>
    </font>
    <font>
      <sz val="11"/>
      <color indexed="8"/>
      <name val="Times New Roman"/>
      <family val="1"/>
      <charset val="186"/>
    </font>
    <font>
      <sz val="10"/>
      <name val="Times New Roman"/>
      <family val="1"/>
      <charset val="186"/>
    </font>
    <font>
      <sz val="10"/>
      <color rgb="FFFF0000"/>
      <name val="Times New Roman"/>
      <family val="1"/>
      <charset val="186"/>
    </font>
    <font>
      <sz val="11"/>
      <color indexed="10"/>
      <name val="Times New Roman"/>
      <family val="1"/>
      <charset val="186"/>
    </font>
    <font>
      <u/>
      <sz val="11"/>
      <name val="Times New Roman"/>
      <family val="1"/>
      <charset val="186"/>
    </font>
    <font>
      <b/>
      <u/>
      <sz val="11"/>
      <name val="Times New Roman"/>
      <family val="1"/>
      <charset val="186"/>
    </font>
    <font>
      <i/>
      <sz val="11"/>
      <name val="Times New Roman"/>
      <family val="1"/>
      <charset val="186"/>
    </font>
    <font>
      <i/>
      <sz val="11"/>
      <color rgb="FFFF0000"/>
      <name val="Times New Roman"/>
      <family val="1"/>
      <charset val="186"/>
    </font>
    <font>
      <i/>
      <sz val="11"/>
      <color indexed="8"/>
      <name val="Times New Roman"/>
      <family val="1"/>
      <charset val="186"/>
    </font>
    <font>
      <sz val="11"/>
      <color theme="3"/>
      <name val="Times New Roman"/>
      <family val="1"/>
      <charset val="186"/>
    </font>
    <font>
      <b/>
      <sz val="11"/>
      <color theme="3"/>
      <name val="Times New Roman"/>
      <family val="1"/>
      <charset val="186"/>
    </font>
    <font>
      <b/>
      <sz val="11"/>
      <name val="Times New Roman"/>
      <family val="1"/>
    </font>
  </fonts>
  <fills count="20">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5" tint="0.79998168889431442"/>
        <bgColor indexed="64"/>
      </patternFill>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theme="0" tint="-0.249977111117893"/>
        <bgColor indexed="64"/>
      </patternFill>
    </fill>
    <fill>
      <patternFill patternType="solid">
        <fgColor indexed="47"/>
        <bgColor indexed="64"/>
      </patternFill>
    </fill>
    <fill>
      <patternFill patternType="solid">
        <fgColor rgb="FFFFFF99"/>
        <bgColor indexed="64"/>
      </patternFill>
    </fill>
    <fill>
      <patternFill patternType="solid">
        <fgColor indexed="42"/>
        <bgColor indexed="64"/>
      </patternFill>
    </fill>
    <fill>
      <patternFill patternType="solid">
        <fgColor rgb="FF00B0F0"/>
        <bgColor indexed="64"/>
      </patternFill>
    </fill>
    <fill>
      <patternFill patternType="solid">
        <fgColor rgb="FFFFFFCC"/>
        <bgColor indexed="64"/>
      </patternFill>
    </fill>
    <fill>
      <patternFill patternType="solid">
        <fgColor theme="4" tint="0.79998168889431442"/>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15">
    <xf numFmtId="0" fontId="0" fillId="0" borderId="0"/>
    <xf numFmtId="43" fontId="4" fillId="0" borderId="0" applyFill="0" applyBorder="0" applyAlignment="0" applyProtection="0"/>
    <xf numFmtId="9" fontId="2" fillId="0" borderId="0" applyFont="0" applyFill="0" applyBorder="0" applyAlignment="0" applyProtection="0"/>
    <xf numFmtId="0" fontId="1" fillId="0" borderId="0"/>
    <xf numFmtId="0" fontId="4" fillId="0" borderId="0"/>
    <xf numFmtId="0" fontId="1" fillId="0" borderId="0"/>
    <xf numFmtId="0" fontId="1" fillId="0" borderId="0"/>
    <xf numFmtId="43" fontId="22"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43" fontId="2" fillId="0" borderId="0" applyFont="0" applyFill="0" applyBorder="0" applyAlignment="0" applyProtection="0"/>
    <xf numFmtId="0" fontId="26" fillId="0" borderId="0" applyNumberFormat="0" applyFill="0" applyBorder="0" applyAlignment="0" applyProtection="0"/>
    <xf numFmtId="0" fontId="4" fillId="0" borderId="0"/>
    <xf numFmtId="9" fontId="2" fillId="0" borderId="0" applyFont="0" applyFill="0" applyBorder="0" applyAlignment="0" applyProtection="0"/>
    <xf numFmtId="0" fontId="22" fillId="0" borderId="0"/>
  </cellStyleXfs>
  <cellXfs count="382">
    <xf numFmtId="0" fontId="0" fillId="0" borderId="0" xfId="0"/>
    <xf numFmtId="0" fontId="3" fillId="0" borderId="0" xfId="0" applyFont="1"/>
    <xf numFmtId="0" fontId="5" fillId="0" borderId="0" xfId="4" applyFont="1"/>
    <xf numFmtId="0" fontId="6" fillId="0" borderId="0" xfId="4" applyFont="1"/>
    <xf numFmtId="0" fontId="7" fillId="2" borderId="0" xfId="0" applyFont="1" applyFill="1"/>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0" borderId="3" xfId="0" applyFont="1" applyBorder="1"/>
    <xf numFmtId="164" fontId="8" fillId="0" borderId="3" xfId="1" applyNumberFormat="1" applyFont="1" applyBorder="1"/>
    <xf numFmtId="164" fontId="6" fillId="0" borderId="3" xfId="1" applyNumberFormat="1" applyFont="1" applyBorder="1"/>
    <xf numFmtId="165" fontId="6" fillId="0" borderId="3" xfId="1" applyNumberFormat="1" applyFont="1" applyBorder="1"/>
    <xf numFmtId="164" fontId="6" fillId="0" borderId="5" xfId="1" applyNumberFormat="1" applyFont="1" applyBorder="1"/>
    <xf numFmtId="164" fontId="6" fillId="0" borderId="4" xfId="1" applyNumberFormat="1" applyFont="1" applyBorder="1"/>
    <xf numFmtId="164" fontId="6" fillId="4" borderId="5" xfId="1" applyNumberFormat="1" applyFont="1" applyFill="1" applyBorder="1"/>
    <xf numFmtId="0" fontId="8" fillId="0" borderId="6" xfId="0" applyFont="1" applyBorder="1"/>
    <xf numFmtId="164" fontId="8" fillId="0" borderId="6" xfId="1" applyNumberFormat="1" applyFont="1" applyBorder="1"/>
    <xf numFmtId="165" fontId="8" fillId="0" borderId="6" xfId="1" applyNumberFormat="1" applyFont="1" applyBorder="1"/>
    <xf numFmtId="164" fontId="8" fillId="0" borderId="8" xfId="1" applyNumberFormat="1" applyFont="1" applyBorder="1"/>
    <xf numFmtId="164" fontId="8" fillId="0" borderId="7" xfId="1" applyNumberFormat="1" applyFont="1" applyBorder="1"/>
    <xf numFmtId="164" fontId="8" fillId="4" borderId="8" xfId="1" applyNumberFormat="1" applyFont="1" applyFill="1" applyBorder="1"/>
    <xf numFmtId="164" fontId="8" fillId="0" borderId="6" xfId="1" applyNumberFormat="1" applyFont="1" applyFill="1" applyBorder="1"/>
    <xf numFmtId="165" fontId="8" fillId="5" borderId="6" xfId="1" applyNumberFormat="1" applyFont="1" applyFill="1" applyBorder="1"/>
    <xf numFmtId="0" fontId="9" fillId="0" borderId="3" xfId="0" applyFont="1" applyBorder="1"/>
    <xf numFmtId="164" fontId="10" fillId="0" borderId="3" xfId="1" applyNumberFormat="1" applyFont="1" applyBorder="1"/>
    <xf numFmtId="165" fontId="10" fillId="0" borderId="3" xfId="1" applyNumberFormat="1" applyFont="1" applyBorder="1"/>
    <xf numFmtId="164" fontId="10" fillId="0" borderId="5" xfId="1" applyNumberFormat="1" applyFont="1" applyBorder="1"/>
    <xf numFmtId="164" fontId="10" fillId="0" borderId="4" xfId="1" applyNumberFormat="1" applyFont="1" applyBorder="1"/>
    <xf numFmtId="164" fontId="10" fillId="4" borderId="5" xfId="1" applyNumberFormat="1" applyFont="1" applyFill="1" applyBorder="1"/>
    <xf numFmtId="0" fontId="9" fillId="0" borderId="6" xfId="0" applyFont="1" applyBorder="1"/>
    <xf numFmtId="164" fontId="8" fillId="6" borderId="8" xfId="1" applyNumberFormat="1" applyFont="1" applyFill="1" applyBorder="1"/>
    <xf numFmtId="164" fontId="6" fillId="6" borderId="5" xfId="1" applyNumberFormat="1" applyFont="1" applyFill="1" applyBorder="1"/>
    <xf numFmtId="0" fontId="8" fillId="0" borderId="0" xfId="0" applyFont="1"/>
    <xf numFmtId="164" fontId="8" fillId="0" borderId="0" xfId="1" applyNumberFormat="1" applyFont="1" applyBorder="1"/>
    <xf numFmtId="165" fontId="8" fillId="0" borderId="0" xfId="1" applyNumberFormat="1" applyFont="1" applyBorder="1"/>
    <xf numFmtId="164" fontId="6" fillId="6" borderId="10" xfId="1" applyNumberFormat="1" applyFont="1" applyFill="1" applyBorder="1"/>
    <xf numFmtId="164" fontId="8" fillId="0" borderId="10" xfId="1" applyNumberFormat="1" applyFont="1" applyBorder="1"/>
    <xf numFmtId="164" fontId="8" fillId="6" borderId="10" xfId="1" applyNumberFormat="1" applyFont="1" applyFill="1" applyBorder="1"/>
    <xf numFmtId="164" fontId="6" fillId="0" borderId="3" xfId="1" applyNumberFormat="1" applyFont="1" applyFill="1" applyBorder="1"/>
    <xf numFmtId="0" fontId="7" fillId="0" borderId="3" xfId="0" applyFont="1" applyBorder="1"/>
    <xf numFmtId="0" fontId="6" fillId="0" borderId="4" xfId="0" applyFont="1" applyBorder="1"/>
    <xf numFmtId="0" fontId="6" fillId="0" borderId="3" xfId="0" applyFont="1" applyBorder="1"/>
    <xf numFmtId="14" fontId="8" fillId="0" borderId="3" xfId="0" applyNumberFormat="1" applyFont="1" applyBorder="1"/>
    <xf numFmtId="165" fontId="6" fillId="0" borderId="5" xfId="1" applyNumberFormat="1" applyFont="1" applyBorder="1"/>
    <xf numFmtId="0" fontId="7" fillId="0" borderId="0" xfId="0" applyFont="1"/>
    <xf numFmtId="164" fontId="7" fillId="0" borderId="0" xfId="0" applyNumberFormat="1" applyFont="1"/>
    <xf numFmtId="0" fontId="3" fillId="0" borderId="6" xfId="0" applyFont="1" applyBorder="1"/>
    <xf numFmtId="0" fontId="8" fillId="0" borderId="7" xfId="0" applyFont="1" applyBorder="1"/>
    <xf numFmtId="0" fontId="6" fillId="0" borderId="6" xfId="0" applyFont="1" applyBorder="1"/>
    <xf numFmtId="165" fontId="8" fillId="0" borderId="8" xfId="1" applyNumberFormat="1" applyFont="1" applyBorder="1"/>
    <xf numFmtId="164" fontId="8" fillId="0" borderId="0" xfId="1" applyNumberFormat="1" applyFont="1" applyFill="1" applyBorder="1"/>
    <xf numFmtId="165" fontId="8" fillId="0" borderId="0" xfId="1" applyNumberFormat="1" applyFont="1" applyFill="1" applyBorder="1"/>
    <xf numFmtId="165" fontId="11" fillId="0" borderId="0" xfId="1" applyNumberFormat="1" applyFont="1" applyFill="1" applyBorder="1"/>
    <xf numFmtId="164" fontId="7" fillId="3" borderId="0" xfId="0" applyNumberFormat="1" applyFont="1" applyFill="1"/>
    <xf numFmtId="165" fontId="6" fillId="0" borderId="0" xfId="1" applyNumberFormat="1" applyFont="1" applyFill="1" applyBorder="1" applyAlignment="1">
      <alignment horizontal="right"/>
    </xf>
    <xf numFmtId="164" fontId="6" fillId="7" borderId="5" xfId="1" applyNumberFormat="1" applyFont="1" applyFill="1" applyBorder="1"/>
    <xf numFmtId="165" fontId="8" fillId="0" borderId="0" xfId="1" applyNumberFormat="1" applyFont="1" applyFill="1" applyBorder="1" applyAlignment="1">
      <alignment horizontal="right"/>
    </xf>
    <xf numFmtId="164" fontId="8" fillId="7" borderId="8" xfId="1" applyNumberFormat="1" applyFont="1" applyFill="1" applyBorder="1"/>
    <xf numFmtId="164" fontId="7" fillId="7" borderId="8" xfId="0" applyNumberFormat="1" applyFont="1" applyFill="1" applyBorder="1"/>
    <xf numFmtId="0" fontId="7" fillId="0" borderId="0" xfId="0" applyFont="1" applyAlignment="1">
      <alignment wrapText="1"/>
    </xf>
    <xf numFmtId="164" fontId="3" fillId="0" borderId="0" xfId="0" applyNumberFormat="1" applyFont="1"/>
    <xf numFmtId="0" fontId="6" fillId="0" borderId="0" xfId="0" applyFont="1"/>
    <xf numFmtId="0" fontId="6" fillId="0" borderId="0" xfId="0" applyFont="1" applyAlignment="1">
      <alignment horizontal="right"/>
    </xf>
    <xf numFmtId="164" fontId="6" fillId="7" borderId="8" xfId="0" applyNumberFormat="1" applyFont="1" applyFill="1" applyBorder="1"/>
    <xf numFmtId="164" fontId="6" fillId="7" borderId="2" xfId="1" applyNumberFormat="1" applyFont="1" applyFill="1" applyBorder="1"/>
    <xf numFmtId="164" fontId="6" fillId="7" borderId="2" xfId="0" applyNumberFormat="1" applyFont="1" applyFill="1" applyBorder="1"/>
    <xf numFmtId="0" fontId="3" fillId="0" borderId="0" xfId="4" applyFont="1" applyAlignment="1">
      <alignment horizontal="right"/>
    </xf>
    <xf numFmtId="164" fontId="3" fillId="0" borderId="10" xfId="0" applyNumberFormat="1" applyFont="1" applyBorder="1"/>
    <xf numFmtId="164" fontId="6" fillId="4" borderId="10" xfId="1" applyNumberFormat="1" applyFont="1" applyFill="1" applyBorder="1"/>
    <xf numFmtId="0" fontId="7" fillId="0" borderId="0" xfId="0" applyFont="1" applyAlignment="1">
      <alignment horizontal="right"/>
    </xf>
    <xf numFmtId="164" fontId="7" fillId="7" borderId="2" xfId="0" applyNumberFormat="1" applyFont="1" applyFill="1" applyBorder="1"/>
    <xf numFmtId="166" fontId="7" fillId="0" borderId="0" xfId="2" applyNumberFormat="1" applyFont="1" applyFill="1"/>
    <xf numFmtId="0" fontId="12" fillId="0" borderId="0" xfId="4" applyFont="1" applyAlignment="1">
      <alignment horizontal="right"/>
    </xf>
    <xf numFmtId="164" fontId="6" fillId="9" borderId="0" xfId="1" applyNumberFormat="1" applyFont="1" applyFill="1"/>
    <xf numFmtId="164" fontId="8" fillId="0" borderId="0" xfId="1" applyNumberFormat="1" applyFont="1" applyAlignment="1">
      <alignment horizontal="right"/>
    </xf>
    <xf numFmtId="0" fontId="15" fillId="0" borderId="0" xfId="3" applyFont="1"/>
    <xf numFmtId="0" fontId="7" fillId="0" borderId="0" xfId="0" applyFont="1" applyAlignment="1">
      <alignment horizontal="center"/>
    </xf>
    <xf numFmtId="164" fontId="7" fillId="0" borderId="0" xfId="0" applyNumberFormat="1" applyFont="1" applyAlignment="1">
      <alignment horizontal="center"/>
    </xf>
    <xf numFmtId="1" fontId="3" fillId="0" borderId="0" xfId="0" applyNumberFormat="1" applyFont="1"/>
    <xf numFmtId="0" fontId="3" fillId="0" borderId="0" xfId="0" applyFont="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3" fillId="0" borderId="3" xfId="0" applyFont="1" applyBorder="1" applyAlignment="1">
      <alignment horizontal="center" vertical="center"/>
    </xf>
    <xf numFmtId="164" fontId="8" fillId="0" borderId="0" xfId="0" applyNumberFormat="1" applyFont="1"/>
    <xf numFmtId="0" fontId="16" fillId="0" borderId="0" xfId="0" applyFont="1"/>
    <xf numFmtId="0" fontId="16" fillId="0" borderId="3" xfId="0" applyFont="1" applyBorder="1"/>
    <xf numFmtId="164" fontId="4" fillId="0" borderId="3" xfId="1" applyNumberFormat="1" applyBorder="1"/>
    <xf numFmtId="0" fontId="16" fillId="0" borderId="6" xfId="0" applyFont="1" applyBorder="1"/>
    <xf numFmtId="164" fontId="4" fillId="0" borderId="6" xfId="1" applyNumberFormat="1" applyBorder="1"/>
    <xf numFmtId="165" fontId="4" fillId="0" borderId="6" xfId="1" applyNumberFormat="1" applyBorder="1"/>
    <xf numFmtId="164" fontId="4" fillId="0" borderId="8" xfId="1" applyNumberFormat="1" applyBorder="1"/>
    <xf numFmtId="164" fontId="4" fillId="0" borderId="7" xfId="1" applyNumberFormat="1" applyBorder="1"/>
    <xf numFmtId="164" fontId="4" fillId="4" borderId="8" xfId="1" applyNumberFormat="1" applyFill="1" applyBorder="1"/>
    <xf numFmtId="0" fontId="9" fillId="0" borderId="0" xfId="0" applyFont="1"/>
    <xf numFmtId="165" fontId="8" fillId="0" borderId="3" xfId="1" applyNumberFormat="1" applyFont="1" applyBorder="1"/>
    <xf numFmtId="0" fontId="6" fillId="0" borderId="7" xfId="0" applyFont="1" applyBorder="1"/>
    <xf numFmtId="164" fontId="8" fillId="0" borderId="3" xfId="1" applyNumberFormat="1" applyFont="1" applyFill="1" applyBorder="1"/>
    <xf numFmtId="165" fontId="8" fillId="0" borderId="3" xfId="1" applyNumberFormat="1" applyFont="1" applyFill="1" applyBorder="1"/>
    <xf numFmtId="165" fontId="6" fillId="0" borderId="3" xfId="1" applyNumberFormat="1" applyFont="1" applyFill="1" applyBorder="1"/>
    <xf numFmtId="165" fontId="6" fillId="0" borderId="5" xfId="1" applyNumberFormat="1" applyFont="1" applyFill="1" applyBorder="1"/>
    <xf numFmtId="164" fontId="6" fillId="0" borderId="5" xfId="1" applyNumberFormat="1" applyFont="1" applyFill="1" applyBorder="1"/>
    <xf numFmtId="164" fontId="6" fillId="0" borderId="4" xfId="1" applyNumberFormat="1" applyFont="1" applyFill="1" applyBorder="1"/>
    <xf numFmtId="165" fontId="8" fillId="0" borderId="6" xfId="1" applyNumberFormat="1" applyFont="1" applyFill="1" applyBorder="1"/>
    <xf numFmtId="165" fontId="8" fillId="0" borderId="8" xfId="1" applyNumberFormat="1" applyFont="1" applyFill="1" applyBorder="1"/>
    <xf numFmtId="164" fontId="8" fillId="0" borderId="8" xfId="1" applyNumberFormat="1" applyFont="1" applyFill="1" applyBorder="1"/>
    <xf numFmtId="164" fontId="8" fillId="0" borderId="7" xfId="1" applyNumberFormat="1" applyFont="1" applyFill="1" applyBorder="1"/>
    <xf numFmtId="164" fontId="8" fillId="0" borderId="6" xfId="0" applyNumberFormat="1" applyFont="1" applyBorder="1"/>
    <xf numFmtId="165" fontId="7" fillId="3" borderId="0" xfId="0" applyNumberFormat="1" applyFont="1" applyFill="1"/>
    <xf numFmtId="165" fontId="7" fillId="0" borderId="0" xfId="0" applyNumberFormat="1" applyFont="1"/>
    <xf numFmtId="0" fontId="3" fillId="8" borderId="0" xfId="0" applyFont="1" applyFill="1"/>
    <xf numFmtId="164" fontId="3" fillId="8" borderId="0" xfId="0" applyNumberFormat="1" applyFont="1" applyFill="1"/>
    <xf numFmtId="14" fontId="6" fillId="0" borderId="3" xfId="0" applyNumberFormat="1" applyFont="1" applyBorder="1"/>
    <xf numFmtId="164" fontId="17" fillId="0" borderId="0" xfId="1" applyNumberFormat="1" applyFont="1"/>
    <xf numFmtId="0" fontId="12" fillId="0" borderId="0" xfId="0" applyFont="1"/>
    <xf numFmtId="166" fontId="12" fillId="0" borderId="0" xfId="2" applyNumberFormat="1" applyFont="1"/>
    <xf numFmtId="166" fontId="3" fillId="0" borderId="0" xfId="2" applyNumberFormat="1" applyFont="1"/>
    <xf numFmtId="164" fontId="4" fillId="0" borderId="0" xfId="1" applyNumberFormat="1"/>
    <xf numFmtId="9" fontId="3" fillId="0" borderId="0" xfId="0" applyNumberFormat="1" applyFont="1"/>
    <xf numFmtId="164" fontId="8" fillId="0" borderId="0" xfId="1" applyNumberFormat="1" applyFont="1"/>
    <xf numFmtId="0" fontId="6" fillId="0" borderId="9" xfId="0" applyFont="1" applyBorder="1"/>
    <xf numFmtId="166" fontId="7" fillId="0" borderId="2" xfId="2" applyNumberFormat="1" applyFont="1" applyFill="1" applyBorder="1"/>
    <xf numFmtId="0" fontId="18" fillId="0" borderId="0" xfId="5" applyFont="1"/>
    <xf numFmtId="0" fontId="19" fillId="0" borderId="0" xfId="6" applyFont="1"/>
    <xf numFmtId="0" fontId="20" fillId="0" borderId="0" xfId="6" applyFont="1"/>
    <xf numFmtId="0" fontId="18" fillId="0" borderId="0" xfId="5" applyFont="1" applyAlignment="1">
      <alignment wrapText="1"/>
    </xf>
    <xf numFmtId="0" fontId="21" fillId="0" borderId="0" xfId="5" applyFont="1" applyAlignment="1">
      <alignment wrapText="1"/>
    </xf>
    <xf numFmtId="164" fontId="21" fillId="0" borderId="0" xfId="7" applyNumberFormat="1" applyFont="1" applyAlignment="1">
      <alignment wrapText="1"/>
    </xf>
    <xf numFmtId="164" fontId="18" fillId="0" borderId="0" xfId="7" applyNumberFormat="1" applyFont="1" applyAlignment="1">
      <alignment wrapText="1"/>
    </xf>
    <xf numFmtId="9" fontId="21" fillId="0" borderId="0" xfId="8" applyFont="1" applyAlignment="1">
      <alignment wrapText="1"/>
    </xf>
    <xf numFmtId="9" fontId="18" fillId="0" borderId="0" xfId="8" applyFont="1" applyAlignment="1">
      <alignment wrapText="1"/>
    </xf>
    <xf numFmtId="3" fontId="18" fillId="0" borderId="0" xfId="5" applyNumberFormat="1" applyFont="1"/>
    <xf numFmtId="164" fontId="21" fillId="0" borderId="0" xfId="7" applyNumberFormat="1" applyFont="1"/>
    <xf numFmtId="164" fontId="18" fillId="0" borderId="0" xfId="7" applyNumberFormat="1" applyFont="1"/>
    <xf numFmtId="1" fontId="21" fillId="0" borderId="0" xfId="8" applyNumberFormat="1" applyFont="1" applyFill="1"/>
    <xf numFmtId="1" fontId="18" fillId="0" borderId="0" xfId="8" applyNumberFormat="1" applyFont="1" applyFill="1"/>
    <xf numFmtId="164" fontId="24" fillId="0" borderId="0" xfId="10" applyNumberFormat="1" applyFont="1"/>
    <xf numFmtId="164" fontId="25" fillId="0" borderId="0" xfId="7" applyNumberFormat="1" applyFont="1"/>
    <xf numFmtId="164" fontId="24" fillId="0" borderId="0" xfId="7" applyNumberFormat="1" applyFont="1"/>
    <xf numFmtId="9" fontId="21" fillId="0" borderId="0" xfId="8" applyFont="1"/>
    <xf numFmtId="9" fontId="18" fillId="0" borderId="0" xfId="8" applyFont="1"/>
    <xf numFmtId="0" fontId="26" fillId="0" borderId="0" xfId="11"/>
    <xf numFmtId="0" fontId="24" fillId="0" borderId="11" xfId="5" applyFont="1" applyBorder="1" applyAlignment="1">
      <alignment horizontal="center" vertical="center"/>
    </xf>
    <xf numFmtId="0" fontId="24" fillId="0" borderId="12" xfId="5" applyFont="1" applyBorder="1" applyAlignment="1">
      <alignment horizontal="center" vertical="center" wrapText="1"/>
    </xf>
    <xf numFmtId="0" fontId="24" fillId="0" borderId="13" xfId="12" applyFont="1" applyBorder="1" applyAlignment="1">
      <alignment horizontal="center" vertical="center" wrapText="1"/>
    </xf>
    <xf numFmtId="164" fontId="24" fillId="0" borderId="13" xfId="7" applyNumberFormat="1" applyFont="1" applyBorder="1" applyAlignment="1">
      <alignment horizontal="center" vertical="center" wrapText="1"/>
    </xf>
    <xf numFmtId="9" fontId="25" fillId="0" borderId="13" xfId="8" applyFont="1" applyBorder="1" applyAlignment="1">
      <alignment horizontal="center" vertical="center" wrapText="1"/>
    </xf>
    <xf numFmtId="9" fontId="24" fillId="0" borderId="13" xfId="8" applyFont="1" applyBorder="1" applyAlignment="1">
      <alignment horizontal="center" vertical="center" wrapText="1"/>
    </xf>
    <xf numFmtId="0" fontId="24" fillId="10" borderId="14" xfId="5" applyFont="1" applyFill="1" applyBorder="1"/>
    <xf numFmtId="0" fontId="24" fillId="10" borderId="8" xfId="5" applyFont="1" applyFill="1" applyBorder="1" applyAlignment="1">
      <alignment wrapText="1"/>
    </xf>
    <xf numFmtId="164" fontId="24" fillId="10" borderId="15" xfId="7" applyNumberFormat="1" applyFont="1" applyFill="1" applyBorder="1"/>
    <xf numFmtId="3" fontId="24" fillId="10" borderId="15" xfId="5" applyNumberFormat="1" applyFont="1" applyFill="1" applyBorder="1"/>
    <xf numFmtId="9" fontId="21" fillId="10" borderId="15" xfId="8" applyFont="1" applyFill="1" applyBorder="1" applyAlignment="1">
      <alignment wrapText="1"/>
    </xf>
    <xf numFmtId="9" fontId="18" fillId="10" borderId="15" xfId="8" applyFont="1" applyFill="1" applyBorder="1" applyAlignment="1">
      <alignment wrapText="1"/>
    </xf>
    <xf numFmtId="0" fontId="24" fillId="11" borderId="14" xfId="5" quotePrefix="1" applyFont="1" applyFill="1" applyBorder="1"/>
    <xf numFmtId="0" fontId="24" fillId="11" borderId="8" xfId="5" applyFont="1" applyFill="1" applyBorder="1" applyAlignment="1">
      <alignment wrapText="1"/>
    </xf>
    <xf numFmtId="3" fontId="24" fillId="11" borderId="15" xfId="5" applyNumberFormat="1" applyFont="1" applyFill="1" applyBorder="1"/>
    <xf numFmtId="164" fontId="24" fillId="11" borderId="15" xfId="7" applyNumberFormat="1" applyFont="1" applyFill="1" applyBorder="1"/>
    <xf numFmtId="9" fontId="25" fillId="11" borderId="15" xfId="8" applyFont="1" applyFill="1" applyBorder="1"/>
    <xf numFmtId="9" fontId="24" fillId="11" borderId="15" xfId="8" applyFont="1" applyFill="1" applyBorder="1"/>
    <xf numFmtId="0" fontId="27" fillId="0" borderId="0" xfId="5" applyFont="1"/>
    <xf numFmtId="0" fontId="18" fillId="0" borderId="16" xfId="5" applyFont="1" applyBorder="1" applyAlignment="1">
      <alignment horizontal="left" indent="1"/>
    </xf>
    <xf numFmtId="0" fontId="18" fillId="0" borderId="2" xfId="5" applyFont="1" applyBorder="1" applyAlignment="1">
      <alignment horizontal="left" wrapText="1" indent="2"/>
    </xf>
    <xf numFmtId="3" fontId="18" fillId="0" borderId="17" xfId="5" applyNumberFormat="1" applyFont="1" applyBorder="1"/>
    <xf numFmtId="164" fontId="18" fillId="0" borderId="17" xfId="7" applyNumberFormat="1" applyFont="1" applyBorder="1"/>
    <xf numFmtId="9" fontId="21" fillId="0" borderId="17" xfId="8" applyFont="1" applyFill="1" applyBorder="1"/>
    <xf numFmtId="9" fontId="18" fillId="0" borderId="17" xfId="8" applyFont="1" applyFill="1" applyBorder="1"/>
    <xf numFmtId="3" fontId="21" fillId="0" borderId="17" xfId="5" applyNumberFormat="1" applyFont="1" applyBorder="1"/>
    <xf numFmtId="0" fontId="24" fillId="11" borderId="16" xfId="5" applyFont="1" applyFill="1" applyBorder="1"/>
    <xf numFmtId="0" fontId="24" fillId="11" borderId="2" xfId="5" applyFont="1" applyFill="1" applyBorder="1" applyAlignment="1">
      <alignment wrapText="1"/>
    </xf>
    <xf numFmtId="3" fontId="24" fillId="11" borderId="17" xfId="5" applyNumberFormat="1" applyFont="1" applyFill="1" applyBorder="1"/>
    <xf numFmtId="164" fontId="24" fillId="11" borderId="17" xfId="7" applyNumberFormat="1" applyFont="1" applyFill="1" applyBorder="1"/>
    <xf numFmtId="9" fontId="25" fillId="11" borderId="17" xfId="8" applyFont="1" applyFill="1" applyBorder="1"/>
    <xf numFmtId="9" fontId="24" fillId="11" borderId="17" xfId="8" applyFont="1" applyFill="1" applyBorder="1"/>
    <xf numFmtId="3" fontId="25" fillId="11" borderId="17" xfId="5" applyNumberFormat="1" applyFont="1" applyFill="1" applyBorder="1"/>
    <xf numFmtId="9" fontId="21" fillId="0" borderId="17" xfId="8" applyFont="1" applyBorder="1"/>
    <xf numFmtId="9" fontId="18" fillId="0" borderId="17" xfId="8" applyFont="1" applyBorder="1"/>
    <xf numFmtId="9" fontId="21" fillId="0" borderId="18" xfId="8" applyFont="1" applyFill="1" applyBorder="1"/>
    <xf numFmtId="9" fontId="18" fillId="0" borderId="18" xfId="8" applyFont="1" applyFill="1" applyBorder="1"/>
    <xf numFmtId="0" fontId="1" fillId="0" borderId="0" xfId="5"/>
    <xf numFmtId="9" fontId="21" fillId="0" borderId="18" xfId="8" applyFont="1" applyFill="1" applyBorder="1" applyAlignment="1">
      <alignment wrapText="1"/>
    </xf>
    <xf numFmtId="9" fontId="18" fillId="0" borderId="18" xfId="8" applyFont="1" applyFill="1" applyBorder="1" applyAlignment="1">
      <alignment wrapText="1"/>
    </xf>
    <xf numFmtId="0" fontId="28" fillId="0" borderId="16" xfId="5" applyFont="1" applyBorder="1" applyAlignment="1">
      <alignment horizontal="left" indent="2"/>
    </xf>
    <xf numFmtId="0" fontId="28" fillId="0" borderId="2" xfId="5" applyFont="1" applyBorder="1" applyAlignment="1">
      <alignment horizontal="left" wrapText="1" indent="3"/>
    </xf>
    <xf numFmtId="0" fontId="27" fillId="0" borderId="0" xfId="5" quotePrefix="1" applyFont="1"/>
    <xf numFmtId="9" fontId="21" fillId="11" borderId="17" xfId="8" applyFont="1" applyFill="1" applyBorder="1" applyAlignment="1">
      <alignment wrapText="1"/>
    </xf>
    <xf numFmtId="9" fontId="18" fillId="11" borderId="17" xfId="8" applyFont="1" applyFill="1" applyBorder="1" applyAlignment="1">
      <alignment wrapText="1"/>
    </xf>
    <xf numFmtId="0" fontId="18" fillId="12" borderId="2" xfId="5" applyFont="1" applyFill="1" applyBorder="1" applyAlignment="1">
      <alignment horizontal="left" wrapText="1" indent="2"/>
    </xf>
    <xf numFmtId="9" fontId="21" fillId="0" borderId="17" xfId="8" applyFont="1" applyFill="1" applyBorder="1" applyAlignment="1">
      <alignment wrapText="1"/>
    </xf>
    <xf numFmtId="9" fontId="18" fillId="0" borderId="17" xfId="8" applyFont="1" applyFill="1" applyBorder="1" applyAlignment="1">
      <alignment wrapText="1"/>
    </xf>
    <xf numFmtId="0" fontId="24" fillId="11" borderId="16" xfId="5" quotePrefix="1" applyFont="1" applyFill="1" applyBorder="1"/>
    <xf numFmtId="0" fontId="18" fillId="10" borderId="16" xfId="5" applyFont="1" applyFill="1" applyBorder="1" applyAlignment="1">
      <alignment horizontal="left" indent="1"/>
    </xf>
    <xf numFmtId="0" fontId="18" fillId="10" borderId="2" xfId="5" applyFont="1" applyFill="1" applyBorder="1" applyAlignment="1">
      <alignment horizontal="left" wrapText="1" indent="2"/>
    </xf>
    <xf numFmtId="3" fontId="18" fillId="10" borderId="17" xfId="5" applyNumberFormat="1" applyFont="1" applyFill="1" applyBorder="1"/>
    <xf numFmtId="164" fontId="18" fillId="13" borderId="17" xfId="7" applyNumberFormat="1" applyFont="1" applyFill="1" applyBorder="1"/>
    <xf numFmtId="3" fontId="18" fillId="13" borderId="17" xfId="5" applyNumberFormat="1" applyFont="1" applyFill="1" applyBorder="1"/>
    <xf numFmtId="3" fontId="21" fillId="13" borderId="17" xfId="5" applyNumberFormat="1" applyFont="1" applyFill="1" applyBorder="1"/>
    <xf numFmtId="164" fontId="21" fillId="0" borderId="17" xfId="7" applyNumberFormat="1" applyFont="1" applyBorder="1"/>
    <xf numFmtId="3" fontId="18" fillId="2" borderId="17" xfId="5" applyNumberFormat="1" applyFont="1" applyFill="1" applyBorder="1"/>
    <xf numFmtId="164" fontId="18" fillId="2" borderId="17" xfId="7" applyNumberFormat="1" applyFont="1" applyFill="1" applyBorder="1"/>
    <xf numFmtId="3" fontId="21" fillId="2" borderId="17" xfId="5" applyNumberFormat="1" applyFont="1" applyFill="1" applyBorder="1" applyAlignment="1">
      <alignment wrapText="1"/>
    </xf>
    <xf numFmtId="3" fontId="18" fillId="2" borderId="17" xfId="5" applyNumberFormat="1" applyFont="1" applyFill="1" applyBorder="1" applyAlignment="1">
      <alignment wrapText="1"/>
    </xf>
    <xf numFmtId="3" fontId="28" fillId="14" borderId="17" xfId="5" applyNumberFormat="1" applyFont="1" applyFill="1" applyBorder="1"/>
    <xf numFmtId="164" fontId="28" fillId="14" borderId="17" xfId="7" applyNumberFormat="1" applyFont="1" applyFill="1" applyBorder="1"/>
    <xf numFmtId="9" fontId="29" fillId="14" borderId="17" xfId="8" applyFont="1" applyFill="1" applyBorder="1" applyAlignment="1">
      <alignment wrapText="1"/>
    </xf>
    <xf numFmtId="9" fontId="28" fillId="14" borderId="17" xfId="8" applyFont="1" applyFill="1" applyBorder="1" applyAlignment="1">
      <alignment wrapText="1"/>
    </xf>
    <xf numFmtId="0" fontId="28" fillId="0" borderId="0" xfId="5" applyFont="1"/>
    <xf numFmtId="9" fontId="28" fillId="15" borderId="17" xfId="8" applyFont="1" applyFill="1" applyBorder="1"/>
    <xf numFmtId="3" fontId="28" fillId="16" borderId="17" xfId="5" applyNumberFormat="1" applyFont="1" applyFill="1" applyBorder="1"/>
    <xf numFmtId="9" fontId="28" fillId="16" borderId="17" xfId="8" applyFont="1" applyFill="1" applyBorder="1"/>
    <xf numFmtId="0" fontId="18" fillId="0" borderId="0" xfId="5" quotePrefix="1" applyFont="1"/>
    <xf numFmtId="0" fontId="18" fillId="5" borderId="2" xfId="5" applyFont="1" applyFill="1" applyBorder="1" applyAlignment="1">
      <alignment horizontal="left" wrapText="1" indent="2"/>
    </xf>
    <xf numFmtId="164" fontId="18" fillId="0" borderId="17" xfId="7" applyNumberFormat="1" applyFont="1" applyFill="1" applyBorder="1"/>
    <xf numFmtId="0" fontId="18" fillId="0" borderId="2" xfId="5" applyFont="1" applyBorder="1" applyAlignment="1">
      <alignment horizontal="left" wrapText="1" indent="3"/>
    </xf>
    <xf numFmtId="9" fontId="21" fillId="6" borderId="17" xfId="8" applyFont="1" applyFill="1" applyBorder="1" applyAlignment="1">
      <alignment wrapText="1"/>
    </xf>
    <xf numFmtId="9" fontId="18" fillId="6" borderId="17" xfId="8" applyFont="1" applyFill="1" applyBorder="1" applyAlignment="1">
      <alignment wrapText="1"/>
    </xf>
    <xf numFmtId="9" fontId="18" fillId="15" borderId="17" xfId="8" applyFont="1" applyFill="1" applyBorder="1" applyAlignment="1">
      <alignment wrapText="1"/>
    </xf>
    <xf numFmtId="164" fontId="18" fillId="10" borderId="17" xfId="7" applyNumberFormat="1" applyFont="1" applyFill="1" applyBorder="1"/>
    <xf numFmtId="9" fontId="21" fillId="10" borderId="17" xfId="8" applyFont="1" applyFill="1" applyBorder="1" applyAlignment="1">
      <alignment wrapText="1"/>
    </xf>
    <xf numFmtId="9" fontId="18" fillId="10" borderId="17" xfId="8" applyFont="1" applyFill="1" applyBorder="1" applyAlignment="1">
      <alignment wrapText="1"/>
    </xf>
    <xf numFmtId="3" fontId="21" fillId="10" borderId="17" xfId="5" applyNumberFormat="1" applyFont="1" applyFill="1" applyBorder="1"/>
    <xf numFmtId="0" fontId="21" fillId="0" borderId="0" xfId="5" applyFont="1"/>
    <xf numFmtId="9" fontId="18" fillId="15" borderId="18" xfId="8" applyFont="1" applyFill="1" applyBorder="1" applyAlignment="1">
      <alignment wrapText="1"/>
    </xf>
    <xf numFmtId="9" fontId="21" fillId="0" borderId="21" xfId="8" applyFont="1" applyFill="1" applyBorder="1"/>
    <xf numFmtId="9" fontId="18" fillId="0" borderId="21" xfId="8" applyFont="1" applyFill="1" applyBorder="1"/>
    <xf numFmtId="0" fontId="1" fillId="8" borderId="0" xfId="5" applyFill="1"/>
    <xf numFmtId="0" fontId="18" fillId="5" borderId="2" xfId="5" applyFont="1" applyFill="1" applyBorder="1" applyAlignment="1">
      <alignment horizontal="left" wrapText="1" indent="3"/>
    </xf>
    <xf numFmtId="0" fontId="21" fillId="0" borderId="8" xfId="5" applyFont="1" applyBorder="1" applyAlignment="1">
      <alignment horizontal="left" wrapText="1" indent="2"/>
    </xf>
    <xf numFmtId="0" fontId="18" fillId="12" borderId="16" xfId="5" applyFont="1" applyFill="1" applyBorder="1" applyAlignment="1">
      <alignment horizontal="left" indent="2"/>
    </xf>
    <xf numFmtId="0" fontId="18" fillId="12" borderId="2" xfId="5" applyFont="1" applyFill="1" applyBorder="1" applyAlignment="1">
      <alignment horizontal="left" wrapText="1" indent="3"/>
    </xf>
    <xf numFmtId="1" fontId="21" fillId="0" borderId="17" xfId="8" applyNumberFormat="1" applyFont="1" applyFill="1" applyBorder="1"/>
    <xf numFmtId="1" fontId="18" fillId="0" borderId="17" xfId="8" applyNumberFormat="1" applyFont="1" applyFill="1" applyBorder="1"/>
    <xf numFmtId="3" fontId="18" fillId="17" borderId="17" xfId="5" applyNumberFormat="1" applyFont="1" applyFill="1" applyBorder="1"/>
    <xf numFmtId="0" fontId="24" fillId="0" borderId="22" xfId="5" applyFont="1" applyBorder="1"/>
    <xf numFmtId="0" fontId="24" fillId="0" borderId="23" xfId="5" applyFont="1" applyBorder="1" applyAlignment="1">
      <alignment horizontal="right" wrapText="1"/>
    </xf>
    <xf numFmtId="3" fontId="24" fillId="0" borderId="13" xfId="5" applyNumberFormat="1" applyFont="1" applyBorder="1"/>
    <xf numFmtId="164" fontId="24" fillId="0" borderId="13" xfId="7" applyNumberFormat="1" applyFont="1" applyBorder="1"/>
    <xf numFmtId="9" fontId="25" fillId="0" borderId="13" xfId="8" applyFont="1" applyBorder="1"/>
    <xf numFmtId="9" fontId="24" fillId="0" borderId="13" xfId="8" applyFont="1" applyBorder="1"/>
    <xf numFmtId="0" fontId="24" fillId="0" borderId="24" xfId="5" quotePrefix="1" applyFont="1" applyBorder="1"/>
    <xf numFmtId="0" fontId="24" fillId="0" borderId="25" xfId="5" applyFont="1" applyBorder="1" applyAlignment="1">
      <alignment wrapText="1"/>
    </xf>
    <xf numFmtId="3" fontId="24" fillId="0" borderId="26" xfId="5" applyNumberFormat="1" applyFont="1" applyBorder="1"/>
    <xf numFmtId="164" fontId="24" fillId="0" borderId="26" xfId="7" applyNumberFormat="1" applyFont="1" applyBorder="1"/>
    <xf numFmtId="9" fontId="25" fillId="0" borderId="26" xfId="8" applyFont="1" applyFill="1" applyBorder="1"/>
    <xf numFmtId="9" fontId="24" fillId="0" borderId="26" xfId="8" applyFont="1" applyFill="1" applyBorder="1"/>
    <xf numFmtId="0" fontId="24" fillId="11" borderId="1" xfId="5" applyFont="1" applyFill="1" applyBorder="1" applyAlignment="1">
      <alignment wrapText="1"/>
    </xf>
    <xf numFmtId="3" fontId="24" fillId="11" borderId="21" xfId="5" applyNumberFormat="1" applyFont="1" applyFill="1" applyBorder="1"/>
    <xf numFmtId="164" fontId="24" fillId="11" borderId="21" xfId="7" applyNumberFormat="1" applyFont="1" applyFill="1" applyBorder="1"/>
    <xf numFmtId="49" fontId="18" fillId="0" borderId="1" xfId="5" applyNumberFormat="1" applyFont="1" applyBorder="1" applyAlignment="1">
      <alignment horizontal="left" wrapText="1" indent="4"/>
    </xf>
    <xf numFmtId="3" fontId="18" fillId="0" borderId="21" xfId="5" applyNumberFormat="1" applyFont="1" applyBorder="1"/>
    <xf numFmtId="3" fontId="18" fillId="0" borderId="1" xfId="5" applyNumberFormat="1" applyFont="1" applyBorder="1"/>
    <xf numFmtId="164" fontId="18" fillId="0" borderId="21" xfId="7" applyNumberFormat="1" applyFont="1" applyBorder="1"/>
    <xf numFmtId="49" fontId="18" fillId="18" borderId="1" xfId="5" applyNumberFormat="1" applyFont="1" applyFill="1" applyBorder="1" applyAlignment="1">
      <alignment horizontal="left" wrapText="1" indent="4"/>
    </xf>
    <xf numFmtId="49" fontId="21" fillId="18" borderId="1" xfId="5" applyNumberFormat="1" applyFont="1" applyFill="1" applyBorder="1" applyAlignment="1">
      <alignment horizontal="left" wrapText="1" indent="4"/>
    </xf>
    <xf numFmtId="3" fontId="18" fillId="0" borderId="27" xfId="5" applyNumberFormat="1" applyFont="1" applyBorder="1"/>
    <xf numFmtId="9" fontId="21" fillId="0" borderId="28" xfId="8" applyFont="1" applyFill="1" applyBorder="1"/>
    <xf numFmtId="49" fontId="18" fillId="0" borderId="4" xfId="5" applyNumberFormat="1" applyFont="1" applyBorder="1" applyAlignment="1">
      <alignment horizontal="left" wrapText="1" indent="4"/>
    </xf>
    <xf numFmtId="164" fontId="18" fillId="0" borderId="29" xfId="7" applyNumberFormat="1" applyFont="1" applyBorder="1"/>
    <xf numFmtId="9" fontId="21" fillId="0" borderId="20" xfId="8" applyFont="1" applyFill="1" applyBorder="1" applyAlignment="1">
      <alignment wrapText="1"/>
    </xf>
    <xf numFmtId="49" fontId="18" fillId="0" borderId="2" xfId="5" applyNumberFormat="1" applyFont="1" applyBorder="1" applyAlignment="1">
      <alignment horizontal="left" wrapText="1" indent="4"/>
    </xf>
    <xf numFmtId="3" fontId="18" fillId="0" borderId="2" xfId="5" applyNumberFormat="1" applyFont="1" applyBorder="1"/>
    <xf numFmtId="164" fontId="18" fillId="0" borderId="2" xfId="7" applyNumberFormat="1" applyFont="1" applyBorder="1"/>
    <xf numFmtId="9" fontId="21" fillId="0" borderId="15" xfId="8" applyFont="1" applyFill="1" applyBorder="1"/>
    <xf numFmtId="3" fontId="18" fillId="0" borderId="18" xfId="5" applyNumberFormat="1" applyFont="1" applyBorder="1"/>
    <xf numFmtId="3" fontId="18" fillId="0" borderId="30" xfId="5" applyNumberFormat="1" applyFont="1" applyBorder="1"/>
    <xf numFmtId="49" fontId="21" fillId="0" borderId="2" xfId="5" applyNumberFormat="1" applyFont="1" applyBorder="1" applyAlignment="1">
      <alignment horizontal="left" wrapText="1" indent="4"/>
    </xf>
    <xf numFmtId="164" fontId="18" fillId="0" borderId="31" xfId="7" applyNumberFormat="1" applyFont="1" applyBorder="1"/>
    <xf numFmtId="3" fontId="18" fillId="0" borderId="28" xfId="5" applyNumberFormat="1" applyFont="1" applyBorder="1"/>
    <xf numFmtId="9" fontId="18" fillId="0" borderId="2" xfId="8" applyFont="1" applyFill="1" applyBorder="1"/>
    <xf numFmtId="0" fontId="18" fillId="12" borderId="32" xfId="5" applyFont="1" applyFill="1" applyBorder="1" applyAlignment="1">
      <alignment horizontal="left" indent="2"/>
    </xf>
    <xf numFmtId="49" fontId="21" fillId="18" borderId="2" xfId="5" applyNumberFormat="1" applyFont="1" applyFill="1" applyBorder="1" applyAlignment="1">
      <alignment horizontal="left" wrapText="1" indent="4"/>
    </xf>
    <xf numFmtId="9" fontId="18" fillId="0" borderId="2" xfId="8" applyFont="1" applyFill="1" applyBorder="1" applyAlignment="1">
      <alignment wrapText="1"/>
    </xf>
    <xf numFmtId="49" fontId="21" fillId="0" borderId="30" xfId="5" applyNumberFormat="1" applyFont="1" applyBorder="1" applyAlignment="1">
      <alignment horizontal="left" wrapText="1" indent="4"/>
    </xf>
    <xf numFmtId="0" fontId="24" fillId="0" borderId="33" xfId="5" applyFont="1" applyBorder="1"/>
    <xf numFmtId="0" fontId="24" fillId="0" borderId="34" xfId="5" applyFont="1" applyBorder="1" applyAlignment="1">
      <alignment horizontal="right" wrapText="1"/>
    </xf>
    <xf numFmtId="9" fontId="25" fillId="0" borderId="26" xfId="8" applyFont="1" applyBorder="1"/>
    <xf numFmtId="9" fontId="24" fillId="0" borderId="26" xfId="8" applyFont="1" applyBorder="1"/>
    <xf numFmtId="0" fontId="24" fillId="0" borderId="0" xfId="5" applyFont="1"/>
    <xf numFmtId="10" fontId="18" fillId="0" borderId="0" xfId="13" applyNumberFormat="1" applyFont="1"/>
    <xf numFmtId="49" fontId="24" fillId="11" borderId="35" xfId="5" applyNumberFormat="1" applyFont="1" applyFill="1" applyBorder="1" applyAlignment="1">
      <alignment horizontal="left" indent="2"/>
    </xf>
    <xf numFmtId="49" fontId="24" fillId="11" borderId="36" xfId="5" applyNumberFormat="1" applyFont="1" applyFill="1" applyBorder="1" applyAlignment="1">
      <alignment wrapText="1"/>
    </xf>
    <xf numFmtId="3" fontId="24" fillId="11" borderId="37" xfId="5" applyNumberFormat="1" applyFont="1" applyFill="1" applyBorder="1"/>
    <xf numFmtId="164" fontId="24" fillId="11" borderId="37" xfId="7" applyNumberFormat="1" applyFont="1" applyFill="1" applyBorder="1"/>
    <xf numFmtId="9" fontId="25" fillId="11" borderId="37" xfId="8" applyFont="1" applyFill="1" applyBorder="1"/>
    <xf numFmtId="9" fontId="24" fillId="11" borderId="37" xfId="8" applyFont="1" applyFill="1" applyBorder="1"/>
    <xf numFmtId="49" fontId="18" fillId="10" borderId="16" xfId="5" applyNumberFormat="1" applyFont="1" applyFill="1" applyBorder="1" applyAlignment="1">
      <alignment horizontal="left" indent="1"/>
    </xf>
    <xf numFmtId="49" fontId="18" fillId="10" borderId="2" xfId="5" applyNumberFormat="1" applyFont="1" applyFill="1" applyBorder="1" applyAlignment="1">
      <alignment horizontal="left" wrapText="1" indent="2"/>
    </xf>
    <xf numFmtId="9" fontId="21" fillId="10" borderId="17" xfId="8" applyFont="1" applyFill="1" applyBorder="1"/>
    <xf numFmtId="9" fontId="18" fillId="10" borderId="17" xfId="8" applyFont="1" applyFill="1" applyBorder="1"/>
    <xf numFmtId="49" fontId="24" fillId="11" borderId="16" xfId="5" applyNumberFormat="1" applyFont="1" applyFill="1" applyBorder="1"/>
    <xf numFmtId="49" fontId="24" fillId="11" borderId="2" xfId="5" applyNumberFormat="1" applyFont="1" applyFill="1" applyBorder="1" applyAlignment="1">
      <alignment wrapText="1"/>
    </xf>
    <xf numFmtId="0" fontId="30" fillId="0" borderId="0" xfId="5" applyFont="1"/>
    <xf numFmtId="49" fontId="18" fillId="0" borderId="16" xfId="5" applyNumberFormat="1" applyFont="1" applyBorder="1" applyAlignment="1">
      <alignment horizontal="left" indent="2"/>
    </xf>
    <xf numFmtId="49" fontId="18" fillId="0" borderId="2" xfId="5" applyNumberFormat="1" applyFont="1" applyBorder="1" applyAlignment="1">
      <alignment horizontal="left" wrapText="1" indent="2"/>
    </xf>
    <xf numFmtId="49" fontId="24" fillId="10" borderId="2" xfId="5" applyNumberFormat="1" applyFont="1" applyFill="1" applyBorder="1" applyAlignment="1">
      <alignment horizontal="left" wrapText="1" indent="2"/>
    </xf>
    <xf numFmtId="3" fontId="24" fillId="10" borderId="17" xfId="5" applyNumberFormat="1" applyFont="1" applyFill="1" applyBorder="1"/>
    <xf numFmtId="164" fontId="24" fillId="10" borderId="17" xfId="7" applyNumberFormat="1" applyFont="1" applyFill="1" applyBorder="1"/>
    <xf numFmtId="9" fontId="18" fillId="10" borderId="17" xfId="8" quotePrefix="1" applyFont="1" applyFill="1" applyBorder="1" applyAlignment="1">
      <alignment wrapText="1"/>
    </xf>
    <xf numFmtId="3" fontId="25" fillId="10" borderId="17" xfId="5" applyNumberFormat="1" applyFont="1" applyFill="1" applyBorder="1"/>
    <xf numFmtId="9" fontId="21" fillId="0" borderId="17" xfId="8" applyFont="1" applyBorder="1" applyAlignment="1">
      <alignment wrapText="1"/>
    </xf>
    <xf numFmtId="9" fontId="18" fillId="0" borderId="17" xfId="8" applyFont="1" applyBorder="1" applyAlignment="1">
      <alignment wrapText="1"/>
    </xf>
    <xf numFmtId="49" fontId="18" fillId="19" borderId="16" xfId="5" applyNumberFormat="1" applyFont="1" applyFill="1" applyBorder="1" applyAlignment="1">
      <alignment horizontal="left" indent="2"/>
    </xf>
    <xf numFmtId="0" fontId="18" fillId="6" borderId="2" xfId="5" applyFont="1" applyFill="1" applyBorder="1" applyAlignment="1">
      <alignment horizontal="left" wrapText="1" indent="3"/>
    </xf>
    <xf numFmtId="0" fontId="21" fillId="0" borderId="0" xfId="5" quotePrefix="1" applyFont="1"/>
    <xf numFmtId="9" fontId="18" fillId="0" borderId="18" xfId="8" applyFont="1" applyBorder="1" applyAlignment="1">
      <alignment wrapText="1"/>
    </xf>
    <xf numFmtId="9" fontId="18" fillId="0" borderId="20" xfId="8" applyFont="1" applyBorder="1" applyAlignment="1">
      <alignment wrapText="1"/>
    </xf>
    <xf numFmtId="9" fontId="25" fillId="10" borderId="17" xfId="8" applyFont="1" applyFill="1" applyBorder="1"/>
    <xf numFmtId="9" fontId="24" fillId="10" borderId="17" xfId="8" applyFont="1" applyFill="1" applyBorder="1"/>
    <xf numFmtId="9" fontId="21" fillId="0" borderId="20" xfId="8" applyFont="1" applyBorder="1" applyAlignment="1">
      <alignment wrapText="1"/>
    </xf>
    <xf numFmtId="164" fontId="18" fillId="17" borderId="17" xfId="7" applyNumberFormat="1" applyFont="1" applyFill="1" applyBorder="1"/>
    <xf numFmtId="0" fontId="33" fillId="0" borderId="0" xfId="5" quotePrefix="1" applyFont="1"/>
    <xf numFmtId="49" fontId="33" fillId="0" borderId="16" xfId="5" applyNumberFormat="1" applyFont="1" applyBorder="1" applyAlignment="1">
      <alignment horizontal="left" indent="3"/>
    </xf>
    <xf numFmtId="0" fontId="33" fillId="6" borderId="2" xfId="5" applyFont="1" applyFill="1" applyBorder="1" applyAlignment="1">
      <alignment horizontal="left" wrapText="1" indent="6"/>
    </xf>
    <xf numFmtId="3" fontId="33" fillId="0" borderId="17" xfId="5" applyNumberFormat="1" applyFont="1" applyBorder="1"/>
    <xf numFmtId="164" fontId="33" fillId="17" borderId="17" xfId="7" applyNumberFormat="1" applyFont="1" applyFill="1" applyBorder="1"/>
    <xf numFmtId="9" fontId="34" fillId="0" borderId="17" xfId="8" applyFont="1" applyBorder="1" applyAlignment="1">
      <alignment wrapText="1"/>
    </xf>
    <xf numFmtId="3" fontId="33" fillId="17" borderId="17" xfId="5" applyNumberFormat="1" applyFont="1" applyFill="1" applyBorder="1"/>
    <xf numFmtId="9" fontId="33" fillId="0" borderId="17" xfId="8" applyFont="1" applyBorder="1" applyAlignment="1">
      <alignment wrapText="1"/>
    </xf>
    <xf numFmtId="0" fontId="33" fillId="0" borderId="0" xfId="5" applyFont="1"/>
    <xf numFmtId="3" fontId="18" fillId="6" borderId="17" xfId="5" applyNumberFormat="1" applyFont="1" applyFill="1" applyBorder="1"/>
    <xf numFmtId="9" fontId="18" fillId="0" borderId="17" xfId="8" quotePrefix="1" applyFont="1" applyBorder="1" applyAlignment="1">
      <alignment wrapText="1"/>
    </xf>
    <xf numFmtId="9" fontId="34" fillId="0" borderId="17" xfId="8" applyFont="1" applyFill="1" applyBorder="1" applyAlignment="1">
      <alignment wrapText="1"/>
    </xf>
    <xf numFmtId="9" fontId="33" fillId="0" borderId="17" xfId="8" applyFont="1" applyFill="1" applyBorder="1" applyAlignment="1">
      <alignment wrapText="1"/>
    </xf>
    <xf numFmtId="9" fontId="33" fillId="10" borderId="17" xfId="8" applyFont="1" applyFill="1" applyBorder="1" applyAlignment="1">
      <alignment wrapText="1"/>
    </xf>
    <xf numFmtId="49" fontId="18" fillId="19" borderId="16" xfId="5" applyNumberFormat="1" applyFont="1" applyFill="1" applyBorder="1" applyAlignment="1">
      <alignment horizontal="left" indent="1"/>
    </xf>
    <xf numFmtId="9" fontId="34" fillId="8" borderId="17" xfId="8" applyFont="1" applyFill="1" applyBorder="1" applyAlignment="1">
      <alignment wrapText="1"/>
    </xf>
    <xf numFmtId="9" fontId="34" fillId="10" borderId="17" xfId="8" applyFont="1" applyFill="1" applyBorder="1" applyAlignment="1">
      <alignment wrapText="1"/>
    </xf>
    <xf numFmtId="0" fontId="18" fillId="6" borderId="2" xfId="5" applyFont="1" applyFill="1" applyBorder="1" applyAlignment="1">
      <alignment horizontal="left" indent="2"/>
    </xf>
    <xf numFmtId="0" fontId="27" fillId="6" borderId="2" xfId="5" applyFont="1" applyFill="1" applyBorder="1" applyAlignment="1">
      <alignment horizontal="left" indent="2"/>
    </xf>
    <xf numFmtId="0" fontId="27" fillId="6" borderId="0" xfId="5" applyFont="1" applyFill="1"/>
    <xf numFmtId="0" fontId="18" fillId="6" borderId="38" xfId="5" applyFont="1" applyFill="1" applyBorder="1" applyAlignment="1">
      <alignment horizontal="left" indent="3"/>
    </xf>
    <xf numFmtId="164" fontId="18" fillId="6" borderId="17" xfId="7" applyNumberFormat="1" applyFont="1" applyFill="1" applyBorder="1"/>
    <xf numFmtId="9" fontId="21" fillId="6" borderId="17" xfId="8" applyFont="1" applyFill="1" applyBorder="1"/>
    <xf numFmtId="9" fontId="18" fillId="6" borderId="17" xfId="8" applyFont="1" applyFill="1" applyBorder="1"/>
    <xf numFmtId="0" fontId="27" fillId="0" borderId="2" xfId="5" applyFont="1" applyBorder="1" applyAlignment="1">
      <alignment horizontal="left" indent="2"/>
    </xf>
    <xf numFmtId="0" fontId="18" fillId="0" borderId="38" xfId="5" applyFont="1" applyBorder="1" applyAlignment="1">
      <alignment horizontal="left" indent="3"/>
    </xf>
    <xf numFmtId="0" fontId="27" fillId="19" borderId="2" xfId="5" applyFont="1" applyFill="1" applyBorder="1" applyAlignment="1">
      <alignment horizontal="left" indent="2"/>
    </xf>
    <xf numFmtId="0" fontId="18" fillId="0" borderId="0" xfId="5" applyFont="1" applyAlignment="1">
      <alignment horizontal="right"/>
    </xf>
    <xf numFmtId="3" fontId="18" fillId="12" borderId="17" xfId="5" applyNumberFormat="1" applyFont="1" applyFill="1" applyBorder="1"/>
    <xf numFmtId="164" fontId="18" fillId="12" borderId="17" xfId="7" applyNumberFormat="1" applyFont="1" applyFill="1" applyBorder="1"/>
    <xf numFmtId="9" fontId="21" fillId="12" borderId="17" xfId="8" applyFont="1" applyFill="1" applyBorder="1" applyAlignment="1">
      <alignment wrapText="1"/>
    </xf>
    <xf numFmtId="49" fontId="24" fillId="10" borderId="16" xfId="5" applyNumberFormat="1" applyFont="1" applyFill="1" applyBorder="1" applyAlignment="1">
      <alignment horizontal="left" indent="1"/>
    </xf>
    <xf numFmtId="0" fontId="18" fillId="12" borderId="0" xfId="5" quotePrefix="1" applyFont="1" applyFill="1"/>
    <xf numFmtId="0" fontId="18" fillId="12" borderId="0" xfId="5" applyFont="1" applyFill="1"/>
    <xf numFmtId="49" fontId="18" fillId="12" borderId="16" xfId="5" applyNumberFormat="1" applyFont="1" applyFill="1" applyBorder="1" applyAlignment="1">
      <alignment horizontal="left" indent="2"/>
    </xf>
    <xf numFmtId="49" fontId="18" fillId="12" borderId="2" xfId="5" applyNumberFormat="1" applyFont="1" applyFill="1" applyBorder="1" applyAlignment="1">
      <alignment horizontal="left" wrapText="1" indent="4"/>
    </xf>
    <xf numFmtId="0" fontId="35" fillId="0" borderId="0" xfId="5" quotePrefix="1" applyFont="1"/>
    <xf numFmtId="164" fontId="33" fillId="0" borderId="17" xfId="7" applyNumberFormat="1" applyFont="1" applyBorder="1"/>
    <xf numFmtId="9" fontId="33" fillId="15" borderId="17" xfId="8" applyFont="1" applyFill="1" applyBorder="1" applyAlignment="1">
      <alignment wrapText="1"/>
    </xf>
    <xf numFmtId="0" fontId="35" fillId="0" borderId="0" xfId="5" applyFont="1"/>
    <xf numFmtId="9" fontId="18" fillId="8" borderId="17" xfId="8" applyFont="1" applyFill="1" applyBorder="1" applyAlignment="1">
      <alignment wrapText="1"/>
    </xf>
    <xf numFmtId="9" fontId="18" fillId="0" borderId="17" xfId="8" quotePrefix="1" applyFont="1" applyFill="1" applyBorder="1" applyAlignment="1">
      <alignment wrapText="1"/>
    </xf>
    <xf numFmtId="0" fontId="36" fillId="0" borderId="0" xfId="5" applyFont="1"/>
    <xf numFmtId="0" fontId="36" fillId="0" borderId="0" xfId="5" quotePrefix="1" applyFont="1"/>
    <xf numFmtId="49" fontId="24" fillId="0" borderId="16" xfId="5" applyNumberFormat="1" applyFont="1" applyBorder="1" applyAlignment="1">
      <alignment horizontal="left" indent="2"/>
    </xf>
    <xf numFmtId="49" fontId="24" fillId="0" borderId="2" xfId="5" applyNumberFormat="1" applyFont="1" applyBorder="1" applyAlignment="1">
      <alignment horizontal="left" wrapText="1" indent="4"/>
    </xf>
    <xf numFmtId="3" fontId="24" fillId="0" borderId="17" xfId="5" applyNumberFormat="1" applyFont="1" applyBorder="1"/>
    <xf numFmtId="164" fontId="24" fillId="0" borderId="17" xfId="7" applyNumberFormat="1" applyFont="1" applyBorder="1"/>
    <xf numFmtId="3" fontId="25" fillId="0" borderId="17" xfId="5" applyNumberFormat="1" applyFont="1" applyBorder="1"/>
    <xf numFmtId="0" fontId="37" fillId="0" borderId="0" xfId="5" applyFont="1"/>
    <xf numFmtId="49" fontId="18" fillId="0" borderId="16" xfId="5" applyNumberFormat="1" applyFont="1" applyBorder="1" applyAlignment="1">
      <alignment horizontal="left" indent="3"/>
    </xf>
    <xf numFmtId="9" fontId="28" fillId="0" borderId="17" xfId="8" applyFont="1" applyFill="1" applyBorder="1" applyAlignment="1">
      <alignment wrapText="1"/>
    </xf>
    <xf numFmtId="49" fontId="38" fillId="10" borderId="16" xfId="5" applyNumberFormat="1" applyFont="1" applyFill="1" applyBorder="1" applyAlignment="1">
      <alignment horizontal="left" indent="1"/>
    </xf>
    <xf numFmtId="49" fontId="24" fillId="0" borderId="22" xfId="5" applyNumberFormat="1" applyFont="1" applyBorder="1"/>
    <xf numFmtId="49" fontId="24" fillId="0" borderId="23" xfId="5" applyNumberFormat="1" applyFont="1" applyBorder="1" applyAlignment="1">
      <alignment horizontal="right" wrapText="1"/>
    </xf>
    <xf numFmtId="3" fontId="24" fillId="0" borderId="39" xfId="5" applyNumberFormat="1" applyFont="1" applyBorder="1"/>
    <xf numFmtId="164" fontId="24" fillId="0" borderId="39" xfId="7" applyNumberFormat="1" applyFont="1" applyBorder="1"/>
    <xf numFmtId="9" fontId="24" fillId="0" borderId="39" xfId="8" applyFont="1" applyBorder="1"/>
    <xf numFmtId="9" fontId="21" fillId="18" borderId="17" xfId="8" applyFont="1" applyFill="1" applyBorder="1" applyAlignment="1">
      <alignment wrapText="1"/>
    </xf>
    <xf numFmtId="3" fontId="24" fillId="0" borderId="40" xfId="5" applyNumberFormat="1" applyFont="1" applyBorder="1"/>
    <xf numFmtId="164" fontId="24" fillId="0" borderId="40" xfId="7" applyNumberFormat="1" applyFont="1" applyBorder="1"/>
    <xf numFmtId="9" fontId="18" fillId="0" borderId="40" xfId="8" applyFont="1" applyBorder="1"/>
    <xf numFmtId="49" fontId="24" fillId="11" borderId="41" xfId="5" applyNumberFormat="1" applyFont="1" applyFill="1" applyBorder="1" applyAlignment="1">
      <alignment horizontal="center"/>
    </xf>
    <xf numFmtId="49" fontId="24" fillId="11" borderId="42" xfId="5" applyNumberFormat="1" applyFont="1" applyFill="1" applyBorder="1" applyAlignment="1">
      <alignment wrapText="1"/>
    </xf>
    <xf numFmtId="3" fontId="24" fillId="11" borderId="43" xfId="5" applyNumberFormat="1" applyFont="1" applyFill="1" applyBorder="1"/>
    <xf numFmtId="164" fontId="24" fillId="11" borderId="43" xfId="7" applyNumberFormat="1" applyFont="1" applyFill="1" applyBorder="1"/>
    <xf numFmtId="9" fontId="24" fillId="11" borderId="43" xfId="8" applyFont="1" applyFill="1" applyBorder="1"/>
    <xf numFmtId="0" fontId="23" fillId="0" borderId="0" xfId="6" applyFont="1"/>
    <xf numFmtId="0" fontId="1" fillId="0" borderId="0" xfId="5"/>
    <xf numFmtId="9" fontId="18" fillId="0" borderId="19" xfId="8" applyFont="1" applyFill="1" applyBorder="1" applyAlignment="1">
      <alignment horizontal="left" wrapText="1"/>
    </xf>
    <xf numFmtId="9" fontId="18" fillId="0" borderId="20" xfId="8" applyFont="1" applyFill="1" applyBorder="1" applyAlignment="1">
      <alignment horizontal="left" wrapText="1"/>
    </xf>
    <xf numFmtId="9" fontId="18" fillId="18" borderId="19" xfId="8" applyFont="1" applyFill="1" applyBorder="1" applyAlignment="1">
      <alignment horizontal="left" wrapText="1"/>
    </xf>
    <xf numFmtId="9" fontId="18" fillId="18" borderId="20" xfId="8" applyFont="1" applyFill="1" applyBorder="1" applyAlignment="1">
      <alignment horizontal="left" wrapText="1"/>
    </xf>
    <xf numFmtId="0" fontId="19" fillId="0" borderId="0" xfId="6" applyFont="1"/>
  </cellXfs>
  <cellStyles count="15">
    <cellStyle name="Comma" xfId="1" builtinId="3"/>
    <cellStyle name="Comma 2" xfId="7" xr:uid="{2BA7EA39-8EBF-4A48-ACCE-3149ED22CDEE}"/>
    <cellStyle name="Hyperlink" xfId="11" builtinId="8"/>
    <cellStyle name="Komats 10" xfId="10" xr:uid="{829CEB5F-4A2E-4B6C-9094-FBD08BA0DAF0}"/>
    <cellStyle name="Normal" xfId="0" builtinId="0"/>
    <cellStyle name="Normal 2" xfId="14" xr:uid="{89D0979D-8881-4D88-B8AE-0047AE9EC57D}"/>
    <cellStyle name="Normal 2 2" xfId="12" xr:uid="{2340E120-EEED-45DB-B042-47A348F9E951}"/>
    <cellStyle name="Normal 4" xfId="4" xr:uid="{EC01974E-8A3B-4F1D-AE8C-9272D578C3CB}"/>
    <cellStyle name="Parasts 2 2 2 2" xfId="3" xr:uid="{BB4E3087-AE40-4F74-A1A7-9B13F4A56830}"/>
    <cellStyle name="Parasts 2 2 5" xfId="5" xr:uid="{12239631-24DC-4F92-A7E1-2468CA89EABB}"/>
    <cellStyle name="Parasts 2 2 5 2" xfId="6" xr:uid="{E99FAADD-D823-4A8D-BDFD-E811F20830B1}"/>
    <cellStyle name="Percent" xfId="2" builtinId="5"/>
    <cellStyle name="Percent 2" xfId="9" xr:uid="{CE7C3CB7-D282-44C6-BC0F-5FAB656925A7}"/>
    <cellStyle name="Percent 4" xfId="13" xr:uid="{B82691C8-A005-4A88-9585-529BB609F9CC}"/>
    <cellStyle name="Procenti 2 3" xfId="8" xr:uid="{F2594C8D-FC27-4B62-9561-1F795FCBDA21}"/>
  </cellStyles>
  <dxfs count="3">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BDED2-3838-4BD8-8459-1550CABE6F18}">
  <sheetPr>
    <tabColor rgb="FF92D050"/>
    <pageSetUpPr fitToPage="1"/>
  </sheetPr>
  <dimension ref="A1:N298"/>
  <sheetViews>
    <sheetView tabSelected="1" zoomScaleNormal="100" zoomScaleSheetLayoutView="80" workbookViewId="0">
      <pane xSplit="4" ySplit="5" topLeftCell="E6" activePane="bottomRight" state="frozen"/>
      <selection activeCell="C1" sqref="C1"/>
      <selection pane="topRight" activeCell="E1" sqref="E1"/>
      <selection pane="bottomLeft" activeCell="C6" sqref="C6"/>
      <selection pane="bottomRight" activeCell="A299" sqref="A299:XFD305"/>
    </sheetView>
  </sheetViews>
  <sheetFormatPr defaultRowHeight="15" outlineLevelRow="1" outlineLevelCol="2" x14ac:dyDescent="0.25"/>
  <cols>
    <col min="1" max="1" width="7" style="120" hidden="1" customWidth="1" outlineLevel="2"/>
    <col min="2" max="2" width="10.140625" style="120" hidden="1" customWidth="1" outlineLevel="2"/>
    <col min="3" max="3" width="13.28515625" style="275" customWidth="1" collapsed="1"/>
    <col min="4" max="4" width="43.28515625" style="124" customWidth="1"/>
    <col min="5" max="5" width="13.28515625" style="130" customWidth="1"/>
    <col min="6" max="6" width="13.28515625" style="131" customWidth="1" collapsed="1"/>
    <col min="7" max="7" width="13.28515625" style="120" hidden="1" customWidth="1" outlineLevel="1"/>
    <col min="8" max="8" width="48" style="137" hidden="1" customWidth="1" outlineLevel="1" collapsed="1"/>
    <col min="9" max="9" width="13.28515625" style="120" customWidth="1" collapsed="1"/>
    <col min="10" max="10" width="13.28515625" style="120" hidden="1" customWidth="1" outlineLevel="1"/>
    <col min="11" max="11" width="50.140625" style="138" hidden="1" customWidth="1" outlineLevel="1" collapsed="1"/>
    <col min="12" max="12" width="13.28515625" style="120" customWidth="1" collapsed="1"/>
    <col min="13" max="13" width="13.28515625" style="120" customWidth="1"/>
    <col min="14" max="14" width="57.7109375" style="138" customWidth="1" collapsed="1"/>
    <col min="15" max="157" width="8.85546875" style="120"/>
    <col min="158" max="159" width="0" style="120" hidden="1" customWidth="1"/>
    <col min="160" max="160" width="12.28515625" style="120" customWidth="1"/>
    <col min="161" max="161" width="47" style="120" customWidth="1"/>
    <col min="162" max="201" width="0" style="120" hidden="1" customWidth="1"/>
    <col min="202" max="203" width="13.28515625" style="120" customWidth="1"/>
    <col min="204" max="205" width="0" style="120" hidden="1" customWidth="1"/>
    <col min="206" max="206" width="13.28515625" style="120" customWidth="1"/>
    <col min="207" max="208" width="0" style="120" hidden="1" customWidth="1"/>
    <col min="209" max="209" width="13.28515625" style="120" customWidth="1"/>
    <col min="210" max="211" width="0" style="120" hidden="1" customWidth="1"/>
    <col min="212" max="212" width="13.28515625" style="120" customWidth="1"/>
    <col min="213" max="214" width="0" style="120" hidden="1" customWidth="1"/>
    <col min="215" max="215" width="13.28515625" style="120" customWidth="1"/>
    <col min="216" max="217" width="0" style="120" hidden="1" customWidth="1"/>
    <col min="218" max="219" width="13.28515625" style="120" customWidth="1"/>
    <col min="220" max="220" width="39.42578125" style="120" customWidth="1"/>
    <col min="221" max="225" width="13.28515625" style="120" customWidth="1"/>
    <col min="226" max="226" width="56.7109375" style="120" customWidth="1"/>
    <col min="227" max="227" width="11.7109375" style="120" customWidth="1"/>
    <col min="228" max="413" width="8.85546875" style="120"/>
    <col min="414" max="415" width="0" style="120" hidden="1" customWidth="1"/>
    <col min="416" max="416" width="12.28515625" style="120" customWidth="1"/>
    <col min="417" max="417" width="47" style="120" customWidth="1"/>
    <col min="418" max="457" width="0" style="120" hidden="1" customWidth="1"/>
    <col min="458" max="459" width="13.28515625" style="120" customWidth="1"/>
    <col min="460" max="461" width="0" style="120" hidden="1" customWidth="1"/>
    <col min="462" max="462" width="13.28515625" style="120" customWidth="1"/>
    <col min="463" max="464" width="0" style="120" hidden="1" customWidth="1"/>
    <col min="465" max="465" width="13.28515625" style="120" customWidth="1"/>
    <col min="466" max="467" width="0" style="120" hidden="1" customWidth="1"/>
    <col min="468" max="468" width="13.28515625" style="120" customWidth="1"/>
    <col min="469" max="470" width="0" style="120" hidden="1" customWidth="1"/>
    <col min="471" max="471" width="13.28515625" style="120" customWidth="1"/>
    <col min="472" max="473" width="0" style="120" hidden="1" customWidth="1"/>
    <col min="474" max="475" width="13.28515625" style="120" customWidth="1"/>
    <col min="476" max="476" width="39.42578125" style="120" customWidth="1"/>
    <col min="477" max="481" width="13.28515625" style="120" customWidth="1"/>
    <col min="482" max="482" width="56.7109375" style="120" customWidth="1"/>
    <col min="483" max="483" width="11.7109375" style="120" customWidth="1"/>
    <col min="484" max="669" width="8.85546875" style="120"/>
    <col min="670" max="671" width="0" style="120" hidden="1" customWidth="1"/>
    <col min="672" max="672" width="12.28515625" style="120" customWidth="1"/>
    <col min="673" max="673" width="47" style="120" customWidth="1"/>
    <col min="674" max="713" width="0" style="120" hidden="1" customWidth="1"/>
    <col min="714" max="715" width="13.28515625" style="120" customWidth="1"/>
    <col min="716" max="717" width="0" style="120" hidden="1" customWidth="1"/>
    <col min="718" max="718" width="13.28515625" style="120" customWidth="1"/>
    <col min="719" max="720" width="0" style="120" hidden="1" customWidth="1"/>
    <col min="721" max="721" width="13.28515625" style="120" customWidth="1"/>
    <col min="722" max="723" width="0" style="120" hidden="1" customWidth="1"/>
    <col min="724" max="724" width="13.28515625" style="120" customWidth="1"/>
    <col min="725" max="726" width="0" style="120" hidden="1" customWidth="1"/>
    <col min="727" max="727" width="13.28515625" style="120" customWidth="1"/>
    <col min="728" max="729" width="0" style="120" hidden="1" customWidth="1"/>
    <col min="730" max="731" width="13.28515625" style="120" customWidth="1"/>
    <col min="732" max="732" width="39.42578125" style="120" customWidth="1"/>
    <col min="733" max="737" width="13.28515625" style="120" customWidth="1"/>
    <col min="738" max="738" width="56.7109375" style="120" customWidth="1"/>
    <col min="739" max="739" width="11.7109375" style="120" customWidth="1"/>
    <col min="740" max="925" width="8.85546875" style="120"/>
    <col min="926" max="927" width="0" style="120" hidden="1" customWidth="1"/>
    <col min="928" max="928" width="12.28515625" style="120" customWidth="1"/>
    <col min="929" max="929" width="47" style="120" customWidth="1"/>
    <col min="930" max="969" width="0" style="120" hidden="1" customWidth="1"/>
    <col min="970" max="971" width="13.28515625" style="120" customWidth="1"/>
    <col min="972" max="973" width="0" style="120" hidden="1" customWidth="1"/>
    <col min="974" max="974" width="13.28515625" style="120" customWidth="1"/>
    <col min="975" max="976" width="0" style="120" hidden="1" customWidth="1"/>
    <col min="977" max="977" width="13.28515625" style="120" customWidth="1"/>
    <col min="978" max="979" width="0" style="120" hidden="1" customWidth="1"/>
    <col min="980" max="980" width="13.28515625" style="120" customWidth="1"/>
    <col min="981" max="982" width="0" style="120" hidden="1" customWidth="1"/>
    <col min="983" max="983" width="13.28515625" style="120" customWidth="1"/>
    <col min="984" max="985" width="0" style="120" hidden="1" customWidth="1"/>
    <col min="986" max="987" width="13.28515625" style="120" customWidth="1"/>
    <col min="988" max="988" width="39.42578125" style="120" customWidth="1"/>
    <col min="989" max="993" width="13.28515625" style="120" customWidth="1"/>
    <col min="994" max="994" width="56.7109375" style="120" customWidth="1"/>
    <col min="995" max="995" width="11.7109375" style="120" customWidth="1"/>
    <col min="996" max="1181" width="8.85546875" style="120"/>
    <col min="1182" max="1183" width="0" style="120" hidden="1" customWidth="1"/>
    <col min="1184" max="1184" width="12.28515625" style="120" customWidth="1"/>
    <col min="1185" max="1185" width="47" style="120" customWidth="1"/>
    <col min="1186" max="1225" width="0" style="120" hidden="1" customWidth="1"/>
    <col min="1226" max="1227" width="13.28515625" style="120" customWidth="1"/>
    <col min="1228" max="1229" width="0" style="120" hidden="1" customWidth="1"/>
    <col min="1230" max="1230" width="13.28515625" style="120" customWidth="1"/>
    <col min="1231" max="1232" width="0" style="120" hidden="1" customWidth="1"/>
    <col min="1233" max="1233" width="13.28515625" style="120" customWidth="1"/>
    <col min="1234" max="1235" width="0" style="120" hidden="1" customWidth="1"/>
    <col min="1236" max="1236" width="13.28515625" style="120" customWidth="1"/>
    <col min="1237" max="1238" width="0" style="120" hidden="1" customWidth="1"/>
    <col min="1239" max="1239" width="13.28515625" style="120" customWidth="1"/>
    <col min="1240" max="1241" width="0" style="120" hidden="1" customWidth="1"/>
    <col min="1242" max="1243" width="13.28515625" style="120" customWidth="1"/>
    <col min="1244" max="1244" width="39.42578125" style="120" customWidth="1"/>
    <col min="1245" max="1249" width="13.28515625" style="120" customWidth="1"/>
    <col min="1250" max="1250" width="56.7109375" style="120" customWidth="1"/>
    <col min="1251" max="1251" width="11.7109375" style="120" customWidth="1"/>
    <col min="1252" max="1437" width="8.85546875" style="120"/>
    <col min="1438" max="1439" width="0" style="120" hidden="1" customWidth="1"/>
    <col min="1440" max="1440" width="12.28515625" style="120" customWidth="1"/>
    <col min="1441" max="1441" width="47" style="120" customWidth="1"/>
    <col min="1442" max="1481" width="0" style="120" hidden="1" customWidth="1"/>
    <col min="1482" max="1483" width="13.28515625" style="120" customWidth="1"/>
    <col min="1484" max="1485" width="0" style="120" hidden="1" customWidth="1"/>
    <col min="1486" max="1486" width="13.28515625" style="120" customWidth="1"/>
    <col min="1487" max="1488" width="0" style="120" hidden="1" customWidth="1"/>
    <col min="1489" max="1489" width="13.28515625" style="120" customWidth="1"/>
    <col min="1490" max="1491" width="0" style="120" hidden="1" customWidth="1"/>
    <col min="1492" max="1492" width="13.28515625" style="120" customWidth="1"/>
    <col min="1493" max="1494" width="0" style="120" hidden="1" customWidth="1"/>
    <col min="1495" max="1495" width="13.28515625" style="120" customWidth="1"/>
    <col min="1496" max="1497" width="0" style="120" hidden="1" customWidth="1"/>
    <col min="1498" max="1499" width="13.28515625" style="120" customWidth="1"/>
    <col min="1500" max="1500" width="39.42578125" style="120" customWidth="1"/>
    <col min="1501" max="1505" width="13.28515625" style="120" customWidth="1"/>
    <col min="1506" max="1506" width="56.7109375" style="120" customWidth="1"/>
    <col min="1507" max="1507" width="11.7109375" style="120" customWidth="1"/>
    <col min="1508" max="1693" width="8.85546875" style="120"/>
    <col min="1694" max="1695" width="0" style="120" hidden="1" customWidth="1"/>
    <col min="1696" max="1696" width="12.28515625" style="120" customWidth="1"/>
    <col min="1697" max="1697" width="47" style="120" customWidth="1"/>
    <col min="1698" max="1737" width="0" style="120" hidden="1" customWidth="1"/>
    <col min="1738" max="1739" width="13.28515625" style="120" customWidth="1"/>
    <col min="1740" max="1741" width="0" style="120" hidden="1" customWidth="1"/>
    <col min="1742" max="1742" width="13.28515625" style="120" customWidth="1"/>
    <col min="1743" max="1744" width="0" style="120" hidden="1" customWidth="1"/>
    <col min="1745" max="1745" width="13.28515625" style="120" customWidth="1"/>
    <col min="1746" max="1747" width="0" style="120" hidden="1" customWidth="1"/>
    <col min="1748" max="1748" width="13.28515625" style="120" customWidth="1"/>
    <col min="1749" max="1750" width="0" style="120" hidden="1" customWidth="1"/>
    <col min="1751" max="1751" width="13.28515625" style="120" customWidth="1"/>
    <col min="1752" max="1753" width="0" style="120" hidden="1" customWidth="1"/>
    <col min="1754" max="1755" width="13.28515625" style="120" customWidth="1"/>
    <col min="1756" max="1756" width="39.42578125" style="120" customWidth="1"/>
    <col min="1757" max="1761" width="13.28515625" style="120" customWidth="1"/>
    <col min="1762" max="1762" width="56.7109375" style="120" customWidth="1"/>
    <col min="1763" max="1763" width="11.7109375" style="120" customWidth="1"/>
    <col min="1764" max="1949" width="8.85546875" style="120"/>
    <col min="1950" max="1951" width="0" style="120" hidden="1" customWidth="1"/>
    <col min="1952" max="1952" width="12.28515625" style="120" customWidth="1"/>
    <col min="1953" max="1953" width="47" style="120" customWidth="1"/>
    <col min="1954" max="1993" width="0" style="120" hidden="1" customWidth="1"/>
    <col min="1994" max="1995" width="13.28515625" style="120" customWidth="1"/>
    <col min="1996" max="1997" width="0" style="120" hidden="1" customWidth="1"/>
    <col min="1998" max="1998" width="13.28515625" style="120" customWidth="1"/>
    <col min="1999" max="2000" width="0" style="120" hidden="1" customWidth="1"/>
    <col min="2001" max="2001" width="13.28515625" style="120" customWidth="1"/>
    <col min="2002" max="2003" width="0" style="120" hidden="1" customWidth="1"/>
    <col min="2004" max="2004" width="13.28515625" style="120" customWidth="1"/>
    <col min="2005" max="2006" width="0" style="120" hidden="1" customWidth="1"/>
    <col min="2007" max="2007" width="13.28515625" style="120" customWidth="1"/>
    <col min="2008" max="2009" width="0" style="120" hidden="1" customWidth="1"/>
    <col min="2010" max="2011" width="13.28515625" style="120" customWidth="1"/>
    <col min="2012" max="2012" width="39.42578125" style="120" customWidth="1"/>
    <col min="2013" max="2017" width="13.28515625" style="120" customWidth="1"/>
    <col min="2018" max="2018" width="56.7109375" style="120" customWidth="1"/>
    <col min="2019" max="2019" width="11.7109375" style="120" customWidth="1"/>
    <col min="2020" max="2205" width="8.85546875" style="120"/>
    <col min="2206" max="2207" width="0" style="120" hidden="1" customWidth="1"/>
    <col min="2208" max="2208" width="12.28515625" style="120" customWidth="1"/>
    <col min="2209" max="2209" width="47" style="120" customWidth="1"/>
    <col min="2210" max="2249" width="0" style="120" hidden="1" customWidth="1"/>
    <col min="2250" max="2251" width="13.28515625" style="120" customWidth="1"/>
    <col min="2252" max="2253" width="0" style="120" hidden="1" customWidth="1"/>
    <col min="2254" max="2254" width="13.28515625" style="120" customWidth="1"/>
    <col min="2255" max="2256" width="0" style="120" hidden="1" customWidth="1"/>
    <col min="2257" max="2257" width="13.28515625" style="120" customWidth="1"/>
    <col min="2258" max="2259" width="0" style="120" hidden="1" customWidth="1"/>
    <col min="2260" max="2260" width="13.28515625" style="120" customWidth="1"/>
    <col min="2261" max="2262" width="0" style="120" hidden="1" customWidth="1"/>
    <col min="2263" max="2263" width="13.28515625" style="120" customWidth="1"/>
    <col min="2264" max="2265" width="0" style="120" hidden="1" customWidth="1"/>
    <col min="2266" max="2267" width="13.28515625" style="120" customWidth="1"/>
    <col min="2268" max="2268" width="39.42578125" style="120" customWidth="1"/>
    <col min="2269" max="2273" width="13.28515625" style="120" customWidth="1"/>
    <col min="2274" max="2274" width="56.7109375" style="120" customWidth="1"/>
    <col min="2275" max="2275" width="11.7109375" style="120" customWidth="1"/>
    <col min="2276" max="2461" width="8.85546875" style="120"/>
    <col min="2462" max="2463" width="0" style="120" hidden="1" customWidth="1"/>
    <col min="2464" max="2464" width="12.28515625" style="120" customWidth="1"/>
    <col min="2465" max="2465" width="47" style="120" customWidth="1"/>
    <col min="2466" max="2505" width="0" style="120" hidden="1" customWidth="1"/>
    <col min="2506" max="2507" width="13.28515625" style="120" customWidth="1"/>
    <col min="2508" max="2509" width="0" style="120" hidden="1" customWidth="1"/>
    <col min="2510" max="2510" width="13.28515625" style="120" customWidth="1"/>
    <col min="2511" max="2512" width="0" style="120" hidden="1" customWidth="1"/>
    <col min="2513" max="2513" width="13.28515625" style="120" customWidth="1"/>
    <col min="2514" max="2515" width="0" style="120" hidden="1" customWidth="1"/>
    <col min="2516" max="2516" width="13.28515625" style="120" customWidth="1"/>
    <col min="2517" max="2518" width="0" style="120" hidden="1" customWidth="1"/>
    <col min="2519" max="2519" width="13.28515625" style="120" customWidth="1"/>
    <col min="2520" max="2521" width="0" style="120" hidden="1" customWidth="1"/>
    <col min="2522" max="2523" width="13.28515625" style="120" customWidth="1"/>
    <col min="2524" max="2524" width="39.42578125" style="120" customWidth="1"/>
    <col min="2525" max="2529" width="13.28515625" style="120" customWidth="1"/>
    <col min="2530" max="2530" width="56.7109375" style="120" customWidth="1"/>
    <col min="2531" max="2531" width="11.7109375" style="120" customWidth="1"/>
    <col min="2532" max="2717" width="8.85546875" style="120"/>
    <col min="2718" max="2719" width="0" style="120" hidden="1" customWidth="1"/>
    <col min="2720" max="2720" width="12.28515625" style="120" customWidth="1"/>
    <col min="2721" max="2721" width="47" style="120" customWidth="1"/>
    <col min="2722" max="2761" width="0" style="120" hidden="1" customWidth="1"/>
    <col min="2762" max="2763" width="13.28515625" style="120" customWidth="1"/>
    <col min="2764" max="2765" width="0" style="120" hidden="1" customWidth="1"/>
    <col min="2766" max="2766" width="13.28515625" style="120" customWidth="1"/>
    <col min="2767" max="2768" width="0" style="120" hidden="1" customWidth="1"/>
    <col min="2769" max="2769" width="13.28515625" style="120" customWidth="1"/>
    <col min="2770" max="2771" width="0" style="120" hidden="1" customWidth="1"/>
    <col min="2772" max="2772" width="13.28515625" style="120" customWidth="1"/>
    <col min="2773" max="2774" width="0" style="120" hidden="1" customWidth="1"/>
    <col min="2775" max="2775" width="13.28515625" style="120" customWidth="1"/>
    <col min="2776" max="2777" width="0" style="120" hidden="1" customWidth="1"/>
    <col min="2778" max="2779" width="13.28515625" style="120" customWidth="1"/>
    <col min="2780" max="2780" width="39.42578125" style="120" customWidth="1"/>
    <col min="2781" max="2785" width="13.28515625" style="120" customWidth="1"/>
    <col min="2786" max="2786" width="56.7109375" style="120" customWidth="1"/>
    <col min="2787" max="2787" width="11.7109375" style="120" customWidth="1"/>
    <col min="2788" max="2973" width="8.85546875" style="120"/>
    <col min="2974" max="2975" width="0" style="120" hidden="1" customWidth="1"/>
    <col min="2976" max="2976" width="12.28515625" style="120" customWidth="1"/>
    <col min="2977" max="2977" width="47" style="120" customWidth="1"/>
    <col min="2978" max="3017" width="0" style="120" hidden="1" customWidth="1"/>
    <col min="3018" max="3019" width="13.28515625" style="120" customWidth="1"/>
    <col min="3020" max="3021" width="0" style="120" hidden="1" customWidth="1"/>
    <col min="3022" max="3022" width="13.28515625" style="120" customWidth="1"/>
    <col min="3023" max="3024" width="0" style="120" hidden="1" customWidth="1"/>
    <col min="3025" max="3025" width="13.28515625" style="120" customWidth="1"/>
    <col min="3026" max="3027" width="0" style="120" hidden="1" customWidth="1"/>
    <col min="3028" max="3028" width="13.28515625" style="120" customWidth="1"/>
    <col min="3029" max="3030" width="0" style="120" hidden="1" customWidth="1"/>
    <col min="3031" max="3031" width="13.28515625" style="120" customWidth="1"/>
    <col min="3032" max="3033" width="0" style="120" hidden="1" customWidth="1"/>
    <col min="3034" max="3035" width="13.28515625" style="120" customWidth="1"/>
    <col min="3036" max="3036" width="39.42578125" style="120" customWidth="1"/>
    <col min="3037" max="3041" width="13.28515625" style="120" customWidth="1"/>
    <col min="3042" max="3042" width="56.7109375" style="120" customWidth="1"/>
    <col min="3043" max="3043" width="11.7109375" style="120" customWidth="1"/>
    <col min="3044" max="3229" width="8.85546875" style="120"/>
    <col min="3230" max="3231" width="0" style="120" hidden="1" customWidth="1"/>
    <col min="3232" max="3232" width="12.28515625" style="120" customWidth="1"/>
    <col min="3233" max="3233" width="47" style="120" customWidth="1"/>
    <col min="3234" max="3273" width="0" style="120" hidden="1" customWidth="1"/>
    <col min="3274" max="3275" width="13.28515625" style="120" customWidth="1"/>
    <col min="3276" max="3277" width="0" style="120" hidden="1" customWidth="1"/>
    <col min="3278" max="3278" width="13.28515625" style="120" customWidth="1"/>
    <col min="3279" max="3280" width="0" style="120" hidden="1" customWidth="1"/>
    <col min="3281" max="3281" width="13.28515625" style="120" customWidth="1"/>
    <col min="3282" max="3283" width="0" style="120" hidden="1" customWidth="1"/>
    <col min="3284" max="3284" width="13.28515625" style="120" customWidth="1"/>
    <col min="3285" max="3286" width="0" style="120" hidden="1" customWidth="1"/>
    <col min="3287" max="3287" width="13.28515625" style="120" customWidth="1"/>
    <col min="3288" max="3289" width="0" style="120" hidden="1" customWidth="1"/>
    <col min="3290" max="3291" width="13.28515625" style="120" customWidth="1"/>
    <col min="3292" max="3292" width="39.42578125" style="120" customWidth="1"/>
    <col min="3293" max="3297" width="13.28515625" style="120" customWidth="1"/>
    <col min="3298" max="3298" width="56.7109375" style="120" customWidth="1"/>
    <col min="3299" max="3299" width="11.7109375" style="120" customWidth="1"/>
    <col min="3300" max="3485" width="8.85546875" style="120"/>
    <col min="3486" max="3487" width="0" style="120" hidden="1" customWidth="1"/>
    <col min="3488" max="3488" width="12.28515625" style="120" customWidth="1"/>
    <col min="3489" max="3489" width="47" style="120" customWidth="1"/>
    <col min="3490" max="3529" width="0" style="120" hidden="1" customWidth="1"/>
    <col min="3530" max="3531" width="13.28515625" style="120" customWidth="1"/>
    <col min="3532" max="3533" width="0" style="120" hidden="1" customWidth="1"/>
    <col min="3534" max="3534" width="13.28515625" style="120" customWidth="1"/>
    <col min="3535" max="3536" width="0" style="120" hidden="1" customWidth="1"/>
    <col min="3537" max="3537" width="13.28515625" style="120" customWidth="1"/>
    <col min="3538" max="3539" width="0" style="120" hidden="1" customWidth="1"/>
    <col min="3540" max="3540" width="13.28515625" style="120" customWidth="1"/>
    <col min="3541" max="3542" width="0" style="120" hidden="1" customWidth="1"/>
    <col min="3543" max="3543" width="13.28515625" style="120" customWidth="1"/>
    <col min="3544" max="3545" width="0" style="120" hidden="1" customWidth="1"/>
    <col min="3546" max="3547" width="13.28515625" style="120" customWidth="1"/>
    <col min="3548" max="3548" width="39.42578125" style="120" customWidth="1"/>
    <col min="3549" max="3553" width="13.28515625" style="120" customWidth="1"/>
    <col min="3554" max="3554" width="56.7109375" style="120" customWidth="1"/>
    <col min="3555" max="3555" width="11.7109375" style="120" customWidth="1"/>
    <col min="3556" max="3741" width="8.85546875" style="120"/>
    <col min="3742" max="3743" width="0" style="120" hidden="1" customWidth="1"/>
    <col min="3744" max="3744" width="12.28515625" style="120" customWidth="1"/>
    <col min="3745" max="3745" width="47" style="120" customWidth="1"/>
    <col min="3746" max="3785" width="0" style="120" hidden="1" customWidth="1"/>
    <col min="3786" max="3787" width="13.28515625" style="120" customWidth="1"/>
    <col min="3788" max="3789" width="0" style="120" hidden="1" customWidth="1"/>
    <col min="3790" max="3790" width="13.28515625" style="120" customWidth="1"/>
    <col min="3791" max="3792" width="0" style="120" hidden="1" customWidth="1"/>
    <col min="3793" max="3793" width="13.28515625" style="120" customWidth="1"/>
    <col min="3794" max="3795" width="0" style="120" hidden="1" customWidth="1"/>
    <col min="3796" max="3796" width="13.28515625" style="120" customWidth="1"/>
    <col min="3797" max="3798" width="0" style="120" hidden="1" customWidth="1"/>
    <col min="3799" max="3799" width="13.28515625" style="120" customWidth="1"/>
    <col min="3800" max="3801" width="0" style="120" hidden="1" customWidth="1"/>
    <col min="3802" max="3803" width="13.28515625" style="120" customWidth="1"/>
    <col min="3804" max="3804" width="39.42578125" style="120" customWidth="1"/>
    <col min="3805" max="3809" width="13.28515625" style="120" customWidth="1"/>
    <col min="3810" max="3810" width="56.7109375" style="120" customWidth="1"/>
    <col min="3811" max="3811" width="11.7109375" style="120" customWidth="1"/>
    <col min="3812" max="3997" width="8.85546875" style="120"/>
    <col min="3998" max="3999" width="0" style="120" hidden="1" customWidth="1"/>
    <col min="4000" max="4000" width="12.28515625" style="120" customWidth="1"/>
    <col min="4001" max="4001" width="47" style="120" customWidth="1"/>
    <col min="4002" max="4041" width="0" style="120" hidden="1" customWidth="1"/>
    <col min="4042" max="4043" width="13.28515625" style="120" customWidth="1"/>
    <col min="4044" max="4045" width="0" style="120" hidden="1" customWidth="1"/>
    <col min="4046" max="4046" width="13.28515625" style="120" customWidth="1"/>
    <col min="4047" max="4048" width="0" style="120" hidden="1" customWidth="1"/>
    <col min="4049" max="4049" width="13.28515625" style="120" customWidth="1"/>
    <col min="4050" max="4051" width="0" style="120" hidden="1" customWidth="1"/>
    <col min="4052" max="4052" width="13.28515625" style="120" customWidth="1"/>
    <col min="4053" max="4054" width="0" style="120" hidden="1" customWidth="1"/>
    <col min="4055" max="4055" width="13.28515625" style="120" customWidth="1"/>
    <col min="4056" max="4057" width="0" style="120" hidden="1" customWidth="1"/>
    <col min="4058" max="4059" width="13.28515625" style="120" customWidth="1"/>
    <col min="4060" max="4060" width="39.42578125" style="120" customWidth="1"/>
    <col min="4061" max="4065" width="13.28515625" style="120" customWidth="1"/>
    <col min="4066" max="4066" width="56.7109375" style="120" customWidth="1"/>
    <col min="4067" max="4067" width="11.7109375" style="120" customWidth="1"/>
    <col min="4068" max="4253" width="8.85546875" style="120"/>
    <col min="4254" max="4255" width="0" style="120" hidden="1" customWidth="1"/>
    <col min="4256" max="4256" width="12.28515625" style="120" customWidth="1"/>
    <col min="4257" max="4257" width="47" style="120" customWidth="1"/>
    <col min="4258" max="4297" width="0" style="120" hidden="1" customWidth="1"/>
    <col min="4298" max="4299" width="13.28515625" style="120" customWidth="1"/>
    <col min="4300" max="4301" width="0" style="120" hidden="1" customWidth="1"/>
    <col min="4302" max="4302" width="13.28515625" style="120" customWidth="1"/>
    <col min="4303" max="4304" width="0" style="120" hidden="1" customWidth="1"/>
    <col min="4305" max="4305" width="13.28515625" style="120" customWidth="1"/>
    <col min="4306" max="4307" width="0" style="120" hidden="1" customWidth="1"/>
    <col min="4308" max="4308" width="13.28515625" style="120" customWidth="1"/>
    <col min="4309" max="4310" width="0" style="120" hidden="1" customWidth="1"/>
    <col min="4311" max="4311" width="13.28515625" style="120" customWidth="1"/>
    <col min="4312" max="4313" width="0" style="120" hidden="1" customWidth="1"/>
    <col min="4314" max="4315" width="13.28515625" style="120" customWidth="1"/>
    <col min="4316" max="4316" width="39.42578125" style="120" customWidth="1"/>
    <col min="4317" max="4321" width="13.28515625" style="120" customWidth="1"/>
    <col min="4322" max="4322" width="56.7109375" style="120" customWidth="1"/>
    <col min="4323" max="4323" width="11.7109375" style="120" customWidth="1"/>
    <col min="4324" max="4509" width="8.85546875" style="120"/>
    <col min="4510" max="4511" width="0" style="120" hidden="1" customWidth="1"/>
    <col min="4512" max="4512" width="12.28515625" style="120" customWidth="1"/>
    <col min="4513" max="4513" width="47" style="120" customWidth="1"/>
    <col min="4514" max="4553" width="0" style="120" hidden="1" customWidth="1"/>
    <col min="4554" max="4555" width="13.28515625" style="120" customWidth="1"/>
    <col min="4556" max="4557" width="0" style="120" hidden="1" customWidth="1"/>
    <col min="4558" max="4558" width="13.28515625" style="120" customWidth="1"/>
    <col min="4559" max="4560" width="0" style="120" hidden="1" customWidth="1"/>
    <col min="4561" max="4561" width="13.28515625" style="120" customWidth="1"/>
    <col min="4562" max="4563" width="0" style="120" hidden="1" customWidth="1"/>
    <col min="4564" max="4564" width="13.28515625" style="120" customWidth="1"/>
    <col min="4565" max="4566" width="0" style="120" hidden="1" customWidth="1"/>
    <col min="4567" max="4567" width="13.28515625" style="120" customWidth="1"/>
    <col min="4568" max="4569" width="0" style="120" hidden="1" customWidth="1"/>
    <col min="4570" max="4571" width="13.28515625" style="120" customWidth="1"/>
    <col min="4572" max="4572" width="39.42578125" style="120" customWidth="1"/>
    <col min="4573" max="4577" width="13.28515625" style="120" customWidth="1"/>
    <col min="4578" max="4578" width="56.7109375" style="120" customWidth="1"/>
    <col min="4579" max="4579" width="11.7109375" style="120" customWidth="1"/>
    <col min="4580" max="4765" width="8.85546875" style="120"/>
    <col min="4766" max="4767" width="0" style="120" hidden="1" customWidth="1"/>
    <col min="4768" max="4768" width="12.28515625" style="120" customWidth="1"/>
    <col min="4769" max="4769" width="47" style="120" customWidth="1"/>
    <col min="4770" max="4809" width="0" style="120" hidden="1" customWidth="1"/>
    <col min="4810" max="4811" width="13.28515625" style="120" customWidth="1"/>
    <col min="4812" max="4813" width="0" style="120" hidden="1" customWidth="1"/>
    <col min="4814" max="4814" width="13.28515625" style="120" customWidth="1"/>
    <col min="4815" max="4816" width="0" style="120" hidden="1" customWidth="1"/>
    <col min="4817" max="4817" width="13.28515625" style="120" customWidth="1"/>
    <col min="4818" max="4819" width="0" style="120" hidden="1" customWidth="1"/>
    <col min="4820" max="4820" width="13.28515625" style="120" customWidth="1"/>
    <col min="4821" max="4822" width="0" style="120" hidden="1" customWidth="1"/>
    <col min="4823" max="4823" width="13.28515625" style="120" customWidth="1"/>
    <col min="4824" max="4825" width="0" style="120" hidden="1" customWidth="1"/>
    <col min="4826" max="4827" width="13.28515625" style="120" customWidth="1"/>
    <col min="4828" max="4828" width="39.42578125" style="120" customWidth="1"/>
    <col min="4829" max="4833" width="13.28515625" style="120" customWidth="1"/>
    <col min="4834" max="4834" width="56.7109375" style="120" customWidth="1"/>
    <col min="4835" max="4835" width="11.7109375" style="120" customWidth="1"/>
    <col min="4836" max="5021" width="8.85546875" style="120"/>
    <col min="5022" max="5023" width="0" style="120" hidden="1" customWidth="1"/>
    <col min="5024" max="5024" width="12.28515625" style="120" customWidth="1"/>
    <col min="5025" max="5025" width="47" style="120" customWidth="1"/>
    <col min="5026" max="5065" width="0" style="120" hidden="1" customWidth="1"/>
    <col min="5066" max="5067" width="13.28515625" style="120" customWidth="1"/>
    <col min="5068" max="5069" width="0" style="120" hidden="1" customWidth="1"/>
    <col min="5070" max="5070" width="13.28515625" style="120" customWidth="1"/>
    <col min="5071" max="5072" width="0" style="120" hidden="1" customWidth="1"/>
    <col min="5073" max="5073" width="13.28515625" style="120" customWidth="1"/>
    <col min="5074" max="5075" width="0" style="120" hidden="1" customWidth="1"/>
    <col min="5076" max="5076" width="13.28515625" style="120" customWidth="1"/>
    <col min="5077" max="5078" width="0" style="120" hidden="1" customWidth="1"/>
    <col min="5079" max="5079" width="13.28515625" style="120" customWidth="1"/>
    <col min="5080" max="5081" width="0" style="120" hidden="1" customWidth="1"/>
    <col min="5082" max="5083" width="13.28515625" style="120" customWidth="1"/>
    <col min="5084" max="5084" width="39.42578125" style="120" customWidth="1"/>
    <col min="5085" max="5089" width="13.28515625" style="120" customWidth="1"/>
    <col min="5090" max="5090" width="56.7109375" style="120" customWidth="1"/>
    <col min="5091" max="5091" width="11.7109375" style="120" customWidth="1"/>
    <col min="5092" max="5277" width="8.85546875" style="120"/>
    <col min="5278" max="5279" width="0" style="120" hidden="1" customWidth="1"/>
    <col min="5280" max="5280" width="12.28515625" style="120" customWidth="1"/>
    <col min="5281" max="5281" width="47" style="120" customWidth="1"/>
    <col min="5282" max="5321" width="0" style="120" hidden="1" customWidth="1"/>
    <col min="5322" max="5323" width="13.28515625" style="120" customWidth="1"/>
    <col min="5324" max="5325" width="0" style="120" hidden="1" customWidth="1"/>
    <col min="5326" max="5326" width="13.28515625" style="120" customWidth="1"/>
    <col min="5327" max="5328" width="0" style="120" hidden="1" customWidth="1"/>
    <col min="5329" max="5329" width="13.28515625" style="120" customWidth="1"/>
    <col min="5330" max="5331" width="0" style="120" hidden="1" customWidth="1"/>
    <col min="5332" max="5332" width="13.28515625" style="120" customWidth="1"/>
    <col min="5333" max="5334" width="0" style="120" hidden="1" customWidth="1"/>
    <col min="5335" max="5335" width="13.28515625" style="120" customWidth="1"/>
    <col min="5336" max="5337" width="0" style="120" hidden="1" customWidth="1"/>
    <col min="5338" max="5339" width="13.28515625" style="120" customWidth="1"/>
    <col min="5340" max="5340" width="39.42578125" style="120" customWidth="1"/>
    <col min="5341" max="5345" width="13.28515625" style="120" customWidth="1"/>
    <col min="5346" max="5346" width="56.7109375" style="120" customWidth="1"/>
    <col min="5347" max="5347" width="11.7109375" style="120" customWidth="1"/>
    <col min="5348" max="5533" width="8.85546875" style="120"/>
    <col min="5534" max="5535" width="0" style="120" hidden="1" customWidth="1"/>
    <col min="5536" max="5536" width="12.28515625" style="120" customWidth="1"/>
    <col min="5537" max="5537" width="47" style="120" customWidth="1"/>
    <col min="5538" max="5577" width="0" style="120" hidden="1" customWidth="1"/>
    <col min="5578" max="5579" width="13.28515625" style="120" customWidth="1"/>
    <col min="5580" max="5581" width="0" style="120" hidden="1" customWidth="1"/>
    <col min="5582" max="5582" width="13.28515625" style="120" customWidth="1"/>
    <col min="5583" max="5584" width="0" style="120" hidden="1" customWidth="1"/>
    <col min="5585" max="5585" width="13.28515625" style="120" customWidth="1"/>
    <col min="5586" max="5587" width="0" style="120" hidden="1" customWidth="1"/>
    <col min="5588" max="5588" width="13.28515625" style="120" customWidth="1"/>
    <col min="5589" max="5590" width="0" style="120" hidden="1" customWidth="1"/>
    <col min="5591" max="5591" width="13.28515625" style="120" customWidth="1"/>
    <col min="5592" max="5593" width="0" style="120" hidden="1" customWidth="1"/>
    <col min="5594" max="5595" width="13.28515625" style="120" customWidth="1"/>
    <col min="5596" max="5596" width="39.42578125" style="120" customWidth="1"/>
    <col min="5597" max="5601" width="13.28515625" style="120" customWidth="1"/>
    <col min="5602" max="5602" width="56.7109375" style="120" customWidth="1"/>
    <col min="5603" max="5603" width="11.7109375" style="120" customWidth="1"/>
    <col min="5604" max="5789" width="8.85546875" style="120"/>
    <col min="5790" max="5791" width="0" style="120" hidden="1" customWidth="1"/>
    <col min="5792" max="5792" width="12.28515625" style="120" customWidth="1"/>
    <col min="5793" max="5793" width="47" style="120" customWidth="1"/>
    <col min="5794" max="5833" width="0" style="120" hidden="1" customWidth="1"/>
    <col min="5834" max="5835" width="13.28515625" style="120" customWidth="1"/>
    <col min="5836" max="5837" width="0" style="120" hidden="1" customWidth="1"/>
    <col min="5838" max="5838" width="13.28515625" style="120" customWidth="1"/>
    <col min="5839" max="5840" width="0" style="120" hidden="1" customWidth="1"/>
    <col min="5841" max="5841" width="13.28515625" style="120" customWidth="1"/>
    <col min="5842" max="5843" width="0" style="120" hidden="1" customWidth="1"/>
    <col min="5844" max="5844" width="13.28515625" style="120" customWidth="1"/>
    <col min="5845" max="5846" width="0" style="120" hidden="1" customWidth="1"/>
    <col min="5847" max="5847" width="13.28515625" style="120" customWidth="1"/>
    <col min="5848" max="5849" width="0" style="120" hidden="1" customWidth="1"/>
    <col min="5850" max="5851" width="13.28515625" style="120" customWidth="1"/>
    <col min="5852" max="5852" width="39.42578125" style="120" customWidth="1"/>
    <col min="5853" max="5857" width="13.28515625" style="120" customWidth="1"/>
    <col min="5858" max="5858" width="56.7109375" style="120" customWidth="1"/>
    <col min="5859" max="5859" width="11.7109375" style="120" customWidth="1"/>
    <col min="5860" max="6045" width="8.85546875" style="120"/>
    <col min="6046" max="6047" width="0" style="120" hidden="1" customWidth="1"/>
    <col min="6048" max="6048" width="12.28515625" style="120" customWidth="1"/>
    <col min="6049" max="6049" width="47" style="120" customWidth="1"/>
    <col min="6050" max="6089" width="0" style="120" hidden="1" customWidth="1"/>
    <col min="6090" max="6091" width="13.28515625" style="120" customWidth="1"/>
    <col min="6092" max="6093" width="0" style="120" hidden="1" customWidth="1"/>
    <col min="6094" max="6094" width="13.28515625" style="120" customWidth="1"/>
    <col min="6095" max="6096" width="0" style="120" hidden="1" customWidth="1"/>
    <col min="6097" max="6097" width="13.28515625" style="120" customWidth="1"/>
    <col min="6098" max="6099" width="0" style="120" hidden="1" customWidth="1"/>
    <col min="6100" max="6100" width="13.28515625" style="120" customWidth="1"/>
    <col min="6101" max="6102" width="0" style="120" hidden="1" customWidth="1"/>
    <col min="6103" max="6103" width="13.28515625" style="120" customWidth="1"/>
    <col min="6104" max="6105" width="0" style="120" hidden="1" customWidth="1"/>
    <col min="6106" max="6107" width="13.28515625" style="120" customWidth="1"/>
    <col min="6108" max="6108" width="39.42578125" style="120" customWidth="1"/>
    <col min="6109" max="6113" width="13.28515625" style="120" customWidth="1"/>
    <col min="6114" max="6114" width="56.7109375" style="120" customWidth="1"/>
    <col min="6115" max="6115" width="11.7109375" style="120" customWidth="1"/>
    <col min="6116" max="6301" width="8.85546875" style="120"/>
    <col min="6302" max="6303" width="0" style="120" hidden="1" customWidth="1"/>
    <col min="6304" max="6304" width="12.28515625" style="120" customWidth="1"/>
    <col min="6305" max="6305" width="47" style="120" customWidth="1"/>
    <col min="6306" max="6345" width="0" style="120" hidden="1" customWidth="1"/>
    <col min="6346" max="6347" width="13.28515625" style="120" customWidth="1"/>
    <col min="6348" max="6349" width="0" style="120" hidden="1" customWidth="1"/>
    <col min="6350" max="6350" width="13.28515625" style="120" customWidth="1"/>
    <col min="6351" max="6352" width="0" style="120" hidden="1" customWidth="1"/>
    <col min="6353" max="6353" width="13.28515625" style="120" customWidth="1"/>
    <col min="6354" max="6355" width="0" style="120" hidden="1" customWidth="1"/>
    <col min="6356" max="6356" width="13.28515625" style="120" customWidth="1"/>
    <col min="6357" max="6358" width="0" style="120" hidden="1" customWidth="1"/>
    <col min="6359" max="6359" width="13.28515625" style="120" customWidth="1"/>
    <col min="6360" max="6361" width="0" style="120" hidden="1" customWidth="1"/>
    <col min="6362" max="6363" width="13.28515625" style="120" customWidth="1"/>
    <col min="6364" max="6364" width="39.42578125" style="120" customWidth="1"/>
    <col min="6365" max="6369" width="13.28515625" style="120" customWidth="1"/>
    <col min="6370" max="6370" width="56.7109375" style="120" customWidth="1"/>
    <col min="6371" max="6371" width="11.7109375" style="120" customWidth="1"/>
    <col min="6372" max="6557" width="8.85546875" style="120"/>
    <col min="6558" max="6559" width="0" style="120" hidden="1" customWidth="1"/>
    <col min="6560" max="6560" width="12.28515625" style="120" customWidth="1"/>
    <col min="6561" max="6561" width="47" style="120" customWidth="1"/>
    <col min="6562" max="6601" width="0" style="120" hidden="1" customWidth="1"/>
    <col min="6602" max="6603" width="13.28515625" style="120" customWidth="1"/>
    <col min="6604" max="6605" width="0" style="120" hidden="1" customWidth="1"/>
    <col min="6606" max="6606" width="13.28515625" style="120" customWidth="1"/>
    <col min="6607" max="6608" width="0" style="120" hidden="1" customWidth="1"/>
    <col min="6609" max="6609" width="13.28515625" style="120" customWidth="1"/>
    <col min="6610" max="6611" width="0" style="120" hidden="1" customWidth="1"/>
    <col min="6612" max="6612" width="13.28515625" style="120" customWidth="1"/>
    <col min="6613" max="6614" width="0" style="120" hidden="1" customWidth="1"/>
    <col min="6615" max="6615" width="13.28515625" style="120" customWidth="1"/>
    <col min="6616" max="6617" width="0" style="120" hidden="1" customWidth="1"/>
    <col min="6618" max="6619" width="13.28515625" style="120" customWidth="1"/>
    <col min="6620" max="6620" width="39.42578125" style="120" customWidth="1"/>
    <col min="6621" max="6625" width="13.28515625" style="120" customWidth="1"/>
    <col min="6626" max="6626" width="56.7109375" style="120" customWidth="1"/>
    <col min="6627" max="6627" width="11.7109375" style="120" customWidth="1"/>
    <col min="6628" max="6813" width="8.85546875" style="120"/>
    <col min="6814" max="6815" width="0" style="120" hidden="1" customWidth="1"/>
    <col min="6816" max="6816" width="12.28515625" style="120" customWidth="1"/>
    <col min="6817" max="6817" width="47" style="120" customWidth="1"/>
    <col min="6818" max="6857" width="0" style="120" hidden="1" customWidth="1"/>
    <col min="6858" max="6859" width="13.28515625" style="120" customWidth="1"/>
    <col min="6860" max="6861" width="0" style="120" hidden="1" customWidth="1"/>
    <col min="6862" max="6862" width="13.28515625" style="120" customWidth="1"/>
    <col min="6863" max="6864" width="0" style="120" hidden="1" customWidth="1"/>
    <col min="6865" max="6865" width="13.28515625" style="120" customWidth="1"/>
    <col min="6866" max="6867" width="0" style="120" hidden="1" customWidth="1"/>
    <col min="6868" max="6868" width="13.28515625" style="120" customWidth="1"/>
    <col min="6869" max="6870" width="0" style="120" hidden="1" customWidth="1"/>
    <col min="6871" max="6871" width="13.28515625" style="120" customWidth="1"/>
    <col min="6872" max="6873" width="0" style="120" hidden="1" customWidth="1"/>
    <col min="6874" max="6875" width="13.28515625" style="120" customWidth="1"/>
    <col min="6876" max="6876" width="39.42578125" style="120" customWidth="1"/>
    <col min="6877" max="6881" width="13.28515625" style="120" customWidth="1"/>
    <col min="6882" max="6882" width="56.7109375" style="120" customWidth="1"/>
    <col min="6883" max="6883" width="11.7109375" style="120" customWidth="1"/>
    <col min="6884" max="7069" width="8.85546875" style="120"/>
    <col min="7070" max="7071" width="0" style="120" hidden="1" customWidth="1"/>
    <col min="7072" max="7072" width="12.28515625" style="120" customWidth="1"/>
    <col min="7073" max="7073" width="47" style="120" customWidth="1"/>
    <col min="7074" max="7113" width="0" style="120" hidden="1" customWidth="1"/>
    <col min="7114" max="7115" width="13.28515625" style="120" customWidth="1"/>
    <col min="7116" max="7117" width="0" style="120" hidden="1" customWidth="1"/>
    <col min="7118" max="7118" width="13.28515625" style="120" customWidth="1"/>
    <col min="7119" max="7120" width="0" style="120" hidden="1" customWidth="1"/>
    <col min="7121" max="7121" width="13.28515625" style="120" customWidth="1"/>
    <col min="7122" max="7123" width="0" style="120" hidden="1" customWidth="1"/>
    <col min="7124" max="7124" width="13.28515625" style="120" customWidth="1"/>
    <col min="7125" max="7126" width="0" style="120" hidden="1" customWidth="1"/>
    <col min="7127" max="7127" width="13.28515625" style="120" customWidth="1"/>
    <col min="7128" max="7129" width="0" style="120" hidden="1" customWidth="1"/>
    <col min="7130" max="7131" width="13.28515625" style="120" customWidth="1"/>
    <col min="7132" max="7132" width="39.42578125" style="120" customWidth="1"/>
    <col min="7133" max="7137" width="13.28515625" style="120" customWidth="1"/>
    <col min="7138" max="7138" width="56.7109375" style="120" customWidth="1"/>
    <col min="7139" max="7139" width="11.7109375" style="120" customWidth="1"/>
    <col min="7140" max="7325" width="8.85546875" style="120"/>
    <col min="7326" max="7327" width="0" style="120" hidden="1" customWidth="1"/>
    <col min="7328" max="7328" width="12.28515625" style="120" customWidth="1"/>
    <col min="7329" max="7329" width="47" style="120" customWidth="1"/>
    <col min="7330" max="7369" width="0" style="120" hidden="1" customWidth="1"/>
    <col min="7370" max="7371" width="13.28515625" style="120" customWidth="1"/>
    <col min="7372" max="7373" width="0" style="120" hidden="1" customWidth="1"/>
    <col min="7374" max="7374" width="13.28515625" style="120" customWidth="1"/>
    <col min="7375" max="7376" width="0" style="120" hidden="1" customWidth="1"/>
    <col min="7377" max="7377" width="13.28515625" style="120" customWidth="1"/>
    <col min="7378" max="7379" width="0" style="120" hidden="1" customWidth="1"/>
    <col min="7380" max="7380" width="13.28515625" style="120" customWidth="1"/>
    <col min="7381" max="7382" width="0" style="120" hidden="1" customWidth="1"/>
    <col min="7383" max="7383" width="13.28515625" style="120" customWidth="1"/>
    <col min="7384" max="7385" width="0" style="120" hidden="1" customWidth="1"/>
    <col min="7386" max="7387" width="13.28515625" style="120" customWidth="1"/>
    <col min="7388" max="7388" width="39.42578125" style="120" customWidth="1"/>
    <col min="7389" max="7393" width="13.28515625" style="120" customWidth="1"/>
    <col min="7394" max="7394" width="56.7109375" style="120" customWidth="1"/>
    <col min="7395" max="7395" width="11.7109375" style="120" customWidth="1"/>
    <col min="7396" max="7581" width="8.85546875" style="120"/>
    <col min="7582" max="7583" width="0" style="120" hidden="1" customWidth="1"/>
    <col min="7584" max="7584" width="12.28515625" style="120" customWidth="1"/>
    <col min="7585" max="7585" width="47" style="120" customWidth="1"/>
    <col min="7586" max="7625" width="0" style="120" hidden="1" customWidth="1"/>
    <col min="7626" max="7627" width="13.28515625" style="120" customWidth="1"/>
    <col min="7628" max="7629" width="0" style="120" hidden="1" customWidth="1"/>
    <col min="7630" max="7630" width="13.28515625" style="120" customWidth="1"/>
    <col min="7631" max="7632" width="0" style="120" hidden="1" customWidth="1"/>
    <col min="7633" max="7633" width="13.28515625" style="120" customWidth="1"/>
    <col min="7634" max="7635" width="0" style="120" hidden="1" customWidth="1"/>
    <col min="7636" max="7636" width="13.28515625" style="120" customWidth="1"/>
    <col min="7637" max="7638" width="0" style="120" hidden="1" customWidth="1"/>
    <col min="7639" max="7639" width="13.28515625" style="120" customWidth="1"/>
    <col min="7640" max="7641" width="0" style="120" hidden="1" customWidth="1"/>
    <col min="7642" max="7643" width="13.28515625" style="120" customWidth="1"/>
    <col min="7644" max="7644" width="39.42578125" style="120" customWidth="1"/>
    <col min="7645" max="7649" width="13.28515625" style="120" customWidth="1"/>
    <col min="7650" max="7650" width="56.7109375" style="120" customWidth="1"/>
    <col min="7651" max="7651" width="11.7109375" style="120" customWidth="1"/>
    <col min="7652" max="7837" width="8.85546875" style="120"/>
    <col min="7838" max="7839" width="0" style="120" hidden="1" customWidth="1"/>
    <col min="7840" max="7840" width="12.28515625" style="120" customWidth="1"/>
    <col min="7841" max="7841" width="47" style="120" customWidth="1"/>
    <col min="7842" max="7881" width="0" style="120" hidden="1" customWidth="1"/>
    <col min="7882" max="7883" width="13.28515625" style="120" customWidth="1"/>
    <col min="7884" max="7885" width="0" style="120" hidden="1" customWidth="1"/>
    <col min="7886" max="7886" width="13.28515625" style="120" customWidth="1"/>
    <col min="7887" max="7888" width="0" style="120" hidden="1" customWidth="1"/>
    <col min="7889" max="7889" width="13.28515625" style="120" customWidth="1"/>
    <col min="7890" max="7891" width="0" style="120" hidden="1" customWidth="1"/>
    <col min="7892" max="7892" width="13.28515625" style="120" customWidth="1"/>
    <col min="7893" max="7894" width="0" style="120" hidden="1" customWidth="1"/>
    <col min="7895" max="7895" width="13.28515625" style="120" customWidth="1"/>
    <col min="7896" max="7897" width="0" style="120" hidden="1" customWidth="1"/>
    <col min="7898" max="7899" width="13.28515625" style="120" customWidth="1"/>
    <col min="7900" max="7900" width="39.42578125" style="120" customWidth="1"/>
    <col min="7901" max="7905" width="13.28515625" style="120" customWidth="1"/>
    <col min="7906" max="7906" width="56.7109375" style="120" customWidth="1"/>
    <col min="7907" max="7907" width="11.7109375" style="120" customWidth="1"/>
    <col min="7908" max="8093" width="8.85546875" style="120"/>
    <col min="8094" max="8095" width="0" style="120" hidden="1" customWidth="1"/>
    <col min="8096" max="8096" width="12.28515625" style="120" customWidth="1"/>
    <col min="8097" max="8097" width="47" style="120" customWidth="1"/>
    <col min="8098" max="8137" width="0" style="120" hidden="1" customWidth="1"/>
    <col min="8138" max="8139" width="13.28515625" style="120" customWidth="1"/>
    <col min="8140" max="8141" width="0" style="120" hidden="1" customWidth="1"/>
    <col min="8142" max="8142" width="13.28515625" style="120" customWidth="1"/>
    <col min="8143" max="8144" width="0" style="120" hidden="1" customWidth="1"/>
    <col min="8145" max="8145" width="13.28515625" style="120" customWidth="1"/>
    <col min="8146" max="8147" width="0" style="120" hidden="1" customWidth="1"/>
    <col min="8148" max="8148" width="13.28515625" style="120" customWidth="1"/>
    <col min="8149" max="8150" width="0" style="120" hidden="1" customWidth="1"/>
    <col min="8151" max="8151" width="13.28515625" style="120" customWidth="1"/>
    <col min="8152" max="8153" width="0" style="120" hidden="1" customWidth="1"/>
    <col min="8154" max="8155" width="13.28515625" style="120" customWidth="1"/>
    <col min="8156" max="8156" width="39.42578125" style="120" customWidth="1"/>
    <col min="8157" max="8161" width="13.28515625" style="120" customWidth="1"/>
    <col min="8162" max="8162" width="56.7109375" style="120" customWidth="1"/>
    <col min="8163" max="8163" width="11.7109375" style="120" customWidth="1"/>
    <col min="8164" max="8349" width="8.85546875" style="120"/>
    <col min="8350" max="8351" width="0" style="120" hidden="1" customWidth="1"/>
    <col min="8352" max="8352" width="12.28515625" style="120" customWidth="1"/>
    <col min="8353" max="8353" width="47" style="120" customWidth="1"/>
    <col min="8354" max="8393" width="0" style="120" hidden="1" customWidth="1"/>
    <col min="8394" max="8395" width="13.28515625" style="120" customWidth="1"/>
    <col min="8396" max="8397" width="0" style="120" hidden="1" customWidth="1"/>
    <col min="8398" max="8398" width="13.28515625" style="120" customWidth="1"/>
    <col min="8399" max="8400" width="0" style="120" hidden="1" customWidth="1"/>
    <col min="8401" max="8401" width="13.28515625" style="120" customWidth="1"/>
    <col min="8402" max="8403" width="0" style="120" hidden="1" customWidth="1"/>
    <col min="8404" max="8404" width="13.28515625" style="120" customWidth="1"/>
    <col min="8405" max="8406" width="0" style="120" hidden="1" customWidth="1"/>
    <col min="8407" max="8407" width="13.28515625" style="120" customWidth="1"/>
    <col min="8408" max="8409" width="0" style="120" hidden="1" customWidth="1"/>
    <col min="8410" max="8411" width="13.28515625" style="120" customWidth="1"/>
    <col min="8412" max="8412" width="39.42578125" style="120" customWidth="1"/>
    <col min="8413" max="8417" width="13.28515625" style="120" customWidth="1"/>
    <col min="8418" max="8418" width="56.7109375" style="120" customWidth="1"/>
    <col min="8419" max="8419" width="11.7109375" style="120" customWidth="1"/>
    <col min="8420" max="8605" width="8.85546875" style="120"/>
    <col min="8606" max="8607" width="0" style="120" hidden="1" customWidth="1"/>
    <col min="8608" max="8608" width="12.28515625" style="120" customWidth="1"/>
    <col min="8609" max="8609" width="47" style="120" customWidth="1"/>
    <col min="8610" max="8649" width="0" style="120" hidden="1" customWidth="1"/>
    <col min="8650" max="8651" width="13.28515625" style="120" customWidth="1"/>
    <col min="8652" max="8653" width="0" style="120" hidden="1" customWidth="1"/>
    <col min="8654" max="8654" width="13.28515625" style="120" customWidth="1"/>
    <col min="8655" max="8656" width="0" style="120" hidden="1" customWidth="1"/>
    <col min="8657" max="8657" width="13.28515625" style="120" customWidth="1"/>
    <col min="8658" max="8659" width="0" style="120" hidden="1" customWidth="1"/>
    <col min="8660" max="8660" width="13.28515625" style="120" customWidth="1"/>
    <col min="8661" max="8662" width="0" style="120" hidden="1" customWidth="1"/>
    <col min="8663" max="8663" width="13.28515625" style="120" customWidth="1"/>
    <col min="8664" max="8665" width="0" style="120" hidden="1" customWidth="1"/>
    <col min="8666" max="8667" width="13.28515625" style="120" customWidth="1"/>
    <col min="8668" max="8668" width="39.42578125" style="120" customWidth="1"/>
    <col min="8669" max="8673" width="13.28515625" style="120" customWidth="1"/>
    <col min="8674" max="8674" width="56.7109375" style="120" customWidth="1"/>
    <col min="8675" max="8675" width="11.7109375" style="120" customWidth="1"/>
    <col min="8676" max="8861" width="8.85546875" style="120"/>
    <col min="8862" max="8863" width="0" style="120" hidden="1" customWidth="1"/>
    <col min="8864" max="8864" width="12.28515625" style="120" customWidth="1"/>
    <col min="8865" max="8865" width="47" style="120" customWidth="1"/>
    <col min="8866" max="8905" width="0" style="120" hidden="1" customWidth="1"/>
    <col min="8906" max="8907" width="13.28515625" style="120" customWidth="1"/>
    <col min="8908" max="8909" width="0" style="120" hidden="1" customWidth="1"/>
    <col min="8910" max="8910" width="13.28515625" style="120" customWidth="1"/>
    <col min="8911" max="8912" width="0" style="120" hidden="1" customWidth="1"/>
    <col min="8913" max="8913" width="13.28515625" style="120" customWidth="1"/>
    <col min="8914" max="8915" width="0" style="120" hidden="1" customWidth="1"/>
    <col min="8916" max="8916" width="13.28515625" style="120" customWidth="1"/>
    <col min="8917" max="8918" width="0" style="120" hidden="1" customWidth="1"/>
    <col min="8919" max="8919" width="13.28515625" style="120" customWidth="1"/>
    <col min="8920" max="8921" width="0" style="120" hidden="1" customWidth="1"/>
    <col min="8922" max="8923" width="13.28515625" style="120" customWidth="1"/>
    <col min="8924" max="8924" width="39.42578125" style="120" customWidth="1"/>
    <col min="8925" max="8929" width="13.28515625" style="120" customWidth="1"/>
    <col min="8930" max="8930" width="56.7109375" style="120" customWidth="1"/>
    <col min="8931" max="8931" width="11.7109375" style="120" customWidth="1"/>
    <col min="8932" max="9117" width="8.85546875" style="120"/>
    <col min="9118" max="9119" width="0" style="120" hidden="1" customWidth="1"/>
    <col min="9120" max="9120" width="12.28515625" style="120" customWidth="1"/>
    <col min="9121" max="9121" width="47" style="120" customWidth="1"/>
    <col min="9122" max="9161" width="0" style="120" hidden="1" customWidth="1"/>
    <col min="9162" max="9163" width="13.28515625" style="120" customWidth="1"/>
    <col min="9164" max="9165" width="0" style="120" hidden="1" customWidth="1"/>
    <col min="9166" max="9166" width="13.28515625" style="120" customWidth="1"/>
    <col min="9167" max="9168" width="0" style="120" hidden="1" customWidth="1"/>
    <col min="9169" max="9169" width="13.28515625" style="120" customWidth="1"/>
    <col min="9170" max="9171" width="0" style="120" hidden="1" customWidth="1"/>
    <col min="9172" max="9172" width="13.28515625" style="120" customWidth="1"/>
    <col min="9173" max="9174" width="0" style="120" hidden="1" customWidth="1"/>
    <col min="9175" max="9175" width="13.28515625" style="120" customWidth="1"/>
    <col min="9176" max="9177" width="0" style="120" hidden="1" customWidth="1"/>
    <col min="9178" max="9179" width="13.28515625" style="120" customWidth="1"/>
    <col min="9180" max="9180" width="39.42578125" style="120" customWidth="1"/>
    <col min="9181" max="9185" width="13.28515625" style="120" customWidth="1"/>
    <col min="9186" max="9186" width="56.7109375" style="120" customWidth="1"/>
    <col min="9187" max="9187" width="11.7109375" style="120" customWidth="1"/>
    <col min="9188" max="9373" width="8.85546875" style="120"/>
    <col min="9374" max="9375" width="0" style="120" hidden="1" customWidth="1"/>
    <col min="9376" max="9376" width="12.28515625" style="120" customWidth="1"/>
    <col min="9377" max="9377" width="47" style="120" customWidth="1"/>
    <col min="9378" max="9417" width="0" style="120" hidden="1" customWidth="1"/>
    <col min="9418" max="9419" width="13.28515625" style="120" customWidth="1"/>
    <col min="9420" max="9421" width="0" style="120" hidden="1" customWidth="1"/>
    <col min="9422" max="9422" width="13.28515625" style="120" customWidth="1"/>
    <col min="9423" max="9424" width="0" style="120" hidden="1" customWidth="1"/>
    <col min="9425" max="9425" width="13.28515625" style="120" customWidth="1"/>
    <col min="9426" max="9427" width="0" style="120" hidden="1" customWidth="1"/>
    <col min="9428" max="9428" width="13.28515625" style="120" customWidth="1"/>
    <col min="9429" max="9430" width="0" style="120" hidden="1" customWidth="1"/>
    <col min="9431" max="9431" width="13.28515625" style="120" customWidth="1"/>
    <col min="9432" max="9433" width="0" style="120" hidden="1" customWidth="1"/>
    <col min="9434" max="9435" width="13.28515625" style="120" customWidth="1"/>
    <col min="9436" max="9436" width="39.42578125" style="120" customWidth="1"/>
    <col min="9437" max="9441" width="13.28515625" style="120" customWidth="1"/>
    <col min="9442" max="9442" width="56.7109375" style="120" customWidth="1"/>
    <col min="9443" max="9443" width="11.7109375" style="120" customWidth="1"/>
    <col min="9444" max="9629" width="8.85546875" style="120"/>
    <col min="9630" max="9631" width="0" style="120" hidden="1" customWidth="1"/>
    <col min="9632" max="9632" width="12.28515625" style="120" customWidth="1"/>
    <col min="9633" max="9633" width="47" style="120" customWidth="1"/>
    <col min="9634" max="9673" width="0" style="120" hidden="1" customWidth="1"/>
    <col min="9674" max="9675" width="13.28515625" style="120" customWidth="1"/>
    <col min="9676" max="9677" width="0" style="120" hidden="1" customWidth="1"/>
    <col min="9678" max="9678" width="13.28515625" style="120" customWidth="1"/>
    <col min="9679" max="9680" width="0" style="120" hidden="1" customWidth="1"/>
    <col min="9681" max="9681" width="13.28515625" style="120" customWidth="1"/>
    <col min="9682" max="9683" width="0" style="120" hidden="1" customWidth="1"/>
    <col min="9684" max="9684" width="13.28515625" style="120" customWidth="1"/>
    <col min="9685" max="9686" width="0" style="120" hidden="1" customWidth="1"/>
    <col min="9687" max="9687" width="13.28515625" style="120" customWidth="1"/>
    <col min="9688" max="9689" width="0" style="120" hidden="1" customWidth="1"/>
    <col min="9690" max="9691" width="13.28515625" style="120" customWidth="1"/>
    <col min="9692" max="9692" width="39.42578125" style="120" customWidth="1"/>
    <col min="9693" max="9697" width="13.28515625" style="120" customWidth="1"/>
    <col min="9698" max="9698" width="56.7109375" style="120" customWidth="1"/>
    <col min="9699" max="9699" width="11.7109375" style="120" customWidth="1"/>
    <col min="9700" max="9885" width="8.85546875" style="120"/>
    <col min="9886" max="9887" width="0" style="120" hidden="1" customWidth="1"/>
    <col min="9888" max="9888" width="12.28515625" style="120" customWidth="1"/>
    <col min="9889" max="9889" width="47" style="120" customWidth="1"/>
    <col min="9890" max="9929" width="0" style="120" hidden="1" customWidth="1"/>
    <col min="9930" max="9931" width="13.28515625" style="120" customWidth="1"/>
    <col min="9932" max="9933" width="0" style="120" hidden="1" customWidth="1"/>
    <col min="9934" max="9934" width="13.28515625" style="120" customWidth="1"/>
    <col min="9935" max="9936" width="0" style="120" hidden="1" customWidth="1"/>
    <col min="9937" max="9937" width="13.28515625" style="120" customWidth="1"/>
    <col min="9938" max="9939" width="0" style="120" hidden="1" customWidth="1"/>
    <col min="9940" max="9940" width="13.28515625" style="120" customWidth="1"/>
    <col min="9941" max="9942" width="0" style="120" hidden="1" customWidth="1"/>
    <col min="9943" max="9943" width="13.28515625" style="120" customWidth="1"/>
    <col min="9944" max="9945" width="0" style="120" hidden="1" customWidth="1"/>
    <col min="9946" max="9947" width="13.28515625" style="120" customWidth="1"/>
    <col min="9948" max="9948" width="39.42578125" style="120" customWidth="1"/>
    <col min="9949" max="9953" width="13.28515625" style="120" customWidth="1"/>
    <col min="9954" max="9954" width="56.7109375" style="120" customWidth="1"/>
    <col min="9955" max="9955" width="11.7109375" style="120" customWidth="1"/>
    <col min="9956" max="10141" width="8.85546875" style="120"/>
    <col min="10142" max="10143" width="0" style="120" hidden="1" customWidth="1"/>
    <col min="10144" max="10144" width="12.28515625" style="120" customWidth="1"/>
    <col min="10145" max="10145" width="47" style="120" customWidth="1"/>
    <col min="10146" max="10185" width="0" style="120" hidden="1" customWidth="1"/>
    <col min="10186" max="10187" width="13.28515625" style="120" customWidth="1"/>
    <col min="10188" max="10189" width="0" style="120" hidden="1" customWidth="1"/>
    <col min="10190" max="10190" width="13.28515625" style="120" customWidth="1"/>
    <col min="10191" max="10192" width="0" style="120" hidden="1" customWidth="1"/>
    <col min="10193" max="10193" width="13.28515625" style="120" customWidth="1"/>
    <col min="10194" max="10195" width="0" style="120" hidden="1" customWidth="1"/>
    <col min="10196" max="10196" width="13.28515625" style="120" customWidth="1"/>
    <col min="10197" max="10198" width="0" style="120" hidden="1" customWidth="1"/>
    <col min="10199" max="10199" width="13.28515625" style="120" customWidth="1"/>
    <col min="10200" max="10201" width="0" style="120" hidden="1" customWidth="1"/>
    <col min="10202" max="10203" width="13.28515625" style="120" customWidth="1"/>
    <col min="10204" max="10204" width="39.42578125" style="120" customWidth="1"/>
    <col min="10205" max="10209" width="13.28515625" style="120" customWidth="1"/>
    <col min="10210" max="10210" width="56.7109375" style="120" customWidth="1"/>
    <col min="10211" max="10211" width="11.7109375" style="120" customWidth="1"/>
    <col min="10212" max="10397" width="8.85546875" style="120"/>
    <col min="10398" max="10399" width="0" style="120" hidden="1" customWidth="1"/>
    <col min="10400" max="10400" width="12.28515625" style="120" customWidth="1"/>
    <col min="10401" max="10401" width="47" style="120" customWidth="1"/>
    <col min="10402" max="10441" width="0" style="120" hidden="1" customWidth="1"/>
    <col min="10442" max="10443" width="13.28515625" style="120" customWidth="1"/>
    <col min="10444" max="10445" width="0" style="120" hidden="1" customWidth="1"/>
    <col min="10446" max="10446" width="13.28515625" style="120" customWidth="1"/>
    <col min="10447" max="10448" width="0" style="120" hidden="1" customWidth="1"/>
    <col min="10449" max="10449" width="13.28515625" style="120" customWidth="1"/>
    <col min="10450" max="10451" width="0" style="120" hidden="1" customWidth="1"/>
    <col min="10452" max="10452" width="13.28515625" style="120" customWidth="1"/>
    <col min="10453" max="10454" width="0" style="120" hidden="1" customWidth="1"/>
    <col min="10455" max="10455" width="13.28515625" style="120" customWidth="1"/>
    <col min="10456" max="10457" width="0" style="120" hidden="1" customWidth="1"/>
    <col min="10458" max="10459" width="13.28515625" style="120" customWidth="1"/>
    <col min="10460" max="10460" width="39.42578125" style="120" customWidth="1"/>
    <col min="10461" max="10465" width="13.28515625" style="120" customWidth="1"/>
    <col min="10466" max="10466" width="56.7109375" style="120" customWidth="1"/>
    <col min="10467" max="10467" width="11.7109375" style="120" customWidth="1"/>
    <col min="10468" max="10653" width="8.85546875" style="120"/>
    <col min="10654" max="10655" width="0" style="120" hidden="1" customWidth="1"/>
    <col min="10656" max="10656" width="12.28515625" style="120" customWidth="1"/>
    <col min="10657" max="10657" width="47" style="120" customWidth="1"/>
    <col min="10658" max="10697" width="0" style="120" hidden="1" customWidth="1"/>
    <col min="10698" max="10699" width="13.28515625" style="120" customWidth="1"/>
    <col min="10700" max="10701" width="0" style="120" hidden="1" customWidth="1"/>
    <col min="10702" max="10702" width="13.28515625" style="120" customWidth="1"/>
    <col min="10703" max="10704" width="0" style="120" hidden="1" customWidth="1"/>
    <col min="10705" max="10705" width="13.28515625" style="120" customWidth="1"/>
    <col min="10706" max="10707" width="0" style="120" hidden="1" customWidth="1"/>
    <col min="10708" max="10708" width="13.28515625" style="120" customWidth="1"/>
    <col min="10709" max="10710" width="0" style="120" hidden="1" customWidth="1"/>
    <col min="10711" max="10711" width="13.28515625" style="120" customWidth="1"/>
    <col min="10712" max="10713" width="0" style="120" hidden="1" customWidth="1"/>
    <col min="10714" max="10715" width="13.28515625" style="120" customWidth="1"/>
    <col min="10716" max="10716" width="39.42578125" style="120" customWidth="1"/>
    <col min="10717" max="10721" width="13.28515625" style="120" customWidth="1"/>
    <col min="10722" max="10722" width="56.7109375" style="120" customWidth="1"/>
    <col min="10723" max="10723" width="11.7109375" style="120" customWidth="1"/>
    <col min="10724" max="10909" width="8.85546875" style="120"/>
    <col min="10910" max="10911" width="0" style="120" hidden="1" customWidth="1"/>
    <col min="10912" max="10912" width="12.28515625" style="120" customWidth="1"/>
    <col min="10913" max="10913" width="47" style="120" customWidth="1"/>
    <col min="10914" max="10953" width="0" style="120" hidden="1" customWidth="1"/>
    <col min="10954" max="10955" width="13.28515625" style="120" customWidth="1"/>
    <col min="10956" max="10957" width="0" style="120" hidden="1" customWidth="1"/>
    <col min="10958" max="10958" width="13.28515625" style="120" customWidth="1"/>
    <col min="10959" max="10960" width="0" style="120" hidden="1" customWidth="1"/>
    <col min="10961" max="10961" width="13.28515625" style="120" customWidth="1"/>
    <col min="10962" max="10963" width="0" style="120" hidden="1" customWidth="1"/>
    <col min="10964" max="10964" width="13.28515625" style="120" customWidth="1"/>
    <col min="10965" max="10966" width="0" style="120" hidden="1" customWidth="1"/>
    <col min="10967" max="10967" width="13.28515625" style="120" customWidth="1"/>
    <col min="10968" max="10969" width="0" style="120" hidden="1" customWidth="1"/>
    <col min="10970" max="10971" width="13.28515625" style="120" customWidth="1"/>
    <col min="10972" max="10972" width="39.42578125" style="120" customWidth="1"/>
    <col min="10973" max="10977" width="13.28515625" style="120" customWidth="1"/>
    <col min="10978" max="10978" width="56.7109375" style="120" customWidth="1"/>
    <col min="10979" max="10979" width="11.7109375" style="120" customWidth="1"/>
    <col min="10980" max="11165" width="8.85546875" style="120"/>
    <col min="11166" max="11167" width="0" style="120" hidden="1" customWidth="1"/>
    <col min="11168" max="11168" width="12.28515625" style="120" customWidth="1"/>
    <col min="11169" max="11169" width="47" style="120" customWidth="1"/>
    <col min="11170" max="11209" width="0" style="120" hidden="1" customWidth="1"/>
    <col min="11210" max="11211" width="13.28515625" style="120" customWidth="1"/>
    <col min="11212" max="11213" width="0" style="120" hidden="1" customWidth="1"/>
    <col min="11214" max="11214" width="13.28515625" style="120" customWidth="1"/>
    <col min="11215" max="11216" width="0" style="120" hidden="1" customWidth="1"/>
    <col min="11217" max="11217" width="13.28515625" style="120" customWidth="1"/>
    <col min="11218" max="11219" width="0" style="120" hidden="1" customWidth="1"/>
    <col min="11220" max="11220" width="13.28515625" style="120" customWidth="1"/>
    <col min="11221" max="11222" width="0" style="120" hidden="1" customWidth="1"/>
    <col min="11223" max="11223" width="13.28515625" style="120" customWidth="1"/>
    <col min="11224" max="11225" width="0" style="120" hidden="1" customWidth="1"/>
    <col min="11226" max="11227" width="13.28515625" style="120" customWidth="1"/>
    <col min="11228" max="11228" width="39.42578125" style="120" customWidth="1"/>
    <col min="11229" max="11233" width="13.28515625" style="120" customWidth="1"/>
    <col min="11234" max="11234" width="56.7109375" style="120" customWidth="1"/>
    <col min="11235" max="11235" width="11.7109375" style="120" customWidth="1"/>
    <col min="11236" max="11421" width="8.85546875" style="120"/>
    <col min="11422" max="11423" width="0" style="120" hidden="1" customWidth="1"/>
    <col min="11424" max="11424" width="12.28515625" style="120" customWidth="1"/>
    <col min="11425" max="11425" width="47" style="120" customWidth="1"/>
    <col min="11426" max="11465" width="0" style="120" hidden="1" customWidth="1"/>
    <col min="11466" max="11467" width="13.28515625" style="120" customWidth="1"/>
    <col min="11468" max="11469" width="0" style="120" hidden="1" customWidth="1"/>
    <col min="11470" max="11470" width="13.28515625" style="120" customWidth="1"/>
    <col min="11471" max="11472" width="0" style="120" hidden="1" customWidth="1"/>
    <col min="11473" max="11473" width="13.28515625" style="120" customWidth="1"/>
    <col min="11474" max="11475" width="0" style="120" hidden="1" customWidth="1"/>
    <col min="11476" max="11476" width="13.28515625" style="120" customWidth="1"/>
    <col min="11477" max="11478" width="0" style="120" hidden="1" customWidth="1"/>
    <col min="11479" max="11479" width="13.28515625" style="120" customWidth="1"/>
    <col min="11480" max="11481" width="0" style="120" hidden="1" customWidth="1"/>
    <col min="11482" max="11483" width="13.28515625" style="120" customWidth="1"/>
    <col min="11484" max="11484" width="39.42578125" style="120" customWidth="1"/>
    <col min="11485" max="11489" width="13.28515625" style="120" customWidth="1"/>
    <col min="11490" max="11490" width="56.7109375" style="120" customWidth="1"/>
    <col min="11491" max="11491" width="11.7109375" style="120" customWidth="1"/>
    <col min="11492" max="11677" width="8.85546875" style="120"/>
    <col min="11678" max="11679" width="0" style="120" hidden="1" customWidth="1"/>
    <col min="11680" max="11680" width="12.28515625" style="120" customWidth="1"/>
    <col min="11681" max="11681" width="47" style="120" customWidth="1"/>
    <col min="11682" max="11721" width="0" style="120" hidden="1" customWidth="1"/>
    <col min="11722" max="11723" width="13.28515625" style="120" customWidth="1"/>
    <col min="11724" max="11725" width="0" style="120" hidden="1" customWidth="1"/>
    <col min="11726" max="11726" width="13.28515625" style="120" customWidth="1"/>
    <col min="11727" max="11728" width="0" style="120" hidden="1" customWidth="1"/>
    <col min="11729" max="11729" width="13.28515625" style="120" customWidth="1"/>
    <col min="11730" max="11731" width="0" style="120" hidden="1" customWidth="1"/>
    <col min="11732" max="11732" width="13.28515625" style="120" customWidth="1"/>
    <col min="11733" max="11734" width="0" style="120" hidden="1" customWidth="1"/>
    <col min="11735" max="11735" width="13.28515625" style="120" customWidth="1"/>
    <col min="11736" max="11737" width="0" style="120" hidden="1" customWidth="1"/>
    <col min="11738" max="11739" width="13.28515625" style="120" customWidth="1"/>
    <col min="11740" max="11740" width="39.42578125" style="120" customWidth="1"/>
    <col min="11741" max="11745" width="13.28515625" style="120" customWidth="1"/>
    <col min="11746" max="11746" width="56.7109375" style="120" customWidth="1"/>
    <col min="11747" max="11747" width="11.7109375" style="120" customWidth="1"/>
    <col min="11748" max="11933" width="8.85546875" style="120"/>
    <col min="11934" max="11935" width="0" style="120" hidden="1" customWidth="1"/>
    <col min="11936" max="11936" width="12.28515625" style="120" customWidth="1"/>
    <col min="11937" max="11937" width="47" style="120" customWidth="1"/>
    <col min="11938" max="11977" width="0" style="120" hidden="1" customWidth="1"/>
    <col min="11978" max="11979" width="13.28515625" style="120" customWidth="1"/>
    <col min="11980" max="11981" width="0" style="120" hidden="1" customWidth="1"/>
    <col min="11982" max="11982" width="13.28515625" style="120" customWidth="1"/>
    <col min="11983" max="11984" width="0" style="120" hidden="1" customWidth="1"/>
    <col min="11985" max="11985" width="13.28515625" style="120" customWidth="1"/>
    <col min="11986" max="11987" width="0" style="120" hidden="1" customWidth="1"/>
    <col min="11988" max="11988" width="13.28515625" style="120" customWidth="1"/>
    <col min="11989" max="11990" width="0" style="120" hidden="1" customWidth="1"/>
    <col min="11991" max="11991" width="13.28515625" style="120" customWidth="1"/>
    <col min="11992" max="11993" width="0" style="120" hidden="1" customWidth="1"/>
    <col min="11994" max="11995" width="13.28515625" style="120" customWidth="1"/>
    <col min="11996" max="11996" width="39.42578125" style="120" customWidth="1"/>
    <col min="11997" max="12001" width="13.28515625" style="120" customWidth="1"/>
    <col min="12002" max="12002" width="56.7109375" style="120" customWidth="1"/>
    <col min="12003" max="12003" width="11.7109375" style="120" customWidth="1"/>
    <col min="12004" max="12189" width="8.85546875" style="120"/>
    <col min="12190" max="12191" width="0" style="120" hidden="1" customWidth="1"/>
    <col min="12192" max="12192" width="12.28515625" style="120" customWidth="1"/>
    <col min="12193" max="12193" width="47" style="120" customWidth="1"/>
    <col min="12194" max="12233" width="0" style="120" hidden="1" customWidth="1"/>
    <col min="12234" max="12235" width="13.28515625" style="120" customWidth="1"/>
    <col min="12236" max="12237" width="0" style="120" hidden="1" customWidth="1"/>
    <col min="12238" max="12238" width="13.28515625" style="120" customWidth="1"/>
    <col min="12239" max="12240" width="0" style="120" hidden="1" customWidth="1"/>
    <col min="12241" max="12241" width="13.28515625" style="120" customWidth="1"/>
    <col min="12242" max="12243" width="0" style="120" hidden="1" customWidth="1"/>
    <col min="12244" max="12244" width="13.28515625" style="120" customWidth="1"/>
    <col min="12245" max="12246" width="0" style="120" hidden="1" customWidth="1"/>
    <col min="12247" max="12247" width="13.28515625" style="120" customWidth="1"/>
    <col min="12248" max="12249" width="0" style="120" hidden="1" customWidth="1"/>
    <col min="12250" max="12251" width="13.28515625" style="120" customWidth="1"/>
    <col min="12252" max="12252" width="39.42578125" style="120" customWidth="1"/>
    <col min="12253" max="12257" width="13.28515625" style="120" customWidth="1"/>
    <col min="12258" max="12258" width="56.7109375" style="120" customWidth="1"/>
    <col min="12259" max="12259" width="11.7109375" style="120" customWidth="1"/>
    <col min="12260" max="12445" width="8.85546875" style="120"/>
    <col min="12446" max="12447" width="0" style="120" hidden="1" customWidth="1"/>
    <col min="12448" max="12448" width="12.28515625" style="120" customWidth="1"/>
    <col min="12449" max="12449" width="47" style="120" customWidth="1"/>
    <col min="12450" max="12489" width="0" style="120" hidden="1" customWidth="1"/>
    <col min="12490" max="12491" width="13.28515625" style="120" customWidth="1"/>
    <col min="12492" max="12493" width="0" style="120" hidden="1" customWidth="1"/>
    <col min="12494" max="12494" width="13.28515625" style="120" customWidth="1"/>
    <col min="12495" max="12496" width="0" style="120" hidden="1" customWidth="1"/>
    <col min="12497" max="12497" width="13.28515625" style="120" customWidth="1"/>
    <col min="12498" max="12499" width="0" style="120" hidden="1" customWidth="1"/>
    <col min="12500" max="12500" width="13.28515625" style="120" customWidth="1"/>
    <col min="12501" max="12502" width="0" style="120" hidden="1" customWidth="1"/>
    <col min="12503" max="12503" width="13.28515625" style="120" customWidth="1"/>
    <col min="12504" max="12505" width="0" style="120" hidden="1" customWidth="1"/>
    <col min="12506" max="12507" width="13.28515625" style="120" customWidth="1"/>
    <col min="12508" max="12508" width="39.42578125" style="120" customWidth="1"/>
    <col min="12509" max="12513" width="13.28515625" style="120" customWidth="1"/>
    <col min="12514" max="12514" width="56.7109375" style="120" customWidth="1"/>
    <col min="12515" max="12515" width="11.7109375" style="120" customWidth="1"/>
    <col min="12516" max="12701" width="8.85546875" style="120"/>
    <col min="12702" max="12703" width="0" style="120" hidden="1" customWidth="1"/>
    <col min="12704" max="12704" width="12.28515625" style="120" customWidth="1"/>
    <col min="12705" max="12705" width="47" style="120" customWidth="1"/>
    <col min="12706" max="12745" width="0" style="120" hidden="1" customWidth="1"/>
    <col min="12746" max="12747" width="13.28515625" style="120" customWidth="1"/>
    <col min="12748" max="12749" width="0" style="120" hidden="1" customWidth="1"/>
    <col min="12750" max="12750" width="13.28515625" style="120" customWidth="1"/>
    <col min="12751" max="12752" width="0" style="120" hidden="1" customWidth="1"/>
    <col min="12753" max="12753" width="13.28515625" style="120" customWidth="1"/>
    <col min="12754" max="12755" width="0" style="120" hidden="1" customWidth="1"/>
    <col min="12756" max="12756" width="13.28515625" style="120" customWidth="1"/>
    <col min="12757" max="12758" width="0" style="120" hidden="1" customWidth="1"/>
    <col min="12759" max="12759" width="13.28515625" style="120" customWidth="1"/>
    <col min="12760" max="12761" width="0" style="120" hidden="1" customWidth="1"/>
    <col min="12762" max="12763" width="13.28515625" style="120" customWidth="1"/>
    <col min="12764" max="12764" width="39.42578125" style="120" customWidth="1"/>
    <col min="12765" max="12769" width="13.28515625" style="120" customWidth="1"/>
    <col min="12770" max="12770" width="56.7109375" style="120" customWidth="1"/>
    <col min="12771" max="12771" width="11.7109375" style="120" customWidth="1"/>
    <col min="12772" max="12957" width="8.85546875" style="120"/>
    <col min="12958" max="12959" width="0" style="120" hidden="1" customWidth="1"/>
    <col min="12960" max="12960" width="12.28515625" style="120" customWidth="1"/>
    <col min="12961" max="12961" width="47" style="120" customWidth="1"/>
    <col min="12962" max="13001" width="0" style="120" hidden="1" customWidth="1"/>
    <col min="13002" max="13003" width="13.28515625" style="120" customWidth="1"/>
    <col min="13004" max="13005" width="0" style="120" hidden="1" customWidth="1"/>
    <col min="13006" max="13006" width="13.28515625" style="120" customWidth="1"/>
    <col min="13007" max="13008" width="0" style="120" hidden="1" customWidth="1"/>
    <col min="13009" max="13009" width="13.28515625" style="120" customWidth="1"/>
    <col min="13010" max="13011" width="0" style="120" hidden="1" customWidth="1"/>
    <col min="13012" max="13012" width="13.28515625" style="120" customWidth="1"/>
    <col min="13013" max="13014" width="0" style="120" hidden="1" customWidth="1"/>
    <col min="13015" max="13015" width="13.28515625" style="120" customWidth="1"/>
    <col min="13016" max="13017" width="0" style="120" hidden="1" customWidth="1"/>
    <col min="13018" max="13019" width="13.28515625" style="120" customWidth="1"/>
    <col min="13020" max="13020" width="39.42578125" style="120" customWidth="1"/>
    <col min="13021" max="13025" width="13.28515625" style="120" customWidth="1"/>
    <col min="13026" max="13026" width="56.7109375" style="120" customWidth="1"/>
    <col min="13027" max="13027" width="11.7109375" style="120" customWidth="1"/>
    <col min="13028" max="13213" width="8.85546875" style="120"/>
    <col min="13214" max="13215" width="0" style="120" hidden="1" customWidth="1"/>
    <col min="13216" max="13216" width="12.28515625" style="120" customWidth="1"/>
    <col min="13217" max="13217" width="47" style="120" customWidth="1"/>
    <col min="13218" max="13257" width="0" style="120" hidden="1" customWidth="1"/>
    <col min="13258" max="13259" width="13.28515625" style="120" customWidth="1"/>
    <col min="13260" max="13261" width="0" style="120" hidden="1" customWidth="1"/>
    <col min="13262" max="13262" width="13.28515625" style="120" customWidth="1"/>
    <col min="13263" max="13264" width="0" style="120" hidden="1" customWidth="1"/>
    <col min="13265" max="13265" width="13.28515625" style="120" customWidth="1"/>
    <col min="13266" max="13267" width="0" style="120" hidden="1" customWidth="1"/>
    <col min="13268" max="13268" width="13.28515625" style="120" customWidth="1"/>
    <col min="13269" max="13270" width="0" style="120" hidden="1" customWidth="1"/>
    <col min="13271" max="13271" width="13.28515625" style="120" customWidth="1"/>
    <col min="13272" max="13273" width="0" style="120" hidden="1" customWidth="1"/>
    <col min="13274" max="13275" width="13.28515625" style="120" customWidth="1"/>
    <col min="13276" max="13276" width="39.42578125" style="120" customWidth="1"/>
    <col min="13277" max="13281" width="13.28515625" style="120" customWidth="1"/>
    <col min="13282" max="13282" width="56.7109375" style="120" customWidth="1"/>
    <col min="13283" max="13283" width="11.7109375" style="120" customWidth="1"/>
    <col min="13284" max="13469" width="8.85546875" style="120"/>
    <col min="13470" max="13471" width="0" style="120" hidden="1" customWidth="1"/>
    <col min="13472" max="13472" width="12.28515625" style="120" customWidth="1"/>
    <col min="13473" max="13473" width="47" style="120" customWidth="1"/>
    <col min="13474" max="13513" width="0" style="120" hidden="1" customWidth="1"/>
    <col min="13514" max="13515" width="13.28515625" style="120" customWidth="1"/>
    <col min="13516" max="13517" width="0" style="120" hidden="1" customWidth="1"/>
    <col min="13518" max="13518" width="13.28515625" style="120" customWidth="1"/>
    <col min="13519" max="13520" width="0" style="120" hidden="1" customWidth="1"/>
    <col min="13521" max="13521" width="13.28515625" style="120" customWidth="1"/>
    <col min="13522" max="13523" width="0" style="120" hidden="1" customWidth="1"/>
    <col min="13524" max="13524" width="13.28515625" style="120" customWidth="1"/>
    <col min="13525" max="13526" width="0" style="120" hidden="1" customWidth="1"/>
    <col min="13527" max="13527" width="13.28515625" style="120" customWidth="1"/>
    <col min="13528" max="13529" width="0" style="120" hidden="1" customWidth="1"/>
    <col min="13530" max="13531" width="13.28515625" style="120" customWidth="1"/>
    <col min="13532" max="13532" width="39.42578125" style="120" customWidth="1"/>
    <col min="13533" max="13537" width="13.28515625" style="120" customWidth="1"/>
    <col min="13538" max="13538" width="56.7109375" style="120" customWidth="1"/>
    <col min="13539" max="13539" width="11.7109375" style="120" customWidth="1"/>
    <col min="13540" max="13725" width="8.85546875" style="120"/>
    <col min="13726" max="13727" width="0" style="120" hidden="1" customWidth="1"/>
    <col min="13728" max="13728" width="12.28515625" style="120" customWidth="1"/>
    <col min="13729" max="13729" width="47" style="120" customWidth="1"/>
    <col min="13730" max="13769" width="0" style="120" hidden="1" customWidth="1"/>
    <col min="13770" max="13771" width="13.28515625" style="120" customWidth="1"/>
    <col min="13772" max="13773" width="0" style="120" hidden="1" customWidth="1"/>
    <col min="13774" max="13774" width="13.28515625" style="120" customWidth="1"/>
    <col min="13775" max="13776" width="0" style="120" hidden="1" customWidth="1"/>
    <col min="13777" max="13777" width="13.28515625" style="120" customWidth="1"/>
    <col min="13778" max="13779" width="0" style="120" hidden="1" customWidth="1"/>
    <col min="13780" max="13780" width="13.28515625" style="120" customWidth="1"/>
    <col min="13781" max="13782" width="0" style="120" hidden="1" customWidth="1"/>
    <col min="13783" max="13783" width="13.28515625" style="120" customWidth="1"/>
    <col min="13784" max="13785" width="0" style="120" hidden="1" customWidth="1"/>
    <col min="13786" max="13787" width="13.28515625" style="120" customWidth="1"/>
    <col min="13788" max="13788" width="39.42578125" style="120" customWidth="1"/>
    <col min="13789" max="13793" width="13.28515625" style="120" customWidth="1"/>
    <col min="13794" max="13794" width="56.7109375" style="120" customWidth="1"/>
    <col min="13795" max="13795" width="11.7109375" style="120" customWidth="1"/>
    <col min="13796" max="13981" width="8.85546875" style="120"/>
    <col min="13982" max="13983" width="0" style="120" hidden="1" customWidth="1"/>
    <col min="13984" max="13984" width="12.28515625" style="120" customWidth="1"/>
    <col min="13985" max="13985" width="47" style="120" customWidth="1"/>
    <col min="13986" max="14025" width="0" style="120" hidden="1" customWidth="1"/>
    <col min="14026" max="14027" width="13.28515625" style="120" customWidth="1"/>
    <col min="14028" max="14029" width="0" style="120" hidden="1" customWidth="1"/>
    <col min="14030" max="14030" width="13.28515625" style="120" customWidth="1"/>
    <col min="14031" max="14032" width="0" style="120" hidden="1" customWidth="1"/>
    <col min="14033" max="14033" width="13.28515625" style="120" customWidth="1"/>
    <col min="14034" max="14035" width="0" style="120" hidden="1" customWidth="1"/>
    <col min="14036" max="14036" width="13.28515625" style="120" customWidth="1"/>
    <col min="14037" max="14038" width="0" style="120" hidden="1" customWidth="1"/>
    <col min="14039" max="14039" width="13.28515625" style="120" customWidth="1"/>
    <col min="14040" max="14041" width="0" style="120" hidden="1" customWidth="1"/>
    <col min="14042" max="14043" width="13.28515625" style="120" customWidth="1"/>
    <col min="14044" max="14044" width="39.42578125" style="120" customWidth="1"/>
    <col min="14045" max="14049" width="13.28515625" style="120" customWidth="1"/>
    <col min="14050" max="14050" width="56.7109375" style="120" customWidth="1"/>
    <col min="14051" max="14051" width="11.7109375" style="120" customWidth="1"/>
    <col min="14052" max="14237" width="8.85546875" style="120"/>
    <col min="14238" max="14239" width="0" style="120" hidden="1" customWidth="1"/>
    <col min="14240" max="14240" width="12.28515625" style="120" customWidth="1"/>
    <col min="14241" max="14241" width="47" style="120" customWidth="1"/>
    <col min="14242" max="14281" width="0" style="120" hidden="1" customWidth="1"/>
    <col min="14282" max="14283" width="13.28515625" style="120" customWidth="1"/>
    <col min="14284" max="14285" width="0" style="120" hidden="1" customWidth="1"/>
    <col min="14286" max="14286" width="13.28515625" style="120" customWidth="1"/>
    <col min="14287" max="14288" width="0" style="120" hidden="1" customWidth="1"/>
    <col min="14289" max="14289" width="13.28515625" style="120" customWidth="1"/>
    <col min="14290" max="14291" width="0" style="120" hidden="1" customWidth="1"/>
    <col min="14292" max="14292" width="13.28515625" style="120" customWidth="1"/>
    <col min="14293" max="14294" width="0" style="120" hidden="1" customWidth="1"/>
    <col min="14295" max="14295" width="13.28515625" style="120" customWidth="1"/>
    <col min="14296" max="14297" width="0" style="120" hidden="1" customWidth="1"/>
    <col min="14298" max="14299" width="13.28515625" style="120" customWidth="1"/>
    <col min="14300" max="14300" width="39.42578125" style="120" customWidth="1"/>
    <col min="14301" max="14305" width="13.28515625" style="120" customWidth="1"/>
    <col min="14306" max="14306" width="56.7109375" style="120" customWidth="1"/>
    <col min="14307" max="14307" width="11.7109375" style="120" customWidth="1"/>
    <col min="14308" max="14493" width="8.85546875" style="120"/>
    <col min="14494" max="14495" width="0" style="120" hidden="1" customWidth="1"/>
    <col min="14496" max="14496" width="12.28515625" style="120" customWidth="1"/>
    <col min="14497" max="14497" width="47" style="120" customWidth="1"/>
    <col min="14498" max="14537" width="0" style="120" hidden="1" customWidth="1"/>
    <col min="14538" max="14539" width="13.28515625" style="120" customWidth="1"/>
    <col min="14540" max="14541" width="0" style="120" hidden="1" customWidth="1"/>
    <col min="14542" max="14542" width="13.28515625" style="120" customWidth="1"/>
    <col min="14543" max="14544" width="0" style="120" hidden="1" customWidth="1"/>
    <col min="14545" max="14545" width="13.28515625" style="120" customWidth="1"/>
    <col min="14546" max="14547" width="0" style="120" hidden="1" customWidth="1"/>
    <col min="14548" max="14548" width="13.28515625" style="120" customWidth="1"/>
    <col min="14549" max="14550" width="0" style="120" hidden="1" customWidth="1"/>
    <col min="14551" max="14551" width="13.28515625" style="120" customWidth="1"/>
    <col min="14552" max="14553" width="0" style="120" hidden="1" customWidth="1"/>
    <col min="14554" max="14555" width="13.28515625" style="120" customWidth="1"/>
    <col min="14556" max="14556" width="39.42578125" style="120" customWidth="1"/>
    <col min="14557" max="14561" width="13.28515625" style="120" customWidth="1"/>
    <col min="14562" max="14562" width="56.7109375" style="120" customWidth="1"/>
    <col min="14563" max="14563" width="11.7109375" style="120" customWidth="1"/>
    <col min="14564" max="14749" width="8.85546875" style="120"/>
    <col min="14750" max="14751" width="0" style="120" hidden="1" customWidth="1"/>
    <col min="14752" max="14752" width="12.28515625" style="120" customWidth="1"/>
    <col min="14753" max="14753" width="47" style="120" customWidth="1"/>
    <col min="14754" max="14793" width="0" style="120" hidden="1" customWidth="1"/>
    <col min="14794" max="14795" width="13.28515625" style="120" customWidth="1"/>
    <col min="14796" max="14797" width="0" style="120" hidden="1" customWidth="1"/>
    <col min="14798" max="14798" width="13.28515625" style="120" customWidth="1"/>
    <col min="14799" max="14800" width="0" style="120" hidden="1" customWidth="1"/>
    <col min="14801" max="14801" width="13.28515625" style="120" customWidth="1"/>
    <col min="14802" max="14803" width="0" style="120" hidden="1" customWidth="1"/>
    <col min="14804" max="14804" width="13.28515625" style="120" customWidth="1"/>
    <col min="14805" max="14806" width="0" style="120" hidden="1" customWidth="1"/>
    <col min="14807" max="14807" width="13.28515625" style="120" customWidth="1"/>
    <col min="14808" max="14809" width="0" style="120" hidden="1" customWidth="1"/>
    <col min="14810" max="14811" width="13.28515625" style="120" customWidth="1"/>
    <col min="14812" max="14812" width="39.42578125" style="120" customWidth="1"/>
    <col min="14813" max="14817" width="13.28515625" style="120" customWidth="1"/>
    <col min="14818" max="14818" width="56.7109375" style="120" customWidth="1"/>
    <col min="14819" max="14819" width="11.7109375" style="120" customWidth="1"/>
    <col min="14820" max="15005" width="8.85546875" style="120"/>
    <col min="15006" max="15007" width="0" style="120" hidden="1" customWidth="1"/>
    <col min="15008" max="15008" width="12.28515625" style="120" customWidth="1"/>
    <col min="15009" max="15009" width="47" style="120" customWidth="1"/>
    <col min="15010" max="15049" width="0" style="120" hidden="1" customWidth="1"/>
    <col min="15050" max="15051" width="13.28515625" style="120" customWidth="1"/>
    <col min="15052" max="15053" width="0" style="120" hidden="1" customWidth="1"/>
    <col min="15054" max="15054" width="13.28515625" style="120" customWidth="1"/>
    <col min="15055" max="15056" width="0" style="120" hidden="1" customWidth="1"/>
    <col min="15057" max="15057" width="13.28515625" style="120" customWidth="1"/>
    <col min="15058" max="15059" width="0" style="120" hidden="1" customWidth="1"/>
    <col min="15060" max="15060" width="13.28515625" style="120" customWidth="1"/>
    <col min="15061" max="15062" width="0" style="120" hidden="1" customWidth="1"/>
    <col min="15063" max="15063" width="13.28515625" style="120" customWidth="1"/>
    <col min="15064" max="15065" width="0" style="120" hidden="1" customWidth="1"/>
    <col min="15066" max="15067" width="13.28515625" style="120" customWidth="1"/>
    <col min="15068" max="15068" width="39.42578125" style="120" customWidth="1"/>
    <col min="15069" max="15073" width="13.28515625" style="120" customWidth="1"/>
    <col min="15074" max="15074" width="56.7109375" style="120" customWidth="1"/>
    <col min="15075" max="15075" width="11.7109375" style="120" customWidth="1"/>
    <col min="15076" max="15261" width="8.85546875" style="120"/>
    <col min="15262" max="15263" width="0" style="120" hidden="1" customWidth="1"/>
    <col min="15264" max="15264" width="12.28515625" style="120" customWidth="1"/>
    <col min="15265" max="15265" width="47" style="120" customWidth="1"/>
    <col min="15266" max="15305" width="0" style="120" hidden="1" customWidth="1"/>
    <col min="15306" max="15307" width="13.28515625" style="120" customWidth="1"/>
    <col min="15308" max="15309" width="0" style="120" hidden="1" customWidth="1"/>
    <col min="15310" max="15310" width="13.28515625" style="120" customWidth="1"/>
    <col min="15311" max="15312" width="0" style="120" hidden="1" customWidth="1"/>
    <col min="15313" max="15313" width="13.28515625" style="120" customWidth="1"/>
    <col min="15314" max="15315" width="0" style="120" hidden="1" customWidth="1"/>
    <col min="15316" max="15316" width="13.28515625" style="120" customWidth="1"/>
    <col min="15317" max="15318" width="0" style="120" hidden="1" customWidth="1"/>
    <col min="15319" max="15319" width="13.28515625" style="120" customWidth="1"/>
    <col min="15320" max="15321" width="0" style="120" hidden="1" customWidth="1"/>
    <col min="15322" max="15323" width="13.28515625" style="120" customWidth="1"/>
    <col min="15324" max="15324" width="39.42578125" style="120" customWidth="1"/>
    <col min="15325" max="15329" width="13.28515625" style="120" customWidth="1"/>
    <col min="15330" max="15330" width="56.7109375" style="120" customWidth="1"/>
    <col min="15331" max="15331" width="11.7109375" style="120" customWidth="1"/>
    <col min="15332" max="15517" width="8.85546875" style="120"/>
    <col min="15518" max="15519" width="0" style="120" hidden="1" customWidth="1"/>
    <col min="15520" max="15520" width="12.28515625" style="120" customWidth="1"/>
    <col min="15521" max="15521" width="47" style="120" customWidth="1"/>
    <col min="15522" max="15561" width="0" style="120" hidden="1" customWidth="1"/>
    <col min="15562" max="15563" width="13.28515625" style="120" customWidth="1"/>
    <col min="15564" max="15565" width="0" style="120" hidden="1" customWidth="1"/>
    <col min="15566" max="15566" width="13.28515625" style="120" customWidth="1"/>
    <col min="15567" max="15568" width="0" style="120" hidden="1" customWidth="1"/>
    <col min="15569" max="15569" width="13.28515625" style="120" customWidth="1"/>
    <col min="15570" max="15571" width="0" style="120" hidden="1" customWidth="1"/>
    <col min="15572" max="15572" width="13.28515625" style="120" customWidth="1"/>
    <col min="15573" max="15574" width="0" style="120" hidden="1" customWidth="1"/>
    <col min="15575" max="15575" width="13.28515625" style="120" customWidth="1"/>
    <col min="15576" max="15577" width="0" style="120" hidden="1" customWidth="1"/>
    <col min="15578" max="15579" width="13.28515625" style="120" customWidth="1"/>
    <col min="15580" max="15580" width="39.42578125" style="120" customWidth="1"/>
    <col min="15581" max="15585" width="13.28515625" style="120" customWidth="1"/>
    <col min="15586" max="15586" width="56.7109375" style="120" customWidth="1"/>
    <col min="15587" max="15587" width="11.7109375" style="120" customWidth="1"/>
    <col min="15588" max="15773" width="8.85546875" style="120"/>
    <col min="15774" max="15775" width="0" style="120" hidden="1" customWidth="1"/>
    <col min="15776" max="15776" width="12.28515625" style="120" customWidth="1"/>
    <col min="15777" max="15777" width="47" style="120" customWidth="1"/>
    <col min="15778" max="15817" width="0" style="120" hidden="1" customWidth="1"/>
    <col min="15818" max="15819" width="13.28515625" style="120" customWidth="1"/>
    <col min="15820" max="15821" width="0" style="120" hidden="1" customWidth="1"/>
    <col min="15822" max="15822" width="13.28515625" style="120" customWidth="1"/>
    <col min="15823" max="15824" width="0" style="120" hidden="1" customWidth="1"/>
    <col min="15825" max="15825" width="13.28515625" style="120" customWidth="1"/>
    <col min="15826" max="15827" width="0" style="120" hidden="1" customWidth="1"/>
    <col min="15828" max="15828" width="13.28515625" style="120" customWidth="1"/>
    <col min="15829" max="15830" width="0" style="120" hidden="1" customWidth="1"/>
    <col min="15831" max="15831" width="13.28515625" style="120" customWidth="1"/>
    <col min="15832" max="15833" width="0" style="120" hidden="1" customWidth="1"/>
    <col min="15834" max="15835" width="13.28515625" style="120" customWidth="1"/>
    <col min="15836" max="15836" width="39.42578125" style="120" customWidth="1"/>
    <col min="15837" max="15841" width="13.28515625" style="120" customWidth="1"/>
    <col min="15842" max="15842" width="56.7109375" style="120" customWidth="1"/>
    <col min="15843" max="15843" width="11.7109375" style="120" customWidth="1"/>
    <col min="15844" max="16029" width="8.85546875" style="120"/>
    <col min="16030" max="16031" width="0" style="120" hidden="1" customWidth="1"/>
    <col min="16032" max="16032" width="12.28515625" style="120" customWidth="1"/>
    <col min="16033" max="16033" width="47" style="120" customWidth="1"/>
    <col min="16034" max="16073" width="0" style="120" hidden="1" customWidth="1"/>
    <col min="16074" max="16075" width="13.28515625" style="120" customWidth="1"/>
    <col min="16076" max="16077" width="0" style="120" hidden="1" customWidth="1"/>
    <col min="16078" max="16078" width="13.28515625" style="120" customWidth="1"/>
    <col min="16079" max="16080" width="0" style="120" hidden="1" customWidth="1"/>
    <col min="16081" max="16081" width="13.28515625" style="120" customWidth="1"/>
    <col min="16082" max="16083" width="0" style="120" hidden="1" customWidth="1"/>
    <col min="16084" max="16084" width="13.28515625" style="120" customWidth="1"/>
    <col min="16085" max="16086" width="0" style="120" hidden="1" customWidth="1"/>
    <col min="16087" max="16087" width="13.28515625" style="120" customWidth="1"/>
    <col min="16088" max="16089" width="0" style="120" hidden="1" customWidth="1"/>
    <col min="16090" max="16091" width="13.28515625" style="120" customWidth="1"/>
    <col min="16092" max="16092" width="39.42578125" style="120" customWidth="1"/>
    <col min="16093" max="16097" width="13.28515625" style="120" customWidth="1"/>
    <col min="16098" max="16098" width="56.7109375" style="120" customWidth="1"/>
    <col min="16099" max="16099" width="11.7109375" style="120" customWidth="1"/>
    <col min="16100" max="16298" width="8.85546875" style="120"/>
    <col min="16299" max="16331" width="8.140625" style="120" customWidth="1"/>
    <col min="16332" max="16339" width="8.85546875" style="120"/>
    <col min="16340" max="16384" width="8.140625" style="120" customWidth="1"/>
  </cols>
  <sheetData>
    <row r="1" spans="1:14" ht="25.5" outlineLevel="1" x14ac:dyDescent="0.35">
      <c r="C1" s="121" t="s">
        <v>412</v>
      </c>
      <c r="D1" s="122"/>
      <c r="E1" s="125"/>
      <c r="F1" s="126"/>
      <c r="G1" s="123"/>
      <c r="H1" s="127"/>
      <c r="I1" s="123"/>
      <c r="J1" s="123"/>
      <c r="K1" s="128"/>
      <c r="L1" s="123"/>
      <c r="M1" s="123"/>
      <c r="N1" s="128"/>
    </row>
    <row r="2" spans="1:14" ht="25.5" outlineLevel="1" x14ac:dyDescent="0.35">
      <c r="C2" s="381" t="s">
        <v>414</v>
      </c>
      <c r="D2" s="381"/>
      <c r="G2" s="129"/>
      <c r="H2" s="132"/>
      <c r="I2" s="129"/>
      <c r="J2" s="129"/>
      <c r="K2" s="133"/>
      <c r="L2" s="129"/>
      <c r="M2" s="129"/>
      <c r="N2" s="133"/>
    </row>
    <row r="3" spans="1:14" ht="20.25" outlineLevel="1" x14ac:dyDescent="0.3">
      <c r="C3" s="375" t="s">
        <v>415</v>
      </c>
      <c r="D3" s="375"/>
      <c r="E3" s="135"/>
      <c r="F3" s="136"/>
      <c r="G3" s="134"/>
      <c r="I3" s="134"/>
      <c r="J3" s="134"/>
      <c r="L3" s="136"/>
      <c r="M3" s="134"/>
    </row>
    <row r="4" spans="1:14" ht="15.75" outlineLevel="1" thickBot="1" x14ac:dyDescent="0.3">
      <c r="C4" s="139"/>
      <c r="E4" s="135"/>
      <c r="F4" s="136"/>
      <c r="G4" s="138"/>
      <c r="I4" s="136"/>
      <c r="J4" s="138"/>
      <c r="L4" s="136"/>
      <c r="M4" s="138"/>
    </row>
    <row r="5" spans="1:14" ht="55.15" customHeight="1" thickBot="1" x14ac:dyDescent="0.3">
      <c r="C5" s="140" t="s">
        <v>416</v>
      </c>
      <c r="D5" s="141" t="s">
        <v>417</v>
      </c>
      <c r="E5" s="143" t="s">
        <v>419</v>
      </c>
      <c r="F5" s="143" t="s">
        <v>420</v>
      </c>
      <c r="G5" s="142" t="s">
        <v>421</v>
      </c>
      <c r="H5" s="144" t="s">
        <v>422</v>
      </c>
      <c r="I5" s="142" t="s">
        <v>423</v>
      </c>
      <c r="J5" s="142" t="s">
        <v>424</v>
      </c>
      <c r="K5" s="145" t="s">
        <v>422</v>
      </c>
      <c r="L5" s="142" t="s">
        <v>425</v>
      </c>
      <c r="M5" s="142" t="s">
        <v>426</v>
      </c>
      <c r="N5" s="145" t="s">
        <v>422</v>
      </c>
    </row>
    <row r="6" spans="1:14" x14ac:dyDescent="0.25">
      <c r="C6" s="146" t="s">
        <v>427</v>
      </c>
      <c r="D6" s="147" t="s">
        <v>428</v>
      </c>
      <c r="E6" s="148">
        <v>38074624</v>
      </c>
      <c r="F6" s="148">
        <f t="shared" ref="F6" si="0">ROUND((F7+F10+F13+F16+F19),0)</f>
        <v>38074624</v>
      </c>
      <c r="G6" s="149">
        <f>F6-E6</f>
        <v>0</v>
      </c>
      <c r="H6" s="150"/>
      <c r="I6" s="148">
        <f>ROUND((I7+I10+I13+I16+I19),0)</f>
        <v>38519847</v>
      </c>
      <c r="J6" s="149">
        <f>I6-F6</f>
        <v>445223</v>
      </c>
      <c r="K6" s="151"/>
      <c r="L6" s="148">
        <f>ROUND((L7+L10+L13+L16+L19),0)</f>
        <v>38519847</v>
      </c>
      <c r="M6" s="149">
        <f>L6-I6</f>
        <v>0</v>
      </c>
      <c r="N6" s="151"/>
    </row>
    <row r="7" spans="1:14" x14ac:dyDescent="0.25">
      <c r="B7" s="120" t="s">
        <v>429</v>
      </c>
      <c r="C7" s="152" t="s">
        <v>430</v>
      </c>
      <c r="D7" s="153" t="s">
        <v>431</v>
      </c>
      <c r="E7" s="155">
        <v>34831773</v>
      </c>
      <c r="F7" s="155">
        <f t="shared" ref="F7" si="1">SUM(F8:F8)</f>
        <v>34831773</v>
      </c>
      <c r="G7" s="154">
        <f t="shared" ref="G7:G71" si="2">F7-E7</f>
        <v>0</v>
      </c>
      <c r="H7" s="156"/>
      <c r="I7" s="154">
        <f>SUM(I8:I8)</f>
        <v>35276996</v>
      </c>
      <c r="J7" s="154">
        <f>I7-F7</f>
        <v>445223</v>
      </c>
      <c r="K7" s="157"/>
      <c r="L7" s="154">
        <f>SUM(L8:L8)</f>
        <v>35276996</v>
      </c>
      <c r="M7" s="154">
        <f>L7-I7</f>
        <v>0</v>
      </c>
      <c r="N7" s="157"/>
    </row>
    <row r="8" spans="1:14" ht="18" customHeight="1" x14ac:dyDescent="0.25">
      <c r="A8" s="120" t="s">
        <v>432</v>
      </c>
      <c r="B8" s="158" t="s">
        <v>433</v>
      </c>
      <c r="C8" s="159" t="s">
        <v>434</v>
      </c>
      <c r="D8" s="160" t="s">
        <v>435</v>
      </c>
      <c r="E8" s="162">
        <v>34831773</v>
      </c>
      <c r="F8" s="162">
        <f>ROUND(E8,0)</f>
        <v>34831773</v>
      </c>
      <c r="G8" s="161">
        <f t="shared" si="2"/>
        <v>0</v>
      </c>
      <c r="H8" s="163"/>
      <c r="I8" s="161">
        <f>ROUND(F8,0)+331540+113683</f>
        <v>35276996</v>
      </c>
      <c r="J8" s="161">
        <f>I8-F8</f>
        <v>445223</v>
      </c>
      <c r="K8" s="164" t="s">
        <v>436</v>
      </c>
      <c r="L8" s="161">
        <f>ROUND(I8,0)</f>
        <v>35276996</v>
      </c>
      <c r="M8" s="161">
        <f>L8-I8</f>
        <v>0</v>
      </c>
      <c r="N8" s="164"/>
    </row>
    <row r="9" spans="1:14" ht="32.450000000000003" customHeight="1" x14ac:dyDescent="0.25">
      <c r="C9" s="146" t="s">
        <v>437</v>
      </c>
      <c r="D9" s="147" t="s">
        <v>438</v>
      </c>
      <c r="E9" s="148">
        <v>3172850.61</v>
      </c>
      <c r="F9" s="148">
        <f>F10+F13+F16</f>
        <v>3172851</v>
      </c>
      <c r="G9" s="149">
        <f t="shared" si="2"/>
        <v>0.39000000013038516</v>
      </c>
      <c r="H9" s="150"/>
      <c r="I9" s="148">
        <f>I10+I13+I16</f>
        <v>3172851</v>
      </c>
      <c r="J9" s="149">
        <f t="shared" ref="J9:J76" si="3">I9-F9</f>
        <v>0</v>
      </c>
      <c r="K9" s="151"/>
      <c r="L9" s="148">
        <f>L10+L13+L16</f>
        <v>3172851</v>
      </c>
      <c r="M9" s="149">
        <f t="shared" ref="M9:M76" si="4">L9-I9</f>
        <v>0</v>
      </c>
      <c r="N9" s="151"/>
    </row>
    <row r="10" spans="1:14" x14ac:dyDescent="0.25">
      <c r="B10" s="120" t="s">
        <v>439</v>
      </c>
      <c r="C10" s="166" t="s">
        <v>440</v>
      </c>
      <c r="D10" s="167" t="s">
        <v>441</v>
      </c>
      <c r="E10" s="169">
        <v>2040017.74</v>
      </c>
      <c r="F10" s="169">
        <f>SUM(F11:F12)</f>
        <v>2040018</v>
      </c>
      <c r="G10" s="168">
        <f t="shared" si="2"/>
        <v>0.26000000000931323</v>
      </c>
      <c r="H10" s="170"/>
      <c r="I10" s="168">
        <f>SUM(I11:I12)</f>
        <v>2040018</v>
      </c>
      <c r="J10" s="168">
        <f t="shared" si="3"/>
        <v>0</v>
      </c>
      <c r="K10" s="171"/>
      <c r="L10" s="168">
        <f>SUM(L11:L12)</f>
        <v>2040018</v>
      </c>
      <c r="M10" s="168">
        <f t="shared" si="4"/>
        <v>0</v>
      </c>
      <c r="N10" s="171"/>
    </row>
    <row r="11" spans="1:14" x14ac:dyDescent="0.25">
      <c r="A11" s="120" t="s">
        <v>432</v>
      </c>
      <c r="B11" s="158" t="s">
        <v>442</v>
      </c>
      <c r="C11" s="159" t="s">
        <v>443</v>
      </c>
      <c r="D11" s="160" t="s">
        <v>435</v>
      </c>
      <c r="E11" s="162">
        <v>1900000</v>
      </c>
      <c r="F11" s="162">
        <f>ROUND(E11,0)</f>
        <v>1900000</v>
      </c>
      <c r="G11" s="161">
        <f t="shared" si="2"/>
        <v>0</v>
      </c>
      <c r="H11" s="173"/>
      <c r="I11" s="161">
        <f>ROUND(F11,0)</f>
        <v>1900000</v>
      </c>
      <c r="J11" s="161">
        <f t="shared" si="3"/>
        <v>0</v>
      </c>
      <c r="K11" s="174"/>
      <c r="L11" s="161">
        <f>ROUND(I11,0)</f>
        <v>1900000</v>
      </c>
      <c r="M11" s="161">
        <f t="shared" si="4"/>
        <v>0</v>
      </c>
      <c r="N11" s="174"/>
    </row>
    <row r="12" spans="1:14" x14ac:dyDescent="0.25">
      <c r="A12" s="120" t="s">
        <v>432</v>
      </c>
      <c r="B12" s="158" t="s">
        <v>444</v>
      </c>
      <c r="C12" s="159" t="s">
        <v>445</v>
      </c>
      <c r="D12" s="160" t="s">
        <v>446</v>
      </c>
      <c r="E12" s="162">
        <v>140017.74</v>
      </c>
      <c r="F12" s="162">
        <f>ROUND(E12,0)</f>
        <v>140018</v>
      </c>
      <c r="G12" s="161">
        <f t="shared" si="2"/>
        <v>0.26000000000931323</v>
      </c>
      <c r="H12" s="163"/>
      <c r="I12" s="161">
        <f>ROUND(F12,0)</f>
        <v>140018</v>
      </c>
      <c r="J12" s="161">
        <f t="shared" si="3"/>
        <v>0</v>
      </c>
      <c r="K12" s="164"/>
      <c r="L12" s="161">
        <f>ROUND(I12,0)</f>
        <v>140018</v>
      </c>
      <c r="M12" s="161">
        <f t="shared" si="4"/>
        <v>0</v>
      </c>
      <c r="N12" s="164"/>
    </row>
    <row r="13" spans="1:14" x14ac:dyDescent="0.25">
      <c r="B13" s="120" t="s">
        <v>447</v>
      </c>
      <c r="C13" s="166" t="s">
        <v>448</v>
      </c>
      <c r="D13" s="167" t="s">
        <v>449</v>
      </c>
      <c r="E13" s="169">
        <v>410966.93</v>
      </c>
      <c r="F13" s="169">
        <f>SUM(F14:F15)</f>
        <v>410967</v>
      </c>
      <c r="G13" s="168">
        <f t="shared" si="2"/>
        <v>7.0000000006984919E-2</v>
      </c>
      <c r="H13" s="170"/>
      <c r="I13" s="168">
        <f>SUM(I14:I15)</f>
        <v>410967</v>
      </c>
      <c r="J13" s="168">
        <f t="shared" si="3"/>
        <v>0</v>
      </c>
      <c r="K13" s="171"/>
      <c r="L13" s="168">
        <f>SUM(L14:L15)</f>
        <v>410967</v>
      </c>
      <c r="M13" s="168">
        <f t="shared" si="4"/>
        <v>0</v>
      </c>
      <c r="N13" s="171"/>
    </row>
    <row r="14" spans="1:14" x14ac:dyDescent="0.25">
      <c r="A14" s="120" t="s">
        <v>432</v>
      </c>
      <c r="B14" s="158" t="s">
        <v>450</v>
      </c>
      <c r="C14" s="159" t="s">
        <v>451</v>
      </c>
      <c r="D14" s="160" t="s">
        <v>452</v>
      </c>
      <c r="E14" s="162">
        <v>350989</v>
      </c>
      <c r="F14" s="162">
        <f>ROUND(E14,0)</f>
        <v>350989</v>
      </c>
      <c r="G14" s="161">
        <f t="shared" si="2"/>
        <v>0</v>
      </c>
      <c r="H14" s="175"/>
      <c r="I14" s="161">
        <f>ROUND(F14,0)</f>
        <v>350989</v>
      </c>
      <c r="J14" s="161">
        <f t="shared" si="3"/>
        <v>0</v>
      </c>
      <c r="K14" s="176"/>
      <c r="L14" s="161">
        <f>ROUND(I14,0)</f>
        <v>350989</v>
      </c>
      <c r="M14" s="161">
        <f t="shared" si="4"/>
        <v>0</v>
      </c>
      <c r="N14" s="176"/>
    </row>
    <row r="15" spans="1:14" x14ac:dyDescent="0.25">
      <c r="A15" s="120" t="s">
        <v>432</v>
      </c>
      <c r="B15" s="158" t="s">
        <v>453</v>
      </c>
      <c r="C15" s="159" t="s">
        <v>454</v>
      </c>
      <c r="D15" s="160" t="s">
        <v>446</v>
      </c>
      <c r="E15" s="162">
        <v>59977.93</v>
      </c>
      <c r="F15" s="162">
        <f>ROUND(E15,0)</f>
        <v>59978</v>
      </c>
      <c r="G15" s="161">
        <f t="shared" si="2"/>
        <v>6.9999999999708962E-2</v>
      </c>
      <c r="H15" s="163"/>
      <c r="I15" s="161">
        <f>ROUND(F15,0)</f>
        <v>59978</v>
      </c>
      <c r="J15" s="161">
        <f t="shared" si="3"/>
        <v>0</v>
      </c>
      <c r="K15" s="164"/>
      <c r="L15" s="161">
        <f>ROUND(I15,0)</f>
        <v>59978</v>
      </c>
      <c r="M15" s="161">
        <f t="shared" si="4"/>
        <v>0</v>
      </c>
      <c r="N15" s="164"/>
    </row>
    <row r="16" spans="1:14" ht="29.25" x14ac:dyDescent="0.25">
      <c r="B16" s="120" t="s">
        <v>455</v>
      </c>
      <c r="C16" s="166" t="s">
        <v>456</v>
      </c>
      <c r="D16" s="167" t="s">
        <v>457</v>
      </c>
      <c r="E16" s="169">
        <v>721865.94</v>
      </c>
      <c r="F16" s="169">
        <f>SUM(F17:F18)</f>
        <v>721866</v>
      </c>
      <c r="G16" s="168">
        <f t="shared" si="2"/>
        <v>6.0000000055879354E-2</v>
      </c>
      <c r="H16" s="170"/>
      <c r="I16" s="168">
        <f>SUM(I17:I18)</f>
        <v>721866</v>
      </c>
      <c r="J16" s="168">
        <f t="shared" si="3"/>
        <v>0</v>
      </c>
      <c r="K16" s="171"/>
      <c r="L16" s="168">
        <f>SUM(L17:L18)</f>
        <v>721866</v>
      </c>
      <c r="M16" s="168">
        <f t="shared" si="4"/>
        <v>0</v>
      </c>
      <c r="N16" s="171"/>
    </row>
    <row r="17" spans="1:14" ht="18.75" customHeight="1" x14ac:dyDescent="0.25">
      <c r="A17" s="120" t="s">
        <v>432</v>
      </c>
      <c r="B17" s="158" t="s">
        <v>458</v>
      </c>
      <c r="C17" s="159" t="s">
        <v>459</v>
      </c>
      <c r="D17" s="160" t="s">
        <v>452</v>
      </c>
      <c r="E17" s="162">
        <v>650000</v>
      </c>
      <c r="F17" s="162">
        <f>ROUND(E17,0)</f>
        <v>650000</v>
      </c>
      <c r="G17" s="161">
        <f t="shared" si="2"/>
        <v>0</v>
      </c>
      <c r="H17" s="175"/>
      <c r="I17" s="161">
        <f>ROUND(F17,0)</f>
        <v>650000</v>
      </c>
      <c r="J17" s="161">
        <f t="shared" si="3"/>
        <v>0</v>
      </c>
      <c r="K17" s="176"/>
      <c r="L17" s="161">
        <f>ROUND(I17,0)</f>
        <v>650000</v>
      </c>
      <c r="M17" s="161">
        <f t="shared" si="4"/>
        <v>0</v>
      </c>
      <c r="N17" s="176"/>
    </row>
    <row r="18" spans="1:14" x14ac:dyDescent="0.25">
      <c r="A18" s="120" t="s">
        <v>432</v>
      </c>
      <c r="B18" s="158" t="s">
        <v>460</v>
      </c>
      <c r="C18" s="159" t="s">
        <v>461</v>
      </c>
      <c r="D18" s="160" t="s">
        <v>446</v>
      </c>
      <c r="E18" s="162">
        <v>71865.94</v>
      </c>
      <c r="F18" s="162">
        <f>ROUND(E18,0)</f>
        <v>71866</v>
      </c>
      <c r="G18" s="161">
        <f t="shared" si="2"/>
        <v>5.9999999997671694E-2</v>
      </c>
      <c r="H18" s="173"/>
      <c r="I18" s="161">
        <f>ROUND(F18,0)</f>
        <v>71866</v>
      </c>
      <c r="J18" s="161">
        <f t="shared" si="3"/>
        <v>0</v>
      </c>
      <c r="K18" s="174"/>
      <c r="L18" s="161">
        <f>ROUND(I18,0)</f>
        <v>71866</v>
      </c>
      <c r="M18" s="161">
        <f t="shared" si="4"/>
        <v>0</v>
      </c>
      <c r="N18" s="174"/>
    </row>
    <row r="19" spans="1:14" ht="29.25" x14ac:dyDescent="0.25">
      <c r="B19" s="177"/>
      <c r="C19" s="166" t="s">
        <v>462</v>
      </c>
      <c r="D19" s="167" t="s">
        <v>463</v>
      </c>
      <c r="E19" s="169">
        <v>70000</v>
      </c>
      <c r="F19" s="169">
        <f t="shared" ref="F19" si="5">SUM(F20:F21)</f>
        <v>70000</v>
      </c>
      <c r="G19" s="168">
        <f t="shared" si="2"/>
        <v>0</v>
      </c>
      <c r="H19" s="170"/>
      <c r="I19" s="168">
        <f>SUM(I20:I21)</f>
        <v>70000</v>
      </c>
      <c r="J19" s="168">
        <f t="shared" si="3"/>
        <v>0</v>
      </c>
      <c r="K19" s="171"/>
      <c r="L19" s="168">
        <f>SUM(L20:L21)</f>
        <v>70000</v>
      </c>
      <c r="M19" s="168">
        <f t="shared" si="4"/>
        <v>0</v>
      </c>
      <c r="N19" s="171"/>
    </row>
    <row r="20" spans="1:14" ht="14.45" customHeight="1" outlineLevel="1" x14ac:dyDescent="0.25">
      <c r="B20" s="158" t="s">
        <v>464</v>
      </c>
      <c r="C20" s="159" t="s">
        <v>465</v>
      </c>
      <c r="D20" s="160" t="s">
        <v>466</v>
      </c>
      <c r="E20" s="162">
        <v>0</v>
      </c>
      <c r="F20" s="162">
        <f>ROUND(E20,0)</f>
        <v>0</v>
      </c>
      <c r="G20" s="161">
        <f t="shared" si="2"/>
        <v>0</v>
      </c>
      <c r="H20" s="175"/>
      <c r="I20" s="161">
        <f>ROUND(F20,0)</f>
        <v>0</v>
      </c>
      <c r="J20" s="161">
        <f t="shared" si="3"/>
        <v>0</v>
      </c>
      <c r="K20" s="176"/>
      <c r="L20" s="161">
        <f>ROUND(I20,0)</f>
        <v>0</v>
      </c>
      <c r="M20" s="161">
        <f t="shared" si="4"/>
        <v>0</v>
      </c>
      <c r="N20" s="176"/>
    </row>
    <row r="21" spans="1:14" ht="15.6" customHeight="1" x14ac:dyDescent="0.25">
      <c r="B21" s="158" t="s">
        <v>467</v>
      </c>
      <c r="C21" s="159" t="s">
        <v>465</v>
      </c>
      <c r="D21" s="160" t="s">
        <v>468</v>
      </c>
      <c r="E21" s="162">
        <v>70000</v>
      </c>
      <c r="F21" s="162">
        <f>ROUND(E21,0)</f>
        <v>70000</v>
      </c>
      <c r="G21" s="161">
        <f t="shared" si="2"/>
        <v>0</v>
      </c>
      <c r="H21" s="178"/>
      <c r="I21" s="161">
        <f>ROUND(F21,0)</f>
        <v>70000</v>
      </c>
      <c r="J21" s="161">
        <f t="shared" si="3"/>
        <v>0</v>
      </c>
      <c r="K21" s="179"/>
      <c r="L21" s="161">
        <f>ROUND(I21,0)</f>
        <v>70000</v>
      </c>
      <c r="M21" s="161">
        <f t="shared" si="4"/>
        <v>0</v>
      </c>
      <c r="N21" s="179"/>
    </row>
    <row r="22" spans="1:14" ht="15.75" customHeight="1" x14ac:dyDescent="0.25">
      <c r="B22" s="120" t="s">
        <v>469</v>
      </c>
      <c r="C22" s="166" t="s">
        <v>470</v>
      </c>
      <c r="D22" s="167" t="s">
        <v>471</v>
      </c>
      <c r="E22" s="169">
        <v>160000</v>
      </c>
      <c r="F22" s="169">
        <f t="shared" ref="F22" si="6">F23+F27</f>
        <v>160000</v>
      </c>
      <c r="G22" s="168">
        <f t="shared" si="2"/>
        <v>0</v>
      </c>
      <c r="H22" s="170"/>
      <c r="I22" s="168">
        <f>I23+I27</f>
        <v>160000</v>
      </c>
      <c r="J22" s="168">
        <f t="shared" si="3"/>
        <v>0</v>
      </c>
      <c r="K22" s="171"/>
      <c r="L22" s="168">
        <f>L23+L27</f>
        <v>160000</v>
      </c>
      <c r="M22" s="168">
        <f t="shared" si="4"/>
        <v>0</v>
      </c>
      <c r="N22" s="171"/>
    </row>
    <row r="23" spans="1:14" x14ac:dyDescent="0.25">
      <c r="A23" s="120" t="s">
        <v>432</v>
      </c>
      <c r="B23" s="120" t="s">
        <v>472</v>
      </c>
      <c r="C23" s="159" t="s">
        <v>473</v>
      </c>
      <c r="D23" s="160" t="s">
        <v>474</v>
      </c>
      <c r="E23" s="162">
        <v>6700</v>
      </c>
      <c r="F23" s="162">
        <f>F24+F25+F26</f>
        <v>6700</v>
      </c>
      <c r="G23" s="161">
        <f>F23-E23</f>
        <v>0</v>
      </c>
      <c r="H23" s="173"/>
      <c r="I23" s="161">
        <f>I24+I25+I26</f>
        <v>6700</v>
      </c>
      <c r="J23" s="161">
        <f t="shared" si="3"/>
        <v>0</v>
      </c>
      <c r="K23" s="174"/>
      <c r="L23" s="161">
        <f>L24+L25+L26</f>
        <v>6700</v>
      </c>
      <c r="M23" s="161">
        <f t="shared" si="4"/>
        <v>0</v>
      </c>
      <c r="N23" s="174"/>
    </row>
    <row r="24" spans="1:14" ht="26.25" x14ac:dyDescent="0.25">
      <c r="B24" s="158" t="s">
        <v>475</v>
      </c>
      <c r="C24" s="180" t="s">
        <v>476</v>
      </c>
      <c r="D24" s="181" t="s">
        <v>477</v>
      </c>
      <c r="E24" s="162">
        <v>1700</v>
      </c>
      <c r="F24" s="162">
        <f>ROUND(E24,0)</f>
        <v>1700</v>
      </c>
      <c r="G24" s="161">
        <f t="shared" si="2"/>
        <v>0</v>
      </c>
      <c r="H24" s="173"/>
      <c r="I24" s="161">
        <f>ROUND(F24,0)</f>
        <v>1700</v>
      </c>
      <c r="J24" s="161">
        <f t="shared" si="3"/>
        <v>0</v>
      </c>
      <c r="K24" s="174"/>
      <c r="L24" s="161">
        <f>ROUND(I24,0)</f>
        <v>1700</v>
      </c>
      <c r="M24" s="161">
        <f t="shared" si="4"/>
        <v>0</v>
      </c>
      <c r="N24" s="174"/>
    </row>
    <row r="25" spans="1:14" ht="26.25" x14ac:dyDescent="0.25">
      <c r="B25" s="158" t="s">
        <v>478</v>
      </c>
      <c r="C25" s="180" t="s">
        <v>479</v>
      </c>
      <c r="D25" s="181" t="s">
        <v>480</v>
      </c>
      <c r="E25" s="162">
        <v>4500</v>
      </c>
      <c r="F25" s="162">
        <f>ROUND(E25,0)</f>
        <v>4500</v>
      </c>
      <c r="G25" s="161">
        <f t="shared" si="2"/>
        <v>0</v>
      </c>
      <c r="H25" s="173"/>
      <c r="I25" s="161">
        <f>ROUND(F25,0)</f>
        <v>4500</v>
      </c>
      <c r="J25" s="161">
        <f t="shared" si="3"/>
        <v>0</v>
      </c>
      <c r="K25" s="174"/>
      <c r="L25" s="161">
        <f>ROUND(I25,0)</f>
        <v>4500</v>
      </c>
      <c r="M25" s="161">
        <f t="shared" si="4"/>
        <v>0</v>
      </c>
      <c r="N25" s="174"/>
    </row>
    <row r="26" spans="1:14" ht="26.25" x14ac:dyDescent="0.25">
      <c r="B26" s="158" t="s">
        <v>481</v>
      </c>
      <c r="C26" s="180" t="s">
        <v>482</v>
      </c>
      <c r="D26" s="181" t="s">
        <v>483</v>
      </c>
      <c r="E26" s="162">
        <v>500</v>
      </c>
      <c r="F26" s="162">
        <f>ROUND(E26,0)</f>
        <v>500</v>
      </c>
      <c r="G26" s="161">
        <f t="shared" si="2"/>
        <v>0</v>
      </c>
      <c r="H26" s="173"/>
      <c r="I26" s="161">
        <f>ROUND(F26,0)</f>
        <v>500</v>
      </c>
      <c r="J26" s="161">
        <f t="shared" si="3"/>
        <v>0</v>
      </c>
      <c r="K26" s="174"/>
      <c r="L26" s="161">
        <f>ROUND(I26,0)</f>
        <v>500</v>
      </c>
      <c r="M26" s="161">
        <f t="shared" si="4"/>
        <v>0</v>
      </c>
      <c r="N26" s="174"/>
    </row>
    <row r="27" spans="1:14" x14ac:dyDescent="0.25">
      <c r="A27" s="120" t="s">
        <v>432</v>
      </c>
      <c r="B27" s="120" t="s">
        <v>484</v>
      </c>
      <c r="C27" s="159" t="s">
        <v>485</v>
      </c>
      <c r="D27" s="160" t="s">
        <v>486</v>
      </c>
      <c r="E27" s="162">
        <v>153300</v>
      </c>
      <c r="F27" s="162">
        <f t="shared" ref="F27" si="7">SUM(F28:F33)</f>
        <v>153300</v>
      </c>
      <c r="G27" s="161">
        <f t="shared" si="2"/>
        <v>0</v>
      </c>
      <c r="H27" s="173"/>
      <c r="I27" s="161">
        <f>SUM(I28:I33)</f>
        <v>153300</v>
      </c>
      <c r="J27" s="161">
        <f t="shared" si="3"/>
        <v>0</v>
      </c>
      <c r="K27" s="174"/>
      <c r="L27" s="161">
        <f>SUM(L28:L33)</f>
        <v>153300</v>
      </c>
      <c r="M27" s="161">
        <f t="shared" si="4"/>
        <v>0</v>
      </c>
      <c r="N27" s="174"/>
    </row>
    <row r="28" spans="1:14" ht="26.25" x14ac:dyDescent="0.25">
      <c r="B28" s="158" t="s">
        <v>487</v>
      </c>
      <c r="C28" s="180" t="s">
        <v>488</v>
      </c>
      <c r="D28" s="181" t="s">
        <v>489</v>
      </c>
      <c r="E28" s="162">
        <v>350</v>
      </c>
      <c r="F28" s="162">
        <f t="shared" ref="F28:F33" si="8">ROUND(E28,0)</f>
        <v>350</v>
      </c>
      <c r="G28" s="161">
        <f t="shared" si="2"/>
        <v>0</v>
      </c>
      <c r="H28" s="173"/>
      <c r="I28" s="161">
        <f t="shared" ref="I28:I33" si="9">ROUND(F28,0)</f>
        <v>350</v>
      </c>
      <c r="J28" s="161">
        <f t="shared" si="3"/>
        <v>0</v>
      </c>
      <c r="K28" s="174"/>
      <c r="L28" s="161">
        <f t="shared" ref="L28:L33" si="10">ROUND(I28,0)</f>
        <v>350</v>
      </c>
      <c r="M28" s="161">
        <f t="shared" si="4"/>
        <v>0</v>
      </c>
      <c r="N28" s="174"/>
    </row>
    <row r="29" spans="1:14" ht="26.25" x14ac:dyDescent="0.25">
      <c r="B29" s="182" t="s">
        <v>490</v>
      </c>
      <c r="C29" s="180" t="s">
        <v>491</v>
      </c>
      <c r="D29" s="181" t="s">
        <v>492</v>
      </c>
      <c r="E29" s="162">
        <v>1100</v>
      </c>
      <c r="F29" s="162">
        <f t="shared" si="8"/>
        <v>1100</v>
      </c>
      <c r="G29" s="161">
        <f t="shared" si="2"/>
        <v>0</v>
      </c>
      <c r="H29" s="173"/>
      <c r="I29" s="161">
        <f t="shared" si="9"/>
        <v>1100</v>
      </c>
      <c r="J29" s="161">
        <f t="shared" si="3"/>
        <v>0</v>
      </c>
      <c r="K29" s="174"/>
      <c r="L29" s="161">
        <f t="shared" si="10"/>
        <v>1100</v>
      </c>
      <c r="M29" s="161">
        <f t="shared" si="4"/>
        <v>0</v>
      </c>
      <c r="N29" s="174"/>
    </row>
    <row r="30" spans="1:14" x14ac:dyDescent="0.25">
      <c r="B30" s="158" t="s">
        <v>493</v>
      </c>
      <c r="C30" s="180" t="s">
        <v>494</v>
      </c>
      <c r="D30" s="181" t="s">
        <v>495</v>
      </c>
      <c r="E30" s="162">
        <v>27000</v>
      </c>
      <c r="F30" s="162">
        <f t="shared" si="8"/>
        <v>27000</v>
      </c>
      <c r="G30" s="161">
        <f t="shared" si="2"/>
        <v>0</v>
      </c>
      <c r="H30" s="173"/>
      <c r="I30" s="161">
        <f t="shared" si="9"/>
        <v>27000</v>
      </c>
      <c r="J30" s="161">
        <f t="shared" si="3"/>
        <v>0</v>
      </c>
      <c r="K30" s="174"/>
      <c r="L30" s="161">
        <f t="shared" si="10"/>
        <v>27000</v>
      </c>
      <c r="M30" s="161">
        <f t="shared" si="4"/>
        <v>0</v>
      </c>
      <c r="N30" s="174"/>
    </row>
    <row r="31" spans="1:14" ht="26.25" x14ac:dyDescent="0.25">
      <c r="B31" s="158" t="s">
        <v>496</v>
      </c>
      <c r="C31" s="180" t="s">
        <v>497</v>
      </c>
      <c r="D31" s="181" t="s">
        <v>498</v>
      </c>
      <c r="E31" s="162">
        <v>11500</v>
      </c>
      <c r="F31" s="162">
        <f t="shared" si="8"/>
        <v>11500</v>
      </c>
      <c r="G31" s="161">
        <f t="shared" si="2"/>
        <v>0</v>
      </c>
      <c r="H31" s="173"/>
      <c r="I31" s="161">
        <f t="shared" si="9"/>
        <v>11500</v>
      </c>
      <c r="J31" s="161">
        <f t="shared" si="3"/>
        <v>0</v>
      </c>
      <c r="K31" s="174"/>
      <c r="L31" s="161">
        <f t="shared" si="10"/>
        <v>11500</v>
      </c>
      <c r="M31" s="161">
        <f t="shared" si="4"/>
        <v>0</v>
      </c>
      <c r="N31" s="174"/>
    </row>
    <row r="32" spans="1:14" x14ac:dyDescent="0.25">
      <c r="B32" s="158" t="s">
        <v>499</v>
      </c>
      <c r="C32" s="180" t="s">
        <v>500</v>
      </c>
      <c r="D32" s="181" t="s">
        <v>501</v>
      </c>
      <c r="E32" s="162">
        <v>106350</v>
      </c>
      <c r="F32" s="162">
        <f t="shared" si="8"/>
        <v>106350</v>
      </c>
      <c r="G32" s="161">
        <f t="shared" si="2"/>
        <v>0</v>
      </c>
      <c r="H32" s="173"/>
      <c r="I32" s="161">
        <f t="shared" si="9"/>
        <v>106350</v>
      </c>
      <c r="J32" s="161">
        <f t="shared" si="3"/>
        <v>0</v>
      </c>
      <c r="K32" s="174"/>
      <c r="L32" s="161">
        <f t="shared" si="10"/>
        <v>106350</v>
      </c>
      <c r="M32" s="161">
        <f t="shared" si="4"/>
        <v>0</v>
      </c>
      <c r="N32" s="174"/>
    </row>
    <row r="33" spans="1:14" x14ac:dyDescent="0.25">
      <c r="B33" s="158" t="s">
        <v>502</v>
      </c>
      <c r="C33" s="180" t="s">
        <v>503</v>
      </c>
      <c r="D33" s="181" t="s">
        <v>504</v>
      </c>
      <c r="E33" s="162">
        <v>7000</v>
      </c>
      <c r="F33" s="162">
        <f t="shared" si="8"/>
        <v>7000</v>
      </c>
      <c r="G33" s="161">
        <f t="shared" si="2"/>
        <v>0</v>
      </c>
      <c r="H33" s="173"/>
      <c r="I33" s="161">
        <f t="shared" si="9"/>
        <v>7000</v>
      </c>
      <c r="J33" s="161">
        <f t="shared" si="3"/>
        <v>0</v>
      </c>
      <c r="K33" s="174"/>
      <c r="L33" s="161">
        <f t="shared" si="10"/>
        <v>7000</v>
      </c>
      <c r="M33" s="161">
        <f t="shared" si="4"/>
        <v>0</v>
      </c>
      <c r="N33" s="174"/>
    </row>
    <row r="34" spans="1:14" ht="18" customHeight="1" x14ac:dyDescent="0.25">
      <c r="B34" s="120" t="s">
        <v>505</v>
      </c>
      <c r="C34" s="166" t="s">
        <v>506</v>
      </c>
      <c r="D34" s="167" t="s">
        <v>507</v>
      </c>
      <c r="E34" s="169">
        <v>65000</v>
      </c>
      <c r="F34" s="169">
        <f>F35+F36</f>
        <v>65000</v>
      </c>
      <c r="G34" s="168">
        <f t="shared" si="2"/>
        <v>0</v>
      </c>
      <c r="H34" s="183"/>
      <c r="I34" s="168">
        <f>I35+I36</f>
        <v>65000</v>
      </c>
      <c r="J34" s="168">
        <f t="shared" si="3"/>
        <v>0</v>
      </c>
      <c r="K34" s="184"/>
      <c r="L34" s="168">
        <f>L35+L36</f>
        <v>65000</v>
      </c>
      <c r="M34" s="168">
        <f t="shared" si="4"/>
        <v>0</v>
      </c>
      <c r="N34" s="184"/>
    </row>
    <row r="35" spans="1:14" ht="16.5" customHeight="1" x14ac:dyDescent="0.25">
      <c r="B35" s="177" t="s">
        <v>508</v>
      </c>
      <c r="C35" s="159" t="s">
        <v>509</v>
      </c>
      <c r="D35" s="160" t="s">
        <v>507</v>
      </c>
      <c r="E35" s="162">
        <v>31000</v>
      </c>
      <c r="F35" s="162">
        <f>ROUND(E35,0)</f>
        <v>31000</v>
      </c>
      <c r="G35" s="161">
        <f t="shared" si="2"/>
        <v>0</v>
      </c>
      <c r="H35" s="163"/>
      <c r="I35" s="161">
        <f>ROUND(F35,0)</f>
        <v>31000</v>
      </c>
      <c r="J35" s="161">
        <f t="shared" si="3"/>
        <v>0</v>
      </c>
      <c r="K35" s="164"/>
      <c r="L35" s="161">
        <f>ROUND(I35,0)</f>
        <v>31000</v>
      </c>
      <c r="M35" s="161">
        <f t="shared" si="4"/>
        <v>0</v>
      </c>
      <c r="N35" s="164"/>
    </row>
    <row r="36" spans="1:14" ht="30" x14ac:dyDescent="0.25">
      <c r="B36" s="177" t="s">
        <v>510</v>
      </c>
      <c r="C36" s="159" t="s">
        <v>511</v>
      </c>
      <c r="D36" s="160" t="s">
        <v>512</v>
      </c>
      <c r="E36" s="162">
        <v>34000</v>
      </c>
      <c r="F36" s="162">
        <f>ROUND(E36,0)</f>
        <v>34000</v>
      </c>
      <c r="G36" s="161">
        <f t="shared" si="2"/>
        <v>0</v>
      </c>
      <c r="H36" s="163"/>
      <c r="I36" s="161">
        <f>ROUND(F36,0)</f>
        <v>34000</v>
      </c>
      <c r="J36" s="161">
        <f t="shared" si="3"/>
        <v>0</v>
      </c>
      <c r="K36" s="164"/>
      <c r="L36" s="161">
        <f>ROUND(I36,0)</f>
        <v>34000</v>
      </c>
      <c r="M36" s="161">
        <f t="shared" si="4"/>
        <v>0</v>
      </c>
      <c r="N36" s="164"/>
    </row>
    <row r="37" spans="1:14" x14ac:dyDescent="0.25">
      <c r="B37" s="120" t="s">
        <v>513</v>
      </c>
      <c r="C37" s="166" t="s">
        <v>514</v>
      </c>
      <c r="D37" s="167" t="s">
        <v>515</v>
      </c>
      <c r="E37" s="169">
        <v>6453</v>
      </c>
      <c r="F37" s="169">
        <f>F38+F39+F40</f>
        <v>6453</v>
      </c>
      <c r="G37" s="168">
        <f t="shared" si="2"/>
        <v>0</v>
      </c>
      <c r="H37" s="170"/>
      <c r="I37" s="168">
        <f>I38+I39+I40</f>
        <v>25797</v>
      </c>
      <c r="J37" s="168">
        <f t="shared" si="3"/>
        <v>19344</v>
      </c>
      <c r="K37" s="171"/>
      <c r="L37" s="168">
        <f>L38+L39+L40</f>
        <v>35106</v>
      </c>
      <c r="M37" s="168">
        <f t="shared" si="4"/>
        <v>9309</v>
      </c>
      <c r="N37" s="171"/>
    </row>
    <row r="38" spans="1:14" ht="41.45" customHeight="1" x14ac:dyDescent="0.25">
      <c r="A38" s="120" t="s">
        <v>432</v>
      </c>
      <c r="B38" s="123" t="s">
        <v>516</v>
      </c>
      <c r="C38" s="159" t="s">
        <v>517</v>
      </c>
      <c r="D38" s="185" t="s">
        <v>518</v>
      </c>
      <c r="E38" s="162">
        <v>0</v>
      </c>
      <c r="F38" s="162">
        <f>ROUND(E38,0)</f>
        <v>0</v>
      </c>
      <c r="G38" s="161">
        <f t="shared" si="2"/>
        <v>0</v>
      </c>
      <c r="H38" s="186"/>
      <c r="I38" s="161">
        <f>ROUND(F38,0)+19344</f>
        <v>19344</v>
      </c>
      <c r="J38" s="161">
        <f t="shared" si="3"/>
        <v>19344</v>
      </c>
      <c r="K38" s="187" t="s">
        <v>519</v>
      </c>
      <c r="L38" s="161">
        <f>ROUND(I38,0)+9309</f>
        <v>28653</v>
      </c>
      <c r="M38" s="161">
        <f t="shared" si="4"/>
        <v>9309</v>
      </c>
      <c r="N38" s="187" t="s">
        <v>520</v>
      </c>
    </row>
    <row r="39" spans="1:14" ht="30" x14ac:dyDescent="0.25">
      <c r="B39" s="120" t="s">
        <v>521</v>
      </c>
      <c r="C39" s="159" t="s">
        <v>522</v>
      </c>
      <c r="D39" s="160" t="s">
        <v>523</v>
      </c>
      <c r="E39" s="162">
        <v>500</v>
      </c>
      <c r="F39" s="162">
        <f>ROUND(E39,0)</f>
        <v>500</v>
      </c>
      <c r="G39" s="161">
        <f t="shared" si="2"/>
        <v>0</v>
      </c>
      <c r="H39" s="186"/>
      <c r="I39" s="161">
        <f>ROUND(F39,0)</f>
        <v>500</v>
      </c>
      <c r="J39" s="161">
        <f t="shared" si="3"/>
        <v>0</v>
      </c>
      <c r="K39" s="187"/>
      <c r="L39" s="161">
        <f>ROUND(I39,0)</f>
        <v>500</v>
      </c>
      <c r="M39" s="161">
        <f t="shared" si="4"/>
        <v>0</v>
      </c>
      <c r="N39" s="187"/>
    </row>
    <row r="40" spans="1:14" x14ac:dyDescent="0.25">
      <c r="C40" s="159" t="s">
        <v>524</v>
      </c>
      <c r="D40" s="160" t="s">
        <v>525</v>
      </c>
      <c r="E40" s="162">
        <v>5953</v>
      </c>
      <c r="F40" s="162">
        <f>ROUND(E40,0)</f>
        <v>5953</v>
      </c>
      <c r="G40" s="161">
        <f t="shared" si="2"/>
        <v>0</v>
      </c>
      <c r="H40" s="163"/>
      <c r="I40" s="161">
        <f>ROUND(F40,0)</f>
        <v>5953</v>
      </c>
      <c r="J40" s="161">
        <f t="shared" si="3"/>
        <v>0</v>
      </c>
      <c r="K40" s="164"/>
      <c r="L40" s="161">
        <f>ROUND(I40,0)</f>
        <v>5953</v>
      </c>
      <c r="M40" s="161">
        <f t="shared" si="4"/>
        <v>0</v>
      </c>
      <c r="N40" s="164"/>
    </row>
    <row r="41" spans="1:14" ht="26.45" customHeight="1" x14ac:dyDescent="0.25">
      <c r="B41" s="120" t="s">
        <v>526</v>
      </c>
      <c r="C41" s="188" t="s">
        <v>527</v>
      </c>
      <c r="D41" s="167" t="s">
        <v>528</v>
      </c>
      <c r="E41" s="169">
        <v>5856</v>
      </c>
      <c r="F41" s="169">
        <f>ROUND(E41,0)</f>
        <v>5856</v>
      </c>
      <c r="G41" s="168">
        <f t="shared" si="2"/>
        <v>0</v>
      </c>
      <c r="H41" s="183"/>
      <c r="I41" s="168">
        <f>ROUND(F41,0)</f>
        <v>5856</v>
      </c>
      <c r="J41" s="168">
        <f t="shared" si="3"/>
        <v>0</v>
      </c>
      <c r="K41" s="184"/>
      <c r="L41" s="168">
        <f>ROUND(I41,0)+23095</f>
        <v>28951</v>
      </c>
      <c r="M41" s="168">
        <f t="shared" si="4"/>
        <v>23095</v>
      </c>
      <c r="N41" s="184" t="s">
        <v>529</v>
      </c>
    </row>
    <row r="42" spans="1:14" ht="29.25" x14ac:dyDescent="0.25">
      <c r="C42" s="188" t="s">
        <v>530</v>
      </c>
      <c r="D42" s="167" t="s">
        <v>531</v>
      </c>
      <c r="E42" s="169">
        <v>10153512</v>
      </c>
      <c r="F42" s="169">
        <f t="shared" ref="F42" si="11">F43+F66+F87</f>
        <v>10611779</v>
      </c>
      <c r="G42" s="168">
        <f t="shared" si="2"/>
        <v>458267</v>
      </c>
      <c r="H42" s="172"/>
      <c r="I42" s="168">
        <f>I43+I66+I87</f>
        <v>10715183</v>
      </c>
      <c r="J42" s="168">
        <f t="shared" si="3"/>
        <v>103404</v>
      </c>
      <c r="K42" s="168"/>
      <c r="L42" s="168">
        <f>L43+L66+L87</f>
        <v>10765964</v>
      </c>
      <c r="M42" s="168">
        <f t="shared" si="4"/>
        <v>50781</v>
      </c>
      <c r="N42" s="168"/>
    </row>
    <row r="43" spans="1:14" ht="17.45" customHeight="1" x14ac:dyDescent="0.25">
      <c r="B43" s="158"/>
      <c r="C43" s="189" t="s">
        <v>532</v>
      </c>
      <c r="D43" s="190" t="s">
        <v>533</v>
      </c>
      <c r="E43" s="192">
        <v>8993696</v>
      </c>
      <c r="F43" s="192">
        <f t="shared" ref="F43" si="12">SUM(F44:F47)+F50+SUM(F54:F65)</f>
        <v>9340698</v>
      </c>
      <c r="G43" s="193">
        <f t="shared" si="2"/>
        <v>347002</v>
      </c>
      <c r="H43" s="194"/>
      <c r="I43" s="193">
        <f>SUM(I44:I47)+I50+SUM(I54:I65)</f>
        <v>9468249</v>
      </c>
      <c r="J43" s="193">
        <f t="shared" si="3"/>
        <v>127551</v>
      </c>
      <c r="K43" s="193"/>
      <c r="L43" s="193">
        <f>SUM(L44:L47)+L50+SUM(L54:L65)</f>
        <v>9519030</v>
      </c>
      <c r="M43" s="193">
        <f t="shared" si="4"/>
        <v>50781</v>
      </c>
      <c r="N43" s="193"/>
    </row>
    <row r="44" spans="1:14" ht="16.899999999999999" customHeight="1" x14ac:dyDescent="0.25">
      <c r="A44" s="120" t="s">
        <v>534</v>
      </c>
      <c r="B44" s="120" t="s">
        <v>535</v>
      </c>
      <c r="C44" s="180" t="s">
        <v>536</v>
      </c>
      <c r="D44" s="160" t="s">
        <v>537</v>
      </c>
      <c r="E44" s="162">
        <v>651116</v>
      </c>
      <c r="F44" s="162">
        <f>ROUND(E44,0)+142597</f>
        <v>793713</v>
      </c>
      <c r="G44" s="161">
        <f t="shared" si="2"/>
        <v>142597</v>
      </c>
      <c r="H44" s="187" t="s">
        <v>538</v>
      </c>
      <c r="I44" s="161">
        <f>ROUND(F44,0)</f>
        <v>793713</v>
      </c>
      <c r="J44" s="161">
        <f t="shared" si="3"/>
        <v>0</v>
      </c>
      <c r="K44" s="187"/>
      <c r="L44" s="161">
        <f>ROUND(I44,0)</f>
        <v>793713</v>
      </c>
      <c r="M44" s="161">
        <f t="shared" si="4"/>
        <v>0</v>
      </c>
      <c r="N44" s="187"/>
    </row>
    <row r="45" spans="1:14" ht="13.9" customHeight="1" x14ac:dyDescent="0.25">
      <c r="A45" s="120" t="s">
        <v>534</v>
      </c>
      <c r="B45" s="177" t="s">
        <v>539</v>
      </c>
      <c r="C45" s="180" t="s">
        <v>540</v>
      </c>
      <c r="D45" s="160" t="s">
        <v>541</v>
      </c>
      <c r="E45" s="162">
        <v>314606</v>
      </c>
      <c r="F45" s="162">
        <f>ROUND(E45,0)</f>
        <v>314606</v>
      </c>
      <c r="G45" s="161">
        <f t="shared" si="2"/>
        <v>0</v>
      </c>
      <c r="H45" s="163"/>
      <c r="I45" s="161">
        <f>ROUND(F45,0)-22981</f>
        <v>291625</v>
      </c>
      <c r="J45" s="161">
        <f t="shared" si="3"/>
        <v>-22981</v>
      </c>
      <c r="K45" s="164" t="s">
        <v>542</v>
      </c>
      <c r="L45" s="161">
        <f>ROUND(I45,0)</f>
        <v>291625</v>
      </c>
      <c r="M45" s="161">
        <f t="shared" si="4"/>
        <v>0</v>
      </c>
      <c r="N45" s="164"/>
    </row>
    <row r="46" spans="1:14" x14ac:dyDescent="0.25">
      <c r="B46" s="177" t="s">
        <v>543</v>
      </c>
      <c r="C46" s="180" t="s">
        <v>544</v>
      </c>
      <c r="D46" s="160" t="s">
        <v>545</v>
      </c>
      <c r="E46" s="162">
        <v>249276</v>
      </c>
      <c r="F46" s="162">
        <f>ROUND(E46,0)</f>
        <v>249276</v>
      </c>
      <c r="G46" s="161">
        <f t="shared" si="2"/>
        <v>0</v>
      </c>
      <c r="H46" s="186"/>
      <c r="I46" s="161">
        <f>ROUND(F46,0)</f>
        <v>249276</v>
      </c>
      <c r="J46" s="161">
        <f t="shared" si="3"/>
        <v>0</v>
      </c>
      <c r="K46" s="187"/>
      <c r="L46" s="161">
        <f>ROUND(I46,0)</f>
        <v>249276</v>
      </c>
      <c r="M46" s="161">
        <f t="shared" si="4"/>
        <v>0</v>
      </c>
      <c r="N46" s="187"/>
    </row>
    <row r="47" spans="1:14" ht="14.25" customHeight="1" x14ac:dyDescent="0.25">
      <c r="A47" s="120" t="s">
        <v>534</v>
      </c>
      <c r="B47" s="177" t="s">
        <v>546</v>
      </c>
      <c r="C47" s="180" t="s">
        <v>547</v>
      </c>
      <c r="D47" s="160" t="s">
        <v>548</v>
      </c>
      <c r="E47" s="161">
        <v>0</v>
      </c>
      <c r="F47" s="162">
        <f t="shared" ref="F47" si="13">F48+F49</f>
        <v>0</v>
      </c>
      <c r="G47" s="161">
        <f t="shared" si="2"/>
        <v>0</v>
      </c>
      <c r="H47" s="165"/>
      <c r="I47" s="161">
        <f>I48+I49</f>
        <v>112839</v>
      </c>
      <c r="J47" s="161">
        <f t="shared" si="3"/>
        <v>112839</v>
      </c>
      <c r="K47" s="161" t="s">
        <v>549</v>
      </c>
      <c r="L47" s="161">
        <f>L48+L49</f>
        <v>112839</v>
      </c>
      <c r="M47" s="161">
        <f t="shared" si="4"/>
        <v>0</v>
      </c>
      <c r="N47" s="161"/>
    </row>
    <row r="48" spans="1:14" ht="14.25" customHeight="1" x14ac:dyDescent="0.25">
      <c r="B48" s="177"/>
      <c r="C48" s="180" t="s">
        <v>550</v>
      </c>
      <c r="D48" s="181" t="s">
        <v>551</v>
      </c>
      <c r="E48" s="195"/>
      <c r="F48" s="162"/>
      <c r="G48" s="161">
        <f t="shared" si="2"/>
        <v>0</v>
      </c>
      <c r="H48" s="186"/>
      <c r="I48" s="161">
        <f>3025+2989+4538+2468+7380+112+71355+538+851+19583</f>
        <v>112839</v>
      </c>
      <c r="J48" s="161">
        <f t="shared" si="3"/>
        <v>112839</v>
      </c>
      <c r="K48" s="187"/>
      <c r="L48" s="161">
        <f t="shared" ref="L48:L49" si="14">ROUND(I48,0)</f>
        <v>112839</v>
      </c>
      <c r="M48" s="161">
        <f t="shared" si="4"/>
        <v>0</v>
      </c>
      <c r="N48" s="187"/>
    </row>
    <row r="49" spans="1:14" ht="17.45" customHeight="1" x14ac:dyDescent="0.25">
      <c r="B49" s="177"/>
      <c r="C49" s="180" t="s">
        <v>552</v>
      </c>
      <c r="D49" s="181" t="s">
        <v>553</v>
      </c>
      <c r="E49" s="195"/>
      <c r="F49" s="162"/>
      <c r="G49" s="161">
        <f t="shared" si="2"/>
        <v>0</v>
      </c>
      <c r="H49" s="186"/>
      <c r="I49" s="161"/>
      <c r="J49" s="161">
        <f t="shared" si="3"/>
        <v>0</v>
      </c>
      <c r="K49" s="187"/>
      <c r="L49" s="161">
        <f t="shared" si="14"/>
        <v>0</v>
      </c>
      <c r="M49" s="161">
        <f t="shared" si="4"/>
        <v>0</v>
      </c>
      <c r="N49" s="187"/>
    </row>
    <row r="50" spans="1:14" ht="13.9" customHeight="1" x14ac:dyDescent="0.25">
      <c r="B50" s="120" t="s">
        <v>554</v>
      </c>
      <c r="C50" s="180" t="s">
        <v>555</v>
      </c>
      <c r="D50" s="160" t="s">
        <v>556</v>
      </c>
      <c r="E50" s="197">
        <v>6510554</v>
      </c>
      <c r="F50" s="197">
        <f>F51+F52+F53</f>
        <v>6646187</v>
      </c>
      <c r="G50" s="196">
        <f t="shared" si="2"/>
        <v>135633</v>
      </c>
      <c r="H50" s="198"/>
      <c r="I50" s="196">
        <f>I51+I52+I53</f>
        <v>6646187</v>
      </c>
      <c r="J50" s="196">
        <f t="shared" si="3"/>
        <v>0</v>
      </c>
      <c r="K50" s="199"/>
      <c r="L50" s="196">
        <f>L51+L52+L53</f>
        <v>6646187</v>
      </c>
      <c r="M50" s="196">
        <f t="shared" si="4"/>
        <v>0</v>
      </c>
      <c r="N50" s="199"/>
    </row>
    <row r="51" spans="1:14" s="204" customFormat="1" x14ac:dyDescent="0.25">
      <c r="A51" s="120" t="s">
        <v>534</v>
      </c>
      <c r="B51" s="177" t="s">
        <v>557</v>
      </c>
      <c r="C51" s="180" t="s">
        <v>558</v>
      </c>
      <c r="D51" s="181" t="s">
        <v>559</v>
      </c>
      <c r="E51" s="201">
        <v>1100762</v>
      </c>
      <c r="F51" s="201">
        <f t="shared" ref="F51:F64" si="15">ROUND(E51,0)</f>
        <v>1100762</v>
      </c>
      <c r="G51" s="200">
        <f t="shared" si="2"/>
        <v>0</v>
      </c>
      <c r="H51" s="202"/>
      <c r="I51" s="200">
        <f t="shared" ref="I51:I58" si="16">ROUND(F51,0)</f>
        <v>1100762</v>
      </c>
      <c r="J51" s="200">
        <f t="shared" si="3"/>
        <v>0</v>
      </c>
      <c r="K51" s="203"/>
      <c r="L51" s="200">
        <f t="shared" ref="L51:L58" si="17">ROUND(I51,0)</f>
        <v>1100762</v>
      </c>
      <c r="M51" s="200">
        <f t="shared" si="4"/>
        <v>0</v>
      </c>
      <c r="N51" s="203"/>
    </row>
    <row r="52" spans="1:14" s="204" customFormat="1" x14ac:dyDescent="0.25">
      <c r="A52" s="120" t="s">
        <v>534</v>
      </c>
      <c r="B52" s="177" t="s">
        <v>560</v>
      </c>
      <c r="C52" s="180" t="s">
        <v>561</v>
      </c>
      <c r="D52" s="181" t="s">
        <v>562</v>
      </c>
      <c r="E52" s="201">
        <v>5092428</v>
      </c>
      <c r="F52" s="201">
        <f>ROUND(E52,0)+17418</f>
        <v>5109846</v>
      </c>
      <c r="G52" s="200">
        <f t="shared" si="2"/>
        <v>17418</v>
      </c>
      <c r="H52" s="205" t="s">
        <v>538</v>
      </c>
      <c r="I52" s="200">
        <f t="shared" si="16"/>
        <v>5109846</v>
      </c>
      <c r="J52" s="200">
        <f t="shared" si="3"/>
        <v>0</v>
      </c>
      <c r="K52" s="203"/>
      <c r="L52" s="200">
        <f t="shared" si="17"/>
        <v>5109846</v>
      </c>
      <c r="M52" s="200">
        <f t="shared" si="4"/>
        <v>0</v>
      </c>
      <c r="N52" s="203"/>
    </row>
    <row r="53" spans="1:14" s="204" customFormat="1" x14ac:dyDescent="0.25">
      <c r="A53" s="120" t="s">
        <v>534</v>
      </c>
      <c r="B53" s="120"/>
      <c r="C53" s="180" t="s">
        <v>563</v>
      </c>
      <c r="D53" s="181" t="s">
        <v>564</v>
      </c>
      <c r="E53" s="201">
        <v>317364</v>
      </c>
      <c r="F53" s="201">
        <f>ROUND(E53,0)-44403+110614+52004</f>
        <v>435579</v>
      </c>
      <c r="G53" s="206">
        <f t="shared" si="2"/>
        <v>118215</v>
      </c>
      <c r="H53" s="205" t="s">
        <v>538</v>
      </c>
      <c r="I53" s="200">
        <f t="shared" si="16"/>
        <v>435579</v>
      </c>
      <c r="J53" s="206">
        <f t="shared" si="3"/>
        <v>0</v>
      </c>
      <c r="K53" s="207"/>
      <c r="L53" s="200">
        <f t="shared" si="17"/>
        <v>435579</v>
      </c>
      <c r="M53" s="206">
        <f t="shared" si="4"/>
        <v>0</v>
      </c>
      <c r="N53" s="207"/>
    </row>
    <row r="54" spans="1:14" ht="31.5" customHeight="1" x14ac:dyDescent="0.25">
      <c r="A54" s="120" t="s">
        <v>534</v>
      </c>
      <c r="B54" s="120" t="s">
        <v>565</v>
      </c>
      <c r="C54" s="180" t="s">
        <v>566</v>
      </c>
      <c r="D54" s="160" t="s">
        <v>567</v>
      </c>
      <c r="E54" s="162">
        <v>13088</v>
      </c>
      <c r="F54" s="162">
        <f t="shared" si="15"/>
        <v>13088</v>
      </c>
      <c r="G54" s="161">
        <f t="shared" si="2"/>
        <v>0</v>
      </c>
      <c r="H54" s="173"/>
      <c r="I54" s="161">
        <f t="shared" si="16"/>
        <v>13088</v>
      </c>
      <c r="J54" s="161">
        <f t="shared" si="3"/>
        <v>0</v>
      </c>
      <c r="K54" s="174"/>
      <c r="L54" s="161">
        <f t="shared" si="17"/>
        <v>13088</v>
      </c>
      <c r="M54" s="161">
        <f t="shared" si="4"/>
        <v>0</v>
      </c>
      <c r="N54" s="174"/>
    </row>
    <row r="55" spans="1:14" ht="19.149999999999999" customHeight="1" x14ac:dyDescent="0.25">
      <c r="A55" s="120" t="s">
        <v>534</v>
      </c>
      <c r="B55" s="177" t="s">
        <v>568</v>
      </c>
      <c r="C55" s="180" t="s">
        <v>569</v>
      </c>
      <c r="D55" s="160" t="s">
        <v>570</v>
      </c>
      <c r="E55" s="162">
        <v>14485</v>
      </c>
      <c r="F55" s="162">
        <f>ROUND(E55,0)</f>
        <v>14485</v>
      </c>
      <c r="G55" s="161">
        <f t="shared" si="2"/>
        <v>0</v>
      </c>
      <c r="H55" s="163"/>
      <c r="I55" s="161">
        <f>ROUND(F55,0)+26175</f>
        <v>40660</v>
      </c>
      <c r="J55" s="161">
        <f t="shared" si="3"/>
        <v>26175</v>
      </c>
      <c r="K55" s="164" t="s">
        <v>571</v>
      </c>
      <c r="L55" s="161">
        <f t="shared" si="17"/>
        <v>40660</v>
      </c>
      <c r="M55" s="161">
        <f t="shared" si="4"/>
        <v>0</v>
      </c>
      <c r="N55" s="164"/>
    </row>
    <row r="56" spans="1:14" ht="19.149999999999999" customHeight="1" x14ac:dyDescent="0.25">
      <c r="B56" s="177"/>
      <c r="C56" s="180" t="s">
        <v>572</v>
      </c>
      <c r="D56" s="160" t="s">
        <v>573</v>
      </c>
      <c r="E56" s="162">
        <v>3668</v>
      </c>
      <c r="F56" s="162">
        <f>ROUND(E56,0)</f>
        <v>3668</v>
      </c>
      <c r="G56" s="161">
        <f t="shared" si="2"/>
        <v>0</v>
      </c>
      <c r="H56" s="163"/>
      <c r="I56" s="161">
        <f>ROUND(F56,0)+7552</f>
        <v>11220</v>
      </c>
      <c r="J56" s="161">
        <f t="shared" si="3"/>
        <v>7552</v>
      </c>
      <c r="K56" s="164" t="s">
        <v>571</v>
      </c>
      <c r="L56" s="161">
        <f t="shared" si="17"/>
        <v>11220</v>
      </c>
      <c r="M56" s="161">
        <f t="shared" si="4"/>
        <v>0</v>
      </c>
      <c r="N56" s="164"/>
    </row>
    <row r="57" spans="1:14" ht="18.600000000000001" customHeight="1" x14ac:dyDescent="0.25">
      <c r="B57" s="120" t="s">
        <v>574</v>
      </c>
      <c r="C57" s="180" t="s">
        <v>575</v>
      </c>
      <c r="D57" s="160" t="s">
        <v>576</v>
      </c>
      <c r="E57" s="162">
        <v>501000</v>
      </c>
      <c r="F57" s="162">
        <f t="shared" si="15"/>
        <v>501000</v>
      </c>
      <c r="G57" s="161">
        <f t="shared" si="2"/>
        <v>0</v>
      </c>
      <c r="H57" s="186"/>
      <c r="I57" s="161">
        <f t="shared" si="16"/>
        <v>501000</v>
      </c>
      <c r="J57" s="161">
        <f t="shared" si="3"/>
        <v>0</v>
      </c>
      <c r="K57" s="187"/>
      <c r="L57" s="161">
        <f t="shared" si="17"/>
        <v>501000</v>
      </c>
      <c r="M57" s="161">
        <f t="shared" si="4"/>
        <v>0</v>
      </c>
      <c r="N57" s="187"/>
    </row>
    <row r="58" spans="1:14" ht="31.5" customHeight="1" x14ac:dyDescent="0.25">
      <c r="C58" s="180" t="s">
        <v>577</v>
      </c>
      <c r="D58" s="160" t="s">
        <v>578</v>
      </c>
      <c r="E58" s="162">
        <v>0</v>
      </c>
      <c r="F58" s="162">
        <f t="shared" si="15"/>
        <v>0</v>
      </c>
      <c r="G58" s="161">
        <f t="shared" si="2"/>
        <v>0</v>
      </c>
      <c r="H58" s="163"/>
      <c r="I58" s="161">
        <f t="shared" si="16"/>
        <v>0</v>
      </c>
      <c r="J58" s="161">
        <f t="shared" si="3"/>
        <v>0</v>
      </c>
      <c r="K58" s="164"/>
      <c r="L58" s="161">
        <f t="shared" si="17"/>
        <v>0</v>
      </c>
      <c r="M58" s="161">
        <f t="shared" si="4"/>
        <v>0</v>
      </c>
      <c r="N58" s="164"/>
    </row>
    <row r="59" spans="1:14" ht="31.5" customHeight="1" x14ac:dyDescent="0.25">
      <c r="C59" s="180"/>
      <c r="D59" s="160" t="s">
        <v>579</v>
      </c>
      <c r="E59" s="162">
        <v>0</v>
      </c>
      <c r="F59" s="162"/>
      <c r="G59" s="161">
        <f t="shared" si="2"/>
        <v>0</v>
      </c>
      <c r="H59" s="163"/>
      <c r="I59" s="161"/>
      <c r="J59" s="161">
        <f t="shared" si="3"/>
        <v>0</v>
      </c>
      <c r="K59" s="164"/>
      <c r="L59" s="161"/>
      <c r="M59" s="161">
        <f t="shared" si="4"/>
        <v>0</v>
      </c>
      <c r="N59" s="164"/>
    </row>
    <row r="60" spans="1:14" ht="28.15" customHeight="1" x14ac:dyDescent="0.25">
      <c r="B60" s="208" t="s">
        <v>580</v>
      </c>
      <c r="C60" s="180" t="s">
        <v>581</v>
      </c>
      <c r="D60" s="209" t="s">
        <v>582</v>
      </c>
      <c r="E60" s="162">
        <v>342263</v>
      </c>
      <c r="F60" s="162">
        <f>ROUND(E60,0)+59292+1248</f>
        <v>402803</v>
      </c>
      <c r="G60" s="161">
        <f t="shared" si="2"/>
        <v>60540</v>
      </c>
      <c r="H60" s="187" t="s">
        <v>583</v>
      </c>
      <c r="I60" s="161">
        <f>ROUND(F60,0)+3966</f>
        <v>406769</v>
      </c>
      <c r="J60" s="161">
        <f t="shared" si="3"/>
        <v>3966</v>
      </c>
      <c r="K60" s="164" t="s">
        <v>584</v>
      </c>
      <c r="L60" s="161">
        <f>ROUND(I60,0)</f>
        <v>406769</v>
      </c>
      <c r="M60" s="161">
        <f t="shared" si="4"/>
        <v>0</v>
      </c>
      <c r="N60" s="164"/>
    </row>
    <row r="61" spans="1:14" ht="58.9" customHeight="1" x14ac:dyDescent="0.25">
      <c r="C61" s="180"/>
      <c r="D61" s="160" t="s">
        <v>585</v>
      </c>
      <c r="E61" s="162">
        <v>0</v>
      </c>
      <c r="F61" s="162">
        <f t="shared" si="15"/>
        <v>0</v>
      </c>
      <c r="G61" s="161">
        <f t="shared" si="2"/>
        <v>0</v>
      </c>
      <c r="H61" s="186"/>
      <c r="I61" s="161">
        <f t="shared" ref="I61:I65" si="18">ROUND(F61,0)</f>
        <v>0</v>
      </c>
      <c r="J61" s="161">
        <f t="shared" si="3"/>
        <v>0</v>
      </c>
      <c r="K61" s="187"/>
      <c r="L61" s="161">
        <f>ROUND(I61,0)</f>
        <v>0</v>
      </c>
      <c r="M61" s="161">
        <f t="shared" si="4"/>
        <v>0</v>
      </c>
      <c r="N61" s="187"/>
    </row>
    <row r="62" spans="1:14" ht="15.6" customHeight="1" x14ac:dyDescent="0.25">
      <c r="C62" s="180" t="s">
        <v>586</v>
      </c>
      <c r="D62" s="160" t="s">
        <v>587</v>
      </c>
      <c r="E62" s="162">
        <v>50000</v>
      </c>
      <c r="F62" s="162">
        <f t="shared" si="15"/>
        <v>50000</v>
      </c>
      <c r="G62" s="161">
        <f t="shared" si="2"/>
        <v>0</v>
      </c>
      <c r="H62" s="186"/>
      <c r="I62" s="161">
        <f t="shared" si="18"/>
        <v>50000</v>
      </c>
      <c r="J62" s="161">
        <f t="shared" si="3"/>
        <v>0</v>
      </c>
      <c r="K62" s="187"/>
      <c r="L62" s="161">
        <f>ROUND(I62,0)</f>
        <v>50000</v>
      </c>
      <c r="M62" s="161">
        <f t="shared" si="4"/>
        <v>0</v>
      </c>
      <c r="N62" s="187"/>
    </row>
    <row r="63" spans="1:14" ht="17.45" customHeight="1" x14ac:dyDescent="0.25">
      <c r="B63" s="120" t="s">
        <v>554</v>
      </c>
      <c r="C63" s="180" t="s">
        <v>588</v>
      </c>
      <c r="D63" s="160" t="s">
        <v>589</v>
      </c>
      <c r="E63" s="162">
        <v>200000</v>
      </c>
      <c r="F63" s="162">
        <f t="shared" si="15"/>
        <v>200000</v>
      </c>
      <c r="G63" s="161">
        <f t="shared" si="2"/>
        <v>0</v>
      </c>
      <c r="H63" s="186"/>
      <c r="I63" s="161">
        <f t="shared" si="18"/>
        <v>200000</v>
      </c>
      <c r="J63" s="161">
        <f t="shared" si="3"/>
        <v>0</v>
      </c>
      <c r="K63" s="187"/>
      <c r="L63" s="161">
        <f>ROUND(I63,0)</f>
        <v>200000</v>
      </c>
      <c r="M63" s="161">
        <f t="shared" si="4"/>
        <v>0</v>
      </c>
      <c r="N63" s="187"/>
    </row>
    <row r="64" spans="1:14" x14ac:dyDescent="0.25">
      <c r="A64" s="120" t="s">
        <v>534</v>
      </c>
      <c r="B64" s="177" t="s">
        <v>590</v>
      </c>
      <c r="C64" s="180" t="s">
        <v>591</v>
      </c>
      <c r="D64" s="211" t="s">
        <v>592</v>
      </c>
      <c r="E64" s="162">
        <v>0</v>
      </c>
      <c r="F64" s="162">
        <f t="shared" si="15"/>
        <v>0</v>
      </c>
      <c r="G64" s="161">
        <f>F64-E64</f>
        <v>0</v>
      </c>
      <c r="H64" s="212"/>
      <c r="I64" s="161">
        <f t="shared" si="18"/>
        <v>0</v>
      </c>
      <c r="J64" s="161">
        <f>I64-F64</f>
        <v>0</v>
      </c>
      <c r="K64" s="213"/>
      <c r="L64" s="161">
        <f>ROUND(I64,0)</f>
        <v>0</v>
      </c>
      <c r="M64" s="161">
        <f>L64-I64</f>
        <v>0</v>
      </c>
      <c r="N64" s="213"/>
    </row>
    <row r="65" spans="1:14" ht="39.6" customHeight="1" x14ac:dyDescent="0.25">
      <c r="A65" s="208" t="s">
        <v>593</v>
      </c>
      <c r="B65" s="120" t="s">
        <v>594</v>
      </c>
      <c r="C65" s="180" t="s">
        <v>595</v>
      </c>
      <c r="D65" s="160" t="s">
        <v>596</v>
      </c>
      <c r="E65" s="162">
        <v>143640</v>
      </c>
      <c r="F65" s="162">
        <f>ROUND(E65,0)+8232</f>
        <v>151872</v>
      </c>
      <c r="G65" s="161">
        <f t="shared" si="2"/>
        <v>8232</v>
      </c>
      <c r="H65" s="214" t="s">
        <v>597</v>
      </c>
      <c r="I65" s="161">
        <f t="shared" si="18"/>
        <v>151872</v>
      </c>
      <c r="J65" s="161">
        <f t="shared" si="3"/>
        <v>0</v>
      </c>
      <c r="K65" s="187"/>
      <c r="L65" s="161">
        <f>ROUND(I65,0)+50781</f>
        <v>202653</v>
      </c>
      <c r="M65" s="161">
        <f t="shared" si="4"/>
        <v>50781</v>
      </c>
      <c r="N65" s="187" t="s">
        <v>598</v>
      </c>
    </row>
    <row r="66" spans="1:14" ht="32.25" customHeight="1" x14ac:dyDescent="0.25">
      <c r="C66" s="189" t="s">
        <v>599</v>
      </c>
      <c r="D66" s="190" t="s">
        <v>600</v>
      </c>
      <c r="E66" s="215">
        <v>1159816</v>
      </c>
      <c r="F66" s="215">
        <f t="shared" ref="F66" si="19">SUM(F67:F86)</f>
        <v>1271081</v>
      </c>
      <c r="G66" s="191">
        <f t="shared" si="2"/>
        <v>111265</v>
      </c>
      <c r="H66" s="216"/>
      <c r="I66" s="191">
        <f>SUM(I67:I86)</f>
        <v>1246934</v>
      </c>
      <c r="J66" s="191">
        <f t="shared" si="3"/>
        <v>-24147</v>
      </c>
      <c r="K66" s="217"/>
      <c r="L66" s="191">
        <f>SUM(L67:L86)</f>
        <v>1246934</v>
      </c>
      <c r="M66" s="191">
        <f t="shared" si="4"/>
        <v>0</v>
      </c>
      <c r="N66" s="217"/>
    </row>
    <row r="67" spans="1:14" x14ac:dyDescent="0.25">
      <c r="A67" s="120" t="s">
        <v>601</v>
      </c>
      <c r="B67" s="120" t="s">
        <v>602</v>
      </c>
      <c r="C67" s="180" t="s">
        <v>603</v>
      </c>
      <c r="D67" s="211" t="s">
        <v>604</v>
      </c>
      <c r="E67" s="162">
        <v>0</v>
      </c>
      <c r="F67" s="162">
        <f>ROUND(E67,0)+(109839-16873)</f>
        <v>92966</v>
      </c>
      <c r="G67" s="161">
        <f t="shared" si="2"/>
        <v>92966</v>
      </c>
      <c r="H67" s="176" t="s">
        <v>605</v>
      </c>
      <c r="I67" s="161">
        <f t="shared" ref="I67:I87" si="20">ROUND(F67,0)</f>
        <v>92966</v>
      </c>
      <c r="J67" s="161">
        <f t="shared" si="3"/>
        <v>0</v>
      </c>
      <c r="K67" s="176"/>
      <c r="L67" s="161">
        <f t="shared" ref="L67:L87" si="21">ROUND(I67,0)</f>
        <v>92966</v>
      </c>
      <c r="M67" s="161">
        <f t="shared" si="4"/>
        <v>0</v>
      </c>
      <c r="N67" s="176"/>
    </row>
    <row r="68" spans="1:14" x14ac:dyDescent="0.25">
      <c r="C68" s="180" t="s">
        <v>606</v>
      </c>
      <c r="D68" s="211" t="s">
        <v>607</v>
      </c>
      <c r="E68" s="162">
        <v>63988</v>
      </c>
      <c r="F68" s="162">
        <f t="shared" ref="F68:F87" si="22">ROUND(E68,0)</f>
        <v>63988</v>
      </c>
      <c r="G68" s="161">
        <f t="shared" si="2"/>
        <v>0</v>
      </c>
      <c r="H68" s="186"/>
      <c r="I68" s="161">
        <f t="shared" si="20"/>
        <v>63988</v>
      </c>
      <c r="J68" s="161">
        <f t="shared" si="3"/>
        <v>0</v>
      </c>
      <c r="K68" s="187"/>
      <c r="L68" s="161">
        <f t="shared" si="21"/>
        <v>63988</v>
      </c>
      <c r="M68" s="161">
        <f t="shared" si="4"/>
        <v>0</v>
      </c>
      <c r="N68" s="187"/>
    </row>
    <row r="69" spans="1:14" ht="30" x14ac:dyDescent="0.25">
      <c r="B69" s="219" t="s">
        <v>608</v>
      </c>
      <c r="C69" s="180" t="s">
        <v>609</v>
      </c>
      <c r="D69" s="211" t="s">
        <v>610</v>
      </c>
      <c r="E69" s="162">
        <v>2532</v>
      </c>
      <c r="F69" s="162">
        <f t="shared" si="22"/>
        <v>2532</v>
      </c>
      <c r="G69" s="161">
        <f t="shared" si="2"/>
        <v>0</v>
      </c>
      <c r="H69" s="175"/>
      <c r="I69" s="161">
        <f t="shared" si="20"/>
        <v>2532</v>
      </c>
      <c r="J69" s="161">
        <f t="shared" si="3"/>
        <v>0</v>
      </c>
      <c r="K69" s="176"/>
      <c r="L69" s="161">
        <f t="shared" si="21"/>
        <v>2532</v>
      </c>
      <c r="M69" s="161">
        <f t="shared" si="4"/>
        <v>0</v>
      </c>
      <c r="N69" s="176"/>
    </row>
    <row r="70" spans="1:14" ht="30" x14ac:dyDescent="0.25">
      <c r="B70" s="219"/>
      <c r="C70" s="180" t="s">
        <v>611</v>
      </c>
      <c r="D70" s="211" t="s">
        <v>612</v>
      </c>
      <c r="E70" s="162">
        <v>5135</v>
      </c>
      <c r="F70" s="162">
        <f t="shared" si="22"/>
        <v>5135</v>
      </c>
      <c r="G70" s="161">
        <f t="shared" si="2"/>
        <v>0</v>
      </c>
      <c r="H70" s="175"/>
      <c r="I70" s="161">
        <f t="shared" si="20"/>
        <v>5135</v>
      </c>
      <c r="J70" s="161">
        <f t="shared" si="3"/>
        <v>0</v>
      </c>
      <c r="K70" s="176"/>
      <c r="L70" s="161">
        <f t="shared" si="21"/>
        <v>5135</v>
      </c>
      <c r="M70" s="161">
        <f t="shared" si="4"/>
        <v>0</v>
      </c>
      <c r="N70" s="176"/>
    </row>
    <row r="71" spans="1:14" x14ac:dyDescent="0.25">
      <c r="B71" s="219"/>
      <c r="C71" s="180" t="s">
        <v>613</v>
      </c>
      <c r="D71" s="211" t="s">
        <v>614</v>
      </c>
      <c r="E71" s="162">
        <v>9000</v>
      </c>
      <c r="F71" s="162">
        <f t="shared" si="22"/>
        <v>9000</v>
      </c>
      <c r="G71" s="161">
        <f t="shared" si="2"/>
        <v>0</v>
      </c>
      <c r="H71" s="175"/>
      <c r="I71" s="161">
        <f t="shared" si="20"/>
        <v>9000</v>
      </c>
      <c r="J71" s="161">
        <f t="shared" si="3"/>
        <v>0</v>
      </c>
      <c r="K71" s="176"/>
      <c r="L71" s="161">
        <f t="shared" si="21"/>
        <v>9000</v>
      </c>
      <c r="M71" s="161">
        <f t="shared" si="4"/>
        <v>0</v>
      </c>
      <c r="N71" s="176"/>
    </row>
    <row r="72" spans="1:14" ht="60" x14ac:dyDescent="0.25">
      <c r="B72" s="219"/>
      <c r="C72" s="180" t="s">
        <v>615</v>
      </c>
      <c r="D72" s="211" t="s">
        <v>616</v>
      </c>
      <c r="E72" s="162">
        <v>6010</v>
      </c>
      <c r="F72" s="162">
        <f t="shared" si="22"/>
        <v>6010</v>
      </c>
      <c r="G72" s="161">
        <f>F72-E72</f>
        <v>0</v>
      </c>
      <c r="H72" s="175"/>
      <c r="I72" s="161">
        <f t="shared" si="20"/>
        <v>6010</v>
      </c>
      <c r="J72" s="161">
        <f t="shared" si="3"/>
        <v>0</v>
      </c>
      <c r="K72" s="176"/>
      <c r="L72" s="161">
        <f t="shared" si="21"/>
        <v>6010</v>
      </c>
      <c r="M72" s="161">
        <f t="shared" si="4"/>
        <v>0</v>
      </c>
      <c r="N72" s="176"/>
    </row>
    <row r="73" spans="1:14" ht="45" x14ac:dyDescent="0.25">
      <c r="B73" s="219"/>
      <c r="C73" s="180" t="s">
        <v>617</v>
      </c>
      <c r="D73" s="211" t="s">
        <v>618</v>
      </c>
      <c r="E73" s="162">
        <v>30655</v>
      </c>
      <c r="F73" s="162">
        <f>ROUND(E73,0)</f>
        <v>30655</v>
      </c>
      <c r="G73" s="161">
        <f>F73-E73</f>
        <v>0</v>
      </c>
      <c r="H73" s="175"/>
      <c r="I73" s="161">
        <f t="shared" si="20"/>
        <v>30655</v>
      </c>
      <c r="J73" s="161">
        <f t="shared" si="3"/>
        <v>0</v>
      </c>
      <c r="K73" s="176"/>
      <c r="L73" s="161">
        <f t="shared" si="21"/>
        <v>30655</v>
      </c>
      <c r="M73" s="161">
        <f t="shared" si="4"/>
        <v>0</v>
      </c>
      <c r="N73" s="176"/>
    </row>
    <row r="74" spans="1:14" x14ac:dyDescent="0.25">
      <c r="A74" s="208" t="s">
        <v>619</v>
      </c>
      <c r="B74" s="219"/>
      <c r="C74" s="180" t="s">
        <v>620</v>
      </c>
      <c r="D74" s="211" t="s">
        <v>621</v>
      </c>
      <c r="E74" s="162">
        <v>0</v>
      </c>
      <c r="F74" s="162">
        <f>ROUND(E74,0)</f>
        <v>0</v>
      </c>
      <c r="G74" s="161">
        <f>F74-E74</f>
        <v>0</v>
      </c>
      <c r="H74" s="175"/>
      <c r="I74" s="161">
        <f t="shared" si="20"/>
        <v>0</v>
      </c>
      <c r="J74" s="161">
        <f t="shared" si="3"/>
        <v>0</v>
      </c>
      <c r="K74" s="176"/>
      <c r="L74" s="161">
        <f t="shared" si="21"/>
        <v>0</v>
      </c>
      <c r="M74" s="161">
        <f t="shared" si="4"/>
        <v>0</v>
      </c>
      <c r="N74" s="176"/>
    </row>
    <row r="75" spans="1:14" ht="60" x14ac:dyDescent="0.25">
      <c r="A75" s="208" t="s">
        <v>593</v>
      </c>
      <c r="B75" s="219"/>
      <c r="C75" s="180" t="s">
        <v>622</v>
      </c>
      <c r="D75" s="211" t="s">
        <v>623</v>
      </c>
      <c r="E75" s="162">
        <v>0</v>
      </c>
      <c r="F75" s="162">
        <f>ROUND(E75,0)+18299</f>
        <v>18299</v>
      </c>
      <c r="G75" s="161">
        <f>F75-E75</f>
        <v>18299</v>
      </c>
      <c r="H75" s="220" t="s">
        <v>624</v>
      </c>
      <c r="I75" s="161">
        <f t="shared" si="20"/>
        <v>18299</v>
      </c>
      <c r="J75" s="161">
        <f t="shared" si="3"/>
        <v>0</v>
      </c>
      <c r="K75" s="176"/>
      <c r="L75" s="161">
        <f t="shared" si="21"/>
        <v>18299</v>
      </c>
      <c r="M75" s="161">
        <f t="shared" si="4"/>
        <v>0</v>
      </c>
      <c r="N75" s="176"/>
    </row>
    <row r="76" spans="1:14" ht="45" x14ac:dyDescent="0.25">
      <c r="B76" s="120" t="s">
        <v>625</v>
      </c>
      <c r="C76" s="180" t="s">
        <v>626</v>
      </c>
      <c r="D76" s="211" t="s">
        <v>627</v>
      </c>
      <c r="E76" s="162">
        <v>0</v>
      </c>
      <c r="F76" s="162">
        <f t="shared" si="22"/>
        <v>0</v>
      </c>
      <c r="G76" s="161">
        <f t="shared" ref="G76:G124" si="23">F76-E76</f>
        <v>0</v>
      </c>
      <c r="H76" s="178"/>
      <c r="I76" s="161">
        <f t="shared" si="20"/>
        <v>0</v>
      </c>
      <c r="J76" s="161">
        <f t="shared" si="3"/>
        <v>0</v>
      </c>
      <c r="K76" s="179"/>
      <c r="L76" s="161">
        <f t="shared" si="21"/>
        <v>0</v>
      </c>
      <c r="M76" s="161">
        <f t="shared" si="4"/>
        <v>0</v>
      </c>
      <c r="N76" s="179"/>
    </row>
    <row r="77" spans="1:14" ht="30" x14ac:dyDescent="0.25">
      <c r="B77" s="177" t="s">
        <v>628</v>
      </c>
      <c r="C77" s="180" t="s">
        <v>629</v>
      </c>
      <c r="D77" s="211" t="s">
        <v>630</v>
      </c>
      <c r="E77" s="162">
        <v>0</v>
      </c>
      <c r="F77" s="162">
        <f t="shared" si="22"/>
        <v>0</v>
      </c>
      <c r="G77" s="161">
        <f t="shared" si="23"/>
        <v>0</v>
      </c>
      <c r="H77" s="221"/>
      <c r="I77" s="161">
        <f t="shared" si="20"/>
        <v>0</v>
      </c>
      <c r="J77" s="161">
        <f t="shared" ref="J77:J124" si="24">I77-F77</f>
        <v>0</v>
      </c>
      <c r="K77" s="222"/>
      <c r="L77" s="161">
        <f t="shared" si="21"/>
        <v>0</v>
      </c>
      <c r="M77" s="161">
        <f t="shared" ref="M77:M124" si="25">L77-I77</f>
        <v>0</v>
      </c>
      <c r="N77" s="222"/>
    </row>
    <row r="78" spans="1:14" ht="30" x14ac:dyDescent="0.25">
      <c r="B78" s="177"/>
      <c r="C78" s="180" t="s">
        <v>631</v>
      </c>
      <c r="D78" s="211" t="s">
        <v>632</v>
      </c>
      <c r="E78" s="162">
        <v>0</v>
      </c>
      <c r="F78" s="162">
        <f t="shared" si="22"/>
        <v>0</v>
      </c>
      <c r="G78" s="161">
        <f t="shared" si="23"/>
        <v>0</v>
      </c>
      <c r="H78" s="221"/>
      <c r="I78" s="161">
        <f t="shared" si="20"/>
        <v>0</v>
      </c>
      <c r="J78" s="161">
        <f t="shared" si="24"/>
        <v>0</v>
      </c>
      <c r="K78" s="222"/>
      <c r="L78" s="161">
        <f t="shared" si="21"/>
        <v>0</v>
      </c>
      <c r="M78" s="161">
        <f t="shared" si="25"/>
        <v>0</v>
      </c>
      <c r="N78" s="222"/>
    </row>
    <row r="79" spans="1:14" x14ac:dyDescent="0.25">
      <c r="B79" s="177"/>
      <c r="C79" s="180" t="s">
        <v>633</v>
      </c>
      <c r="D79" s="211" t="s">
        <v>634</v>
      </c>
      <c r="E79" s="162">
        <v>0</v>
      </c>
      <c r="F79" s="162">
        <f t="shared" si="22"/>
        <v>0</v>
      </c>
      <c r="G79" s="161">
        <f t="shared" si="23"/>
        <v>0</v>
      </c>
      <c r="H79" s="221"/>
      <c r="I79" s="161">
        <f t="shared" si="20"/>
        <v>0</v>
      </c>
      <c r="J79" s="161">
        <f t="shared" si="24"/>
        <v>0</v>
      </c>
      <c r="K79" s="222"/>
      <c r="L79" s="161">
        <f t="shared" si="21"/>
        <v>0</v>
      </c>
      <c r="M79" s="161">
        <f t="shared" si="25"/>
        <v>0</v>
      </c>
      <c r="N79" s="222"/>
    </row>
    <row r="80" spans="1:14" ht="30" x14ac:dyDescent="0.25">
      <c r="B80" s="177"/>
      <c r="C80" s="180" t="s">
        <v>635</v>
      </c>
      <c r="D80" s="211" t="s">
        <v>636</v>
      </c>
      <c r="E80" s="162">
        <v>0</v>
      </c>
      <c r="F80" s="162">
        <f t="shared" si="22"/>
        <v>0</v>
      </c>
      <c r="G80" s="161">
        <f t="shared" si="23"/>
        <v>0</v>
      </c>
      <c r="H80" s="221"/>
      <c r="I80" s="161">
        <f t="shared" si="20"/>
        <v>0</v>
      </c>
      <c r="J80" s="161">
        <f t="shared" si="24"/>
        <v>0</v>
      </c>
      <c r="K80" s="222"/>
      <c r="L80" s="161">
        <f t="shared" si="21"/>
        <v>0</v>
      </c>
      <c r="M80" s="161">
        <f t="shared" si="25"/>
        <v>0</v>
      </c>
      <c r="N80" s="222"/>
    </row>
    <row r="81" spans="1:14" x14ac:dyDescent="0.25">
      <c r="B81" s="223" t="s">
        <v>637</v>
      </c>
      <c r="C81" s="180" t="s">
        <v>638</v>
      </c>
      <c r="D81" s="211" t="s">
        <v>639</v>
      </c>
      <c r="E81" s="162">
        <v>0</v>
      </c>
      <c r="F81" s="162">
        <f t="shared" si="22"/>
        <v>0</v>
      </c>
      <c r="G81" s="161">
        <f t="shared" si="23"/>
        <v>0</v>
      </c>
      <c r="H81" s="221"/>
      <c r="I81" s="161">
        <f t="shared" si="20"/>
        <v>0</v>
      </c>
      <c r="J81" s="161">
        <f t="shared" si="24"/>
        <v>0</v>
      </c>
      <c r="K81" s="222"/>
      <c r="L81" s="161">
        <f t="shared" si="21"/>
        <v>0</v>
      </c>
      <c r="M81" s="161">
        <f t="shared" si="25"/>
        <v>0</v>
      </c>
      <c r="N81" s="222"/>
    </row>
    <row r="82" spans="1:14" x14ac:dyDescent="0.25">
      <c r="B82" s="177"/>
      <c r="C82" s="180" t="s">
        <v>640</v>
      </c>
      <c r="D82" s="211" t="s">
        <v>641</v>
      </c>
      <c r="E82" s="162">
        <v>150645</v>
      </c>
      <c r="F82" s="162">
        <f t="shared" si="22"/>
        <v>150645</v>
      </c>
      <c r="G82" s="161">
        <f t="shared" si="23"/>
        <v>0</v>
      </c>
      <c r="H82" s="221"/>
      <c r="I82" s="161">
        <f t="shared" si="20"/>
        <v>150645</v>
      </c>
      <c r="J82" s="161">
        <f t="shared" si="24"/>
        <v>0</v>
      </c>
      <c r="K82" s="222"/>
      <c r="L82" s="161">
        <f t="shared" si="21"/>
        <v>150645</v>
      </c>
      <c r="M82" s="161">
        <f t="shared" si="25"/>
        <v>0</v>
      </c>
      <c r="N82" s="222"/>
    </row>
    <row r="83" spans="1:14" ht="41.45" customHeight="1" x14ac:dyDescent="0.25">
      <c r="B83" s="177"/>
      <c r="C83" s="180" t="s">
        <v>642</v>
      </c>
      <c r="D83" s="211" t="s">
        <v>643</v>
      </c>
      <c r="E83" s="162">
        <v>118650</v>
      </c>
      <c r="F83" s="162">
        <f t="shared" si="22"/>
        <v>118650</v>
      </c>
      <c r="G83" s="161">
        <f t="shared" si="23"/>
        <v>0</v>
      </c>
      <c r="H83" s="221"/>
      <c r="I83" s="161">
        <f t="shared" si="20"/>
        <v>118650</v>
      </c>
      <c r="J83" s="161">
        <f t="shared" si="24"/>
        <v>0</v>
      </c>
      <c r="K83" s="222"/>
      <c r="L83" s="161">
        <f t="shared" si="21"/>
        <v>118650</v>
      </c>
      <c r="M83" s="161">
        <f t="shared" si="25"/>
        <v>0</v>
      </c>
      <c r="N83" s="222"/>
    </row>
    <row r="84" spans="1:14" x14ac:dyDescent="0.25">
      <c r="B84" s="177"/>
      <c r="C84" s="180" t="s">
        <v>644</v>
      </c>
      <c r="D84" s="211" t="s">
        <v>386</v>
      </c>
      <c r="E84" s="162">
        <v>390462</v>
      </c>
      <c r="F84" s="162">
        <f t="shared" si="22"/>
        <v>390462</v>
      </c>
      <c r="G84" s="161">
        <f t="shared" si="23"/>
        <v>0</v>
      </c>
      <c r="H84" s="221"/>
      <c r="I84" s="161">
        <f t="shared" si="20"/>
        <v>390462</v>
      </c>
      <c r="J84" s="161">
        <f t="shared" si="24"/>
        <v>0</v>
      </c>
      <c r="K84" s="222"/>
      <c r="L84" s="161">
        <f t="shared" si="21"/>
        <v>390462</v>
      </c>
      <c r="M84" s="161">
        <f t="shared" si="25"/>
        <v>0</v>
      </c>
      <c r="N84" s="222"/>
    </row>
    <row r="85" spans="1:14" ht="30" x14ac:dyDescent="0.25">
      <c r="B85" s="223" t="s">
        <v>637</v>
      </c>
      <c r="C85" s="180" t="s">
        <v>645</v>
      </c>
      <c r="D85" s="211" t="s">
        <v>646</v>
      </c>
      <c r="E85" s="162">
        <v>0</v>
      </c>
      <c r="F85" s="162">
        <f t="shared" si="22"/>
        <v>0</v>
      </c>
      <c r="G85" s="161">
        <f t="shared" si="23"/>
        <v>0</v>
      </c>
      <c r="H85" s="221"/>
      <c r="I85" s="161">
        <f t="shared" si="20"/>
        <v>0</v>
      </c>
      <c r="J85" s="161">
        <f t="shared" si="24"/>
        <v>0</v>
      </c>
      <c r="K85" s="222"/>
      <c r="L85" s="161">
        <f t="shared" si="21"/>
        <v>0</v>
      </c>
      <c r="M85" s="161">
        <f t="shared" si="25"/>
        <v>0</v>
      </c>
      <c r="N85" s="222"/>
    </row>
    <row r="86" spans="1:14" x14ac:dyDescent="0.25">
      <c r="B86" s="208" t="s">
        <v>647</v>
      </c>
      <c r="C86" s="180" t="s">
        <v>648</v>
      </c>
      <c r="D86" s="224" t="s">
        <v>387</v>
      </c>
      <c r="E86" s="162">
        <v>382739</v>
      </c>
      <c r="F86" s="162">
        <f t="shared" si="22"/>
        <v>382739</v>
      </c>
      <c r="G86" s="161">
        <f t="shared" si="23"/>
        <v>0</v>
      </c>
      <c r="H86" s="221"/>
      <c r="I86" s="161">
        <f>ROUND(F86,0)-24147</f>
        <v>358592</v>
      </c>
      <c r="J86" s="161">
        <f t="shared" si="24"/>
        <v>-24147</v>
      </c>
      <c r="K86" s="222" t="s">
        <v>649</v>
      </c>
      <c r="L86" s="161">
        <f t="shared" si="21"/>
        <v>358592</v>
      </c>
      <c r="M86" s="161">
        <f t="shared" si="25"/>
        <v>0</v>
      </c>
      <c r="N86" s="222"/>
    </row>
    <row r="87" spans="1:14" hidden="1" outlineLevel="1" x14ac:dyDescent="0.25">
      <c r="B87" s="158" t="s">
        <v>650</v>
      </c>
      <c r="C87" s="159" t="s">
        <v>651</v>
      </c>
      <c r="D87" s="225" t="s">
        <v>652</v>
      </c>
      <c r="E87" s="195">
        <v>0</v>
      </c>
      <c r="F87" s="162">
        <f t="shared" si="22"/>
        <v>0</v>
      </c>
      <c r="G87" s="161">
        <f t="shared" si="23"/>
        <v>0</v>
      </c>
      <c r="H87" s="163"/>
      <c r="I87" s="161">
        <f t="shared" si="20"/>
        <v>0</v>
      </c>
      <c r="J87" s="161">
        <f t="shared" si="24"/>
        <v>0</v>
      </c>
      <c r="K87" s="164"/>
      <c r="L87" s="161">
        <f t="shared" si="21"/>
        <v>0</v>
      </c>
      <c r="M87" s="161">
        <f t="shared" si="25"/>
        <v>0</v>
      </c>
      <c r="N87" s="164"/>
    </row>
    <row r="88" spans="1:14" collapsed="1" x14ac:dyDescent="0.25">
      <c r="C88" s="188" t="s">
        <v>653</v>
      </c>
      <c r="D88" s="167" t="s">
        <v>654</v>
      </c>
      <c r="E88" s="169">
        <v>295000</v>
      </c>
      <c r="F88" s="169">
        <f>F89+F90</f>
        <v>295000</v>
      </c>
      <c r="G88" s="168">
        <f t="shared" si="23"/>
        <v>0</v>
      </c>
      <c r="H88" s="170"/>
      <c r="I88" s="168">
        <f>I89+I90</f>
        <v>295000</v>
      </c>
      <c r="J88" s="168">
        <f t="shared" si="24"/>
        <v>0</v>
      </c>
      <c r="K88" s="171"/>
      <c r="L88" s="168">
        <f>L89+L90</f>
        <v>295000</v>
      </c>
      <c r="M88" s="168">
        <f t="shared" si="25"/>
        <v>0</v>
      </c>
      <c r="N88" s="171"/>
    </row>
    <row r="89" spans="1:14" ht="27.6" customHeight="1" x14ac:dyDescent="0.25">
      <c r="B89" s="120" t="s">
        <v>655</v>
      </c>
      <c r="C89" s="159" t="s">
        <v>656</v>
      </c>
      <c r="D89" s="160" t="s">
        <v>657</v>
      </c>
      <c r="E89" s="162">
        <v>295000</v>
      </c>
      <c r="F89" s="162">
        <f>ROUND(E89,0)</f>
        <v>295000</v>
      </c>
      <c r="G89" s="161">
        <f t="shared" si="23"/>
        <v>0</v>
      </c>
      <c r="H89" s="186"/>
      <c r="I89" s="161">
        <f>ROUND(F89,0)</f>
        <v>295000</v>
      </c>
      <c r="J89" s="161">
        <f t="shared" si="24"/>
        <v>0</v>
      </c>
      <c r="K89" s="187"/>
      <c r="L89" s="161">
        <f>ROUND(I89,0)</f>
        <v>295000</v>
      </c>
      <c r="M89" s="161">
        <f t="shared" si="25"/>
        <v>0</v>
      </c>
      <c r="N89" s="187"/>
    </row>
    <row r="90" spans="1:14" ht="16.149999999999999" customHeight="1" x14ac:dyDescent="0.25">
      <c r="B90" s="120" t="s">
        <v>658</v>
      </c>
      <c r="C90" s="159" t="s">
        <v>659</v>
      </c>
      <c r="D90" s="160" t="s">
        <v>660</v>
      </c>
      <c r="E90" s="162">
        <v>0</v>
      </c>
      <c r="F90" s="162">
        <f>ROUND(E90,0)</f>
        <v>0</v>
      </c>
      <c r="G90" s="161">
        <f t="shared" si="23"/>
        <v>0</v>
      </c>
      <c r="H90" s="163"/>
      <c r="I90" s="161">
        <f>ROUND(F90,0)</f>
        <v>0</v>
      </c>
      <c r="J90" s="161">
        <f t="shared" si="24"/>
        <v>0</v>
      </c>
      <c r="K90" s="164"/>
      <c r="L90" s="161">
        <f>ROUND(I90,0)</f>
        <v>0</v>
      </c>
      <c r="M90" s="161">
        <f t="shared" si="25"/>
        <v>0</v>
      </c>
      <c r="N90" s="164"/>
    </row>
    <row r="91" spans="1:14" ht="35.450000000000003" customHeight="1" x14ac:dyDescent="0.25">
      <c r="C91" s="188" t="s">
        <v>661</v>
      </c>
      <c r="D91" s="167" t="s">
        <v>662</v>
      </c>
      <c r="E91" s="169">
        <v>2153758</v>
      </c>
      <c r="F91" s="169">
        <f t="shared" ref="F91" si="26">F92+F95+F98+F102+F106</f>
        <v>1974755</v>
      </c>
      <c r="G91" s="168">
        <f t="shared" si="23"/>
        <v>-179003</v>
      </c>
      <c r="H91" s="170"/>
      <c r="I91" s="168">
        <f>I92+I95+I98+I102+I106</f>
        <v>1974755</v>
      </c>
      <c r="J91" s="168">
        <f t="shared" si="24"/>
        <v>0</v>
      </c>
      <c r="K91" s="171"/>
      <c r="L91" s="168">
        <f>L92+L95+L98+L102+L106</f>
        <v>1974755</v>
      </c>
      <c r="M91" s="168">
        <f t="shared" si="25"/>
        <v>0</v>
      </c>
      <c r="N91" s="171"/>
    </row>
    <row r="92" spans="1:14" x14ac:dyDescent="0.25">
      <c r="A92" s="120" t="s">
        <v>432</v>
      </c>
      <c r="B92" s="120" t="s">
        <v>663</v>
      </c>
      <c r="C92" s="159" t="s">
        <v>664</v>
      </c>
      <c r="D92" s="160" t="s">
        <v>665</v>
      </c>
      <c r="E92" s="162">
        <v>149000</v>
      </c>
      <c r="F92" s="162">
        <f>SUM(F93:F94)</f>
        <v>149000</v>
      </c>
      <c r="G92" s="161">
        <f t="shared" si="23"/>
        <v>0</v>
      </c>
      <c r="H92" s="163"/>
      <c r="I92" s="161">
        <f>SUM(I93:I94)</f>
        <v>149000</v>
      </c>
      <c r="J92" s="161">
        <f t="shared" si="24"/>
        <v>0</v>
      </c>
      <c r="K92" s="164"/>
      <c r="L92" s="161">
        <f>SUM(L93:L94)</f>
        <v>149000</v>
      </c>
      <c r="M92" s="161">
        <f t="shared" si="25"/>
        <v>0</v>
      </c>
      <c r="N92" s="164"/>
    </row>
    <row r="93" spans="1:14" ht="14.25" customHeight="1" x14ac:dyDescent="0.25">
      <c r="B93" s="120" t="s">
        <v>666</v>
      </c>
      <c r="C93" s="226" t="s">
        <v>667</v>
      </c>
      <c r="D93" s="227" t="s">
        <v>668</v>
      </c>
      <c r="E93" s="162">
        <v>24000</v>
      </c>
      <c r="F93" s="162">
        <f>ROUND(E93,0)</f>
        <v>24000</v>
      </c>
      <c r="G93" s="161">
        <f t="shared" si="23"/>
        <v>0</v>
      </c>
      <c r="H93" s="173"/>
      <c r="I93" s="161">
        <f>ROUND(F93,0)</f>
        <v>24000</v>
      </c>
      <c r="J93" s="161">
        <f t="shared" si="24"/>
        <v>0</v>
      </c>
      <c r="K93" s="174"/>
      <c r="L93" s="161">
        <f>ROUND(I93,0)</f>
        <v>24000</v>
      </c>
      <c r="M93" s="161">
        <f t="shared" si="25"/>
        <v>0</v>
      </c>
      <c r="N93" s="174"/>
    </row>
    <row r="94" spans="1:14" ht="15.6" customHeight="1" x14ac:dyDescent="0.25">
      <c r="B94" s="120" t="s">
        <v>669</v>
      </c>
      <c r="C94" s="226" t="s">
        <v>670</v>
      </c>
      <c r="D94" s="227" t="s">
        <v>671</v>
      </c>
      <c r="E94" s="162">
        <v>125000</v>
      </c>
      <c r="F94" s="162">
        <f>ROUND(E94,0)</f>
        <v>125000</v>
      </c>
      <c r="G94" s="161">
        <f t="shared" si="23"/>
        <v>0</v>
      </c>
      <c r="H94" s="173"/>
      <c r="I94" s="161">
        <f>ROUND(F94,0)</f>
        <v>125000</v>
      </c>
      <c r="J94" s="161">
        <f t="shared" si="24"/>
        <v>0</v>
      </c>
      <c r="K94" s="174"/>
      <c r="L94" s="161">
        <f>ROUND(I94,0)</f>
        <v>125000</v>
      </c>
      <c r="M94" s="161">
        <f t="shared" si="25"/>
        <v>0</v>
      </c>
      <c r="N94" s="174"/>
    </row>
    <row r="95" spans="1:14" ht="13.9" customHeight="1" x14ac:dyDescent="0.25">
      <c r="C95" s="159" t="s">
        <v>672</v>
      </c>
      <c r="D95" s="160" t="s">
        <v>673</v>
      </c>
      <c r="E95" s="162">
        <v>0</v>
      </c>
      <c r="F95" s="162">
        <f>F96+F97</f>
        <v>0</v>
      </c>
      <c r="G95" s="161">
        <f t="shared" si="23"/>
        <v>0</v>
      </c>
      <c r="H95" s="228"/>
      <c r="I95" s="161">
        <f>I96+I97</f>
        <v>0</v>
      </c>
      <c r="J95" s="161">
        <f t="shared" si="24"/>
        <v>0</v>
      </c>
      <c r="K95" s="229"/>
      <c r="L95" s="161">
        <f>L96+L97</f>
        <v>0</v>
      </c>
      <c r="M95" s="161">
        <f t="shared" si="25"/>
        <v>0</v>
      </c>
      <c r="N95" s="229"/>
    </row>
    <row r="96" spans="1:14" x14ac:dyDescent="0.25">
      <c r="C96" s="226" t="s">
        <v>674</v>
      </c>
      <c r="D96" s="227" t="s">
        <v>675</v>
      </c>
      <c r="E96" s="162">
        <v>0</v>
      </c>
      <c r="F96" s="162"/>
      <c r="G96" s="161">
        <f t="shared" si="23"/>
        <v>0</v>
      </c>
      <c r="H96" s="173"/>
      <c r="I96" s="161"/>
      <c r="J96" s="161">
        <f t="shared" si="24"/>
        <v>0</v>
      </c>
      <c r="K96" s="174"/>
      <c r="L96" s="161"/>
      <c r="M96" s="161">
        <f t="shared" si="25"/>
        <v>0</v>
      </c>
      <c r="N96" s="174"/>
    </row>
    <row r="97" spans="1:14" ht="30" customHeight="1" x14ac:dyDescent="0.25">
      <c r="B97" s="208" t="s">
        <v>676</v>
      </c>
      <c r="C97" s="226" t="s">
        <v>677</v>
      </c>
      <c r="D97" s="211" t="s">
        <v>678</v>
      </c>
      <c r="E97" s="162">
        <v>0</v>
      </c>
      <c r="F97" s="162">
        <f>ROUND(E97,0)</f>
        <v>0</v>
      </c>
      <c r="G97" s="161">
        <f t="shared" si="23"/>
        <v>0</v>
      </c>
      <c r="H97" s="173"/>
      <c r="I97" s="161">
        <f>ROUND(F97,0)</f>
        <v>0</v>
      </c>
      <c r="J97" s="161">
        <f t="shared" si="24"/>
        <v>0</v>
      </c>
      <c r="K97" s="174"/>
      <c r="L97" s="161">
        <f>ROUND(I97,0)</f>
        <v>0</v>
      </c>
      <c r="M97" s="161">
        <f t="shared" si="25"/>
        <v>0</v>
      </c>
      <c r="N97" s="174"/>
    </row>
    <row r="98" spans="1:14" x14ac:dyDescent="0.25">
      <c r="A98" s="120" t="s">
        <v>432</v>
      </c>
      <c r="B98" s="120" t="s">
        <v>679</v>
      </c>
      <c r="C98" s="159" t="s">
        <v>680</v>
      </c>
      <c r="D98" s="160" t="s">
        <v>681</v>
      </c>
      <c r="E98" s="162">
        <v>180000</v>
      </c>
      <c r="F98" s="162">
        <f>SUM(F99:F101)</f>
        <v>180000</v>
      </c>
      <c r="G98" s="161">
        <f t="shared" si="23"/>
        <v>0</v>
      </c>
      <c r="H98" s="163"/>
      <c r="I98" s="161">
        <f>SUM(I99:I101)</f>
        <v>180000</v>
      </c>
      <c r="J98" s="161">
        <f t="shared" si="24"/>
        <v>0</v>
      </c>
      <c r="K98" s="164"/>
      <c r="L98" s="161">
        <f>SUM(L99:L101)</f>
        <v>180000</v>
      </c>
      <c r="M98" s="161">
        <f t="shared" si="25"/>
        <v>0</v>
      </c>
      <c r="N98" s="164"/>
    </row>
    <row r="99" spans="1:14" ht="15.75" customHeight="1" x14ac:dyDescent="0.25">
      <c r="B99" s="120" t="s">
        <v>682</v>
      </c>
      <c r="C99" s="226" t="s">
        <v>683</v>
      </c>
      <c r="D99" s="227" t="s">
        <v>684</v>
      </c>
      <c r="E99" s="162">
        <v>143000</v>
      </c>
      <c r="F99" s="162">
        <f>ROUND(E99,0)</f>
        <v>143000</v>
      </c>
      <c r="G99" s="161">
        <f t="shared" si="23"/>
        <v>0</v>
      </c>
      <c r="H99" s="186"/>
      <c r="I99" s="161">
        <f>ROUND(F99,0)</f>
        <v>143000</v>
      </c>
      <c r="J99" s="161">
        <f t="shared" si="24"/>
        <v>0</v>
      </c>
      <c r="K99" s="187"/>
      <c r="L99" s="161">
        <f>ROUND(I99,0)</f>
        <v>143000</v>
      </c>
      <c r="M99" s="161">
        <f t="shared" si="25"/>
        <v>0</v>
      </c>
      <c r="N99" s="187"/>
    </row>
    <row r="100" spans="1:14" x14ac:dyDescent="0.25">
      <c r="B100" s="120" t="s">
        <v>685</v>
      </c>
      <c r="C100" s="226" t="s">
        <v>686</v>
      </c>
      <c r="D100" s="227" t="s">
        <v>687</v>
      </c>
      <c r="E100" s="162">
        <v>36000</v>
      </c>
      <c r="F100" s="162">
        <f>ROUND(E100,0)</f>
        <v>36000</v>
      </c>
      <c r="G100" s="161">
        <f t="shared" si="23"/>
        <v>0</v>
      </c>
      <c r="H100" s="163"/>
      <c r="I100" s="161">
        <f>ROUND(F100,0)</f>
        <v>36000</v>
      </c>
      <c r="J100" s="161">
        <f t="shared" si="24"/>
        <v>0</v>
      </c>
      <c r="K100" s="164"/>
      <c r="L100" s="161">
        <f>ROUND(I100,0)</f>
        <v>36000</v>
      </c>
      <c r="M100" s="161">
        <f t="shared" si="25"/>
        <v>0</v>
      </c>
      <c r="N100" s="164"/>
    </row>
    <row r="101" spans="1:14" x14ac:dyDescent="0.25">
      <c r="B101" s="120" t="s">
        <v>688</v>
      </c>
      <c r="C101" s="226" t="s">
        <v>689</v>
      </c>
      <c r="D101" s="211" t="s">
        <v>690</v>
      </c>
      <c r="E101" s="162">
        <v>1000</v>
      </c>
      <c r="F101" s="162">
        <f>ROUND(E101,0)</f>
        <v>1000</v>
      </c>
      <c r="G101" s="161">
        <f t="shared" si="23"/>
        <v>0</v>
      </c>
      <c r="H101" s="163"/>
      <c r="I101" s="161">
        <f>ROUND(F101,0)</f>
        <v>1000</v>
      </c>
      <c r="J101" s="161">
        <f t="shared" si="24"/>
        <v>0</v>
      </c>
      <c r="K101" s="164"/>
      <c r="L101" s="161">
        <f>ROUND(I101,0)</f>
        <v>1000</v>
      </c>
      <c r="M101" s="161">
        <f t="shared" si="25"/>
        <v>0</v>
      </c>
      <c r="N101" s="164"/>
    </row>
    <row r="102" spans="1:14" ht="25.15" customHeight="1" x14ac:dyDescent="0.25">
      <c r="A102" s="120" t="s">
        <v>432</v>
      </c>
      <c r="B102" s="120" t="s">
        <v>691</v>
      </c>
      <c r="C102" s="159" t="s">
        <v>692</v>
      </c>
      <c r="D102" s="160" t="s">
        <v>693</v>
      </c>
      <c r="E102" s="162">
        <v>1712137</v>
      </c>
      <c r="F102" s="162">
        <f t="shared" ref="F102" si="27">SUM(F103:F105)</f>
        <v>1543755</v>
      </c>
      <c r="G102" s="161">
        <f t="shared" si="23"/>
        <v>-168382</v>
      </c>
      <c r="H102" s="186"/>
      <c r="I102" s="161">
        <f>SUM(I103:I105)</f>
        <v>1543755</v>
      </c>
      <c r="J102" s="161">
        <f t="shared" si="24"/>
        <v>0</v>
      </c>
      <c r="K102" s="187"/>
      <c r="L102" s="161">
        <f>SUM(L103:L105)</f>
        <v>1543755</v>
      </c>
      <c r="M102" s="161">
        <f t="shared" si="25"/>
        <v>0</v>
      </c>
      <c r="N102" s="187"/>
    </row>
    <row r="103" spans="1:14" ht="16.5" customHeight="1" x14ac:dyDescent="0.25">
      <c r="A103" s="208" t="s">
        <v>694</v>
      </c>
      <c r="C103" s="226" t="s">
        <v>695</v>
      </c>
      <c r="D103" s="227" t="s">
        <v>693</v>
      </c>
      <c r="E103" s="162">
        <v>135600</v>
      </c>
      <c r="F103" s="162">
        <f>ROUND(E103,0)</f>
        <v>135600</v>
      </c>
      <c r="G103" s="161">
        <f t="shared" si="23"/>
        <v>0</v>
      </c>
      <c r="H103" s="163"/>
      <c r="I103" s="161">
        <f>ROUND(F103,0)</f>
        <v>135600</v>
      </c>
      <c r="J103" s="161">
        <f t="shared" si="24"/>
        <v>0</v>
      </c>
      <c r="K103" s="164"/>
      <c r="L103" s="161">
        <f>ROUND(I103,0)</f>
        <v>135600</v>
      </c>
      <c r="M103" s="161">
        <f t="shared" si="25"/>
        <v>0</v>
      </c>
      <c r="N103" s="164"/>
    </row>
    <row r="104" spans="1:14" ht="16.5" customHeight="1" x14ac:dyDescent="0.25">
      <c r="B104" s="120" t="s">
        <v>696</v>
      </c>
      <c r="C104" s="226" t="s">
        <v>697</v>
      </c>
      <c r="D104" s="227" t="s">
        <v>698</v>
      </c>
      <c r="E104" s="162">
        <v>2500</v>
      </c>
      <c r="F104" s="162">
        <f>ROUND(E104,0)</f>
        <v>2500</v>
      </c>
      <c r="G104" s="161">
        <f t="shared" si="23"/>
        <v>0</v>
      </c>
      <c r="H104" s="163"/>
      <c r="I104" s="161">
        <f>ROUND(F104,0)</f>
        <v>2500</v>
      </c>
      <c r="J104" s="161">
        <f t="shared" si="24"/>
        <v>0</v>
      </c>
      <c r="K104" s="164"/>
      <c r="L104" s="161">
        <f>ROUND(I104,0)</f>
        <v>2500</v>
      </c>
      <c r="M104" s="161">
        <f t="shared" si="25"/>
        <v>0</v>
      </c>
      <c r="N104" s="164"/>
    </row>
    <row r="105" spans="1:14" ht="28.9" customHeight="1" x14ac:dyDescent="0.25">
      <c r="B105" s="120" t="s">
        <v>699</v>
      </c>
      <c r="C105" s="226" t="s">
        <v>700</v>
      </c>
      <c r="D105" s="227" t="s">
        <v>701</v>
      </c>
      <c r="E105" s="162">
        <v>1574037</v>
      </c>
      <c r="F105" s="162">
        <f>ROUND(E105,0)-168382</f>
        <v>1405655</v>
      </c>
      <c r="G105" s="161">
        <f t="shared" si="23"/>
        <v>-168382</v>
      </c>
      <c r="H105" s="214" t="s">
        <v>702</v>
      </c>
      <c r="I105" s="161">
        <f>ROUND(F105,0)</f>
        <v>1405655</v>
      </c>
      <c r="J105" s="161">
        <f t="shared" si="24"/>
        <v>0</v>
      </c>
      <c r="K105" s="164"/>
      <c r="L105" s="161">
        <f>ROUND(I105,0)</f>
        <v>1405655</v>
      </c>
      <c r="M105" s="161">
        <f t="shared" si="25"/>
        <v>0</v>
      </c>
      <c r="N105" s="187"/>
    </row>
    <row r="106" spans="1:14" ht="16.149999999999999" customHeight="1" thickBot="1" x14ac:dyDescent="0.3">
      <c r="A106" s="120" t="s">
        <v>432</v>
      </c>
      <c r="B106" s="177" t="s">
        <v>703</v>
      </c>
      <c r="C106" s="159" t="s">
        <v>704</v>
      </c>
      <c r="D106" s="160" t="s">
        <v>705</v>
      </c>
      <c r="E106" s="162">
        <v>112621</v>
      </c>
      <c r="F106" s="162">
        <f>ROUND(E106,0)-10621</f>
        <v>102000</v>
      </c>
      <c r="G106" s="161">
        <f t="shared" si="23"/>
        <v>-10621</v>
      </c>
      <c r="H106" s="187" t="s">
        <v>706</v>
      </c>
      <c r="I106" s="161">
        <f>ROUND(F106,0)</f>
        <v>102000</v>
      </c>
      <c r="J106" s="161">
        <f t="shared" si="24"/>
        <v>0</v>
      </c>
      <c r="K106" s="164"/>
      <c r="L106" s="161">
        <f>ROUND(I106,0)</f>
        <v>102000</v>
      </c>
      <c r="M106" s="161">
        <f t="shared" si="25"/>
        <v>0</v>
      </c>
      <c r="N106" s="164"/>
    </row>
    <row r="107" spans="1:14" ht="15" customHeight="1" thickBot="1" x14ac:dyDescent="0.3">
      <c r="C107" s="231"/>
      <c r="D107" s="232" t="s">
        <v>707</v>
      </c>
      <c r="E107" s="234">
        <v>50914202.609999999</v>
      </c>
      <c r="F107" s="234">
        <f t="shared" ref="F107" si="28">F7+F10+F13+F16+F19+F22+F34+F37+F41+F42+F88+F91</f>
        <v>51193467</v>
      </c>
      <c r="G107" s="233">
        <f t="shared" si="23"/>
        <v>279264.3900000006</v>
      </c>
      <c r="H107" s="235"/>
      <c r="I107" s="233">
        <f>I7+I10+I13+I16+I19+I22+I34+I37+I41+I42+I88+I91</f>
        <v>51761438</v>
      </c>
      <c r="J107" s="233">
        <f t="shared" si="24"/>
        <v>567971</v>
      </c>
      <c r="K107" s="236"/>
      <c r="L107" s="233">
        <f>L7+L10+L13+L16+L19+L22+L34+L37+L41+L42+L88+L91</f>
        <v>51844623</v>
      </c>
      <c r="M107" s="233">
        <f t="shared" si="25"/>
        <v>83185</v>
      </c>
      <c r="N107" s="236"/>
    </row>
    <row r="108" spans="1:14" ht="15.75" thickBot="1" x14ac:dyDescent="0.3">
      <c r="C108" s="237" t="s">
        <v>708</v>
      </c>
      <c r="D108" s="238" t="s">
        <v>709</v>
      </c>
      <c r="E108" s="240">
        <v>9016614.0299999993</v>
      </c>
      <c r="F108" s="240">
        <f>SUM(F109:F110)</f>
        <v>9755067</v>
      </c>
      <c r="G108" s="239">
        <f t="shared" si="23"/>
        <v>738452.97000000067</v>
      </c>
      <c r="H108" s="241"/>
      <c r="I108" s="239">
        <f>SUM(I109:I110)</f>
        <v>9755067</v>
      </c>
      <c r="J108" s="239">
        <f t="shared" si="24"/>
        <v>0</v>
      </c>
      <c r="K108" s="242"/>
      <c r="L108" s="239">
        <f>SUM(L109:L110)</f>
        <v>9755067</v>
      </c>
      <c r="M108" s="239">
        <f t="shared" si="25"/>
        <v>0</v>
      </c>
      <c r="N108" s="242"/>
    </row>
    <row r="109" spans="1:14" ht="14.45" customHeight="1" x14ac:dyDescent="0.25">
      <c r="C109" s="159" t="s">
        <v>710</v>
      </c>
      <c r="D109" s="160" t="s">
        <v>711</v>
      </c>
      <c r="E109" s="162">
        <v>2707710.83</v>
      </c>
      <c r="F109" s="162">
        <f>ROUND(E109,0)+104970+230-1+750-1034+19357+1832+41+1093+13000+168382+10621+3808+904+17685+76439+38150+31285</f>
        <v>3195223</v>
      </c>
      <c r="G109" s="161">
        <f t="shared" si="23"/>
        <v>487512.16999999993</v>
      </c>
      <c r="H109" s="186" t="s">
        <v>712</v>
      </c>
      <c r="I109" s="161">
        <f>ROUND(F109,0)</f>
        <v>3195223</v>
      </c>
      <c r="J109" s="161">
        <f t="shared" si="24"/>
        <v>0</v>
      </c>
      <c r="K109" s="187"/>
      <c r="L109" s="161">
        <f>ROUND(I109,0)</f>
        <v>3195223</v>
      </c>
      <c r="M109" s="161">
        <f t="shared" si="25"/>
        <v>0</v>
      </c>
      <c r="N109" s="187"/>
    </row>
    <row r="110" spans="1:14" x14ac:dyDescent="0.25">
      <c r="C110" s="159" t="s">
        <v>713</v>
      </c>
      <c r="D110" s="160" t="s">
        <v>714</v>
      </c>
      <c r="E110" s="162">
        <v>6308903</v>
      </c>
      <c r="F110" s="162">
        <f>ROUND(E110,0)+3445956+208-F109</f>
        <v>6559844</v>
      </c>
      <c r="G110" s="161">
        <f t="shared" si="23"/>
        <v>250941</v>
      </c>
      <c r="H110" s="163"/>
      <c r="I110" s="161">
        <f>ROUND(F110,0)</f>
        <v>6559844</v>
      </c>
      <c r="J110" s="161">
        <f t="shared" si="24"/>
        <v>0</v>
      </c>
      <c r="K110" s="164"/>
      <c r="L110" s="161">
        <f>ROUND(I110,0)</f>
        <v>6559844</v>
      </c>
      <c r="M110" s="161">
        <f t="shared" si="25"/>
        <v>0</v>
      </c>
      <c r="N110" s="164"/>
    </row>
    <row r="111" spans="1:14" x14ac:dyDescent="0.25">
      <c r="C111" s="188" t="s">
        <v>715</v>
      </c>
      <c r="D111" s="243" t="s">
        <v>716</v>
      </c>
      <c r="E111" s="245">
        <v>1873161</v>
      </c>
      <c r="F111" s="245">
        <f>SUM(F112:F123)</f>
        <v>1917782</v>
      </c>
      <c r="G111" s="168">
        <f t="shared" si="23"/>
        <v>44621</v>
      </c>
      <c r="H111" s="170"/>
      <c r="I111" s="244">
        <f>SUM(I112:I123)</f>
        <v>1941929</v>
      </c>
      <c r="J111" s="168">
        <f t="shared" si="24"/>
        <v>24147</v>
      </c>
      <c r="K111" s="171"/>
      <c r="L111" s="244">
        <f>SUM(L112:L123)</f>
        <v>1941929</v>
      </c>
      <c r="M111" s="168">
        <f t="shared" si="25"/>
        <v>0</v>
      </c>
      <c r="N111" s="171"/>
    </row>
    <row r="112" spans="1:14" ht="45" hidden="1" outlineLevel="1" x14ac:dyDescent="0.25">
      <c r="A112" s="208"/>
      <c r="B112" s="208"/>
      <c r="C112" s="226" t="s">
        <v>717</v>
      </c>
      <c r="D112" s="246" t="s">
        <v>643</v>
      </c>
      <c r="E112" s="162">
        <v>0</v>
      </c>
      <c r="F112" s="162">
        <f t="shared" ref="F112:F123" si="29">ROUND(E112,0)</f>
        <v>0</v>
      </c>
      <c r="G112" s="248">
        <f t="shared" si="23"/>
        <v>0</v>
      </c>
      <c r="H112" s="178"/>
      <c r="I112" s="161">
        <f t="shared" ref="I112:I123" si="30">ROUND(F112,0)</f>
        <v>0</v>
      </c>
      <c r="J112" s="248">
        <f t="shared" si="24"/>
        <v>0</v>
      </c>
      <c r="K112" s="179"/>
      <c r="L112" s="161">
        <f t="shared" ref="L112:L123" si="31">ROUND(I112,0)</f>
        <v>0</v>
      </c>
      <c r="M112" s="248">
        <f t="shared" si="25"/>
        <v>0</v>
      </c>
      <c r="N112" s="179"/>
    </row>
    <row r="113" spans="1:14" ht="30" hidden="1" outlineLevel="1" x14ac:dyDescent="0.25">
      <c r="A113" s="208"/>
      <c r="B113" s="208"/>
      <c r="C113" s="226" t="s">
        <v>718</v>
      </c>
      <c r="D113" s="246" t="s">
        <v>386</v>
      </c>
      <c r="E113" s="162">
        <v>0</v>
      </c>
      <c r="F113" s="162">
        <f t="shared" si="29"/>
        <v>0</v>
      </c>
      <c r="G113" s="248">
        <f t="shared" si="23"/>
        <v>0</v>
      </c>
      <c r="H113" s="178"/>
      <c r="I113" s="161">
        <f t="shared" si="30"/>
        <v>0</v>
      </c>
      <c r="J113" s="248">
        <f t="shared" si="24"/>
        <v>0</v>
      </c>
      <c r="K113" s="179"/>
      <c r="L113" s="161">
        <f t="shared" si="31"/>
        <v>0</v>
      </c>
      <c r="M113" s="248">
        <f t="shared" si="25"/>
        <v>0</v>
      </c>
      <c r="N113" s="179"/>
    </row>
    <row r="114" spans="1:14" ht="26.45" customHeight="1" collapsed="1" x14ac:dyDescent="0.25">
      <c r="A114" s="208" t="s">
        <v>719</v>
      </c>
      <c r="B114" s="208"/>
      <c r="C114" s="226" t="s">
        <v>717</v>
      </c>
      <c r="D114" s="246" t="s">
        <v>720</v>
      </c>
      <c r="E114" s="162">
        <v>541742</v>
      </c>
      <c r="F114" s="162">
        <f t="shared" si="29"/>
        <v>541742</v>
      </c>
      <c r="G114" s="248">
        <f t="shared" si="23"/>
        <v>0</v>
      </c>
      <c r="H114" s="178"/>
      <c r="I114" s="161">
        <f t="shared" si="30"/>
        <v>541742</v>
      </c>
      <c r="J114" s="248">
        <f t="shared" si="24"/>
        <v>0</v>
      </c>
      <c r="K114" s="179"/>
      <c r="L114" s="161">
        <f t="shared" si="31"/>
        <v>541742</v>
      </c>
      <c r="M114" s="248">
        <f t="shared" si="25"/>
        <v>0</v>
      </c>
      <c r="N114" s="179"/>
    </row>
    <row r="115" spans="1:14" ht="30" x14ac:dyDescent="0.25">
      <c r="A115" s="208" t="s">
        <v>601</v>
      </c>
      <c r="B115" s="208" t="s">
        <v>721</v>
      </c>
      <c r="C115" s="226" t="s">
        <v>718</v>
      </c>
      <c r="D115" s="250" t="s">
        <v>722</v>
      </c>
      <c r="E115" s="162">
        <v>353405</v>
      </c>
      <c r="F115" s="162">
        <f>ROUND(E115,0)-3420</f>
        <v>349985</v>
      </c>
      <c r="G115" s="248">
        <f t="shared" si="23"/>
        <v>-3420</v>
      </c>
      <c r="H115" s="179" t="s">
        <v>723</v>
      </c>
      <c r="I115" s="161">
        <f t="shared" si="30"/>
        <v>349985</v>
      </c>
      <c r="J115" s="248">
        <f t="shared" si="24"/>
        <v>0</v>
      </c>
      <c r="K115" s="176"/>
      <c r="L115" s="161">
        <f t="shared" si="31"/>
        <v>349985</v>
      </c>
      <c r="M115" s="248">
        <f t="shared" si="25"/>
        <v>0</v>
      </c>
      <c r="N115" s="176"/>
    </row>
    <row r="116" spans="1:14" ht="16.899999999999999" hidden="1" customHeight="1" outlineLevel="1" x14ac:dyDescent="0.25">
      <c r="A116" s="208"/>
      <c r="B116" s="208"/>
      <c r="C116" s="226" t="s">
        <v>724</v>
      </c>
      <c r="D116" s="250"/>
      <c r="E116" s="162">
        <v>0</v>
      </c>
      <c r="F116" s="162">
        <f t="shared" si="29"/>
        <v>0</v>
      </c>
      <c r="G116" s="248">
        <f t="shared" si="23"/>
        <v>0</v>
      </c>
      <c r="H116" s="175"/>
      <c r="I116" s="161">
        <f t="shared" si="30"/>
        <v>0</v>
      </c>
      <c r="J116" s="248">
        <f t="shared" si="24"/>
        <v>0</v>
      </c>
      <c r="K116" s="176"/>
      <c r="L116" s="161">
        <f t="shared" si="31"/>
        <v>0</v>
      </c>
      <c r="M116" s="248">
        <f t="shared" si="25"/>
        <v>0</v>
      </c>
      <c r="N116" s="176"/>
    </row>
    <row r="117" spans="1:14" hidden="1" outlineLevel="1" x14ac:dyDescent="0.25">
      <c r="B117" s="208"/>
      <c r="C117" s="226" t="s">
        <v>725</v>
      </c>
      <c r="D117" s="251" t="s">
        <v>362</v>
      </c>
      <c r="E117" s="249">
        <v>0</v>
      </c>
      <c r="F117" s="249">
        <f t="shared" si="29"/>
        <v>0</v>
      </c>
      <c r="G117" s="252">
        <f t="shared" si="23"/>
        <v>0</v>
      </c>
      <c r="H117" s="253"/>
      <c r="I117" s="247">
        <f>ROUND(F117,0)</f>
        <v>0</v>
      </c>
      <c r="J117" s="252">
        <f t="shared" si="24"/>
        <v>0</v>
      </c>
      <c r="K117" s="179"/>
      <c r="L117" s="247">
        <f t="shared" si="31"/>
        <v>0</v>
      </c>
      <c r="M117" s="252">
        <f t="shared" si="25"/>
        <v>0</v>
      </c>
      <c r="N117" s="179"/>
    </row>
    <row r="118" spans="1:14" ht="45" customHeight="1" collapsed="1" x14ac:dyDescent="0.25">
      <c r="A118" s="208" t="s">
        <v>726</v>
      </c>
      <c r="B118" s="208"/>
      <c r="C118" s="226" t="s">
        <v>727</v>
      </c>
      <c r="D118" s="254" t="s">
        <v>728</v>
      </c>
      <c r="E118" s="255">
        <v>30982</v>
      </c>
      <c r="F118" s="249">
        <f>ROUND(E118,0)+48041</f>
        <v>79023</v>
      </c>
      <c r="G118" s="252">
        <f t="shared" si="23"/>
        <v>48041</v>
      </c>
      <c r="H118" s="256" t="s">
        <v>729</v>
      </c>
      <c r="I118" s="247">
        <f t="shared" si="30"/>
        <v>79023</v>
      </c>
      <c r="J118" s="252">
        <f t="shared" si="24"/>
        <v>0</v>
      </c>
      <c r="K118" s="179"/>
      <c r="L118" s="247">
        <f t="shared" si="31"/>
        <v>79023</v>
      </c>
      <c r="M118" s="252">
        <f t="shared" si="25"/>
        <v>0</v>
      </c>
      <c r="N118" s="176"/>
    </row>
    <row r="119" spans="1:14" ht="58.9" customHeight="1" x14ac:dyDescent="0.25">
      <c r="A119" s="208" t="s">
        <v>726</v>
      </c>
      <c r="B119" s="208"/>
      <c r="C119" s="226" t="s">
        <v>730</v>
      </c>
      <c r="D119" s="257" t="s">
        <v>731</v>
      </c>
      <c r="E119" s="259">
        <v>783000</v>
      </c>
      <c r="F119" s="162">
        <f t="shared" si="29"/>
        <v>783000</v>
      </c>
      <c r="G119" s="252">
        <f t="shared" si="23"/>
        <v>0</v>
      </c>
      <c r="H119" s="175"/>
      <c r="I119" s="247">
        <f t="shared" si="30"/>
        <v>783000</v>
      </c>
      <c r="J119" s="252">
        <f t="shared" si="24"/>
        <v>0</v>
      </c>
      <c r="K119" s="179"/>
      <c r="L119" s="247">
        <f t="shared" si="31"/>
        <v>783000</v>
      </c>
      <c r="M119" s="252">
        <f t="shared" si="25"/>
        <v>0</v>
      </c>
      <c r="N119" s="176"/>
    </row>
    <row r="120" spans="1:14" ht="16.149999999999999" customHeight="1" x14ac:dyDescent="0.25">
      <c r="B120" s="208" t="s">
        <v>647</v>
      </c>
      <c r="C120" s="226" t="s">
        <v>724</v>
      </c>
      <c r="D120" s="257" t="s">
        <v>387</v>
      </c>
      <c r="E120" s="259">
        <v>164032</v>
      </c>
      <c r="F120" s="162">
        <f t="shared" si="29"/>
        <v>164032</v>
      </c>
      <c r="G120" s="161">
        <f t="shared" si="23"/>
        <v>0</v>
      </c>
      <c r="H120" s="260"/>
      <c r="I120" s="247">
        <f>ROUND(F120,0)+24147</f>
        <v>188179</v>
      </c>
      <c r="J120" s="261">
        <f t="shared" si="24"/>
        <v>24147</v>
      </c>
      <c r="K120" s="179" t="s">
        <v>649</v>
      </c>
      <c r="L120" s="262">
        <f t="shared" si="31"/>
        <v>188179</v>
      </c>
      <c r="M120" s="258">
        <f t="shared" si="25"/>
        <v>0</v>
      </c>
      <c r="N120" s="222"/>
    </row>
    <row r="121" spans="1:14" ht="18.600000000000001" hidden="1" customHeight="1" outlineLevel="1" x14ac:dyDescent="0.25">
      <c r="B121" s="208"/>
      <c r="C121" s="226" t="s">
        <v>732</v>
      </c>
      <c r="D121" s="263" t="s">
        <v>733</v>
      </c>
      <c r="E121" s="259">
        <v>0</v>
      </c>
      <c r="F121" s="264">
        <f t="shared" si="29"/>
        <v>0</v>
      </c>
      <c r="G121" s="265">
        <f t="shared" si="23"/>
        <v>0</v>
      </c>
      <c r="H121" s="253"/>
      <c r="I121" s="247">
        <f t="shared" si="30"/>
        <v>0</v>
      </c>
      <c r="J121" s="252">
        <f t="shared" si="24"/>
        <v>0</v>
      </c>
      <c r="K121" s="179"/>
      <c r="L121" s="247">
        <f t="shared" si="31"/>
        <v>0</v>
      </c>
      <c r="M121" s="252">
        <f t="shared" si="25"/>
        <v>0</v>
      </c>
      <c r="N121" s="266"/>
    </row>
    <row r="122" spans="1:14" ht="27.6" hidden="1" customHeight="1" outlineLevel="1" x14ac:dyDescent="0.25">
      <c r="B122" s="208"/>
      <c r="C122" s="267" t="s">
        <v>734</v>
      </c>
      <c r="D122" s="268" t="s">
        <v>735</v>
      </c>
      <c r="E122" s="259">
        <v>0</v>
      </c>
      <c r="F122" s="249">
        <f t="shared" si="29"/>
        <v>0</v>
      </c>
      <c r="G122" s="252">
        <f t="shared" si="23"/>
        <v>0</v>
      </c>
      <c r="H122" s="253"/>
      <c r="I122" s="247">
        <f t="shared" si="30"/>
        <v>0</v>
      </c>
      <c r="J122" s="252">
        <f t="shared" si="24"/>
        <v>0</v>
      </c>
      <c r="K122" s="179"/>
      <c r="L122" s="247"/>
      <c r="M122" s="252"/>
      <c r="N122" s="269"/>
    </row>
    <row r="123" spans="1:14" ht="28.9" hidden="1" customHeight="1" outlineLevel="1" thickBot="1" x14ac:dyDescent="0.3">
      <c r="B123" s="208"/>
      <c r="C123" s="226" t="s">
        <v>736</v>
      </c>
      <c r="D123" s="270" t="s">
        <v>737</v>
      </c>
      <c r="E123" s="249">
        <v>0</v>
      </c>
      <c r="F123" s="249">
        <f t="shared" si="29"/>
        <v>0</v>
      </c>
      <c r="G123" s="252">
        <f t="shared" si="23"/>
        <v>0</v>
      </c>
      <c r="H123" s="253"/>
      <c r="I123" s="247">
        <f t="shared" si="30"/>
        <v>0</v>
      </c>
      <c r="J123" s="252">
        <f t="shared" si="24"/>
        <v>0</v>
      </c>
      <c r="K123" s="179"/>
      <c r="L123" s="247">
        <f t="shared" si="31"/>
        <v>0</v>
      </c>
      <c r="M123" s="252">
        <f t="shared" si="25"/>
        <v>0</v>
      </c>
      <c r="N123" s="164"/>
    </row>
    <row r="124" spans="1:14" ht="15.75" collapsed="1" thickBot="1" x14ac:dyDescent="0.3">
      <c r="C124" s="271"/>
      <c r="D124" s="272" t="s">
        <v>738</v>
      </c>
      <c r="E124" s="240">
        <v>61803977.640000001</v>
      </c>
      <c r="F124" s="240">
        <f t="shared" ref="F124" si="32">F107+F108+F111</f>
        <v>62866316</v>
      </c>
      <c r="G124" s="239">
        <f t="shared" si="23"/>
        <v>1062338.3599999994</v>
      </c>
      <c r="H124" s="273"/>
      <c r="I124" s="239">
        <f>I107+I108+I111</f>
        <v>63458434</v>
      </c>
      <c r="J124" s="239">
        <f t="shared" si="24"/>
        <v>592118</v>
      </c>
      <c r="K124" s="274"/>
      <c r="L124" s="239">
        <f>L107+L108+L111</f>
        <v>63541619</v>
      </c>
      <c r="M124" s="239">
        <f t="shared" si="25"/>
        <v>83185</v>
      </c>
      <c r="N124" s="274"/>
    </row>
    <row r="126" spans="1:14" x14ac:dyDescent="0.25">
      <c r="G126" s="129"/>
      <c r="I126" s="129"/>
      <c r="J126" s="129"/>
      <c r="L126" s="129"/>
      <c r="M126" s="129"/>
    </row>
    <row r="127" spans="1:14" ht="20.25" x14ac:dyDescent="0.3">
      <c r="C127" s="375" t="s">
        <v>739</v>
      </c>
      <c r="D127" s="375"/>
      <c r="G127" s="129"/>
      <c r="I127" s="129"/>
      <c r="J127" s="129"/>
      <c r="L127" s="129"/>
      <c r="M127" s="129"/>
    </row>
    <row r="128" spans="1:14" ht="15.75" thickBot="1" x14ac:dyDescent="0.3">
      <c r="C128" s="376"/>
      <c r="D128" s="376"/>
      <c r="G128" s="276"/>
      <c r="I128" s="276"/>
      <c r="J128" s="276"/>
      <c r="L128" s="276"/>
      <c r="M128" s="276"/>
    </row>
    <row r="129" spans="2:14" ht="57" customHeight="1" thickBot="1" x14ac:dyDescent="0.3">
      <c r="C129" s="140" t="s">
        <v>416</v>
      </c>
      <c r="D129" s="141" t="s">
        <v>417</v>
      </c>
      <c r="E129" s="143" t="s">
        <v>419</v>
      </c>
      <c r="F129" s="143" t="s">
        <v>420</v>
      </c>
      <c r="G129" s="142" t="s">
        <v>740</v>
      </c>
      <c r="H129" s="144" t="s">
        <v>741</v>
      </c>
      <c r="I129" s="142" t="s">
        <v>423</v>
      </c>
      <c r="J129" s="142" t="s">
        <v>742</v>
      </c>
      <c r="K129" s="145" t="s">
        <v>741</v>
      </c>
      <c r="L129" s="142" t="s">
        <v>425</v>
      </c>
      <c r="M129" s="142" t="s">
        <v>426</v>
      </c>
      <c r="N129" s="145" t="s">
        <v>741</v>
      </c>
    </row>
    <row r="130" spans="2:14" x14ac:dyDescent="0.25">
      <c r="C130" s="277" t="s">
        <v>430</v>
      </c>
      <c r="D130" s="278" t="s">
        <v>743</v>
      </c>
      <c r="E130" s="280">
        <v>11584924</v>
      </c>
      <c r="F130" s="280">
        <f t="shared" ref="F130" si="33">SUM(F131:F139)</f>
        <v>11593156</v>
      </c>
      <c r="G130" s="279">
        <f t="shared" ref="G130:G193" si="34">F130-E130</f>
        <v>8232</v>
      </c>
      <c r="H130" s="281"/>
      <c r="I130" s="279">
        <f>SUM(I131:I139)</f>
        <v>11675168</v>
      </c>
      <c r="J130" s="279">
        <f t="shared" ref="J130:J200" si="35">I130-F130</f>
        <v>82012</v>
      </c>
      <c r="K130" s="282"/>
      <c r="L130" s="279">
        <f>SUM(L131:L139)</f>
        <v>11718990</v>
      </c>
      <c r="M130" s="279">
        <f t="shared" ref="M130:M200" si="36">L130-I130</f>
        <v>43822</v>
      </c>
      <c r="N130" s="282"/>
    </row>
    <row r="131" spans="2:14" ht="31.5" customHeight="1" x14ac:dyDescent="0.25">
      <c r="B131" s="208" t="s">
        <v>744</v>
      </c>
      <c r="C131" s="283" t="s">
        <v>434</v>
      </c>
      <c r="D131" s="284" t="s">
        <v>745</v>
      </c>
      <c r="E131" s="215">
        <v>1983487</v>
      </c>
      <c r="F131" s="215">
        <f>ROUND(E131,0)</f>
        <v>1983487</v>
      </c>
      <c r="G131" s="191">
        <f t="shared" si="34"/>
        <v>0</v>
      </c>
      <c r="H131" s="216"/>
      <c r="I131" s="191">
        <f>ROUND(F131,0)</f>
        <v>1983487</v>
      </c>
      <c r="J131" s="191">
        <f t="shared" si="35"/>
        <v>0</v>
      </c>
      <c r="K131" s="217"/>
      <c r="L131" s="191">
        <f t="shared" ref="L131:L142" si="37">ROUND(I131,0)</f>
        <v>1983487</v>
      </c>
      <c r="M131" s="191">
        <f t="shared" si="36"/>
        <v>0</v>
      </c>
      <c r="N131" s="217"/>
    </row>
    <row r="132" spans="2:14" x14ac:dyDescent="0.25">
      <c r="B132" s="208" t="s">
        <v>746</v>
      </c>
      <c r="C132" s="283" t="s">
        <v>747</v>
      </c>
      <c r="D132" s="284" t="s">
        <v>748</v>
      </c>
      <c r="E132" s="215">
        <v>376850</v>
      </c>
      <c r="F132" s="215">
        <f t="shared" ref="F132:F141" si="38">ROUND(E132,0)</f>
        <v>376850</v>
      </c>
      <c r="G132" s="191">
        <f t="shared" si="34"/>
        <v>0</v>
      </c>
      <c r="H132" s="285"/>
      <c r="I132" s="191">
        <f t="shared" ref="I132:I137" si="39">ROUND(F132,0)</f>
        <v>376850</v>
      </c>
      <c r="J132" s="191">
        <f t="shared" si="35"/>
        <v>0</v>
      </c>
      <c r="K132" s="286"/>
      <c r="L132" s="191">
        <f t="shared" si="37"/>
        <v>376850</v>
      </c>
      <c r="M132" s="191">
        <f t="shared" si="36"/>
        <v>0</v>
      </c>
      <c r="N132" s="286"/>
    </row>
    <row r="133" spans="2:14" ht="13.15" customHeight="1" x14ac:dyDescent="0.25">
      <c r="B133" s="208" t="s">
        <v>749</v>
      </c>
      <c r="C133" s="283" t="s">
        <v>750</v>
      </c>
      <c r="D133" s="284" t="s">
        <v>751</v>
      </c>
      <c r="E133" s="215">
        <v>62512</v>
      </c>
      <c r="F133" s="215">
        <f>ROUND(E133,0)</f>
        <v>62512</v>
      </c>
      <c r="G133" s="191">
        <f t="shared" si="34"/>
        <v>0</v>
      </c>
      <c r="H133" s="216"/>
      <c r="I133" s="191">
        <f t="shared" si="39"/>
        <v>62512</v>
      </c>
      <c r="J133" s="191">
        <f t="shared" si="35"/>
        <v>0</v>
      </c>
      <c r="K133" s="217"/>
      <c r="L133" s="191">
        <f t="shared" si="37"/>
        <v>62512</v>
      </c>
      <c r="M133" s="191">
        <f t="shared" si="36"/>
        <v>0</v>
      </c>
      <c r="N133" s="217"/>
    </row>
    <row r="134" spans="2:14" ht="14.45" customHeight="1" x14ac:dyDescent="0.25">
      <c r="B134" s="208" t="s">
        <v>752</v>
      </c>
      <c r="C134" s="283" t="s">
        <v>753</v>
      </c>
      <c r="D134" s="284" t="s">
        <v>754</v>
      </c>
      <c r="E134" s="215">
        <v>45277</v>
      </c>
      <c r="F134" s="215">
        <f t="shared" si="38"/>
        <v>45277</v>
      </c>
      <c r="G134" s="191">
        <f t="shared" si="34"/>
        <v>0</v>
      </c>
      <c r="H134" s="216"/>
      <c r="I134" s="191">
        <f t="shared" si="39"/>
        <v>45277</v>
      </c>
      <c r="J134" s="191">
        <f t="shared" si="35"/>
        <v>0</v>
      </c>
      <c r="K134" s="217"/>
      <c r="L134" s="191">
        <f t="shared" si="37"/>
        <v>45277</v>
      </c>
      <c r="M134" s="191">
        <f t="shared" si="36"/>
        <v>0</v>
      </c>
      <c r="N134" s="217"/>
    </row>
    <row r="135" spans="2:14" ht="15.6" customHeight="1" x14ac:dyDescent="0.25">
      <c r="B135" s="208" t="s">
        <v>755</v>
      </c>
      <c r="C135" s="283" t="s">
        <v>756</v>
      </c>
      <c r="D135" s="284" t="s">
        <v>757</v>
      </c>
      <c r="E135" s="215">
        <v>8040</v>
      </c>
      <c r="F135" s="215">
        <f>ROUND(E135,0)+8232</f>
        <v>16272</v>
      </c>
      <c r="G135" s="191">
        <f t="shared" si="34"/>
        <v>8232</v>
      </c>
      <c r="H135" s="214" t="s">
        <v>597</v>
      </c>
      <c r="I135" s="191">
        <f t="shared" si="39"/>
        <v>16272</v>
      </c>
      <c r="J135" s="191">
        <f t="shared" si="35"/>
        <v>0</v>
      </c>
      <c r="K135" s="286"/>
      <c r="L135" s="191">
        <f>ROUND(I135,0)+50781</f>
        <v>67053</v>
      </c>
      <c r="M135" s="191">
        <f t="shared" si="36"/>
        <v>50781</v>
      </c>
      <c r="N135" s="286" t="s">
        <v>598</v>
      </c>
    </row>
    <row r="136" spans="2:14" ht="14.45" customHeight="1" x14ac:dyDescent="0.25">
      <c r="B136" s="208" t="s">
        <v>758</v>
      </c>
      <c r="C136" s="283" t="s">
        <v>759</v>
      </c>
      <c r="D136" s="284" t="s">
        <v>760</v>
      </c>
      <c r="E136" s="215">
        <v>53045</v>
      </c>
      <c r="F136" s="215">
        <f t="shared" si="38"/>
        <v>53045</v>
      </c>
      <c r="G136" s="191">
        <f t="shared" si="34"/>
        <v>0</v>
      </c>
      <c r="H136" s="285"/>
      <c r="I136" s="191">
        <f>ROUND(F136,0)</f>
        <v>53045</v>
      </c>
      <c r="J136" s="191">
        <f t="shared" si="35"/>
        <v>0</v>
      </c>
      <c r="K136" s="286"/>
      <c r="L136" s="191">
        <f t="shared" si="37"/>
        <v>53045</v>
      </c>
      <c r="M136" s="191">
        <f t="shared" si="36"/>
        <v>0</v>
      </c>
      <c r="N136" s="286"/>
    </row>
    <row r="137" spans="2:14" ht="15.6" customHeight="1" x14ac:dyDescent="0.25">
      <c r="B137" s="208" t="s">
        <v>744</v>
      </c>
      <c r="C137" s="283" t="s">
        <v>761</v>
      </c>
      <c r="D137" s="284" t="s">
        <v>762</v>
      </c>
      <c r="E137" s="215">
        <v>2229302</v>
      </c>
      <c r="F137" s="215">
        <f t="shared" si="38"/>
        <v>2229302</v>
      </c>
      <c r="G137" s="191">
        <f t="shared" si="34"/>
        <v>0</v>
      </c>
      <c r="H137" s="216"/>
      <c r="I137" s="191">
        <f t="shared" si="39"/>
        <v>2229302</v>
      </c>
      <c r="J137" s="191">
        <f t="shared" si="35"/>
        <v>0</v>
      </c>
      <c r="K137" s="217"/>
      <c r="L137" s="191">
        <f t="shared" si="37"/>
        <v>2229302</v>
      </c>
      <c r="M137" s="191">
        <f t="shared" si="36"/>
        <v>0</v>
      </c>
      <c r="N137" s="217"/>
    </row>
    <row r="138" spans="2:14" ht="13.9" customHeight="1" x14ac:dyDescent="0.25">
      <c r="B138" s="208" t="s">
        <v>744</v>
      </c>
      <c r="C138" s="283" t="s">
        <v>763</v>
      </c>
      <c r="D138" s="284" t="s">
        <v>764</v>
      </c>
      <c r="E138" s="215">
        <v>6416104</v>
      </c>
      <c r="F138" s="215">
        <f t="shared" si="38"/>
        <v>6416104</v>
      </c>
      <c r="G138" s="191">
        <f t="shared" si="34"/>
        <v>0</v>
      </c>
      <c r="H138" s="285"/>
      <c r="I138" s="191">
        <f>ROUND(F138,0)+61071+20941</f>
        <v>6498116</v>
      </c>
      <c r="J138" s="191">
        <f t="shared" si="35"/>
        <v>82012</v>
      </c>
      <c r="K138" s="217" t="s">
        <v>765</v>
      </c>
      <c r="L138" s="191">
        <f t="shared" si="37"/>
        <v>6498116</v>
      </c>
      <c r="M138" s="191">
        <f t="shared" si="36"/>
        <v>0</v>
      </c>
      <c r="N138" s="286"/>
    </row>
    <row r="139" spans="2:14" ht="42.6" customHeight="1" x14ac:dyDescent="0.25">
      <c r="B139" s="208" t="s">
        <v>766</v>
      </c>
      <c r="C139" s="283" t="s">
        <v>767</v>
      </c>
      <c r="D139" s="284" t="s">
        <v>768</v>
      </c>
      <c r="E139" s="215">
        <v>410307</v>
      </c>
      <c r="F139" s="215">
        <f>ROUND(E139,0)</f>
        <v>410307</v>
      </c>
      <c r="G139" s="191">
        <f t="shared" si="34"/>
        <v>0</v>
      </c>
      <c r="H139" s="216"/>
      <c r="I139" s="191">
        <f>ROUND(F139,0)</f>
        <v>410307</v>
      </c>
      <c r="J139" s="191">
        <f t="shared" si="35"/>
        <v>0</v>
      </c>
      <c r="K139" s="217"/>
      <c r="L139" s="191">
        <f>ROUND(I139,0)-6959</f>
        <v>403348</v>
      </c>
      <c r="M139" s="191">
        <f t="shared" si="36"/>
        <v>-6959</v>
      </c>
      <c r="N139" s="217" t="s">
        <v>769</v>
      </c>
    </row>
    <row r="140" spans="2:14" x14ac:dyDescent="0.25">
      <c r="C140" s="287" t="s">
        <v>440</v>
      </c>
      <c r="D140" s="288" t="s">
        <v>770</v>
      </c>
      <c r="E140" s="169">
        <v>0</v>
      </c>
      <c r="F140" s="169">
        <f t="shared" si="38"/>
        <v>0</v>
      </c>
      <c r="G140" s="168">
        <f t="shared" si="34"/>
        <v>0</v>
      </c>
      <c r="H140" s="170"/>
      <c r="I140" s="168">
        <f>ROUND(F140,0)</f>
        <v>0</v>
      </c>
      <c r="J140" s="168">
        <f t="shared" si="35"/>
        <v>0</v>
      </c>
      <c r="K140" s="171"/>
      <c r="L140" s="168">
        <f t="shared" si="37"/>
        <v>0</v>
      </c>
      <c r="M140" s="168">
        <f t="shared" si="36"/>
        <v>0</v>
      </c>
      <c r="N140" s="171"/>
    </row>
    <row r="141" spans="2:14" ht="13.9" customHeight="1" x14ac:dyDescent="0.25">
      <c r="B141" s="208" t="s">
        <v>771</v>
      </c>
      <c r="C141" s="283" t="s">
        <v>443</v>
      </c>
      <c r="D141" s="284" t="s">
        <v>772</v>
      </c>
      <c r="E141" s="215">
        <v>0</v>
      </c>
      <c r="F141" s="215">
        <f t="shared" si="38"/>
        <v>0</v>
      </c>
      <c r="G141" s="191">
        <f t="shared" si="34"/>
        <v>0</v>
      </c>
      <c r="H141" s="285"/>
      <c r="I141" s="191">
        <f>ROUND(F141,0)</f>
        <v>0</v>
      </c>
      <c r="J141" s="191">
        <f t="shared" si="35"/>
        <v>0</v>
      </c>
      <c r="K141" s="286"/>
      <c r="L141" s="191">
        <f t="shared" si="37"/>
        <v>0</v>
      </c>
      <c r="M141" s="191">
        <f t="shared" si="36"/>
        <v>0</v>
      </c>
      <c r="N141" s="286"/>
    </row>
    <row r="142" spans="2:14" ht="29.45" customHeight="1" collapsed="1" x14ac:dyDescent="0.25">
      <c r="B142" s="208" t="s">
        <v>773</v>
      </c>
      <c r="C142" s="287" t="s">
        <v>448</v>
      </c>
      <c r="D142" s="288" t="s">
        <v>774</v>
      </c>
      <c r="E142" s="169">
        <v>1032367.7769225</v>
      </c>
      <c r="F142" s="169">
        <f>ROUND(E142,0)+645</f>
        <v>1033013</v>
      </c>
      <c r="G142" s="168">
        <f t="shared" si="34"/>
        <v>645.22307750000618</v>
      </c>
      <c r="H142" s="183" t="s">
        <v>775</v>
      </c>
      <c r="I142" s="168">
        <f>ROUND(F142,0)+13315</f>
        <v>1046328</v>
      </c>
      <c r="J142" s="168">
        <f t="shared" si="35"/>
        <v>13315</v>
      </c>
      <c r="K142" s="184" t="s">
        <v>776</v>
      </c>
      <c r="L142" s="168">
        <f t="shared" si="37"/>
        <v>1046328</v>
      </c>
      <c r="M142" s="168">
        <f t="shared" si="36"/>
        <v>0</v>
      </c>
      <c r="N142" s="184"/>
    </row>
    <row r="143" spans="2:14" s="289" customFormat="1" ht="16.899999999999999" customHeight="1" x14ac:dyDescent="0.25">
      <c r="C143" s="287" t="s">
        <v>456</v>
      </c>
      <c r="D143" s="288" t="s">
        <v>777</v>
      </c>
      <c r="E143" s="169">
        <v>521949.07229136</v>
      </c>
      <c r="F143" s="169">
        <f t="shared" ref="F143" si="40">F144+F147</f>
        <v>583582</v>
      </c>
      <c r="G143" s="168">
        <f t="shared" si="34"/>
        <v>61632.927708639996</v>
      </c>
      <c r="H143" s="183"/>
      <c r="I143" s="168">
        <f>I144+I147</f>
        <v>587548</v>
      </c>
      <c r="J143" s="168">
        <f t="shared" si="35"/>
        <v>3966</v>
      </c>
      <c r="K143" s="184"/>
      <c r="L143" s="168">
        <f>L144+L147</f>
        <v>587548</v>
      </c>
      <c r="M143" s="168">
        <f t="shared" si="36"/>
        <v>0</v>
      </c>
      <c r="N143" s="184"/>
    </row>
    <row r="144" spans="2:14" x14ac:dyDescent="0.25">
      <c r="B144" s="208" t="s">
        <v>778</v>
      </c>
      <c r="C144" s="283" t="s">
        <v>459</v>
      </c>
      <c r="D144" s="284" t="s">
        <v>779</v>
      </c>
      <c r="E144" s="215">
        <v>179686.07229136</v>
      </c>
      <c r="F144" s="215">
        <f>SUM(F145:F146)</f>
        <v>179686</v>
      </c>
      <c r="G144" s="191">
        <f t="shared" ref="G144" si="41">SUM(G145:G146)</f>
        <v>-7.2291360003873706E-2</v>
      </c>
      <c r="H144" s="218"/>
      <c r="I144" s="191">
        <f>SUM(I145:I146)</f>
        <v>179686</v>
      </c>
      <c r="J144" s="191">
        <f t="shared" si="35"/>
        <v>0</v>
      </c>
      <c r="K144" s="191"/>
      <c r="L144" s="191">
        <f>SUM(L145:L146)</f>
        <v>179686</v>
      </c>
      <c r="M144" s="191">
        <f t="shared" si="36"/>
        <v>0</v>
      </c>
      <c r="N144" s="191"/>
    </row>
    <row r="145" spans="2:14" ht="30" x14ac:dyDescent="0.25">
      <c r="B145" s="208" t="s">
        <v>778</v>
      </c>
      <c r="C145" s="290" t="s">
        <v>780</v>
      </c>
      <c r="D145" s="291" t="s">
        <v>781</v>
      </c>
      <c r="E145" s="162">
        <v>150459.07229136</v>
      </c>
      <c r="F145" s="162">
        <f>ROUND(E145,0)</f>
        <v>150459</v>
      </c>
      <c r="G145" s="161">
        <f t="shared" si="34"/>
        <v>-7.2291360003873706E-2</v>
      </c>
      <c r="H145" s="163"/>
      <c r="I145" s="161">
        <f>ROUND(F145,0)-3283-544</f>
        <v>146632</v>
      </c>
      <c r="J145" s="161">
        <f t="shared" si="35"/>
        <v>-3827</v>
      </c>
      <c r="K145" s="377" t="s">
        <v>782</v>
      </c>
      <c r="L145" s="161">
        <f>ROUND(I145,0)-660</f>
        <v>145972</v>
      </c>
      <c r="M145" s="161">
        <f t="shared" si="36"/>
        <v>-660</v>
      </c>
      <c r="N145" s="187" t="s">
        <v>783</v>
      </c>
    </row>
    <row r="146" spans="2:14" ht="15.6" customHeight="1" x14ac:dyDescent="0.25">
      <c r="B146" s="208"/>
      <c r="C146" s="290" t="s">
        <v>784</v>
      </c>
      <c r="D146" s="291" t="s">
        <v>785</v>
      </c>
      <c r="E146" s="162">
        <v>29227</v>
      </c>
      <c r="F146" s="162">
        <f>ROUND(E146,0)</f>
        <v>29227</v>
      </c>
      <c r="G146" s="161">
        <f t="shared" si="34"/>
        <v>0</v>
      </c>
      <c r="H146" s="163"/>
      <c r="I146" s="161">
        <f>ROUND(F146,0)+3283+544</f>
        <v>33054</v>
      </c>
      <c r="J146" s="161">
        <f t="shared" si="35"/>
        <v>3827</v>
      </c>
      <c r="K146" s="378"/>
      <c r="L146" s="161">
        <f>ROUND(I146,0)+660</f>
        <v>33714</v>
      </c>
      <c r="M146" s="161">
        <f t="shared" si="36"/>
        <v>660</v>
      </c>
      <c r="N146" s="164"/>
    </row>
    <row r="147" spans="2:14" ht="30" x14ac:dyDescent="0.25">
      <c r="B147" s="208" t="s">
        <v>786</v>
      </c>
      <c r="C147" s="283" t="s">
        <v>461</v>
      </c>
      <c r="D147" s="284" t="s">
        <v>787</v>
      </c>
      <c r="E147" s="215">
        <v>342263</v>
      </c>
      <c r="F147" s="215">
        <f>ROUND(E147,0)+1093+59292+1248</f>
        <v>403896</v>
      </c>
      <c r="G147" s="191">
        <f t="shared" si="34"/>
        <v>61633</v>
      </c>
      <c r="H147" s="217" t="s">
        <v>788</v>
      </c>
      <c r="I147" s="191">
        <f>ROUND(F147,0)+3966</f>
        <v>407862</v>
      </c>
      <c r="J147" s="191">
        <f t="shared" si="35"/>
        <v>3966</v>
      </c>
      <c r="K147" s="191" t="s">
        <v>584</v>
      </c>
      <c r="L147" s="191">
        <f>ROUND(I147,0)</f>
        <v>407862</v>
      </c>
      <c r="M147" s="191">
        <f t="shared" si="36"/>
        <v>0</v>
      </c>
      <c r="N147" s="191"/>
    </row>
    <row r="148" spans="2:14" x14ac:dyDescent="0.25">
      <c r="C148" s="287" t="s">
        <v>462</v>
      </c>
      <c r="D148" s="288" t="s">
        <v>789</v>
      </c>
      <c r="E148" s="169">
        <v>70000</v>
      </c>
      <c r="F148" s="169">
        <f t="shared" ref="F148" si="42">F149</f>
        <v>174970</v>
      </c>
      <c r="G148" s="168">
        <f t="shared" si="34"/>
        <v>104970</v>
      </c>
      <c r="H148" s="170"/>
      <c r="I148" s="168">
        <f>I149</f>
        <v>174970</v>
      </c>
      <c r="J148" s="168">
        <f t="shared" si="35"/>
        <v>0</v>
      </c>
      <c r="K148" s="171"/>
      <c r="L148" s="168">
        <f>L149</f>
        <v>174970</v>
      </c>
      <c r="M148" s="168">
        <f t="shared" si="36"/>
        <v>0</v>
      </c>
      <c r="N148" s="171"/>
    </row>
    <row r="149" spans="2:14" ht="16.149999999999999" customHeight="1" x14ac:dyDescent="0.25">
      <c r="B149" s="208" t="s">
        <v>790</v>
      </c>
      <c r="C149" s="283" t="s">
        <v>465</v>
      </c>
      <c r="D149" s="284" t="s">
        <v>791</v>
      </c>
      <c r="E149" s="215">
        <v>70000</v>
      </c>
      <c r="F149" s="215">
        <f>ROUND(E149,0)+104970</f>
        <v>174970</v>
      </c>
      <c r="G149" s="191">
        <f t="shared" si="34"/>
        <v>104970</v>
      </c>
      <c r="H149" s="217" t="s">
        <v>413</v>
      </c>
      <c r="I149" s="191">
        <f>ROUND(F149,0)</f>
        <v>174970</v>
      </c>
      <c r="J149" s="191">
        <f t="shared" si="35"/>
        <v>0</v>
      </c>
      <c r="K149" s="217"/>
      <c r="L149" s="191">
        <f>ROUND(I149,0)</f>
        <v>174970</v>
      </c>
      <c r="M149" s="191">
        <f t="shared" si="36"/>
        <v>0</v>
      </c>
      <c r="N149" s="217"/>
    </row>
    <row r="150" spans="2:14" ht="29.25" x14ac:dyDescent="0.25">
      <c r="C150" s="287" t="s">
        <v>470</v>
      </c>
      <c r="D150" s="288" t="s">
        <v>792</v>
      </c>
      <c r="E150" s="169">
        <v>14182678.841957785</v>
      </c>
      <c r="F150" s="169">
        <f t="shared" ref="F150" si="43">F151+F152+F153+F154+F172</f>
        <v>14286414</v>
      </c>
      <c r="G150" s="168">
        <f>G152+G153+G154+G172</f>
        <v>103735.15804221481</v>
      </c>
      <c r="H150" s="172"/>
      <c r="I150" s="168">
        <f>I151+I152+I153+I154+I172</f>
        <v>14591725</v>
      </c>
      <c r="J150" s="168">
        <f t="shared" si="35"/>
        <v>305311</v>
      </c>
      <c r="K150" s="168"/>
      <c r="L150" s="168">
        <f>L151+L152+L153+L154+L172</f>
        <v>14654800</v>
      </c>
      <c r="M150" s="168">
        <f t="shared" si="36"/>
        <v>63075</v>
      </c>
      <c r="N150" s="168"/>
    </row>
    <row r="151" spans="2:14" ht="15.6" customHeight="1" x14ac:dyDescent="0.25">
      <c r="B151" s="208" t="s">
        <v>771</v>
      </c>
      <c r="C151" s="283" t="s">
        <v>473</v>
      </c>
      <c r="D151" s="292" t="s">
        <v>772</v>
      </c>
      <c r="E151" s="294">
        <v>70000</v>
      </c>
      <c r="F151" s="215">
        <f>ROUND(E151,0)</f>
        <v>70000</v>
      </c>
      <c r="G151" s="191">
        <f>F151-E151</f>
        <v>0</v>
      </c>
      <c r="H151" s="285"/>
      <c r="I151" s="191">
        <f>ROUND(F151,0)</f>
        <v>70000</v>
      </c>
      <c r="J151" s="191">
        <f t="shared" si="35"/>
        <v>0</v>
      </c>
      <c r="K151" s="286"/>
      <c r="L151" s="191">
        <f>ROUND(I151,0)</f>
        <v>70000</v>
      </c>
      <c r="M151" s="191">
        <f t="shared" si="36"/>
        <v>0</v>
      </c>
      <c r="N151" s="286"/>
    </row>
    <row r="152" spans="2:14" ht="28.15" customHeight="1" x14ac:dyDescent="0.25">
      <c r="B152" s="208" t="s">
        <v>793</v>
      </c>
      <c r="C152" s="283" t="s">
        <v>485</v>
      </c>
      <c r="D152" s="292" t="s">
        <v>794</v>
      </c>
      <c r="E152" s="294">
        <v>330452</v>
      </c>
      <c r="F152" s="294">
        <f>ROUND(E152,0)</f>
        <v>330452</v>
      </c>
      <c r="G152" s="293">
        <f t="shared" si="34"/>
        <v>0</v>
      </c>
      <c r="H152" s="216"/>
      <c r="I152" s="293">
        <f>ROUND(F152,0)</f>
        <v>330452</v>
      </c>
      <c r="J152" s="293">
        <f t="shared" si="35"/>
        <v>0</v>
      </c>
      <c r="K152" s="295"/>
      <c r="L152" s="293">
        <f>ROUND(I152,0)</f>
        <v>330452</v>
      </c>
      <c r="M152" s="293">
        <f t="shared" si="36"/>
        <v>0</v>
      </c>
      <c r="N152" s="295"/>
    </row>
    <row r="153" spans="2:14" ht="16.149999999999999" customHeight="1" x14ac:dyDescent="0.25">
      <c r="B153" s="208" t="s">
        <v>795</v>
      </c>
      <c r="C153" s="283" t="s">
        <v>796</v>
      </c>
      <c r="D153" s="292" t="s">
        <v>797</v>
      </c>
      <c r="E153" s="294">
        <v>393055</v>
      </c>
      <c r="F153" s="294">
        <f>ROUND(E153,0)</f>
        <v>393055</v>
      </c>
      <c r="G153" s="293">
        <f t="shared" si="34"/>
        <v>0</v>
      </c>
      <c r="H153" s="216"/>
      <c r="I153" s="293">
        <f>ROUND(F153,0)</f>
        <v>393055</v>
      </c>
      <c r="J153" s="293">
        <f t="shared" si="35"/>
        <v>0</v>
      </c>
      <c r="K153" s="217"/>
      <c r="L153" s="293">
        <f>ROUND(I153,0)</f>
        <v>393055</v>
      </c>
      <c r="M153" s="293">
        <f t="shared" si="36"/>
        <v>0</v>
      </c>
      <c r="N153" s="217"/>
    </row>
    <row r="154" spans="2:14" x14ac:dyDescent="0.25">
      <c r="C154" s="283" t="s">
        <v>798</v>
      </c>
      <c r="D154" s="292" t="s">
        <v>799</v>
      </c>
      <c r="E154" s="294">
        <v>1839370</v>
      </c>
      <c r="F154" s="294">
        <f t="shared" ref="F154:G154" si="44">SUM(F155:F171)</f>
        <v>1839370</v>
      </c>
      <c r="G154" s="293">
        <f t="shared" si="44"/>
        <v>0</v>
      </c>
      <c r="H154" s="296"/>
      <c r="I154" s="293">
        <f>SUM(I155:I171)</f>
        <v>1841370</v>
      </c>
      <c r="J154" s="293">
        <f t="shared" si="35"/>
        <v>2000</v>
      </c>
      <c r="K154" s="293"/>
      <c r="L154" s="293">
        <f>SUM(L155:L171)</f>
        <v>1834021</v>
      </c>
      <c r="M154" s="293">
        <f t="shared" si="36"/>
        <v>-7349</v>
      </c>
      <c r="N154" s="293"/>
    </row>
    <row r="155" spans="2:14" ht="57.6" customHeight="1" x14ac:dyDescent="0.25">
      <c r="B155" s="208" t="s">
        <v>593</v>
      </c>
      <c r="C155" s="290" t="s">
        <v>800</v>
      </c>
      <c r="D155" s="257" t="s">
        <v>801</v>
      </c>
      <c r="E155" s="162">
        <v>696938</v>
      </c>
      <c r="F155" s="162">
        <f>ROUND(E155,0)</f>
        <v>696938</v>
      </c>
      <c r="G155" s="161">
        <f t="shared" si="34"/>
        <v>0</v>
      </c>
      <c r="H155" s="297"/>
      <c r="I155" s="161">
        <f>ROUND(F155,0)+2000</f>
        <v>698938</v>
      </c>
      <c r="J155" s="161">
        <f t="shared" si="35"/>
        <v>2000</v>
      </c>
      <c r="K155" s="298" t="s">
        <v>802</v>
      </c>
      <c r="L155" s="161">
        <f>ROUND(I155,0)-7349+5000+26640</f>
        <v>723229</v>
      </c>
      <c r="M155" s="161">
        <f t="shared" si="36"/>
        <v>24291</v>
      </c>
      <c r="N155" s="298" t="s">
        <v>803</v>
      </c>
    </row>
    <row r="156" spans="2:14" ht="18.600000000000001" customHeight="1" x14ac:dyDescent="0.25">
      <c r="B156" s="208" t="s">
        <v>804</v>
      </c>
      <c r="C156" s="290" t="s">
        <v>805</v>
      </c>
      <c r="D156" s="257" t="s">
        <v>806</v>
      </c>
      <c r="E156" s="162">
        <v>40000</v>
      </c>
      <c r="F156" s="162">
        <f t="shared" ref="F156:F171" si="45">ROUND(E156,0)</f>
        <v>40000</v>
      </c>
      <c r="G156" s="161">
        <f t="shared" si="34"/>
        <v>0</v>
      </c>
      <c r="H156" s="297"/>
      <c r="I156" s="161">
        <f t="shared" ref="I156:I168" si="46">ROUND(F156,0)</f>
        <v>40000</v>
      </c>
      <c r="J156" s="161">
        <f t="shared" si="35"/>
        <v>0</v>
      </c>
      <c r="K156" s="298"/>
      <c r="L156" s="161">
        <f>ROUND(I156,0)</f>
        <v>40000</v>
      </c>
      <c r="M156" s="161">
        <f t="shared" si="36"/>
        <v>0</v>
      </c>
      <c r="N156" s="298"/>
    </row>
    <row r="157" spans="2:14" ht="16.5" customHeight="1" x14ac:dyDescent="0.25">
      <c r="B157" s="208" t="s">
        <v>804</v>
      </c>
      <c r="C157" s="290" t="s">
        <v>807</v>
      </c>
      <c r="D157" s="257" t="s">
        <v>808</v>
      </c>
      <c r="E157" s="162">
        <v>15094</v>
      </c>
      <c r="F157" s="162">
        <f t="shared" si="45"/>
        <v>15094</v>
      </c>
      <c r="G157" s="161">
        <f t="shared" si="34"/>
        <v>0</v>
      </c>
      <c r="H157" s="297"/>
      <c r="I157" s="161">
        <f t="shared" si="46"/>
        <v>15094</v>
      </c>
      <c r="J157" s="161">
        <f t="shared" si="35"/>
        <v>0</v>
      </c>
      <c r="K157" s="298"/>
      <c r="L157" s="161">
        <f>ROUND(I157,0)</f>
        <v>15094</v>
      </c>
      <c r="M157" s="161">
        <f t="shared" si="36"/>
        <v>0</v>
      </c>
      <c r="N157" s="298"/>
    </row>
    <row r="158" spans="2:14" ht="28.15" customHeight="1" x14ac:dyDescent="0.25">
      <c r="B158" s="208" t="s">
        <v>809</v>
      </c>
      <c r="C158" s="299" t="s">
        <v>810</v>
      </c>
      <c r="D158" s="211" t="s">
        <v>811</v>
      </c>
      <c r="E158" s="162">
        <v>50458</v>
      </c>
      <c r="F158" s="162">
        <f>ROUND(E158,0)</f>
        <v>50458</v>
      </c>
      <c r="G158" s="161">
        <f t="shared" si="34"/>
        <v>0</v>
      </c>
      <c r="H158" s="297"/>
      <c r="I158" s="161">
        <f t="shared" si="46"/>
        <v>50458</v>
      </c>
      <c r="J158" s="161">
        <f t="shared" si="35"/>
        <v>0</v>
      </c>
      <c r="K158" s="298"/>
      <c r="L158" s="161">
        <f>ROUND(I158,0)</f>
        <v>50458</v>
      </c>
      <c r="M158" s="161">
        <f t="shared" si="36"/>
        <v>0</v>
      </c>
      <c r="N158" s="298"/>
    </row>
    <row r="159" spans="2:14" ht="40.9" customHeight="1" x14ac:dyDescent="0.25">
      <c r="B159" s="208" t="s">
        <v>812</v>
      </c>
      <c r="C159" s="299" t="s">
        <v>813</v>
      </c>
      <c r="D159" s="300" t="s">
        <v>814</v>
      </c>
      <c r="E159" s="162">
        <v>145650</v>
      </c>
      <c r="F159" s="162">
        <f t="shared" si="45"/>
        <v>145650</v>
      </c>
      <c r="G159" s="161">
        <f t="shared" si="34"/>
        <v>0</v>
      </c>
      <c r="H159" s="297"/>
      <c r="I159" s="161">
        <f>ROUND(F159,0)</f>
        <v>145650</v>
      </c>
      <c r="J159" s="161">
        <f t="shared" si="35"/>
        <v>0</v>
      </c>
      <c r="K159" s="298"/>
      <c r="L159" s="161">
        <f>ROUND(I159,0)-5000-26640</f>
        <v>114010</v>
      </c>
      <c r="M159" s="161">
        <f t="shared" si="36"/>
        <v>-31640</v>
      </c>
      <c r="N159" s="298" t="s">
        <v>815</v>
      </c>
    </row>
    <row r="160" spans="2:14" ht="15.75" customHeight="1" x14ac:dyDescent="0.25">
      <c r="B160" s="208" t="s">
        <v>816</v>
      </c>
      <c r="C160" s="299" t="s">
        <v>817</v>
      </c>
      <c r="D160" s="300" t="s">
        <v>386</v>
      </c>
      <c r="E160" s="162">
        <v>397337</v>
      </c>
      <c r="F160" s="162">
        <f t="shared" si="45"/>
        <v>397337</v>
      </c>
      <c r="G160" s="161">
        <f t="shared" si="34"/>
        <v>0</v>
      </c>
      <c r="H160" s="297"/>
      <c r="I160" s="161">
        <f t="shared" si="46"/>
        <v>397337</v>
      </c>
      <c r="J160" s="161">
        <f t="shared" si="35"/>
        <v>0</v>
      </c>
      <c r="K160" s="298"/>
      <c r="L160" s="161">
        <f>ROUND(I160,0)</f>
        <v>397337</v>
      </c>
      <c r="M160" s="161">
        <f t="shared" si="36"/>
        <v>0</v>
      </c>
      <c r="N160" s="298"/>
    </row>
    <row r="161" spans="2:14" ht="16.899999999999999" customHeight="1" x14ac:dyDescent="0.25">
      <c r="B161" s="301" t="s">
        <v>818</v>
      </c>
      <c r="C161" s="299" t="s">
        <v>819</v>
      </c>
      <c r="D161" s="300" t="s">
        <v>607</v>
      </c>
      <c r="E161" s="162">
        <v>207440</v>
      </c>
      <c r="F161" s="162">
        <f t="shared" si="45"/>
        <v>207440</v>
      </c>
      <c r="G161" s="161">
        <f t="shared" si="34"/>
        <v>0</v>
      </c>
      <c r="H161" s="186"/>
      <c r="I161" s="161">
        <f t="shared" si="46"/>
        <v>207440</v>
      </c>
      <c r="J161" s="161">
        <f t="shared" si="35"/>
        <v>0</v>
      </c>
      <c r="K161" s="187"/>
      <c r="L161" s="161">
        <f>ROUND(I161,0)</f>
        <v>207440</v>
      </c>
      <c r="M161" s="161">
        <f t="shared" si="36"/>
        <v>0</v>
      </c>
      <c r="N161" s="187"/>
    </row>
    <row r="162" spans="2:14" ht="30" customHeight="1" x14ac:dyDescent="0.25">
      <c r="B162" s="208" t="s">
        <v>820</v>
      </c>
      <c r="C162" s="299" t="s">
        <v>821</v>
      </c>
      <c r="D162" s="300" t="s">
        <v>610</v>
      </c>
      <c r="E162" s="162">
        <v>14067</v>
      </c>
      <c r="F162" s="162">
        <f t="shared" si="45"/>
        <v>14067</v>
      </c>
      <c r="G162" s="161">
        <f t="shared" si="34"/>
        <v>0</v>
      </c>
      <c r="H162" s="186"/>
      <c r="I162" s="161">
        <f t="shared" si="46"/>
        <v>14067</v>
      </c>
      <c r="J162" s="161">
        <f t="shared" si="35"/>
        <v>0</v>
      </c>
      <c r="K162" s="187"/>
      <c r="L162" s="161">
        <f t="shared" ref="L162:L165" si="47">ROUND(I162,0)</f>
        <v>14067</v>
      </c>
      <c r="M162" s="161">
        <f t="shared" si="36"/>
        <v>0</v>
      </c>
      <c r="N162" s="187"/>
    </row>
    <row r="163" spans="2:14" ht="30" customHeight="1" x14ac:dyDescent="0.25">
      <c r="B163" s="208" t="s">
        <v>593</v>
      </c>
      <c r="C163" s="299" t="s">
        <v>822</v>
      </c>
      <c r="D163" s="300" t="s">
        <v>612</v>
      </c>
      <c r="E163" s="162">
        <v>7900</v>
      </c>
      <c r="F163" s="162">
        <f t="shared" si="45"/>
        <v>7900</v>
      </c>
      <c r="G163" s="161">
        <f t="shared" si="34"/>
        <v>0</v>
      </c>
      <c r="H163" s="186"/>
      <c r="I163" s="161">
        <f t="shared" si="46"/>
        <v>7900</v>
      </c>
      <c r="J163" s="161">
        <f t="shared" si="35"/>
        <v>0</v>
      </c>
      <c r="K163" s="187"/>
      <c r="L163" s="161">
        <f t="shared" si="47"/>
        <v>7900</v>
      </c>
      <c r="M163" s="161">
        <f t="shared" si="36"/>
        <v>0</v>
      </c>
      <c r="N163" s="187"/>
    </row>
    <row r="164" spans="2:14" ht="17.45" customHeight="1" x14ac:dyDescent="0.25">
      <c r="B164" s="208" t="s">
        <v>593</v>
      </c>
      <c r="C164" s="299" t="s">
        <v>823</v>
      </c>
      <c r="D164" s="300" t="s">
        <v>614</v>
      </c>
      <c r="E164" s="162">
        <v>9000</v>
      </c>
      <c r="F164" s="162">
        <f t="shared" si="45"/>
        <v>9000</v>
      </c>
      <c r="G164" s="161">
        <f t="shared" si="34"/>
        <v>0</v>
      </c>
      <c r="H164" s="186"/>
      <c r="I164" s="161">
        <f t="shared" si="46"/>
        <v>9000</v>
      </c>
      <c r="J164" s="161">
        <f t="shared" si="35"/>
        <v>0</v>
      </c>
      <c r="K164" s="187"/>
      <c r="L164" s="161">
        <f t="shared" si="47"/>
        <v>9000</v>
      </c>
      <c r="M164" s="161">
        <f t="shared" si="36"/>
        <v>0</v>
      </c>
      <c r="N164" s="187"/>
    </row>
    <row r="165" spans="2:14" ht="55.9" customHeight="1" x14ac:dyDescent="0.25">
      <c r="B165" s="208" t="s">
        <v>593</v>
      </c>
      <c r="C165" s="299" t="s">
        <v>824</v>
      </c>
      <c r="D165" s="300" t="s">
        <v>616</v>
      </c>
      <c r="E165" s="162">
        <v>12020</v>
      </c>
      <c r="F165" s="162">
        <f t="shared" si="45"/>
        <v>12020</v>
      </c>
      <c r="G165" s="161">
        <f t="shared" si="34"/>
        <v>0</v>
      </c>
      <c r="H165" s="186"/>
      <c r="I165" s="161">
        <f t="shared" si="46"/>
        <v>12020</v>
      </c>
      <c r="J165" s="161">
        <f t="shared" si="35"/>
        <v>0</v>
      </c>
      <c r="K165" s="187"/>
      <c r="L165" s="161">
        <f t="shared" si="47"/>
        <v>12020</v>
      </c>
      <c r="M165" s="161">
        <f t="shared" si="36"/>
        <v>0</v>
      </c>
      <c r="N165" s="187"/>
    </row>
    <row r="166" spans="2:14" ht="40.9" customHeight="1" x14ac:dyDescent="0.25">
      <c r="B166" s="208" t="s">
        <v>593</v>
      </c>
      <c r="C166" s="299" t="s">
        <v>825</v>
      </c>
      <c r="D166" s="300" t="s">
        <v>618</v>
      </c>
      <c r="E166" s="162">
        <v>30655</v>
      </c>
      <c r="F166" s="162">
        <f t="shared" si="45"/>
        <v>30655</v>
      </c>
      <c r="G166" s="161">
        <f t="shared" si="34"/>
        <v>0</v>
      </c>
      <c r="H166" s="186"/>
      <c r="I166" s="161">
        <f t="shared" si="46"/>
        <v>30655</v>
      </c>
      <c r="J166" s="161">
        <f t="shared" si="35"/>
        <v>0</v>
      </c>
      <c r="K166" s="187"/>
      <c r="L166" s="161">
        <f>ROUND(I166,0)</f>
        <v>30655</v>
      </c>
      <c r="M166" s="161">
        <f t="shared" si="36"/>
        <v>0</v>
      </c>
      <c r="N166" s="187"/>
    </row>
    <row r="167" spans="2:14" ht="16.899999999999999" customHeight="1" x14ac:dyDescent="0.25">
      <c r="B167" s="208" t="s">
        <v>619</v>
      </c>
      <c r="C167" s="299" t="s">
        <v>826</v>
      </c>
      <c r="D167" s="300" t="s">
        <v>621</v>
      </c>
      <c r="E167" s="162">
        <v>168527</v>
      </c>
      <c r="F167" s="162">
        <f t="shared" si="45"/>
        <v>168527</v>
      </c>
      <c r="G167" s="161">
        <f t="shared" si="34"/>
        <v>0</v>
      </c>
      <c r="H167" s="186"/>
      <c r="I167" s="161">
        <f t="shared" si="46"/>
        <v>168527</v>
      </c>
      <c r="J167" s="161">
        <f t="shared" si="35"/>
        <v>0</v>
      </c>
      <c r="K167" s="187"/>
      <c r="L167" s="161">
        <f t="shared" ref="L167:L168" si="48">ROUND(I167,0)</f>
        <v>168527</v>
      </c>
      <c r="M167" s="161">
        <f t="shared" si="36"/>
        <v>0</v>
      </c>
      <c r="N167" s="187"/>
    </row>
    <row r="168" spans="2:14" ht="42.6" customHeight="1" x14ac:dyDescent="0.25">
      <c r="B168" s="208" t="s">
        <v>593</v>
      </c>
      <c r="C168" s="299" t="s">
        <v>827</v>
      </c>
      <c r="D168" s="300" t="s">
        <v>828</v>
      </c>
      <c r="E168" s="162">
        <v>44284</v>
      </c>
      <c r="F168" s="162">
        <f t="shared" si="45"/>
        <v>44284</v>
      </c>
      <c r="G168" s="161">
        <f t="shared" si="34"/>
        <v>0</v>
      </c>
      <c r="H168" s="186"/>
      <c r="I168" s="161">
        <f t="shared" si="46"/>
        <v>44284</v>
      </c>
      <c r="J168" s="161">
        <f t="shared" si="35"/>
        <v>0</v>
      </c>
      <c r="K168" s="187"/>
      <c r="L168" s="161">
        <f t="shared" si="48"/>
        <v>44284</v>
      </c>
      <c r="M168" s="161">
        <f t="shared" si="36"/>
        <v>0</v>
      </c>
      <c r="N168" s="187"/>
    </row>
    <row r="169" spans="2:14" ht="13.15" customHeight="1" x14ac:dyDescent="0.25">
      <c r="B169" s="208" t="s">
        <v>593</v>
      </c>
      <c r="C169" s="299" t="s">
        <v>821</v>
      </c>
      <c r="D169" s="211" t="s">
        <v>675</v>
      </c>
      <c r="E169" s="162">
        <v>0</v>
      </c>
      <c r="F169" s="162">
        <f t="shared" si="45"/>
        <v>0</v>
      </c>
      <c r="G169" s="161">
        <f t="shared" si="34"/>
        <v>0</v>
      </c>
      <c r="H169" s="297"/>
      <c r="I169" s="161"/>
      <c r="J169" s="161">
        <f t="shared" si="35"/>
        <v>0</v>
      </c>
      <c r="K169" s="298"/>
      <c r="L169" s="161"/>
      <c r="M169" s="161">
        <f t="shared" si="36"/>
        <v>0</v>
      </c>
      <c r="N169" s="298"/>
    </row>
    <row r="170" spans="2:14" ht="30.6" customHeight="1" x14ac:dyDescent="0.25">
      <c r="B170" s="208" t="s">
        <v>676</v>
      </c>
      <c r="C170" s="299" t="s">
        <v>822</v>
      </c>
      <c r="D170" s="300" t="s">
        <v>829</v>
      </c>
      <c r="E170" s="162">
        <v>0</v>
      </c>
      <c r="F170" s="162">
        <f t="shared" si="45"/>
        <v>0</v>
      </c>
      <c r="G170" s="161">
        <f t="shared" si="34"/>
        <v>0</v>
      </c>
      <c r="H170" s="297"/>
      <c r="I170" s="161"/>
      <c r="J170" s="161">
        <f t="shared" si="35"/>
        <v>0</v>
      </c>
      <c r="K170" s="302"/>
      <c r="L170" s="161"/>
      <c r="M170" s="161">
        <f t="shared" si="36"/>
        <v>0</v>
      </c>
      <c r="N170" s="298"/>
    </row>
    <row r="171" spans="2:14" ht="32.450000000000003" customHeight="1" x14ac:dyDescent="0.25">
      <c r="B171" s="208" t="s">
        <v>830</v>
      </c>
      <c r="C171" s="299" t="s">
        <v>823</v>
      </c>
      <c r="D171" s="300" t="s">
        <v>646</v>
      </c>
      <c r="E171" s="162">
        <v>0</v>
      </c>
      <c r="F171" s="162">
        <f t="shared" si="45"/>
        <v>0</v>
      </c>
      <c r="G171" s="161">
        <f t="shared" si="34"/>
        <v>0</v>
      </c>
      <c r="H171" s="297"/>
      <c r="I171" s="161"/>
      <c r="J171" s="161">
        <f t="shared" si="35"/>
        <v>0</v>
      </c>
      <c r="K171" s="303"/>
      <c r="L171" s="161"/>
      <c r="M171" s="161">
        <f t="shared" si="36"/>
        <v>0</v>
      </c>
      <c r="N171" s="303"/>
    </row>
    <row r="172" spans="2:14" ht="29.25" customHeight="1" x14ac:dyDescent="0.25">
      <c r="C172" s="283" t="s">
        <v>831</v>
      </c>
      <c r="D172" s="292" t="s">
        <v>832</v>
      </c>
      <c r="E172" s="294">
        <v>11549801.841957785</v>
      </c>
      <c r="F172" s="294">
        <f t="shared" ref="F172" si="49">SUM(F173:F177,F181:F190)</f>
        <v>11653537</v>
      </c>
      <c r="G172" s="293">
        <f t="shared" si="34"/>
        <v>103735.15804221481</v>
      </c>
      <c r="H172" s="304"/>
      <c r="I172" s="293">
        <f>SUM(I173:I177,I181:I190)</f>
        <v>11956848</v>
      </c>
      <c r="J172" s="293">
        <f t="shared" si="35"/>
        <v>303311</v>
      </c>
      <c r="K172" s="305"/>
      <c r="L172" s="293">
        <f>SUM(L173:L177,L181:L190)</f>
        <v>12027272</v>
      </c>
      <c r="M172" s="293">
        <f t="shared" si="36"/>
        <v>70424</v>
      </c>
      <c r="N172" s="305"/>
    </row>
    <row r="173" spans="2:14" ht="15" customHeight="1" x14ac:dyDescent="0.25">
      <c r="B173" s="208" t="s">
        <v>833</v>
      </c>
      <c r="C173" s="290" t="s">
        <v>834</v>
      </c>
      <c r="D173" s="300" t="s">
        <v>835</v>
      </c>
      <c r="E173" s="162">
        <v>1199200.0293275001</v>
      </c>
      <c r="F173" s="162">
        <f>ROUND(E173,0)</f>
        <v>1199200</v>
      </c>
      <c r="G173" s="161">
        <f t="shared" si="34"/>
        <v>-2.9327500145882368E-2</v>
      </c>
      <c r="H173" s="306"/>
      <c r="I173" s="161">
        <f>ROUND(F173,0)</f>
        <v>1199200</v>
      </c>
      <c r="J173" s="161">
        <f t="shared" si="35"/>
        <v>0</v>
      </c>
      <c r="K173" s="303"/>
      <c r="L173" s="161">
        <f>ROUND(I173,0)</f>
        <v>1199200</v>
      </c>
      <c r="M173" s="161">
        <f t="shared" si="36"/>
        <v>0</v>
      </c>
      <c r="N173" s="303"/>
    </row>
    <row r="174" spans="2:14" ht="13.9" customHeight="1" x14ac:dyDescent="0.25">
      <c r="B174" s="208" t="s">
        <v>836</v>
      </c>
      <c r="C174" s="290" t="s">
        <v>837</v>
      </c>
      <c r="D174" s="300" t="s">
        <v>838</v>
      </c>
      <c r="E174" s="162">
        <v>1875164.83</v>
      </c>
      <c r="F174" s="162">
        <f t="shared" ref="F174:F186" si="50">ROUND(E174,0)</f>
        <v>1875165</v>
      </c>
      <c r="G174" s="161">
        <f t="shared" si="34"/>
        <v>0.16999999992549419</v>
      </c>
      <c r="H174" s="297"/>
      <c r="I174" s="161">
        <f>ROUND(F174,0)</f>
        <v>1875165</v>
      </c>
      <c r="J174" s="161">
        <f t="shared" si="35"/>
        <v>0</v>
      </c>
      <c r="K174" s="298"/>
      <c r="L174" s="161">
        <f>ROUND(I174,0)</f>
        <v>1875165</v>
      </c>
      <c r="M174" s="161">
        <f t="shared" si="36"/>
        <v>0</v>
      </c>
      <c r="N174" s="298"/>
    </row>
    <row r="175" spans="2:14" ht="27" customHeight="1" x14ac:dyDescent="0.25">
      <c r="B175" s="208" t="s">
        <v>601</v>
      </c>
      <c r="C175" s="299" t="s">
        <v>839</v>
      </c>
      <c r="D175" s="300" t="s">
        <v>722</v>
      </c>
      <c r="E175" s="162">
        <v>363351</v>
      </c>
      <c r="F175" s="162">
        <f>ROUND(E175,0)-1-3420+92966</f>
        <v>452896</v>
      </c>
      <c r="G175" s="161">
        <f t="shared" si="34"/>
        <v>89545</v>
      </c>
      <c r="H175" s="298" t="s">
        <v>840</v>
      </c>
      <c r="I175" s="161">
        <f>ROUND(F175,0)</f>
        <v>452896</v>
      </c>
      <c r="J175" s="161">
        <f t="shared" si="35"/>
        <v>0</v>
      </c>
      <c r="K175" s="298"/>
      <c r="L175" s="161">
        <f>ROUND(I175,0)</f>
        <v>452896</v>
      </c>
      <c r="M175" s="161">
        <f t="shared" si="36"/>
        <v>0</v>
      </c>
      <c r="N175" s="298"/>
    </row>
    <row r="176" spans="2:14" ht="25.9" customHeight="1" x14ac:dyDescent="0.25">
      <c r="B176" s="208" t="s">
        <v>841</v>
      </c>
      <c r="C176" s="290" t="s">
        <v>842</v>
      </c>
      <c r="D176" s="300" t="s">
        <v>843</v>
      </c>
      <c r="E176" s="162">
        <v>1574037</v>
      </c>
      <c r="F176" s="162">
        <f>ROUND(E176,0)+168382-168382</f>
        <v>1574037</v>
      </c>
      <c r="G176" s="161">
        <f t="shared" si="34"/>
        <v>0</v>
      </c>
      <c r="H176" s="214" t="s">
        <v>844</v>
      </c>
      <c r="I176" s="161">
        <f>ROUND(F176,0)</f>
        <v>1574037</v>
      </c>
      <c r="J176" s="161">
        <f t="shared" si="35"/>
        <v>0</v>
      </c>
      <c r="K176" s="298"/>
      <c r="L176" s="161">
        <f>ROUND(I176,0)</f>
        <v>1574037</v>
      </c>
      <c r="M176" s="161">
        <f t="shared" si="36"/>
        <v>0</v>
      </c>
      <c r="N176" s="298"/>
    </row>
    <row r="177" spans="2:14" ht="32.25" customHeight="1" x14ac:dyDescent="0.25">
      <c r="B177" s="208" t="s">
        <v>418</v>
      </c>
      <c r="C177" s="290" t="s">
        <v>845</v>
      </c>
      <c r="D177" s="300" t="s">
        <v>846</v>
      </c>
      <c r="E177" s="307">
        <v>5403977.9826302836</v>
      </c>
      <c r="F177" s="307">
        <f>SUM(F178:F180)</f>
        <v>5418168</v>
      </c>
      <c r="G177" s="161">
        <f t="shared" si="34"/>
        <v>14190.017369716428</v>
      </c>
      <c r="H177" s="297"/>
      <c r="I177" s="230">
        <f>SUM(I178:I180)</f>
        <v>5367776</v>
      </c>
      <c r="J177" s="161">
        <f t="shared" si="35"/>
        <v>-50392</v>
      </c>
      <c r="K177" s="298"/>
      <c r="L177" s="230">
        <f>SUM(L178:L180)</f>
        <v>5362200</v>
      </c>
      <c r="M177" s="161">
        <f t="shared" si="36"/>
        <v>-5576</v>
      </c>
      <c r="N177" s="298"/>
    </row>
    <row r="178" spans="2:14" s="316" customFormat="1" ht="40.9" customHeight="1" x14ac:dyDescent="0.25">
      <c r="B178" s="308"/>
      <c r="C178" s="309" t="s">
        <v>847</v>
      </c>
      <c r="D178" s="310" t="s">
        <v>848</v>
      </c>
      <c r="E178" s="312">
        <v>4799085.2470302833</v>
      </c>
      <c r="F178" s="312">
        <f>ROUND(E178,0)+13000-645+1835</f>
        <v>4813275</v>
      </c>
      <c r="G178" s="311">
        <f t="shared" si="34"/>
        <v>14189.752969716676</v>
      </c>
      <c r="H178" s="313" t="s">
        <v>849</v>
      </c>
      <c r="I178" s="314">
        <f>ROUND(F178,0)-10919-6705-19453</f>
        <v>4776198</v>
      </c>
      <c r="J178" s="311">
        <f t="shared" si="35"/>
        <v>-37077</v>
      </c>
      <c r="K178" s="315" t="s">
        <v>850</v>
      </c>
      <c r="L178" s="314">
        <f>ROUND(I178,0)-9076+3500</f>
        <v>4770622</v>
      </c>
      <c r="M178" s="311">
        <f t="shared" si="36"/>
        <v>-5576</v>
      </c>
      <c r="N178" s="315" t="s">
        <v>851</v>
      </c>
    </row>
    <row r="179" spans="2:14" s="316" customFormat="1" ht="18" customHeight="1" x14ac:dyDescent="0.25">
      <c r="B179" s="308"/>
      <c r="C179" s="309" t="s">
        <v>852</v>
      </c>
      <c r="D179" s="310" t="s">
        <v>853</v>
      </c>
      <c r="E179" s="312">
        <v>350000</v>
      </c>
      <c r="F179" s="312">
        <f t="shared" si="50"/>
        <v>350000</v>
      </c>
      <c r="G179" s="311">
        <f t="shared" si="34"/>
        <v>0</v>
      </c>
      <c r="H179" s="313"/>
      <c r="I179" s="314">
        <f>ROUND(F179,0)-13315</f>
        <v>336685</v>
      </c>
      <c r="J179" s="311">
        <f t="shared" si="35"/>
        <v>-13315</v>
      </c>
      <c r="K179" s="315" t="s">
        <v>776</v>
      </c>
      <c r="L179" s="314">
        <f>ROUND(I179,0)</f>
        <v>336685</v>
      </c>
      <c r="M179" s="311">
        <f t="shared" si="36"/>
        <v>0</v>
      </c>
      <c r="N179" s="315"/>
    </row>
    <row r="180" spans="2:14" s="316" customFormat="1" ht="15" customHeight="1" x14ac:dyDescent="0.25">
      <c r="B180" s="308"/>
      <c r="C180" s="309" t="s">
        <v>854</v>
      </c>
      <c r="D180" s="310" t="s">
        <v>855</v>
      </c>
      <c r="E180" s="312">
        <v>254892.73560000001</v>
      </c>
      <c r="F180" s="312">
        <f t="shared" si="50"/>
        <v>254893</v>
      </c>
      <c r="G180" s="311">
        <f t="shared" si="34"/>
        <v>0.26439999998547137</v>
      </c>
      <c r="H180" s="313"/>
      <c r="I180" s="314">
        <f>ROUND(F180,0)</f>
        <v>254893</v>
      </c>
      <c r="J180" s="311">
        <f t="shared" si="35"/>
        <v>0</v>
      </c>
      <c r="K180" s="315"/>
      <c r="L180" s="314">
        <f>ROUND(I180,0)</f>
        <v>254893</v>
      </c>
      <c r="M180" s="311">
        <f t="shared" si="36"/>
        <v>0</v>
      </c>
      <c r="N180" s="315"/>
    </row>
    <row r="181" spans="2:14" ht="30" customHeight="1" x14ac:dyDescent="0.25">
      <c r="B181" s="208" t="s">
        <v>418</v>
      </c>
      <c r="C181" s="299" t="s">
        <v>856</v>
      </c>
      <c r="D181" s="300" t="s">
        <v>857</v>
      </c>
      <c r="E181" s="162">
        <v>35000</v>
      </c>
      <c r="F181" s="162">
        <f t="shared" si="50"/>
        <v>35000</v>
      </c>
      <c r="G181" s="161">
        <f t="shared" si="34"/>
        <v>0</v>
      </c>
      <c r="H181" s="297"/>
      <c r="I181" s="161">
        <f t="shared" ref="I181:I190" si="51">ROUND(F181,0)</f>
        <v>35000</v>
      </c>
      <c r="J181" s="161">
        <f t="shared" si="35"/>
        <v>0</v>
      </c>
      <c r="K181" s="298"/>
      <c r="L181" s="161">
        <f t="shared" ref="L181:L188" si="52">ROUND(I181,0)</f>
        <v>35000</v>
      </c>
      <c r="M181" s="161">
        <f t="shared" si="36"/>
        <v>0</v>
      </c>
      <c r="N181" s="298"/>
    </row>
    <row r="182" spans="2:14" ht="41.45" customHeight="1" x14ac:dyDescent="0.25">
      <c r="B182" s="208" t="s">
        <v>418</v>
      </c>
      <c r="C182" s="299" t="s">
        <v>858</v>
      </c>
      <c r="D182" s="300" t="s">
        <v>859</v>
      </c>
      <c r="E182" s="162">
        <v>210000</v>
      </c>
      <c r="F182" s="162">
        <f t="shared" si="50"/>
        <v>210000</v>
      </c>
      <c r="G182" s="161">
        <f t="shared" si="34"/>
        <v>0</v>
      </c>
      <c r="H182" s="297"/>
      <c r="I182" s="161">
        <f>ROUND(F182,0)+90000</f>
        <v>300000</v>
      </c>
      <c r="J182" s="161">
        <f t="shared" si="35"/>
        <v>90000</v>
      </c>
      <c r="K182" s="298" t="s">
        <v>860</v>
      </c>
      <c r="L182" s="161">
        <f t="shared" si="52"/>
        <v>300000</v>
      </c>
      <c r="M182" s="161">
        <f t="shared" si="36"/>
        <v>0</v>
      </c>
      <c r="N182" s="298"/>
    </row>
    <row r="183" spans="2:14" ht="18" customHeight="1" x14ac:dyDescent="0.25">
      <c r="B183" s="208" t="s">
        <v>418</v>
      </c>
      <c r="C183" s="299" t="s">
        <v>861</v>
      </c>
      <c r="D183" s="300" t="s">
        <v>862</v>
      </c>
      <c r="E183" s="162"/>
      <c r="F183" s="162"/>
      <c r="G183" s="161"/>
      <c r="H183" s="297"/>
      <c r="I183" s="161">
        <v>263703</v>
      </c>
      <c r="J183" s="161">
        <f t="shared" si="35"/>
        <v>263703</v>
      </c>
      <c r="K183" s="298"/>
      <c r="L183" s="161">
        <f t="shared" si="52"/>
        <v>263703</v>
      </c>
      <c r="M183" s="161">
        <f t="shared" si="36"/>
        <v>0</v>
      </c>
      <c r="N183" s="298"/>
    </row>
    <row r="184" spans="2:14" ht="18.600000000000001" customHeight="1" x14ac:dyDescent="0.25">
      <c r="B184" s="208" t="s">
        <v>418</v>
      </c>
      <c r="C184" s="299" t="s">
        <v>863</v>
      </c>
      <c r="D184" s="300" t="s">
        <v>864</v>
      </c>
      <c r="E184" s="162">
        <v>17500</v>
      </c>
      <c r="F184" s="162">
        <f t="shared" si="50"/>
        <v>17500</v>
      </c>
      <c r="G184" s="161">
        <f t="shared" si="34"/>
        <v>0</v>
      </c>
      <c r="H184" s="297"/>
      <c r="I184" s="161">
        <f t="shared" si="51"/>
        <v>17500</v>
      </c>
      <c r="J184" s="161">
        <f t="shared" si="35"/>
        <v>0</v>
      </c>
      <c r="K184" s="298"/>
      <c r="L184" s="161">
        <f>ROUND(I184,0)</f>
        <v>17500</v>
      </c>
      <c r="M184" s="161">
        <f t="shared" si="36"/>
        <v>0</v>
      </c>
      <c r="N184" s="298"/>
    </row>
    <row r="185" spans="2:14" ht="33.6" customHeight="1" x14ac:dyDescent="0.25">
      <c r="B185" s="208" t="s">
        <v>418</v>
      </c>
      <c r="C185" s="299" t="s">
        <v>865</v>
      </c>
      <c r="D185" s="300" t="s">
        <v>737</v>
      </c>
      <c r="E185" s="162">
        <v>255000</v>
      </c>
      <c r="F185" s="162">
        <f t="shared" si="50"/>
        <v>255000</v>
      </c>
      <c r="G185" s="161">
        <f t="shared" si="34"/>
        <v>0</v>
      </c>
      <c r="H185" s="297"/>
      <c r="I185" s="161">
        <f t="shared" si="51"/>
        <v>255000</v>
      </c>
      <c r="J185" s="161">
        <f t="shared" si="35"/>
        <v>0</v>
      </c>
      <c r="K185" s="298"/>
      <c r="L185" s="161">
        <f t="shared" si="52"/>
        <v>255000</v>
      </c>
      <c r="M185" s="161">
        <f t="shared" si="36"/>
        <v>0</v>
      </c>
      <c r="N185" s="298"/>
    </row>
    <row r="186" spans="2:14" ht="17.45" customHeight="1" x14ac:dyDescent="0.25">
      <c r="B186" s="208" t="s">
        <v>418</v>
      </c>
      <c r="C186" s="299" t="s">
        <v>866</v>
      </c>
      <c r="D186" s="300" t="s">
        <v>867</v>
      </c>
      <c r="E186" s="162">
        <v>39800</v>
      </c>
      <c r="F186" s="162">
        <f t="shared" si="50"/>
        <v>39800</v>
      </c>
      <c r="G186" s="161">
        <f t="shared" si="34"/>
        <v>0</v>
      </c>
      <c r="H186" s="297"/>
      <c r="I186" s="161">
        <f t="shared" si="51"/>
        <v>39800</v>
      </c>
      <c r="J186" s="161">
        <f t="shared" si="35"/>
        <v>0</v>
      </c>
      <c r="K186" s="298"/>
      <c r="L186" s="161">
        <f t="shared" si="52"/>
        <v>39800</v>
      </c>
      <c r="M186" s="161">
        <f t="shared" si="36"/>
        <v>0</v>
      </c>
      <c r="N186" s="298"/>
    </row>
    <row r="187" spans="2:14" ht="29.45" customHeight="1" x14ac:dyDescent="0.25">
      <c r="B187" s="208" t="s">
        <v>418</v>
      </c>
      <c r="C187" s="299" t="s">
        <v>868</v>
      </c>
      <c r="D187" s="300" t="s">
        <v>869</v>
      </c>
      <c r="E187" s="162">
        <v>30000</v>
      </c>
      <c r="F187" s="162">
        <f>ROUND(E187,0)</f>
        <v>30000</v>
      </c>
      <c r="G187" s="161">
        <f>F187-E187</f>
        <v>0</v>
      </c>
      <c r="H187" s="297"/>
      <c r="I187" s="161">
        <f>ROUND(F187,0)</f>
        <v>30000</v>
      </c>
      <c r="J187" s="161">
        <f>I187-F187</f>
        <v>0</v>
      </c>
      <c r="K187" s="298"/>
      <c r="L187" s="161">
        <f>ROUND(I187,0)</f>
        <v>30000</v>
      </c>
      <c r="M187" s="161">
        <f>L187-I187</f>
        <v>0</v>
      </c>
      <c r="N187" s="298"/>
    </row>
    <row r="188" spans="2:14" ht="18.600000000000001" customHeight="1" x14ac:dyDescent="0.25">
      <c r="B188" s="208" t="s">
        <v>647</v>
      </c>
      <c r="C188" s="299" t="s">
        <v>868</v>
      </c>
      <c r="D188" s="300" t="s">
        <v>387</v>
      </c>
      <c r="E188" s="162">
        <v>546771</v>
      </c>
      <c r="F188" s="162">
        <f>ROUND(E188,0)</f>
        <v>546771</v>
      </c>
      <c r="G188" s="161">
        <f>F188-E188</f>
        <v>0</v>
      </c>
      <c r="H188" s="297"/>
      <c r="I188" s="161">
        <f t="shared" si="51"/>
        <v>546771</v>
      </c>
      <c r="J188" s="161">
        <f t="shared" si="35"/>
        <v>0</v>
      </c>
      <c r="K188" s="298"/>
      <c r="L188" s="161">
        <f t="shared" si="52"/>
        <v>546771</v>
      </c>
      <c r="M188" s="161">
        <f t="shared" si="36"/>
        <v>0</v>
      </c>
      <c r="N188" s="298"/>
    </row>
    <row r="189" spans="2:14" ht="18" customHeight="1" x14ac:dyDescent="0.25">
      <c r="B189" s="208"/>
      <c r="C189" s="299" t="s">
        <v>870</v>
      </c>
      <c r="D189" s="300" t="s">
        <v>871</v>
      </c>
      <c r="E189" s="162">
        <v>0</v>
      </c>
      <c r="F189" s="162">
        <f>ROUND(E189,0)</f>
        <v>0</v>
      </c>
      <c r="G189" s="161">
        <f>F189-E189</f>
        <v>0</v>
      </c>
      <c r="H189" s="298"/>
      <c r="I189" s="161">
        <f t="shared" si="51"/>
        <v>0</v>
      </c>
      <c r="J189" s="161">
        <f t="shared" si="35"/>
        <v>0</v>
      </c>
      <c r="K189" s="298"/>
      <c r="L189" s="161">
        <f>ROUND(I189,0)+55000</f>
        <v>55000</v>
      </c>
      <c r="M189" s="161">
        <f t="shared" si="36"/>
        <v>55000</v>
      </c>
      <c r="N189" s="298" t="s">
        <v>872</v>
      </c>
    </row>
    <row r="190" spans="2:14" ht="27.6" customHeight="1" x14ac:dyDescent="0.25">
      <c r="B190" s="208" t="s">
        <v>873</v>
      </c>
      <c r="C190" s="299" t="s">
        <v>874</v>
      </c>
      <c r="D190" s="300" t="s">
        <v>875</v>
      </c>
      <c r="E190" s="162">
        <v>0</v>
      </c>
      <c r="F190" s="162">
        <f>ROUND(E190,0)</f>
        <v>0</v>
      </c>
      <c r="G190" s="161">
        <f>F190-E190</f>
        <v>0</v>
      </c>
      <c r="H190" s="186"/>
      <c r="I190" s="161">
        <f t="shared" si="51"/>
        <v>0</v>
      </c>
      <c r="J190" s="161">
        <f t="shared" si="35"/>
        <v>0</v>
      </c>
      <c r="K190" s="187"/>
      <c r="L190" s="161">
        <f>ROUND(I190,0)+21000</f>
        <v>21000</v>
      </c>
      <c r="M190" s="161">
        <f t="shared" si="36"/>
        <v>21000</v>
      </c>
      <c r="N190" s="298" t="s">
        <v>872</v>
      </c>
    </row>
    <row r="191" spans="2:14" x14ac:dyDescent="0.25">
      <c r="C191" s="287" t="s">
        <v>506</v>
      </c>
      <c r="D191" s="288" t="s">
        <v>876</v>
      </c>
      <c r="E191" s="168">
        <v>2519181.6714729005</v>
      </c>
      <c r="F191" s="169">
        <f t="shared" ref="F191" si="53">SUM(F192,F197:F201)+F204+F205</f>
        <v>2529195</v>
      </c>
      <c r="G191" s="168">
        <f>SUM(G192,G197:G205)</f>
        <v>10013.342056599839</v>
      </c>
      <c r="H191" s="172"/>
      <c r="I191" s="168">
        <f>SUM(I192,I197:I201)+I204+I205</f>
        <v>2529195</v>
      </c>
      <c r="J191" s="168">
        <f t="shared" si="35"/>
        <v>0</v>
      </c>
      <c r="K191" s="168"/>
      <c r="L191" s="168">
        <f>SUM(L192,L197:L201)+L204+L205</f>
        <v>2527695</v>
      </c>
      <c r="M191" s="168">
        <f t="shared" si="36"/>
        <v>-1500</v>
      </c>
      <c r="N191" s="168"/>
    </row>
    <row r="192" spans="2:14" ht="23.25" customHeight="1" x14ac:dyDescent="0.25">
      <c r="C192" s="283" t="s">
        <v>509</v>
      </c>
      <c r="D192" s="284" t="s">
        <v>877</v>
      </c>
      <c r="E192" s="215">
        <v>1326357.7900424001</v>
      </c>
      <c r="F192" s="215">
        <f>SUM(F193:F196)</f>
        <v>1326358</v>
      </c>
      <c r="G192" s="215">
        <f>SUM(G193:G196)</f>
        <v>0.20995759987272322</v>
      </c>
      <c r="H192" s="215">
        <f>SUM(H193:H196)</f>
        <v>0</v>
      </c>
      <c r="I192" s="215">
        <f>SUM(I193:I196)</f>
        <v>1326358</v>
      </c>
      <c r="J192" s="191">
        <f t="shared" si="35"/>
        <v>0</v>
      </c>
      <c r="K192" s="191"/>
      <c r="L192" s="215">
        <f>SUM(L193:L196)</f>
        <v>1334858</v>
      </c>
      <c r="M192" s="191">
        <f t="shared" si="36"/>
        <v>8500</v>
      </c>
      <c r="N192" s="191"/>
    </row>
    <row r="193" spans="2:14" ht="15" customHeight="1" x14ac:dyDescent="0.25">
      <c r="B193" s="208" t="s">
        <v>878</v>
      </c>
      <c r="C193" s="290" t="s">
        <v>879</v>
      </c>
      <c r="D193" s="291" t="s">
        <v>880</v>
      </c>
      <c r="E193" s="162">
        <v>638049.85509206681</v>
      </c>
      <c r="F193" s="162">
        <f>ROUND(E193,0)</f>
        <v>638050</v>
      </c>
      <c r="G193" s="161">
        <f t="shared" si="34"/>
        <v>0.14490793319419026</v>
      </c>
      <c r="H193" s="297"/>
      <c r="I193" s="161">
        <f t="shared" ref="I193:I200" si="54">ROUND(F193,0)</f>
        <v>638050</v>
      </c>
      <c r="J193" s="161">
        <f t="shared" si="35"/>
        <v>0</v>
      </c>
      <c r="K193" s="318"/>
      <c r="L193" s="161">
        <f>ROUND(I193,0)</f>
        <v>638050</v>
      </c>
      <c r="M193" s="161">
        <f t="shared" si="36"/>
        <v>0</v>
      </c>
      <c r="N193" s="318"/>
    </row>
    <row r="194" spans="2:14" ht="25.9" customHeight="1" x14ac:dyDescent="0.25">
      <c r="B194" s="208" t="s">
        <v>881</v>
      </c>
      <c r="C194" s="290" t="s">
        <v>882</v>
      </c>
      <c r="D194" s="291" t="s">
        <v>883</v>
      </c>
      <c r="E194" s="162">
        <v>485179.86028633331</v>
      </c>
      <c r="F194" s="162">
        <f>ROUND(E194,0)</f>
        <v>485180</v>
      </c>
      <c r="G194" s="161">
        <f t="shared" ref="G194:G257" si="55">F194-E194</f>
        <v>0.1397136666928418</v>
      </c>
      <c r="H194" s="297"/>
      <c r="I194" s="161">
        <f t="shared" si="54"/>
        <v>485180</v>
      </c>
      <c r="J194" s="161">
        <f t="shared" si="35"/>
        <v>0</v>
      </c>
      <c r="K194" s="298"/>
      <c r="L194" s="161">
        <f>ROUND(I194,0)+8500</f>
        <v>493680</v>
      </c>
      <c r="M194" s="161">
        <f t="shared" si="36"/>
        <v>8500</v>
      </c>
      <c r="N194" s="318" t="s">
        <v>884</v>
      </c>
    </row>
    <row r="195" spans="2:14" ht="13.15" customHeight="1" x14ac:dyDescent="0.25">
      <c r="B195" s="208" t="s">
        <v>885</v>
      </c>
      <c r="C195" s="290" t="s">
        <v>886</v>
      </c>
      <c r="D195" s="291" t="s">
        <v>887</v>
      </c>
      <c r="E195" s="162">
        <v>172588.07466400001</v>
      </c>
      <c r="F195" s="162">
        <f>ROUND(E195,0)</f>
        <v>172588</v>
      </c>
      <c r="G195" s="161">
        <f t="shared" si="55"/>
        <v>-7.466400001430884E-2</v>
      </c>
      <c r="H195" s="186"/>
      <c r="I195" s="161">
        <f t="shared" si="54"/>
        <v>172588</v>
      </c>
      <c r="J195" s="161">
        <f t="shared" si="35"/>
        <v>0</v>
      </c>
      <c r="K195" s="187"/>
      <c r="L195" s="161">
        <f t="shared" ref="L195:L205" si="56">ROUND(I195,0)</f>
        <v>172588</v>
      </c>
      <c r="M195" s="161">
        <f t="shared" si="36"/>
        <v>0</v>
      </c>
      <c r="N195" s="187"/>
    </row>
    <row r="196" spans="2:14" ht="16.899999999999999" customHeight="1" x14ac:dyDescent="0.25">
      <c r="B196" s="208" t="s">
        <v>888</v>
      </c>
      <c r="C196" s="290" t="s">
        <v>889</v>
      </c>
      <c r="D196" s="291" t="s">
        <v>890</v>
      </c>
      <c r="E196" s="210">
        <v>30540</v>
      </c>
      <c r="F196" s="210">
        <f>ROUND(E196,0)</f>
        <v>30540</v>
      </c>
      <c r="G196" s="161">
        <f>F196-E196</f>
        <v>0</v>
      </c>
      <c r="H196" s="319"/>
      <c r="I196" s="161">
        <f t="shared" si="54"/>
        <v>30540</v>
      </c>
      <c r="J196" s="161">
        <f t="shared" si="35"/>
        <v>0</v>
      </c>
      <c r="K196" s="187"/>
      <c r="L196" s="161">
        <f t="shared" si="56"/>
        <v>30540</v>
      </c>
      <c r="M196" s="161">
        <f t="shared" si="36"/>
        <v>0</v>
      </c>
      <c r="N196" s="320"/>
    </row>
    <row r="197" spans="2:14" ht="29.45" customHeight="1" x14ac:dyDescent="0.25">
      <c r="B197" s="208" t="s">
        <v>891</v>
      </c>
      <c r="C197" s="322" t="s">
        <v>892</v>
      </c>
      <c r="D197" s="284" t="s">
        <v>893</v>
      </c>
      <c r="E197" s="215">
        <v>185742</v>
      </c>
      <c r="F197" s="215">
        <f>ROUND(E197,0)+10013</f>
        <v>195755</v>
      </c>
      <c r="G197" s="191">
        <f t="shared" si="55"/>
        <v>10013</v>
      </c>
      <c r="H197" s="323" t="s">
        <v>894</v>
      </c>
      <c r="I197" s="191">
        <f t="shared" si="54"/>
        <v>195755</v>
      </c>
      <c r="J197" s="191">
        <f t="shared" si="35"/>
        <v>0</v>
      </c>
      <c r="K197" s="321"/>
      <c r="L197" s="191">
        <f t="shared" si="56"/>
        <v>195755</v>
      </c>
      <c r="M197" s="191">
        <f t="shared" si="36"/>
        <v>0</v>
      </c>
      <c r="N197" s="321"/>
    </row>
    <row r="198" spans="2:14" ht="27" customHeight="1" x14ac:dyDescent="0.25">
      <c r="B198" s="208" t="s">
        <v>895</v>
      </c>
      <c r="C198" s="322" t="s">
        <v>896</v>
      </c>
      <c r="D198" s="284" t="s">
        <v>897</v>
      </c>
      <c r="E198" s="215">
        <v>0</v>
      </c>
      <c r="F198" s="215">
        <f t="shared" ref="F198:F205" si="57">ROUND(E198,0)</f>
        <v>0</v>
      </c>
      <c r="G198" s="191">
        <f t="shared" si="55"/>
        <v>0</v>
      </c>
      <c r="H198" s="216"/>
      <c r="I198" s="191">
        <f t="shared" si="54"/>
        <v>0</v>
      </c>
      <c r="J198" s="191">
        <f t="shared" si="35"/>
        <v>0</v>
      </c>
      <c r="K198" s="217"/>
      <c r="L198" s="191">
        <f t="shared" si="56"/>
        <v>0</v>
      </c>
      <c r="M198" s="191">
        <f t="shared" si="36"/>
        <v>0</v>
      </c>
      <c r="N198" s="217"/>
    </row>
    <row r="199" spans="2:14" ht="15" customHeight="1" x14ac:dyDescent="0.25">
      <c r="B199" s="208" t="s">
        <v>898</v>
      </c>
      <c r="C199" s="283" t="s">
        <v>899</v>
      </c>
      <c r="D199" s="284" t="s">
        <v>900</v>
      </c>
      <c r="E199" s="215">
        <v>153395.37309000001</v>
      </c>
      <c r="F199" s="215">
        <f t="shared" si="57"/>
        <v>153395</v>
      </c>
      <c r="G199" s="191">
        <f t="shared" si="55"/>
        <v>-0.37309000000823289</v>
      </c>
      <c r="H199" s="324"/>
      <c r="I199" s="191">
        <f t="shared" si="54"/>
        <v>153395</v>
      </c>
      <c r="J199" s="191">
        <f t="shared" si="35"/>
        <v>0</v>
      </c>
      <c r="K199" s="321"/>
      <c r="L199" s="191">
        <f t="shared" si="56"/>
        <v>153395</v>
      </c>
      <c r="M199" s="191">
        <f t="shared" si="36"/>
        <v>0</v>
      </c>
      <c r="N199" s="321"/>
    </row>
    <row r="200" spans="2:14" ht="15.6" customHeight="1" x14ac:dyDescent="0.25">
      <c r="B200" s="208" t="s">
        <v>901</v>
      </c>
      <c r="C200" s="283" t="s">
        <v>902</v>
      </c>
      <c r="D200" s="284" t="s">
        <v>903</v>
      </c>
      <c r="E200" s="215">
        <v>64813.521870000011</v>
      </c>
      <c r="F200" s="215">
        <f t="shared" si="57"/>
        <v>64814</v>
      </c>
      <c r="G200" s="191">
        <f t="shared" si="55"/>
        <v>0.47812999998859596</v>
      </c>
      <c r="H200" s="324"/>
      <c r="I200" s="191">
        <f t="shared" si="54"/>
        <v>64814</v>
      </c>
      <c r="J200" s="191">
        <f t="shared" si="35"/>
        <v>0</v>
      </c>
      <c r="K200" s="321"/>
      <c r="L200" s="191">
        <f t="shared" si="56"/>
        <v>64814</v>
      </c>
      <c r="M200" s="191">
        <f t="shared" si="36"/>
        <v>0</v>
      </c>
      <c r="N200" s="321"/>
    </row>
    <row r="201" spans="2:14" ht="15" customHeight="1" x14ac:dyDescent="0.25">
      <c r="B201" s="208" t="s">
        <v>694</v>
      </c>
      <c r="C201" s="283" t="s">
        <v>904</v>
      </c>
      <c r="D201" s="284" t="s">
        <v>905</v>
      </c>
      <c r="E201" s="215">
        <v>765644.98647050001</v>
      </c>
      <c r="F201" s="215">
        <f t="shared" ref="F201" si="58">F202+F203</f>
        <v>765645</v>
      </c>
      <c r="G201" s="191">
        <f t="shared" si="55"/>
        <v>1.3529499992728233E-2</v>
      </c>
      <c r="H201" s="216"/>
      <c r="I201" s="191">
        <f>I202+I203</f>
        <v>765645</v>
      </c>
      <c r="J201" s="191">
        <f t="shared" ref="J201:J278" si="59">I201-F201</f>
        <v>0</v>
      </c>
      <c r="K201" s="217"/>
      <c r="L201" s="191">
        <f>L202+L203</f>
        <v>755645</v>
      </c>
      <c r="M201" s="191">
        <f t="shared" ref="M201:M278" si="60">L201-I201</f>
        <v>-10000</v>
      </c>
      <c r="N201" s="217"/>
    </row>
    <row r="202" spans="2:14" ht="15" customHeight="1" x14ac:dyDescent="0.25">
      <c r="B202" s="208"/>
      <c r="C202" s="325" t="s">
        <v>906</v>
      </c>
      <c r="D202" s="291" t="s">
        <v>907</v>
      </c>
      <c r="E202" s="210">
        <v>765644.98647050001</v>
      </c>
      <c r="F202" s="210">
        <f>ROUND(E202,0)-126968</f>
        <v>638677</v>
      </c>
      <c r="G202" s="317">
        <f t="shared" si="55"/>
        <v>-126967.98647050001</v>
      </c>
      <c r="H202" s="187" t="s">
        <v>908</v>
      </c>
      <c r="I202" s="161">
        <f>ROUND(F202,0)-43878</f>
        <v>594799</v>
      </c>
      <c r="J202" s="161">
        <f t="shared" si="59"/>
        <v>-43878</v>
      </c>
      <c r="K202" s="187" t="s">
        <v>909</v>
      </c>
      <c r="L202" s="161">
        <f>ROUND(I202,0)-10000</f>
        <v>584799</v>
      </c>
      <c r="M202" s="161">
        <f t="shared" si="60"/>
        <v>-10000</v>
      </c>
      <c r="N202" s="187" t="s">
        <v>910</v>
      </c>
    </row>
    <row r="203" spans="2:14" ht="15" customHeight="1" x14ac:dyDescent="0.25">
      <c r="B203" s="208"/>
      <c r="C203" s="326" t="s">
        <v>911</v>
      </c>
      <c r="D203" s="291" t="s">
        <v>912</v>
      </c>
      <c r="E203" s="210">
        <v>0</v>
      </c>
      <c r="F203" s="210">
        <v>126968</v>
      </c>
      <c r="G203" s="317">
        <f t="shared" si="55"/>
        <v>126968</v>
      </c>
      <c r="H203" s="186"/>
      <c r="I203" s="161">
        <f>ROUND(F203,0)+43878</f>
        <v>170846</v>
      </c>
      <c r="J203" s="161">
        <f t="shared" si="59"/>
        <v>43878</v>
      </c>
      <c r="K203" s="187" t="s">
        <v>909</v>
      </c>
      <c r="L203" s="161">
        <f t="shared" si="56"/>
        <v>170846</v>
      </c>
      <c r="M203" s="161">
        <f t="shared" si="60"/>
        <v>0</v>
      </c>
      <c r="N203" s="187"/>
    </row>
    <row r="204" spans="2:14" ht="15.6" customHeight="1" x14ac:dyDescent="0.25">
      <c r="B204" s="208" t="s">
        <v>913</v>
      </c>
      <c r="C204" s="283" t="s">
        <v>914</v>
      </c>
      <c r="D204" s="284" t="s">
        <v>915</v>
      </c>
      <c r="E204" s="215">
        <v>4000</v>
      </c>
      <c r="F204" s="215">
        <f t="shared" si="57"/>
        <v>4000</v>
      </c>
      <c r="G204" s="191">
        <f t="shared" si="55"/>
        <v>0</v>
      </c>
      <c r="H204" s="285"/>
      <c r="I204" s="191">
        <f>ROUND(F204,0)</f>
        <v>4000</v>
      </c>
      <c r="J204" s="191">
        <f t="shared" si="59"/>
        <v>0</v>
      </c>
      <c r="K204" s="286"/>
      <c r="L204" s="191">
        <f t="shared" si="56"/>
        <v>4000</v>
      </c>
      <c r="M204" s="191">
        <f t="shared" si="60"/>
        <v>0</v>
      </c>
      <c r="N204" s="286"/>
    </row>
    <row r="205" spans="2:14" ht="15.6" customHeight="1" x14ac:dyDescent="0.25">
      <c r="B205" s="208" t="s">
        <v>916</v>
      </c>
      <c r="C205" s="283" t="s">
        <v>917</v>
      </c>
      <c r="D205" s="284" t="s">
        <v>918</v>
      </c>
      <c r="E205" s="215">
        <v>19228</v>
      </c>
      <c r="F205" s="215">
        <f t="shared" si="57"/>
        <v>19228</v>
      </c>
      <c r="G205" s="191">
        <f t="shared" si="55"/>
        <v>0</v>
      </c>
      <c r="H205" s="285"/>
      <c r="I205" s="191">
        <f>ROUND(F205,0)</f>
        <v>19228</v>
      </c>
      <c r="J205" s="191">
        <f t="shared" si="59"/>
        <v>0</v>
      </c>
      <c r="K205" s="286"/>
      <c r="L205" s="191">
        <f t="shared" si="56"/>
        <v>19228</v>
      </c>
      <c r="M205" s="191">
        <f t="shared" si="60"/>
        <v>0</v>
      </c>
      <c r="N205" s="286"/>
    </row>
    <row r="206" spans="2:14" s="275" customFormat="1" ht="15.6" customHeight="1" x14ac:dyDescent="0.2">
      <c r="C206" s="287" t="s">
        <v>514</v>
      </c>
      <c r="D206" s="288" t="s">
        <v>919</v>
      </c>
      <c r="E206" s="169">
        <v>3797025.7610668591</v>
      </c>
      <c r="F206" s="169">
        <f t="shared" ref="F206" si="61">F207+F213+F216+F220+F221+F222+F223+F224</f>
        <v>3834372</v>
      </c>
      <c r="G206" s="168">
        <f>G207+G213+G216+G220+G221+G222</f>
        <v>37346.238933140878</v>
      </c>
      <c r="H206" s="172"/>
      <c r="I206" s="168">
        <f>I207+I213+I216+I220+I221+I222+I223+I224</f>
        <v>3834372</v>
      </c>
      <c r="J206" s="168">
        <f t="shared" si="59"/>
        <v>0</v>
      </c>
      <c r="K206" s="168"/>
      <c r="L206" s="168">
        <f>L207+L213+L216+L220+L221+L222+L223+L224</f>
        <v>3806675</v>
      </c>
      <c r="M206" s="168">
        <f t="shared" si="60"/>
        <v>-27697</v>
      </c>
      <c r="N206" s="168"/>
    </row>
    <row r="207" spans="2:14" s="275" customFormat="1" ht="15" customHeight="1" x14ac:dyDescent="0.25">
      <c r="C207" s="283" t="s">
        <v>517</v>
      </c>
      <c r="D207" s="284" t="s">
        <v>920</v>
      </c>
      <c r="E207" s="215">
        <v>2756987.0633929078</v>
      </c>
      <c r="F207" s="215">
        <f t="shared" ref="F207:G207" si="62">F208+F209+F210+F211+F212</f>
        <v>2756987</v>
      </c>
      <c r="G207" s="191">
        <f t="shared" si="62"/>
        <v>-6.3392907846719027E-2</v>
      </c>
      <c r="H207" s="218"/>
      <c r="I207" s="191">
        <f>I208+I209+I210+I211+I212</f>
        <v>2756987</v>
      </c>
      <c r="J207" s="191">
        <f t="shared" si="59"/>
        <v>0</v>
      </c>
      <c r="K207" s="191"/>
      <c r="L207" s="191">
        <f>L208+L209+L210+L211+L212</f>
        <v>2756987</v>
      </c>
      <c r="M207" s="191">
        <f t="shared" si="60"/>
        <v>0</v>
      </c>
      <c r="N207" s="191"/>
    </row>
    <row r="208" spans="2:14" s="327" customFormat="1" ht="18.600000000000001" customHeight="1" outlineLevel="1" x14ac:dyDescent="0.25">
      <c r="B208" s="327">
        <v>1010</v>
      </c>
      <c r="C208" s="325" t="s">
        <v>921</v>
      </c>
      <c r="D208" s="328" t="s">
        <v>922</v>
      </c>
      <c r="E208" s="329">
        <v>650934.06339290785</v>
      </c>
      <c r="F208" s="329">
        <f>ROUND(E208,0)</f>
        <v>650934</v>
      </c>
      <c r="G208" s="317">
        <f t="shared" si="55"/>
        <v>-6.3392907846719027E-2</v>
      </c>
      <c r="H208" s="330"/>
      <c r="I208" s="317">
        <f>ROUND(F208,0)</f>
        <v>650934</v>
      </c>
      <c r="J208" s="317">
        <f t="shared" si="59"/>
        <v>0</v>
      </c>
      <c r="K208" s="298"/>
      <c r="L208" s="317">
        <f>ROUND(I208,0)</f>
        <v>650934</v>
      </c>
      <c r="M208" s="317">
        <f t="shared" si="60"/>
        <v>0</v>
      </c>
      <c r="N208" s="298"/>
    </row>
    <row r="209" spans="2:14" s="327" customFormat="1" ht="16.149999999999999" customHeight="1" outlineLevel="1" x14ac:dyDescent="0.25">
      <c r="B209" s="327">
        <v>1010</v>
      </c>
      <c r="C209" s="326" t="s">
        <v>923</v>
      </c>
      <c r="D209" s="328" t="s">
        <v>924</v>
      </c>
      <c r="E209" s="329">
        <v>1598833</v>
      </c>
      <c r="F209" s="329">
        <f>ROUND(E209,0)</f>
        <v>1598833</v>
      </c>
      <c r="G209" s="317">
        <f t="shared" si="55"/>
        <v>0</v>
      </c>
      <c r="H209" s="186"/>
      <c r="I209" s="317">
        <f>ROUND(F209,0)</f>
        <v>1598833</v>
      </c>
      <c r="J209" s="317">
        <f t="shared" si="59"/>
        <v>0</v>
      </c>
      <c r="K209" s="213"/>
      <c r="L209" s="317">
        <f>ROUND(I209,0)</f>
        <v>1598833</v>
      </c>
      <c r="M209" s="317">
        <f t="shared" si="60"/>
        <v>0</v>
      </c>
      <c r="N209" s="213"/>
    </row>
    <row r="210" spans="2:14" s="327" customFormat="1" ht="17.45" customHeight="1" outlineLevel="1" x14ac:dyDescent="0.25">
      <c r="B210" s="327">
        <v>1010</v>
      </c>
      <c r="C210" s="326" t="s">
        <v>925</v>
      </c>
      <c r="D210" s="328" t="s">
        <v>926</v>
      </c>
      <c r="E210" s="329">
        <v>0</v>
      </c>
      <c r="F210" s="329">
        <f>ROUND(E210,0)</f>
        <v>0</v>
      </c>
      <c r="G210" s="317">
        <f t="shared" si="55"/>
        <v>0</v>
      </c>
      <c r="H210" s="212"/>
      <c r="I210" s="317">
        <f>ROUND(F210,0)</f>
        <v>0</v>
      </c>
      <c r="J210" s="317">
        <f t="shared" si="59"/>
        <v>0</v>
      </c>
      <c r="K210" s="213"/>
      <c r="L210" s="317">
        <f>ROUND(I210,0)</f>
        <v>0</v>
      </c>
      <c r="M210" s="317">
        <f t="shared" si="60"/>
        <v>0</v>
      </c>
      <c r="N210" s="213"/>
    </row>
    <row r="211" spans="2:14" s="327" customFormat="1" outlineLevel="1" x14ac:dyDescent="0.25">
      <c r="B211" s="327">
        <v>1012</v>
      </c>
      <c r="C211" s="326" t="s">
        <v>927</v>
      </c>
      <c r="D211" s="328" t="s">
        <v>928</v>
      </c>
      <c r="E211" s="329">
        <v>501000</v>
      </c>
      <c r="F211" s="329">
        <f>ROUND(E211,0)</f>
        <v>501000</v>
      </c>
      <c r="G211" s="317">
        <f t="shared" si="55"/>
        <v>0</v>
      </c>
      <c r="H211" s="330"/>
      <c r="I211" s="317">
        <f>ROUND(F211,0)</f>
        <v>501000</v>
      </c>
      <c r="J211" s="317">
        <f t="shared" si="59"/>
        <v>0</v>
      </c>
      <c r="K211" s="331"/>
      <c r="L211" s="317">
        <f>ROUND(I211,0)</f>
        <v>501000</v>
      </c>
      <c r="M211" s="317">
        <f t="shared" si="60"/>
        <v>0</v>
      </c>
      <c r="N211" s="331"/>
    </row>
    <row r="212" spans="2:14" s="327" customFormat="1" outlineLevel="1" x14ac:dyDescent="0.25">
      <c r="B212" s="327">
        <v>1015</v>
      </c>
      <c r="C212" s="326" t="s">
        <v>929</v>
      </c>
      <c r="D212" s="328" t="s">
        <v>930</v>
      </c>
      <c r="E212" s="329">
        <v>6220</v>
      </c>
      <c r="F212" s="329">
        <f>ROUND(E212,0)</f>
        <v>6220</v>
      </c>
      <c r="G212" s="317">
        <f t="shared" si="55"/>
        <v>0</v>
      </c>
      <c r="H212" s="330"/>
      <c r="I212" s="317">
        <f>ROUND(F212,0)</f>
        <v>6220</v>
      </c>
      <c r="J212" s="317">
        <f t="shared" si="59"/>
        <v>0</v>
      </c>
      <c r="K212" s="331"/>
      <c r="L212" s="317">
        <f>ROUND(I212,0)</f>
        <v>6220</v>
      </c>
      <c r="M212" s="317">
        <f t="shared" si="60"/>
        <v>0</v>
      </c>
      <c r="N212" s="331"/>
    </row>
    <row r="213" spans="2:14" s="275" customFormat="1" ht="19.5" customHeight="1" x14ac:dyDescent="0.25">
      <c r="C213" s="283" t="s">
        <v>522</v>
      </c>
      <c r="D213" s="284" t="s">
        <v>931</v>
      </c>
      <c r="E213" s="215">
        <v>14014</v>
      </c>
      <c r="F213" s="215">
        <f>F214+F215</f>
        <v>14244</v>
      </c>
      <c r="G213" s="191">
        <f t="shared" si="55"/>
        <v>230</v>
      </c>
      <c r="H213" s="216"/>
      <c r="I213" s="191">
        <f>I214+I215</f>
        <v>14244</v>
      </c>
      <c r="J213" s="191">
        <f t="shared" si="59"/>
        <v>0</v>
      </c>
      <c r="K213" s="217"/>
      <c r="L213" s="191">
        <f>L214+L215</f>
        <v>14244</v>
      </c>
      <c r="M213" s="191">
        <f t="shared" si="60"/>
        <v>0</v>
      </c>
      <c r="N213" s="217"/>
    </row>
    <row r="214" spans="2:14" s="327" customFormat="1" outlineLevel="1" x14ac:dyDescent="0.25">
      <c r="B214" s="327">
        <v>1011</v>
      </c>
      <c r="C214" s="326" t="s">
        <v>932</v>
      </c>
      <c r="D214" s="328" t="s">
        <v>933</v>
      </c>
      <c r="E214" s="329">
        <v>1407</v>
      </c>
      <c r="F214" s="329">
        <f>ROUND(E214,0)</f>
        <v>1407</v>
      </c>
      <c r="G214" s="317">
        <f t="shared" si="55"/>
        <v>0</v>
      </c>
      <c r="H214" s="330"/>
      <c r="I214" s="317">
        <f>ROUND(F214,0)</f>
        <v>1407</v>
      </c>
      <c r="J214" s="317">
        <f t="shared" si="59"/>
        <v>0</v>
      </c>
      <c r="K214" s="331"/>
      <c r="L214" s="317">
        <f>ROUND(I214,0)</f>
        <v>1407</v>
      </c>
      <c r="M214" s="317">
        <f t="shared" si="60"/>
        <v>0</v>
      </c>
      <c r="N214" s="331"/>
    </row>
    <row r="215" spans="2:14" s="327" customFormat="1" outlineLevel="1" x14ac:dyDescent="0.25">
      <c r="B215" s="327">
        <v>1011</v>
      </c>
      <c r="C215" s="326" t="s">
        <v>934</v>
      </c>
      <c r="D215" s="328" t="s">
        <v>935</v>
      </c>
      <c r="E215" s="329">
        <v>12607</v>
      </c>
      <c r="F215" s="329">
        <f>ROUND(E215,0)+230</f>
        <v>12837</v>
      </c>
      <c r="G215" s="317">
        <f t="shared" si="55"/>
        <v>230</v>
      </c>
      <c r="H215" s="331" t="s">
        <v>413</v>
      </c>
      <c r="I215" s="317">
        <f>ROUND(F215,0)</f>
        <v>12837</v>
      </c>
      <c r="J215" s="317">
        <f t="shared" si="59"/>
        <v>0</v>
      </c>
      <c r="K215" s="331"/>
      <c r="L215" s="317">
        <f>ROUND(I215,0)</f>
        <v>12837</v>
      </c>
      <c r="M215" s="317">
        <f t="shared" si="60"/>
        <v>0</v>
      </c>
      <c r="N215" s="331"/>
    </row>
    <row r="216" spans="2:14" s="275" customFormat="1" ht="27" customHeight="1" x14ac:dyDescent="0.25">
      <c r="C216" s="283" t="s">
        <v>524</v>
      </c>
      <c r="D216" s="284" t="s">
        <v>936</v>
      </c>
      <c r="E216" s="192">
        <v>622113.62317695003</v>
      </c>
      <c r="F216" s="192">
        <f t="shared" ref="F216:G216" si="63">SUM(F217:F219)</f>
        <v>659230</v>
      </c>
      <c r="G216" s="193">
        <f t="shared" si="63"/>
        <v>37116.376823049912</v>
      </c>
      <c r="H216" s="285"/>
      <c r="I216" s="193">
        <f>SUM(I217:I219)</f>
        <v>659230</v>
      </c>
      <c r="J216" s="193">
        <f t="shared" si="59"/>
        <v>0</v>
      </c>
      <c r="K216" s="286"/>
      <c r="L216" s="193">
        <f>SUM(L217:L219)</f>
        <v>631533</v>
      </c>
      <c r="M216" s="193">
        <f t="shared" si="60"/>
        <v>-27697</v>
      </c>
      <c r="N216" s="286"/>
    </row>
    <row r="217" spans="2:14" s="275" customFormat="1" ht="15" customHeight="1" x14ac:dyDescent="0.25">
      <c r="B217" s="120" t="s">
        <v>937</v>
      </c>
      <c r="C217" s="332" t="s">
        <v>938</v>
      </c>
      <c r="D217" s="333" t="s">
        <v>939</v>
      </c>
      <c r="E217" s="162">
        <v>402246.62317695009</v>
      </c>
      <c r="F217" s="162">
        <f>ROUND(E217,0)</f>
        <v>402247</v>
      </c>
      <c r="G217" s="161">
        <f t="shared" si="55"/>
        <v>0.37682304991176352</v>
      </c>
      <c r="H217" s="163"/>
      <c r="I217" s="161">
        <f>ROUND(F217,0)</f>
        <v>402247</v>
      </c>
      <c r="J217" s="161">
        <f t="shared" si="59"/>
        <v>0</v>
      </c>
      <c r="K217" s="298"/>
      <c r="L217" s="161">
        <f>ROUND(I217,0)-27697</f>
        <v>374550</v>
      </c>
      <c r="M217" s="161">
        <f t="shared" si="60"/>
        <v>-27697</v>
      </c>
      <c r="N217" s="298" t="s">
        <v>769</v>
      </c>
    </row>
    <row r="218" spans="2:14" s="275" customFormat="1" ht="15.75" customHeight="1" x14ac:dyDescent="0.25">
      <c r="B218" s="120" t="s">
        <v>937</v>
      </c>
      <c r="C218" s="334" t="s">
        <v>940</v>
      </c>
      <c r="D218" s="333" t="s">
        <v>941</v>
      </c>
      <c r="E218" s="162">
        <v>10250</v>
      </c>
      <c r="F218" s="162">
        <f>ROUND(E218,0)+38150</f>
        <v>48400</v>
      </c>
      <c r="G218" s="161">
        <f t="shared" si="55"/>
        <v>38150</v>
      </c>
      <c r="H218" s="164" t="s">
        <v>942</v>
      </c>
      <c r="I218" s="161">
        <f t="shared" ref="I218:I224" si="64">ROUND(F218,0)</f>
        <v>48400</v>
      </c>
      <c r="J218" s="161">
        <f t="shared" si="59"/>
        <v>0</v>
      </c>
      <c r="K218" s="164"/>
      <c r="L218" s="161">
        <f t="shared" ref="L218:L224" si="65">ROUND(I218,0)</f>
        <v>48400</v>
      </c>
      <c r="M218" s="161">
        <f t="shared" si="60"/>
        <v>0</v>
      </c>
      <c r="N218" s="164"/>
    </row>
    <row r="219" spans="2:14" s="275" customFormat="1" ht="15.6" customHeight="1" x14ac:dyDescent="0.25">
      <c r="B219" s="120" t="s">
        <v>943</v>
      </c>
      <c r="C219" s="332" t="s">
        <v>944</v>
      </c>
      <c r="D219" s="333" t="s">
        <v>945</v>
      </c>
      <c r="E219" s="162">
        <v>209617</v>
      </c>
      <c r="F219" s="162">
        <f>ROUND(E219,0)-1034</f>
        <v>208583</v>
      </c>
      <c r="G219" s="161">
        <f t="shared" si="55"/>
        <v>-1034</v>
      </c>
      <c r="H219" s="164" t="s">
        <v>413</v>
      </c>
      <c r="I219" s="161">
        <f t="shared" si="64"/>
        <v>208583</v>
      </c>
      <c r="J219" s="161">
        <f t="shared" si="59"/>
        <v>0</v>
      </c>
      <c r="K219" s="164"/>
      <c r="L219" s="161">
        <f t="shared" si="65"/>
        <v>208583</v>
      </c>
      <c r="M219" s="161">
        <f t="shared" si="60"/>
        <v>0</v>
      </c>
      <c r="N219" s="164"/>
    </row>
    <row r="220" spans="2:14" s="275" customFormat="1" ht="16.149999999999999" customHeight="1" x14ac:dyDescent="0.25">
      <c r="C220" s="283" t="s">
        <v>946</v>
      </c>
      <c r="D220" s="284" t="s">
        <v>947</v>
      </c>
      <c r="E220" s="215">
        <v>139599.07449700119</v>
      </c>
      <c r="F220" s="215">
        <f>ROUND(E220,0)</f>
        <v>139599</v>
      </c>
      <c r="G220" s="191">
        <f t="shared" si="55"/>
        <v>-7.4497001187410206E-2</v>
      </c>
      <c r="H220" s="285"/>
      <c r="I220" s="191">
        <f>ROUND(F220,0)</f>
        <v>139599</v>
      </c>
      <c r="J220" s="191">
        <f t="shared" si="59"/>
        <v>0</v>
      </c>
      <c r="K220" s="217"/>
      <c r="L220" s="191">
        <f t="shared" si="65"/>
        <v>139599</v>
      </c>
      <c r="M220" s="191">
        <f t="shared" si="60"/>
        <v>0</v>
      </c>
      <c r="N220" s="217"/>
    </row>
    <row r="221" spans="2:14" s="275" customFormat="1" ht="18.75" customHeight="1" x14ac:dyDescent="0.25">
      <c r="B221" s="120">
        <v>1016</v>
      </c>
      <c r="C221" s="283" t="s">
        <v>948</v>
      </c>
      <c r="D221" s="284" t="s">
        <v>587</v>
      </c>
      <c r="E221" s="215">
        <v>50000</v>
      </c>
      <c r="F221" s="215">
        <f>ROUND(E221,0)</f>
        <v>50000</v>
      </c>
      <c r="G221" s="191">
        <f t="shared" si="55"/>
        <v>0</v>
      </c>
      <c r="H221" s="285"/>
      <c r="I221" s="191">
        <f>ROUND(F221,0)</f>
        <v>50000</v>
      </c>
      <c r="J221" s="191">
        <f t="shared" si="59"/>
        <v>0</v>
      </c>
      <c r="K221" s="286"/>
      <c r="L221" s="191">
        <f t="shared" si="65"/>
        <v>50000</v>
      </c>
      <c r="M221" s="191">
        <f t="shared" si="60"/>
        <v>0</v>
      </c>
      <c r="N221" s="286"/>
    </row>
    <row r="222" spans="2:14" s="275" customFormat="1" ht="18.75" customHeight="1" x14ac:dyDescent="0.25">
      <c r="B222" s="120">
        <v>1017</v>
      </c>
      <c r="C222" s="283" t="s">
        <v>949</v>
      </c>
      <c r="D222" s="284" t="s">
        <v>589</v>
      </c>
      <c r="E222" s="215">
        <v>200000</v>
      </c>
      <c r="F222" s="215">
        <f>ROUND(E222,0)</f>
        <v>200000</v>
      </c>
      <c r="G222" s="191">
        <f t="shared" si="55"/>
        <v>0</v>
      </c>
      <c r="H222" s="285"/>
      <c r="I222" s="191">
        <f t="shared" si="64"/>
        <v>200000</v>
      </c>
      <c r="J222" s="191">
        <f t="shared" si="59"/>
        <v>0</v>
      </c>
      <c r="K222" s="286"/>
      <c r="L222" s="191">
        <f t="shared" si="65"/>
        <v>200000</v>
      </c>
      <c r="M222" s="191">
        <f t="shared" si="60"/>
        <v>0</v>
      </c>
      <c r="N222" s="286"/>
    </row>
    <row r="223" spans="2:14" ht="40.9" customHeight="1" x14ac:dyDescent="0.25">
      <c r="B223" s="120" t="s">
        <v>950</v>
      </c>
      <c r="C223" s="283" t="s">
        <v>951</v>
      </c>
      <c r="D223" s="284" t="s">
        <v>952</v>
      </c>
      <c r="E223" s="215">
        <v>10226</v>
      </c>
      <c r="F223" s="215">
        <f>ROUND(E223,0)</f>
        <v>10226</v>
      </c>
      <c r="G223" s="191">
        <f>F223-E223</f>
        <v>0</v>
      </c>
      <c r="H223" s="285"/>
      <c r="I223" s="161">
        <f t="shared" si="64"/>
        <v>10226</v>
      </c>
      <c r="J223" s="161">
        <f t="shared" si="59"/>
        <v>0</v>
      </c>
      <c r="K223" s="298"/>
      <c r="L223" s="161">
        <f t="shared" si="65"/>
        <v>10226</v>
      </c>
      <c r="M223" s="161">
        <f t="shared" si="60"/>
        <v>0</v>
      </c>
      <c r="N223" s="298"/>
    </row>
    <row r="224" spans="2:14" ht="44.45" customHeight="1" x14ac:dyDescent="0.25">
      <c r="B224" s="120" t="s">
        <v>953</v>
      </c>
      <c r="C224" s="283" t="s">
        <v>954</v>
      </c>
      <c r="D224" s="284" t="s">
        <v>955</v>
      </c>
      <c r="E224" s="215">
        <v>4086</v>
      </c>
      <c r="F224" s="215">
        <f>ROUND(E224,0)</f>
        <v>4086</v>
      </c>
      <c r="G224" s="191">
        <f>F224-E224</f>
        <v>0</v>
      </c>
      <c r="H224" s="285"/>
      <c r="I224" s="161">
        <f t="shared" si="64"/>
        <v>4086</v>
      </c>
      <c r="J224" s="161">
        <f t="shared" si="59"/>
        <v>0</v>
      </c>
      <c r="K224" s="298"/>
      <c r="L224" s="161">
        <f t="shared" si="65"/>
        <v>4086</v>
      </c>
      <c r="M224" s="161">
        <f t="shared" si="60"/>
        <v>0</v>
      </c>
      <c r="N224" s="298"/>
    </row>
    <row r="225" spans="2:14" x14ac:dyDescent="0.25">
      <c r="C225" s="287" t="s">
        <v>527</v>
      </c>
      <c r="D225" s="288" t="s">
        <v>956</v>
      </c>
      <c r="E225" s="169">
        <v>24609695.260866992</v>
      </c>
      <c r="F225" s="169">
        <f t="shared" ref="F225" si="66">F226+F227+F231+F235+F239+F243+F247+F258+F259+F277+F280+F283+F284+F285+F286+F287+F288+F289</f>
        <v>25093873</v>
      </c>
      <c r="G225" s="168">
        <f>F225-E225</f>
        <v>484177.73913300782</v>
      </c>
      <c r="H225" s="172"/>
      <c r="I225" s="168">
        <f>I226+I227+I231+I235+I239+I243+I247+I258+I259+I277+I280+I283+I284+I285+I286+I287+I288+I289</f>
        <v>25311613</v>
      </c>
      <c r="J225" s="168">
        <f t="shared" si="59"/>
        <v>217740</v>
      </c>
      <c r="K225" s="168"/>
      <c r="L225" s="168">
        <f>L226+L227+L231+L235+L239+L243+L247+L258+L259+L277+L280+L283+L284+L285+L286+L287+L288+L289</f>
        <v>25309401</v>
      </c>
      <c r="M225" s="168">
        <f t="shared" si="60"/>
        <v>-2212</v>
      </c>
      <c r="N225" s="168"/>
    </row>
    <row r="226" spans="2:14" ht="27.6" customHeight="1" x14ac:dyDescent="0.25">
      <c r="B226" s="335" t="s">
        <v>957</v>
      </c>
      <c r="C226" s="283" t="s">
        <v>958</v>
      </c>
      <c r="D226" s="292" t="s">
        <v>959</v>
      </c>
      <c r="E226" s="215">
        <v>750000</v>
      </c>
      <c r="F226" s="215">
        <f>ROUND(E226,0)</f>
        <v>750000</v>
      </c>
      <c r="G226" s="191">
        <f t="shared" si="55"/>
        <v>0</v>
      </c>
      <c r="H226" s="216"/>
      <c r="I226" s="191">
        <f>ROUND(F226,0)</f>
        <v>750000</v>
      </c>
      <c r="J226" s="191">
        <f t="shared" si="59"/>
        <v>0</v>
      </c>
      <c r="K226" s="217"/>
      <c r="L226" s="191">
        <f>ROUND(I226,0)</f>
        <v>750000</v>
      </c>
      <c r="M226" s="191">
        <f t="shared" si="60"/>
        <v>0</v>
      </c>
      <c r="N226" s="217"/>
    </row>
    <row r="227" spans="2:14" ht="18" customHeight="1" x14ac:dyDescent="0.25">
      <c r="C227" s="283" t="s">
        <v>960</v>
      </c>
      <c r="D227" s="292" t="s">
        <v>961</v>
      </c>
      <c r="E227" s="215">
        <v>2321467.5649073655</v>
      </c>
      <c r="F227" s="215">
        <f t="shared" ref="F227" si="67">SUM(F228:F230)</f>
        <v>2327886</v>
      </c>
      <c r="G227" s="191">
        <f t="shared" si="55"/>
        <v>6418.4350926345214</v>
      </c>
      <c r="H227" s="285"/>
      <c r="I227" s="191">
        <f>SUM(I228:I230)</f>
        <v>2335378</v>
      </c>
      <c r="J227" s="191">
        <f t="shared" si="59"/>
        <v>7492</v>
      </c>
      <c r="K227" s="286"/>
      <c r="L227" s="191">
        <f>SUM(L228:L230)</f>
        <v>2312869</v>
      </c>
      <c r="M227" s="191">
        <f t="shared" si="60"/>
        <v>-22509</v>
      </c>
      <c r="N227" s="286"/>
    </row>
    <row r="228" spans="2:14" ht="16.149999999999999" customHeight="1" x14ac:dyDescent="0.25">
      <c r="B228" s="208" t="s">
        <v>962</v>
      </c>
      <c r="C228" s="290" t="s">
        <v>963</v>
      </c>
      <c r="D228" s="257" t="s">
        <v>964</v>
      </c>
      <c r="E228" s="337">
        <v>413462</v>
      </c>
      <c r="F228" s="337">
        <f>ROUND(E228,0)+399+324</f>
        <v>414185</v>
      </c>
      <c r="G228" s="336">
        <f t="shared" si="55"/>
        <v>723</v>
      </c>
      <c r="H228" s="187" t="s">
        <v>965</v>
      </c>
      <c r="I228" s="336">
        <f>ROUND(F228,0)+7380+112</f>
        <v>421677</v>
      </c>
      <c r="J228" s="336">
        <f t="shared" si="59"/>
        <v>7492</v>
      </c>
      <c r="K228" s="187" t="s">
        <v>966</v>
      </c>
      <c r="L228" s="336">
        <f>ROUND(I228,0)</f>
        <v>421677</v>
      </c>
      <c r="M228" s="336">
        <f t="shared" si="60"/>
        <v>0</v>
      </c>
      <c r="N228" s="187"/>
    </row>
    <row r="229" spans="2:14" ht="15" customHeight="1" x14ac:dyDescent="0.25">
      <c r="B229" s="208" t="s">
        <v>967</v>
      </c>
      <c r="C229" s="290" t="s">
        <v>968</v>
      </c>
      <c r="D229" s="257" t="s">
        <v>969</v>
      </c>
      <c r="E229" s="337">
        <v>1908005.5649073652</v>
      </c>
      <c r="F229" s="337">
        <f>ROUND(E229,0)-160317+5695</f>
        <v>1753384</v>
      </c>
      <c r="G229" s="336">
        <f t="shared" si="55"/>
        <v>-154621.56490736525</v>
      </c>
      <c r="H229" s="187" t="s">
        <v>970</v>
      </c>
      <c r="I229" s="336">
        <f>ROUND(F229,0)-145959</f>
        <v>1607425</v>
      </c>
      <c r="J229" s="336">
        <f t="shared" si="59"/>
        <v>-145959</v>
      </c>
      <c r="K229" s="187" t="s">
        <v>971</v>
      </c>
      <c r="L229" s="336">
        <f>ROUND(I229,0)-22509</f>
        <v>1584916</v>
      </c>
      <c r="M229" s="336">
        <f t="shared" si="60"/>
        <v>-22509</v>
      </c>
      <c r="N229" s="187" t="s">
        <v>769</v>
      </c>
    </row>
    <row r="230" spans="2:14" ht="15" customHeight="1" x14ac:dyDescent="0.25">
      <c r="B230" s="208"/>
      <c r="C230" s="290" t="s">
        <v>972</v>
      </c>
      <c r="D230" s="257" t="s">
        <v>973</v>
      </c>
      <c r="E230" s="337"/>
      <c r="F230" s="337">
        <v>160317</v>
      </c>
      <c r="G230" s="336">
        <f t="shared" si="55"/>
        <v>160317</v>
      </c>
      <c r="H230" s="338"/>
      <c r="I230" s="336">
        <f>ROUND(F230,0)+145959</f>
        <v>306276</v>
      </c>
      <c r="J230" s="336">
        <f>I230-F230</f>
        <v>145959</v>
      </c>
      <c r="K230" s="187" t="s">
        <v>971</v>
      </c>
      <c r="L230" s="336">
        <f>ROUND(I230,0)</f>
        <v>306276</v>
      </c>
      <c r="M230" s="336">
        <f t="shared" si="60"/>
        <v>0</v>
      </c>
      <c r="N230" s="187"/>
    </row>
    <row r="231" spans="2:14" ht="18" customHeight="1" x14ac:dyDescent="0.25">
      <c r="C231" s="283" t="s">
        <v>974</v>
      </c>
      <c r="D231" s="292" t="s">
        <v>975</v>
      </c>
      <c r="E231" s="215">
        <v>1447835.9786112006</v>
      </c>
      <c r="F231" s="215">
        <f t="shared" ref="F231" si="68">F232+F233+F234</f>
        <v>1429177</v>
      </c>
      <c r="G231" s="191">
        <f t="shared" si="55"/>
        <v>-18658.978611200582</v>
      </c>
      <c r="H231" s="285"/>
      <c r="I231" s="191">
        <f>I232+I233+I234</f>
        <v>1432166</v>
      </c>
      <c r="J231" s="191">
        <f t="shared" si="59"/>
        <v>2989</v>
      </c>
      <c r="K231" s="286"/>
      <c r="L231" s="191">
        <f>L232+L233+L234</f>
        <v>1426182</v>
      </c>
      <c r="M231" s="191">
        <f t="shared" si="60"/>
        <v>-5984</v>
      </c>
      <c r="N231" s="286"/>
    </row>
    <row r="232" spans="2:14" ht="16.5" customHeight="1" x14ac:dyDescent="0.25">
      <c r="B232" s="208" t="s">
        <v>976</v>
      </c>
      <c r="C232" s="290" t="s">
        <v>977</v>
      </c>
      <c r="D232" s="257" t="s">
        <v>964</v>
      </c>
      <c r="E232" s="162">
        <v>158733</v>
      </c>
      <c r="F232" s="162">
        <f>ROUND(E232,0)+525</f>
        <v>159258</v>
      </c>
      <c r="G232" s="161">
        <f t="shared" si="55"/>
        <v>525</v>
      </c>
      <c r="H232" s="187" t="s">
        <v>965</v>
      </c>
      <c r="I232" s="161">
        <f>ROUND(F232,0)+2989</f>
        <v>162247</v>
      </c>
      <c r="J232" s="161">
        <f t="shared" si="59"/>
        <v>2989</v>
      </c>
      <c r="K232" s="187" t="s">
        <v>966</v>
      </c>
      <c r="L232" s="161">
        <f>ROUND(I232,0)</f>
        <v>162247</v>
      </c>
      <c r="M232" s="161">
        <f t="shared" si="60"/>
        <v>0</v>
      </c>
      <c r="N232" s="187"/>
    </row>
    <row r="233" spans="2:14" ht="27" customHeight="1" x14ac:dyDescent="0.25">
      <c r="B233" s="208" t="s">
        <v>978</v>
      </c>
      <c r="C233" s="290" t="s">
        <v>979</v>
      </c>
      <c r="D233" s="257" t="s">
        <v>969</v>
      </c>
      <c r="E233" s="162">
        <v>1289102.9786112006</v>
      </c>
      <c r="F233" s="162">
        <f>ROUND(E233,0)-119772-19184</f>
        <v>1150147</v>
      </c>
      <c r="G233" s="161">
        <f t="shared" si="55"/>
        <v>-138955.97861120058</v>
      </c>
      <c r="H233" s="187" t="s">
        <v>970</v>
      </c>
      <c r="I233" s="161">
        <f>ROUND(F233,0)-64977</f>
        <v>1085170</v>
      </c>
      <c r="J233" s="161">
        <f t="shared" si="59"/>
        <v>-64977</v>
      </c>
      <c r="K233" s="187" t="s">
        <v>980</v>
      </c>
      <c r="L233" s="161">
        <f>ROUND(I233,0)-3036</f>
        <v>1082134</v>
      </c>
      <c r="M233" s="161">
        <f t="shared" si="60"/>
        <v>-3036</v>
      </c>
      <c r="N233" s="187" t="s">
        <v>769</v>
      </c>
    </row>
    <row r="234" spans="2:14" ht="13.15" customHeight="1" x14ac:dyDescent="0.25">
      <c r="B234" s="208"/>
      <c r="C234" s="290" t="s">
        <v>981</v>
      </c>
      <c r="D234" s="257" t="s">
        <v>973</v>
      </c>
      <c r="E234" s="162"/>
      <c r="F234" s="162">
        <v>119772</v>
      </c>
      <c r="G234" s="161">
        <f t="shared" si="55"/>
        <v>119772</v>
      </c>
      <c r="H234" s="186"/>
      <c r="I234" s="161">
        <f>ROUND(F234,0)+64977</f>
        <v>184749</v>
      </c>
      <c r="J234" s="161">
        <f>I234-F234</f>
        <v>64977</v>
      </c>
      <c r="K234" s="187" t="s">
        <v>980</v>
      </c>
      <c r="L234" s="161">
        <f>ROUND(I234,0)-2948</f>
        <v>181801</v>
      </c>
      <c r="M234" s="161">
        <f t="shared" si="60"/>
        <v>-2948</v>
      </c>
      <c r="N234" s="187" t="s">
        <v>769</v>
      </c>
    </row>
    <row r="235" spans="2:14" ht="18" customHeight="1" x14ac:dyDescent="0.25">
      <c r="C235" s="339" t="s">
        <v>982</v>
      </c>
      <c r="D235" s="292" t="s">
        <v>983</v>
      </c>
      <c r="E235" s="215">
        <v>1594129.4529886562</v>
      </c>
      <c r="F235" s="215">
        <f>F236+F237+F238</f>
        <v>1595142</v>
      </c>
      <c r="G235" s="191">
        <f t="shared" si="55"/>
        <v>1012.5470113437623</v>
      </c>
      <c r="H235" s="285"/>
      <c r="I235" s="191">
        <f>I236+I237+I238</f>
        <v>1599680</v>
      </c>
      <c r="J235" s="191">
        <f t="shared" si="59"/>
        <v>4538</v>
      </c>
      <c r="K235" s="286"/>
      <c r="L235" s="191">
        <f>L236+L237+L238</f>
        <v>1599680</v>
      </c>
      <c r="M235" s="191">
        <f t="shared" si="60"/>
        <v>0</v>
      </c>
      <c r="N235" s="286"/>
    </row>
    <row r="236" spans="2:14" ht="13.5" customHeight="1" x14ac:dyDescent="0.25">
      <c r="B236" s="120" t="s">
        <v>984</v>
      </c>
      <c r="C236" s="290" t="s">
        <v>985</v>
      </c>
      <c r="D236" s="257" t="s">
        <v>964</v>
      </c>
      <c r="E236" s="162">
        <v>238164</v>
      </c>
      <c r="F236" s="162">
        <f>ROUND(E236,0)+1013</f>
        <v>239177</v>
      </c>
      <c r="G236" s="161">
        <f t="shared" si="55"/>
        <v>1013</v>
      </c>
      <c r="H236" s="187" t="s">
        <v>965</v>
      </c>
      <c r="I236" s="161">
        <f>ROUND(F236,0)+4538</f>
        <v>243715</v>
      </c>
      <c r="J236" s="161">
        <f t="shared" si="59"/>
        <v>4538</v>
      </c>
      <c r="K236" s="164" t="s">
        <v>986</v>
      </c>
      <c r="L236" s="161">
        <f>ROUND(I236,0)</f>
        <v>243715</v>
      </c>
      <c r="M236" s="161">
        <f t="shared" si="60"/>
        <v>0</v>
      </c>
      <c r="N236" s="187"/>
    </row>
    <row r="237" spans="2:14" ht="17.45" customHeight="1" x14ac:dyDescent="0.25">
      <c r="B237" s="120" t="s">
        <v>987</v>
      </c>
      <c r="C237" s="290" t="s">
        <v>988</v>
      </c>
      <c r="D237" s="257" t="s">
        <v>969</v>
      </c>
      <c r="E237" s="162">
        <v>1201933.4529886562</v>
      </c>
      <c r="F237" s="162">
        <f>ROUND(E237,0)-10900</f>
        <v>1191033</v>
      </c>
      <c r="G237" s="161">
        <f t="shared" si="55"/>
        <v>-10900.452988656238</v>
      </c>
      <c r="H237" s="379" t="s">
        <v>989</v>
      </c>
      <c r="I237" s="161">
        <f>ROUND(F237,0)</f>
        <v>1191033</v>
      </c>
      <c r="J237" s="161">
        <f t="shared" si="59"/>
        <v>0</v>
      </c>
      <c r="K237" s="187"/>
      <c r="L237" s="161">
        <f>ROUND(I237,0)</f>
        <v>1191033</v>
      </c>
      <c r="M237" s="161">
        <f t="shared" si="60"/>
        <v>0</v>
      </c>
      <c r="N237" s="187"/>
    </row>
    <row r="238" spans="2:14" ht="17.45" customHeight="1" x14ac:dyDescent="0.25">
      <c r="C238" s="290" t="s">
        <v>990</v>
      </c>
      <c r="D238" s="257" t="s">
        <v>973</v>
      </c>
      <c r="E238" s="162">
        <v>154032</v>
      </c>
      <c r="F238" s="162">
        <f>ROUND(E238,0)+10900</f>
        <v>164932</v>
      </c>
      <c r="G238" s="161">
        <f>F238-E238</f>
        <v>10900</v>
      </c>
      <c r="H238" s="380"/>
      <c r="I238" s="161">
        <f>ROUND(F238,0)</f>
        <v>164932</v>
      </c>
      <c r="J238" s="161">
        <f t="shared" si="59"/>
        <v>0</v>
      </c>
      <c r="K238" s="187"/>
      <c r="L238" s="161">
        <f>ROUND(I238,0)</f>
        <v>164932</v>
      </c>
      <c r="M238" s="161">
        <f t="shared" si="60"/>
        <v>0</v>
      </c>
      <c r="N238" s="187"/>
    </row>
    <row r="239" spans="2:14" x14ac:dyDescent="0.25">
      <c r="B239" s="120" t="s">
        <v>991</v>
      </c>
      <c r="C239" s="339" t="s">
        <v>992</v>
      </c>
      <c r="D239" s="292" t="s">
        <v>993</v>
      </c>
      <c r="E239" s="215">
        <v>1451440.1020564402</v>
      </c>
      <c r="F239" s="215">
        <f t="shared" ref="F239" si="69">SUM(F240:F242)</f>
        <v>1453093</v>
      </c>
      <c r="G239" s="191">
        <f t="shared" si="55"/>
        <v>1652.8979435598012</v>
      </c>
      <c r="H239" s="285"/>
      <c r="I239" s="191">
        <f>SUM(I240:I242)</f>
        <v>1456118</v>
      </c>
      <c r="J239" s="191">
        <f t="shared" si="59"/>
        <v>3025</v>
      </c>
      <c r="K239" s="286"/>
      <c r="L239" s="191">
        <f>SUM(L240:L242)</f>
        <v>1451590</v>
      </c>
      <c r="M239" s="191">
        <f t="shared" si="60"/>
        <v>-4528</v>
      </c>
      <c r="N239" s="286"/>
    </row>
    <row r="240" spans="2:14" s="341" customFormat="1" ht="17.25" customHeight="1" x14ac:dyDescent="0.25">
      <c r="B240" s="340" t="s">
        <v>994</v>
      </c>
      <c r="C240" s="290" t="s">
        <v>995</v>
      </c>
      <c r="D240" s="257" t="s">
        <v>964</v>
      </c>
      <c r="E240" s="162">
        <v>152284</v>
      </c>
      <c r="F240" s="162">
        <f>ROUND(E240,0)+1917-264</f>
        <v>153937</v>
      </c>
      <c r="G240" s="336">
        <f t="shared" si="55"/>
        <v>1653</v>
      </c>
      <c r="H240" s="187" t="s">
        <v>965</v>
      </c>
      <c r="I240" s="161">
        <f>ROUND(F240,0)+3025</f>
        <v>156962</v>
      </c>
      <c r="J240" s="336">
        <f t="shared" si="59"/>
        <v>3025</v>
      </c>
      <c r="K240" s="164" t="s">
        <v>986</v>
      </c>
      <c r="L240" s="161">
        <f>ROUND(I240,0)</f>
        <v>156962</v>
      </c>
      <c r="M240" s="336">
        <f t="shared" si="60"/>
        <v>0</v>
      </c>
      <c r="N240" s="164"/>
    </row>
    <row r="241" spans="2:14" s="341" customFormat="1" ht="15.6" customHeight="1" x14ac:dyDescent="0.25">
      <c r="C241" s="290" t="s">
        <v>996</v>
      </c>
      <c r="D241" s="257" t="s">
        <v>969</v>
      </c>
      <c r="E241" s="162">
        <v>1154321.1020564402</v>
      </c>
      <c r="F241" s="162">
        <f>ROUND(E241,0)</f>
        <v>1154321</v>
      </c>
      <c r="G241" s="336">
        <f t="shared" si="55"/>
        <v>-0.10205644019879401</v>
      </c>
      <c r="H241" s="186"/>
      <c r="I241" s="161">
        <f>ROUND(F241,0)</f>
        <v>1154321</v>
      </c>
      <c r="J241" s="336">
        <f t="shared" si="59"/>
        <v>0</v>
      </c>
      <c r="K241" s="164"/>
      <c r="L241" s="161">
        <f>ROUND(I241,0)-4528</f>
        <v>1149793</v>
      </c>
      <c r="M241" s="336">
        <f t="shared" si="60"/>
        <v>-4528</v>
      </c>
      <c r="N241" s="164" t="s">
        <v>769</v>
      </c>
    </row>
    <row r="242" spans="2:14" s="341" customFormat="1" ht="13.9" customHeight="1" x14ac:dyDescent="0.25">
      <c r="C242" s="290" t="s">
        <v>997</v>
      </c>
      <c r="D242" s="257" t="s">
        <v>973</v>
      </c>
      <c r="E242" s="162">
        <v>144835</v>
      </c>
      <c r="F242" s="162">
        <f>ROUND(E242,0)</f>
        <v>144835</v>
      </c>
      <c r="G242" s="336">
        <f>F242-E242</f>
        <v>0</v>
      </c>
      <c r="H242" s="186"/>
      <c r="I242" s="161">
        <f>ROUND(F242,0)</f>
        <v>144835</v>
      </c>
      <c r="J242" s="336">
        <f t="shared" si="59"/>
        <v>0</v>
      </c>
      <c r="K242" s="187"/>
      <c r="L242" s="161">
        <f>ROUND(I242,0)</f>
        <v>144835</v>
      </c>
      <c r="M242" s="336">
        <f t="shared" si="60"/>
        <v>0</v>
      </c>
      <c r="N242" s="187"/>
    </row>
    <row r="243" spans="2:14" x14ac:dyDescent="0.25">
      <c r="C243" s="339" t="s">
        <v>998</v>
      </c>
      <c r="D243" s="292" t="s">
        <v>999</v>
      </c>
      <c r="E243" s="215">
        <v>2861690</v>
      </c>
      <c r="F243" s="215">
        <f>F244+F245+F246</f>
        <v>2818998</v>
      </c>
      <c r="G243" s="191">
        <f t="shared" si="55"/>
        <v>-42692</v>
      </c>
      <c r="H243" s="285"/>
      <c r="I243" s="191">
        <f>I244+I245+I246</f>
        <v>2827823</v>
      </c>
      <c r="J243" s="191">
        <f t="shared" si="59"/>
        <v>8825</v>
      </c>
      <c r="K243" s="286"/>
      <c r="L243" s="191">
        <f>L244+L245+L246</f>
        <v>2827823</v>
      </c>
      <c r="M243" s="191">
        <f t="shared" si="60"/>
        <v>0</v>
      </c>
      <c r="N243" s="286"/>
    </row>
    <row r="244" spans="2:14" s="341" customFormat="1" ht="16.899999999999999" customHeight="1" x14ac:dyDescent="0.25">
      <c r="B244" s="340" t="s">
        <v>1000</v>
      </c>
      <c r="C244" s="342" t="s">
        <v>1001</v>
      </c>
      <c r="D244" s="343" t="s">
        <v>1002</v>
      </c>
      <c r="E244" s="162">
        <v>833320</v>
      </c>
      <c r="F244" s="162">
        <f>ROUND(E244,0)-44403+1711</f>
        <v>790628</v>
      </c>
      <c r="G244" s="336">
        <f t="shared" si="55"/>
        <v>-42692</v>
      </c>
      <c r="H244" s="214" t="s">
        <v>1003</v>
      </c>
      <c r="I244" s="161">
        <f>ROUND(F244,0)+8825</f>
        <v>799453</v>
      </c>
      <c r="J244" s="336">
        <f t="shared" si="59"/>
        <v>8825</v>
      </c>
      <c r="K244" s="320" t="s">
        <v>1004</v>
      </c>
      <c r="L244" s="161">
        <f>ROUND(I244,0)</f>
        <v>799453</v>
      </c>
      <c r="M244" s="336">
        <f t="shared" si="60"/>
        <v>0</v>
      </c>
      <c r="N244" s="164"/>
    </row>
    <row r="245" spans="2:14" s="341" customFormat="1" ht="16.149999999999999" customHeight="1" x14ac:dyDescent="0.25">
      <c r="B245" s="340" t="s">
        <v>1005</v>
      </c>
      <c r="C245" s="342" t="s">
        <v>1006</v>
      </c>
      <c r="D245" s="343" t="s">
        <v>1007</v>
      </c>
      <c r="E245" s="162">
        <v>1865620</v>
      </c>
      <c r="F245" s="162">
        <f>ROUND(E245,0)</f>
        <v>1865620</v>
      </c>
      <c r="G245" s="336">
        <f t="shared" si="55"/>
        <v>0</v>
      </c>
      <c r="H245" s="163"/>
      <c r="I245" s="161">
        <f>ROUND(F245,0)</f>
        <v>1865620</v>
      </c>
      <c r="J245" s="336">
        <f t="shared" si="59"/>
        <v>0</v>
      </c>
      <c r="K245" s="164"/>
      <c r="L245" s="161">
        <f>ROUND(I245,0)</f>
        <v>1865620</v>
      </c>
      <c r="M245" s="336">
        <f t="shared" si="60"/>
        <v>0</v>
      </c>
      <c r="N245" s="164"/>
    </row>
    <row r="246" spans="2:14" x14ac:dyDescent="0.25">
      <c r="B246" s="208" t="s">
        <v>1005</v>
      </c>
      <c r="C246" s="290" t="s">
        <v>1008</v>
      </c>
      <c r="D246" s="257" t="s">
        <v>1009</v>
      </c>
      <c r="E246" s="162">
        <v>162750</v>
      </c>
      <c r="F246" s="162">
        <f>ROUND(E246,0)</f>
        <v>162750</v>
      </c>
      <c r="G246" s="336">
        <f t="shared" si="55"/>
        <v>0</v>
      </c>
      <c r="H246" s="163"/>
      <c r="I246" s="161">
        <f>ROUND(F246,0)</f>
        <v>162750</v>
      </c>
      <c r="J246" s="336">
        <f t="shared" si="59"/>
        <v>0</v>
      </c>
      <c r="K246" s="164"/>
      <c r="L246" s="161">
        <f>ROUND(I246,0)</f>
        <v>162750</v>
      </c>
      <c r="M246" s="336">
        <f t="shared" si="60"/>
        <v>0</v>
      </c>
      <c r="N246" s="164"/>
    </row>
    <row r="247" spans="2:14" s="275" customFormat="1" ht="15.75" customHeight="1" x14ac:dyDescent="0.2">
      <c r="C247" s="339" t="s">
        <v>1010</v>
      </c>
      <c r="D247" s="292" t="s">
        <v>1011</v>
      </c>
      <c r="E247" s="294">
        <v>2139500.4741500001</v>
      </c>
      <c r="F247" s="294">
        <f>F248+F252+F253+F254+F255+F256+F257</f>
        <v>2133236</v>
      </c>
      <c r="G247" s="293">
        <f t="shared" si="55"/>
        <v>-6264.4741500001401</v>
      </c>
      <c r="H247" s="304"/>
      <c r="I247" s="293">
        <f>I248+I252+I253+I254+I255+I256+I257</f>
        <v>2205896</v>
      </c>
      <c r="J247" s="293">
        <f t="shared" si="59"/>
        <v>72660</v>
      </c>
      <c r="K247" s="305"/>
      <c r="L247" s="293">
        <f>L248+L252+L253+L254+L255+L256+L257</f>
        <v>2200705</v>
      </c>
      <c r="M247" s="293">
        <f t="shared" si="60"/>
        <v>-5191</v>
      </c>
      <c r="N247" s="305"/>
    </row>
    <row r="248" spans="2:14" s="158" customFormat="1" ht="17.25" customHeight="1" x14ac:dyDescent="0.25">
      <c r="B248" s="182" t="s">
        <v>1012</v>
      </c>
      <c r="C248" s="290" t="s">
        <v>1013</v>
      </c>
      <c r="D248" s="257" t="s">
        <v>964</v>
      </c>
      <c r="E248" s="162">
        <v>1127101</v>
      </c>
      <c r="F248" s="162">
        <f>F249+F250+F251</f>
        <v>1201531</v>
      </c>
      <c r="G248" s="161">
        <f t="shared" si="55"/>
        <v>74430</v>
      </c>
      <c r="H248" s="214" t="s">
        <v>1003</v>
      </c>
      <c r="I248" s="161">
        <f>I249+I250+I251</f>
        <v>1239539</v>
      </c>
      <c r="J248" s="161">
        <f t="shared" si="59"/>
        <v>38008</v>
      </c>
      <c r="K248" s="187"/>
      <c r="L248" s="161">
        <f>L249+L250+L251</f>
        <v>1239539</v>
      </c>
      <c r="M248" s="161">
        <f t="shared" si="60"/>
        <v>0</v>
      </c>
      <c r="N248" s="187"/>
    </row>
    <row r="249" spans="2:14" s="347" customFormat="1" ht="17.25" customHeight="1" x14ac:dyDescent="0.25">
      <c r="B249" s="344"/>
      <c r="C249" s="309" t="s">
        <v>1014</v>
      </c>
      <c r="D249" s="310" t="s">
        <v>1015</v>
      </c>
      <c r="E249" s="345">
        <v>1070901</v>
      </c>
      <c r="F249" s="345">
        <f>1070901+22307</f>
        <v>1093208</v>
      </c>
      <c r="G249" s="311">
        <f t="shared" si="55"/>
        <v>22307</v>
      </c>
      <c r="H249" s="346" t="s">
        <v>1003</v>
      </c>
      <c r="I249" s="311">
        <f t="shared" ref="I249:I258" si="70">ROUND(F249,0)</f>
        <v>1093208</v>
      </c>
      <c r="J249" s="311">
        <f t="shared" si="59"/>
        <v>0</v>
      </c>
      <c r="K249" s="320"/>
      <c r="L249" s="311">
        <f t="shared" ref="L249:L258" si="71">ROUND(I249,0)</f>
        <v>1093208</v>
      </c>
      <c r="M249" s="161">
        <f t="shared" si="60"/>
        <v>0</v>
      </c>
      <c r="N249" s="320"/>
    </row>
    <row r="250" spans="2:14" s="347" customFormat="1" ht="19.899999999999999" customHeight="1" x14ac:dyDescent="0.25">
      <c r="B250" s="344"/>
      <c r="C250" s="309" t="s">
        <v>1016</v>
      </c>
      <c r="D250" s="310" t="s">
        <v>1017</v>
      </c>
      <c r="E250" s="345">
        <v>56200</v>
      </c>
      <c r="F250" s="345">
        <f>56200+52004-31</f>
        <v>108173</v>
      </c>
      <c r="G250" s="311">
        <f t="shared" si="55"/>
        <v>51973</v>
      </c>
      <c r="H250" s="346" t="s">
        <v>1003</v>
      </c>
      <c r="I250" s="311">
        <f>ROUND(F250,0)+18425</f>
        <v>126598</v>
      </c>
      <c r="J250" s="311">
        <f t="shared" si="59"/>
        <v>18425</v>
      </c>
      <c r="K250" s="320" t="s">
        <v>1004</v>
      </c>
      <c r="L250" s="311">
        <f t="shared" si="71"/>
        <v>126598</v>
      </c>
      <c r="M250" s="161">
        <f t="shared" si="60"/>
        <v>0</v>
      </c>
      <c r="N250" s="320"/>
    </row>
    <row r="251" spans="2:14" s="347" customFormat="1" ht="17.25" customHeight="1" x14ac:dyDescent="0.25">
      <c r="B251" s="344"/>
      <c r="C251" s="309" t="s">
        <v>1018</v>
      </c>
      <c r="D251" s="310" t="s">
        <v>1019</v>
      </c>
      <c r="E251" s="345"/>
      <c r="F251" s="345">
        <v>150</v>
      </c>
      <c r="G251" s="311">
        <f t="shared" si="55"/>
        <v>150</v>
      </c>
      <c r="H251" s="346" t="s">
        <v>1003</v>
      </c>
      <c r="I251" s="311">
        <f>ROUND(F251,0)+19583</f>
        <v>19733</v>
      </c>
      <c r="J251" s="311">
        <f t="shared" si="59"/>
        <v>19583</v>
      </c>
      <c r="K251" s="320" t="s">
        <v>966</v>
      </c>
      <c r="L251" s="311">
        <f t="shared" si="71"/>
        <v>19733</v>
      </c>
      <c r="M251" s="161">
        <f t="shared" si="60"/>
        <v>0</v>
      </c>
      <c r="N251" s="320"/>
    </row>
    <row r="252" spans="2:14" s="158" customFormat="1" x14ac:dyDescent="0.25">
      <c r="B252" s="158" t="s">
        <v>1012</v>
      </c>
      <c r="C252" s="290" t="s">
        <v>1020</v>
      </c>
      <c r="D252" s="257" t="s">
        <v>1021</v>
      </c>
      <c r="E252" s="210">
        <v>49493</v>
      </c>
      <c r="F252" s="210">
        <f>ROUND(E252,0)+4754</f>
        <v>54247</v>
      </c>
      <c r="G252" s="161">
        <f t="shared" si="55"/>
        <v>4754</v>
      </c>
      <c r="H252" s="187" t="s">
        <v>965</v>
      </c>
      <c r="I252" s="161">
        <f t="shared" si="70"/>
        <v>54247</v>
      </c>
      <c r="J252" s="161">
        <f t="shared" si="59"/>
        <v>0</v>
      </c>
      <c r="K252" s="187"/>
      <c r="L252" s="161">
        <f t="shared" si="71"/>
        <v>54247</v>
      </c>
      <c r="M252" s="161">
        <f t="shared" si="60"/>
        <v>0</v>
      </c>
      <c r="N252" s="187"/>
    </row>
    <row r="253" spans="2:14" s="158" customFormat="1" ht="18" customHeight="1" x14ac:dyDescent="0.25">
      <c r="B253" s="182" t="s">
        <v>1022</v>
      </c>
      <c r="C253" s="290" t="s">
        <v>1023</v>
      </c>
      <c r="D253" s="257" t="s">
        <v>969</v>
      </c>
      <c r="E253" s="162">
        <v>659972.47414999991</v>
      </c>
      <c r="F253" s="162">
        <f>ROUND(E253,0)-42018-43430</f>
        <v>574524</v>
      </c>
      <c r="G253" s="161">
        <f t="shared" si="55"/>
        <v>-85448.474149999907</v>
      </c>
      <c r="H253" s="214" t="s">
        <v>1024</v>
      </c>
      <c r="I253" s="161">
        <f t="shared" si="70"/>
        <v>574524</v>
      </c>
      <c r="J253" s="161">
        <f t="shared" si="59"/>
        <v>0</v>
      </c>
      <c r="K253" s="187" t="s">
        <v>1025</v>
      </c>
      <c r="L253" s="161">
        <f>ROUND(I253,0)-5191</f>
        <v>569333</v>
      </c>
      <c r="M253" s="161">
        <f t="shared" si="60"/>
        <v>-5191</v>
      </c>
      <c r="N253" s="187" t="s">
        <v>769</v>
      </c>
    </row>
    <row r="254" spans="2:14" s="158" customFormat="1" ht="16.899999999999999" customHeight="1" x14ac:dyDescent="0.25">
      <c r="B254" s="182"/>
      <c r="C254" s="290" t="s">
        <v>1026</v>
      </c>
      <c r="D254" s="257" t="s">
        <v>973</v>
      </c>
      <c r="E254" s="162">
        <v>283797</v>
      </c>
      <c r="F254" s="162">
        <f>ROUND(E254,0)</f>
        <v>283797</v>
      </c>
      <c r="G254" s="161">
        <f t="shared" si="55"/>
        <v>0</v>
      </c>
      <c r="H254" s="186"/>
      <c r="I254" s="161">
        <f t="shared" si="70"/>
        <v>283797</v>
      </c>
      <c r="J254" s="161">
        <f t="shared" si="59"/>
        <v>0</v>
      </c>
      <c r="K254" s="187"/>
      <c r="L254" s="161">
        <f t="shared" si="71"/>
        <v>283797</v>
      </c>
      <c r="M254" s="161">
        <f t="shared" si="60"/>
        <v>0</v>
      </c>
      <c r="N254" s="187"/>
    </row>
    <row r="255" spans="2:14" s="158" customFormat="1" ht="16.899999999999999" customHeight="1" x14ac:dyDescent="0.25">
      <c r="B255" s="182" t="s">
        <v>1027</v>
      </c>
      <c r="C255" s="290" t="s">
        <v>1028</v>
      </c>
      <c r="D255" s="257" t="s">
        <v>1029</v>
      </c>
      <c r="E255" s="162">
        <v>3668</v>
      </c>
      <c r="F255" s="162">
        <f>ROUND(E255,0)</f>
        <v>3668</v>
      </c>
      <c r="G255" s="161">
        <f t="shared" si="55"/>
        <v>0</v>
      </c>
      <c r="H255" s="163"/>
      <c r="I255" s="161">
        <f>ROUND(F255,0)+7552</f>
        <v>11220</v>
      </c>
      <c r="J255" s="161">
        <f t="shared" si="59"/>
        <v>7552</v>
      </c>
      <c r="K255" s="164" t="s">
        <v>571</v>
      </c>
      <c r="L255" s="161">
        <f t="shared" si="71"/>
        <v>11220</v>
      </c>
      <c r="M255" s="161">
        <f t="shared" si="60"/>
        <v>0</v>
      </c>
      <c r="N255" s="164"/>
    </row>
    <row r="256" spans="2:14" s="275" customFormat="1" ht="31.15" customHeight="1" x14ac:dyDescent="0.25">
      <c r="B256" s="208" t="s">
        <v>1030</v>
      </c>
      <c r="C256" s="290" t="s">
        <v>1031</v>
      </c>
      <c r="D256" s="257" t="s">
        <v>1032</v>
      </c>
      <c r="E256" s="162">
        <v>15469</v>
      </c>
      <c r="F256" s="162">
        <f>ROUND(E256,0)</f>
        <v>15469</v>
      </c>
      <c r="G256" s="161">
        <f t="shared" si="55"/>
        <v>0</v>
      </c>
      <c r="H256" s="163"/>
      <c r="I256" s="161">
        <f>ROUND(F256,0)+27100</f>
        <v>42569</v>
      </c>
      <c r="J256" s="161">
        <f t="shared" si="59"/>
        <v>27100</v>
      </c>
      <c r="K256" s="348" t="s">
        <v>1033</v>
      </c>
      <c r="L256" s="161">
        <f t="shared" si="71"/>
        <v>42569</v>
      </c>
      <c r="M256" s="161">
        <f t="shared" si="60"/>
        <v>0</v>
      </c>
      <c r="N256" s="222"/>
    </row>
    <row r="257" spans="2:14" s="275" customFormat="1" ht="15" customHeight="1" x14ac:dyDescent="0.25">
      <c r="B257" s="208" t="s">
        <v>1034</v>
      </c>
      <c r="C257" s="290" t="s">
        <v>1035</v>
      </c>
      <c r="D257" s="257" t="s">
        <v>1036</v>
      </c>
      <c r="E257" s="162">
        <v>0</v>
      </c>
      <c r="F257" s="162">
        <f>ROUND(E257,0)</f>
        <v>0</v>
      </c>
      <c r="G257" s="161">
        <f t="shared" si="55"/>
        <v>0</v>
      </c>
      <c r="H257" s="163"/>
      <c r="I257" s="161">
        <f t="shared" si="70"/>
        <v>0</v>
      </c>
      <c r="J257" s="161">
        <f t="shared" si="59"/>
        <v>0</v>
      </c>
      <c r="K257" s="164"/>
      <c r="L257" s="161">
        <f t="shared" si="71"/>
        <v>0</v>
      </c>
      <c r="M257" s="161">
        <f t="shared" si="60"/>
        <v>0</v>
      </c>
      <c r="N257" s="164"/>
    </row>
    <row r="258" spans="2:14" ht="18.600000000000001" customHeight="1" x14ac:dyDescent="0.25">
      <c r="B258" s="208" t="s">
        <v>1037</v>
      </c>
      <c r="C258" s="339" t="s">
        <v>1038</v>
      </c>
      <c r="D258" s="292" t="s">
        <v>362</v>
      </c>
      <c r="E258" s="294">
        <v>0</v>
      </c>
      <c r="F258" s="294">
        <f>ROUND(E258,0)+19357+102058</f>
        <v>121415</v>
      </c>
      <c r="G258" s="293">
        <f>F258-E258</f>
        <v>121415</v>
      </c>
      <c r="H258" s="217" t="s">
        <v>1039</v>
      </c>
      <c r="I258" s="293">
        <f t="shared" si="70"/>
        <v>121415</v>
      </c>
      <c r="J258" s="293">
        <f t="shared" si="59"/>
        <v>0</v>
      </c>
      <c r="K258" s="217"/>
      <c r="L258" s="293">
        <f t="shared" si="71"/>
        <v>121415</v>
      </c>
      <c r="M258" s="293">
        <f t="shared" si="60"/>
        <v>0</v>
      </c>
      <c r="N258" s="217"/>
    </row>
    <row r="259" spans="2:14" s="158" customFormat="1" ht="15.75" customHeight="1" x14ac:dyDescent="0.25">
      <c r="B259" s="182"/>
      <c r="C259" s="339" t="s">
        <v>1040</v>
      </c>
      <c r="D259" s="292" t="s">
        <v>1041</v>
      </c>
      <c r="E259" s="293">
        <v>8531591.7446570527</v>
      </c>
      <c r="F259" s="294">
        <f>F260+F264+F265+F266+F267+F268+F269+F270+F271+F272+F273</f>
        <v>8748498</v>
      </c>
      <c r="G259" s="294">
        <f t="shared" ref="G259:H259" si="72">G260+G264+G265+G266+G267+G268+G269+G270+G271+G272+G273</f>
        <v>216906.25534294697</v>
      </c>
      <c r="H259" s="294" t="e">
        <f t="shared" si="72"/>
        <v>#VALUE!</v>
      </c>
      <c r="I259" s="294">
        <f>I260+I264+I265+I266+I267+I268+I269+I270+I271+I272+I273</f>
        <v>8832612</v>
      </c>
      <c r="J259" s="293">
        <f t="shared" si="59"/>
        <v>84114</v>
      </c>
      <c r="K259" s="217"/>
      <c r="L259" s="294">
        <f>L260+L264+L265+L266+L267+L268+L269+L270+L271+L272+L273</f>
        <v>8853612</v>
      </c>
      <c r="M259" s="293">
        <f t="shared" si="60"/>
        <v>21000</v>
      </c>
      <c r="N259" s="217"/>
    </row>
    <row r="260" spans="2:14" s="158" customFormat="1" ht="17.25" customHeight="1" x14ac:dyDescent="0.25">
      <c r="B260" s="182" t="s">
        <v>726</v>
      </c>
      <c r="C260" s="290" t="s">
        <v>1042</v>
      </c>
      <c r="D260" s="257" t="s">
        <v>964</v>
      </c>
      <c r="E260" s="162">
        <v>4238288</v>
      </c>
      <c r="F260" s="162">
        <f>SUM(F261:F263)</f>
        <v>4362146</v>
      </c>
      <c r="G260" s="161">
        <f t="shared" ref="G260:G298" si="73">F260-E260</f>
        <v>123858</v>
      </c>
      <c r="H260" s="214" t="s">
        <v>1003</v>
      </c>
      <c r="I260" s="161">
        <f>SUM(I261:I263)</f>
        <v>4407640</v>
      </c>
      <c r="J260" s="161">
        <f t="shared" si="59"/>
        <v>45494</v>
      </c>
      <c r="K260" s="187"/>
      <c r="L260" s="161">
        <f>SUM(L261:L263)</f>
        <v>4407640</v>
      </c>
      <c r="M260" s="161">
        <f t="shared" si="60"/>
        <v>0</v>
      </c>
      <c r="N260" s="187"/>
    </row>
    <row r="261" spans="2:14" s="347" customFormat="1" ht="17.25" customHeight="1" x14ac:dyDescent="0.25">
      <c r="B261" s="344"/>
      <c r="C261" s="309" t="s">
        <v>1043</v>
      </c>
      <c r="D261" s="310" t="s">
        <v>1015</v>
      </c>
      <c r="E261" s="345">
        <v>4021527</v>
      </c>
      <c r="F261" s="345">
        <f>4021527+17418-6716</f>
        <v>4032229</v>
      </c>
      <c r="G261" s="311">
        <f t="shared" si="73"/>
        <v>10702</v>
      </c>
      <c r="H261" s="346" t="s">
        <v>1003</v>
      </c>
      <c r="I261" s="311">
        <f>ROUND(F261,0)</f>
        <v>4032229</v>
      </c>
      <c r="J261" s="311">
        <f>I261-F261</f>
        <v>0</v>
      </c>
      <c r="K261" s="320"/>
      <c r="L261" s="311">
        <f t="shared" ref="L261:L272" si="74">ROUND(I261,0)</f>
        <v>4032229</v>
      </c>
      <c r="M261" s="161">
        <f t="shared" si="60"/>
        <v>0</v>
      </c>
      <c r="N261" s="320"/>
    </row>
    <row r="262" spans="2:14" s="347" customFormat="1" ht="16.899999999999999" customHeight="1" x14ac:dyDescent="0.25">
      <c r="B262" s="344"/>
      <c r="C262" s="309" t="s">
        <v>1044</v>
      </c>
      <c r="D262" s="310" t="s">
        <v>1017</v>
      </c>
      <c r="E262" s="345">
        <v>216761</v>
      </c>
      <c r="F262" s="345">
        <f>216761+110614+3572+30+4-1482</f>
        <v>329499</v>
      </c>
      <c r="G262" s="311">
        <f t="shared" si="73"/>
        <v>112738</v>
      </c>
      <c r="H262" s="346" t="s">
        <v>1003</v>
      </c>
      <c r="I262" s="311">
        <f>ROUND(F262,0)-49310+22060+264</f>
        <v>302513</v>
      </c>
      <c r="J262" s="311">
        <f>I262-F262</f>
        <v>-26986</v>
      </c>
      <c r="K262" s="320" t="s">
        <v>1004</v>
      </c>
      <c r="L262" s="311">
        <f t="shared" si="74"/>
        <v>302513</v>
      </c>
      <c r="M262" s="161">
        <f t="shared" si="60"/>
        <v>0</v>
      </c>
      <c r="N262" s="320"/>
    </row>
    <row r="263" spans="2:14" s="347" customFormat="1" ht="17.25" customHeight="1" x14ac:dyDescent="0.25">
      <c r="B263" s="344"/>
      <c r="C263" s="309" t="s">
        <v>1045</v>
      </c>
      <c r="D263" s="310" t="s">
        <v>1019</v>
      </c>
      <c r="E263" s="345"/>
      <c r="F263" s="345">
        <f>418</f>
        <v>418</v>
      </c>
      <c r="G263" s="311">
        <f t="shared" si="73"/>
        <v>418</v>
      </c>
      <c r="H263" s="346" t="s">
        <v>1003</v>
      </c>
      <c r="I263" s="311">
        <f>ROUND(F263,0)-264+71355+538+851</f>
        <v>72898</v>
      </c>
      <c r="J263" s="311">
        <f>I263-F263</f>
        <v>72480</v>
      </c>
      <c r="K263" s="320" t="s">
        <v>986</v>
      </c>
      <c r="L263" s="311">
        <f t="shared" si="74"/>
        <v>72898</v>
      </c>
      <c r="M263" s="161">
        <f t="shared" si="60"/>
        <v>0</v>
      </c>
      <c r="N263" s="320"/>
    </row>
    <row r="264" spans="2:14" s="158" customFormat="1" ht="30" customHeight="1" x14ac:dyDescent="0.25">
      <c r="B264" s="182" t="s">
        <v>1046</v>
      </c>
      <c r="C264" s="290" t="s">
        <v>1047</v>
      </c>
      <c r="D264" s="257" t="s">
        <v>969</v>
      </c>
      <c r="E264" s="162">
        <v>1427218.8621271863</v>
      </c>
      <c r="F264" s="162">
        <f>ROUND(E264,0)-337847+35517</f>
        <v>1124889</v>
      </c>
      <c r="G264" s="161">
        <f t="shared" si="73"/>
        <v>-302329.86212718626</v>
      </c>
      <c r="H264" s="187" t="s">
        <v>1048</v>
      </c>
      <c r="I264" s="161">
        <f>ROUND(F264,0)-146203</f>
        <v>978686</v>
      </c>
      <c r="J264" s="161">
        <f t="shared" si="59"/>
        <v>-146203</v>
      </c>
      <c r="K264" s="187" t="s">
        <v>1049</v>
      </c>
      <c r="L264" s="161">
        <f>ROUND(I264,0)+5000+16000</f>
        <v>999686</v>
      </c>
      <c r="M264" s="161">
        <f t="shared" si="60"/>
        <v>21000</v>
      </c>
      <c r="N264" s="349" t="s">
        <v>1050</v>
      </c>
    </row>
    <row r="265" spans="2:14" s="158" customFormat="1" ht="18.600000000000001" customHeight="1" x14ac:dyDescent="0.25">
      <c r="B265" s="182"/>
      <c r="C265" s="290" t="s">
        <v>1051</v>
      </c>
      <c r="D265" s="257" t="s">
        <v>973</v>
      </c>
      <c r="E265" s="162"/>
      <c r="F265" s="162">
        <v>337847</v>
      </c>
      <c r="G265" s="161">
        <f t="shared" si="73"/>
        <v>337847</v>
      </c>
      <c r="H265" s="187"/>
      <c r="I265" s="161">
        <f>ROUND(F265,0)+10919+146203</f>
        <v>494969</v>
      </c>
      <c r="J265" s="161">
        <f>I265-F265</f>
        <v>157122</v>
      </c>
      <c r="K265" s="187" t="s">
        <v>1052</v>
      </c>
      <c r="L265" s="161">
        <f t="shared" si="74"/>
        <v>494969</v>
      </c>
      <c r="M265" s="161">
        <f t="shared" si="60"/>
        <v>0</v>
      </c>
      <c r="N265" s="187"/>
    </row>
    <row r="266" spans="2:14" s="158" customFormat="1" ht="15" customHeight="1" x14ac:dyDescent="0.25">
      <c r="B266" s="158" t="s">
        <v>1053</v>
      </c>
      <c r="C266" s="290" t="s">
        <v>1054</v>
      </c>
      <c r="D266" s="257" t="s">
        <v>1055</v>
      </c>
      <c r="E266" s="162">
        <v>266093</v>
      </c>
      <c r="F266" s="162">
        <f>ROUND(E266,0)</f>
        <v>266093</v>
      </c>
      <c r="G266" s="161">
        <f t="shared" si="73"/>
        <v>0</v>
      </c>
      <c r="H266" s="164"/>
      <c r="I266" s="161">
        <f>ROUND(F266,0)-27100</f>
        <v>238993</v>
      </c>
      <c r="J266" s="161">
        <f t="shared" si="59"/>
        <v>-27100</v>
      </c>
      <c r="K266" s="348" t="s">
        <v>1033</v>
      </c>
      <c r="L266" s="161">
        <f t="shared" si="74"/>
        <v>238993</v>
      </c>
      <c r="M266" s="161">
        <f t="shared" si="60"/>
        <v>0</v>
      </c>
      <c r="N266" s="164"/>
    </row>
    <row r="267" spans="2:14" s="158" customFormat="1" ht="16.149999999999999" customHeight="1" x14ac:dyDescent="0.25">
      <c r="B267" s="182" t="s">
        <v>1056</v>
      </c>
      <c r="C267" s="290" t="s">
        <v>1057</v>
      </c>
      <c r="D267" s="257" t="s">
        <v>1029</v>
      </c>
      <c r="E267" s="162">
        <v>14485</v>
      </c>
      <c r="F267" s="162">
        <f>ROUND(E267,0)</f>
        <v>14485</v>
      </c>
      <c r="G267" s="161">
        <f t="shared" si="73"/>
        <v>0</v>
      </c>
      <c r="H267" s="164"/>
      <c r="I267" s="161">
        <f>ROUND(F267,0)+26175</f>
        <v>40660</v>
      </c>
      <c r="J267" s="161">
        <f t="shared" si="59"/>
        <v>26175</v>
      </c>
      <c r="K267" s="164" t="s">
        <v>571</v>
      </c>
      <c r="L267" s="161">
        <f t="shared" si="74"/>
        <v>40660</v>
      </c>
      <c r="M267" s="161">
        <f t="shared" si="60"/>
        <v>0</v>
      </c>
      <c r="N267" s="164"/>
    </row>
    <row r="268" spans="2:14" s="350" customFormat="1" ht="42.6" customHeight="1" x14ac:dyDescent="0.25">
      <c r="B268" s="182" t="s">
        <v>1046</v>
      </c>
      <c r="C268" s="290" t="s">
        <v>1058</v>
      </c>
      <c r="D268" s="257" t="s">
        <v>728</v>
      </c>
      <c r="E268" s="162">
        <v>34497</v>
      </c>
      <c r="F268" s="162">
        <f>ROUND(E268,0)+53231</f>
        <v>87728</v>
      </c>
      <c r="G268" s="161">
        <f t="shared" si="73"/>
        <v>53231</v>
      </c>
      <c r="H268" s="187" t="s">
        <v>1059</v>
      </c>
      <c r="I268" s="161">
        <f>ROUND(F268,0)</f>
        <v>87728</v>
      </c>
      <c r="J268" s="161">
        <f t="shared" si="59"/>
        <v>0</v>
      </c>
      <c r="K268" s="187"/>
      <c r="L268" s="161">
        <f t="shared" si="74"/>
        <v>87728</v>
      </c>
      <c r="M268" s="161">
        <f t="shared" si="60"/>
        <v>0</v>
      </c>
      <c r="N268" s="187"/>
    </row>
    <row r="269" spans="2:14" s="350" customFormat="1" ht="56.45" customHeight="1" x14ac:dyDescent="0.25">
      <c r="B269" s="182" t="s">
        <v>1046</v>
      </c>
      <c r="C269" s="290" t="s">
        <v>1060</v>
      </c>
      <c r="D269" s="257" t="s">
        <v>731</v>
      </c>
      <c r="E269" s="162">
        <v>870000</v>
      </c>
      <c r="F269" s="162">
        <f>ROUND(E269,0)</f>
        <v>870000</v>
      </c>
      <c r="G269" s="161">
        <f>F269-E269</f>
        <v>0</v>
      </c>
      <c r="H269" s="186"/>
      <c r="I269" s="161">
        <f>ROUND(F269,0)</f>
        <v>870000</v>
      </c>
      <c r="J269" s="161">
        <f>I269-F269</f>
        <v>0</v>
      </c>
      <c r="K269" s="187"/>
      <c r="L269" s="161">
        <f t="shared" si="74"/>
        <v>870000</v>
      </c>
      <c r="M269" s="161">
        <f t="shared" si="60"/>
        <v>0</v>
      </c>
      <c r="N269" s="187"/>
    </row>
    <row r="270" spans="2:14" s="350" customFormat="1" ht="18" customHeight="1" x14ac:dyDescent="0.25">
      <c r="B270" s="351" t="s">
        <v>1061</v>
      </c>
      <c r="C270" s="290" t="s">
        <v>1062</v>
      </c>
      <c r="D270" s="257" t="s">
        <v>1063</v>
      </c>
      <c r="E270" s="162">
        <v>1006133.6654766668</v>
      </c>
      <c r="F270" s="162">
        <f>ROUND(E270,0)-197877-65904</f>
        <v>742353</v>
      </c>
      <c r="G270" s="161">
        <f t="shared" si="73"/>
        <v>-263780.66547666676</v>
      </c>
      <c r="H270" s="187" t="s">
        <v>1064</v>
      </c>
      <c r="I270" s="161">
        <f>ROUND(F270,0)-58159</f>
        <v>684194</v>
      </c>
      <c r="J270" s="161">
        <f t="shared" si="59"/>
        <v>-58159</v>
      </c>
      <c r="K270" s="187" t="s">
        <v>1065</v>
      </c>
      <c r="L270" s="161">
        <f t="shared" si="74"/>
        <v>684194</v>
      </c>
      <c r="M270" s="161">
        <f t="shared" si="60"/>
        <v>0</v>
      </c>
      <c r="N270" s="187"/>
    </row>
    <row r="271" spans="2:14" s="350" customFormat="1" ht="44.25" customHeight="1" x14ac:dyDescent="0.25">
      <c r="B271" s="351"/>
      <c r="C271" s="290" t="s">
        <v>1066</v>
      </c>
      <c r="D271" s="257" t="s">
        <v>1067</v>
      </c>
      <c r="E271" s="162"/>
      <c r="F271" s="162">
        <v>197877</v>
      </c>
      <c r="G271" s="161">
        <f t="shared" si="73"/>
        <v>197877</v>
      </c>
      <c r="H271" s="187"/>
      <c r="I271" s="161">
        <f>ROUND(F271,0)+19453+58159</f>
        <v>275489</v>
      </c>
      <c r="J271" s="161">
        <f>I271-F271</f>
        <v>77612</v>
      </c>
      <c r="K271" s="187" t="s">
        <v>1068</v>
      </c>
      <c r="L271" s="161">
        <f t="shared" si="74"/>
        <v>275489</v>
      </c>
      <c r="M271" s="161">
        <f t="shared" si="60"/>
        <v>0</v>
      </c>
      <c r="N271" s="187"/>
    </row>
    <row r="272" spans="2:14" s="350" customFormat="1" ht="15" customHeight="1" x14ac:dyDescent="0.25">
      <c r="B272" s="182" t="s">
        <v>726</v>
      </c>
      <c r="C272" s="290" t="s">
        <v>1069</v>
      </c>
      <c r="D272" s="257" t="s">
        <v>1070</v>
      </c>
      <c r="E272" s="162">
        <v>166307</v>
      </c>
      <c r="F272" s="162">
        <f>ROUND(E272,0)+69974</f>
        <v>236281</v>
      </c>
      <c r="G272" s="161">
        <f t="shared" si="73"/>
        <v>69974</v>
      </c>
      <c r="H272" s="187" t="s">
        <v>965</v>
      </c>
      <c r="I272" s="161">
        <f t="shared" ref="I272" si="75">ROUND(F272,0)</f>
        <v>236281</v>
      </c>
      <c r="J272" s="161">
        <f t="shared" si="59"/>
        <v>0</v>
      </c>
      <c r="K272" s="164"/>
      <c r="L272" s="161">
        <f t="shared" si="74"/>
        <v>236281</v>
      </c>
      <c r="M272" s="161">
        <f t="shared" si="60"/>
        <v>0</v>
      </c>
      <c r="N272" s="164"/>
    </row>
    <row r="273" spans="2:14" s="357" customFormat="1" ht="13.9" customHeight="1" x14ac:dyDescent="0.25">
      <c r="B273" s="351"/>
      <c r="C273" s="352" t="s">
        <v>1071</v>
      </c>
      <c r="D273" s="353" t="s">
        <v>1072</v>
      </c>
      <c r="E273" s="355">
        <v>508569.2170532</v>
      </c>
      <c r="F273" s="355">
        <f t="shared" ref="F273" si="76">F274+F275+F276</f>
        <v>508799</v>
      </c>
      <c r="G273" s="354">
        <f t="shared" si="73"/>
        <v>229.78294679999817</v>
      </c>
      <c r="H273" s="356"/>
      <c r="I273" s="354">
        <f>I274+I275+I276</f>
        <v>517972</v>
      </c>
      <c r="J273" s="354">
        <f t="shared" si="59"/>
        <v>9173</v>
      </c>
      <c r="K273" s="354"/>
      <c r="L273" s="354">
        <f>L274+L275+L276</f>
        <v>517972</v>
      </c>
      <c r="M273" s="354">
        <f t="shared" si="60"/>
        <v>0</v>
      </c>
      <c r="N273" s="354"/>
    </row>
    <row r="274" spans="2:14" s="350" customFormat="1" ht="12" customHeight="1" x14ac:dyDescent="0.25">
      <c r="B274" s="208" t="s">
        <v>1073</v>
      </c>
      <c r="C274" s="358" t="s">
        <v>1074</v>
      </c>
      <c r="D274" s="257" t="s">
        <v>1075</v>
      </c>
      <c r="E274" s="162">
        <v>138119</v>
      </c>
      <c r="F274" s="162">
        <f>ROUND(E274,0)-46+276</f>
        <v>138349</v>
      </c>
      <c r="G274" s="161">
        <f t="shared" si="73"/>
        <v>230</v>
      </c>
      <c r="H274" s="187" t="s">
        <v>965</v>
      </c>
      <c r="I274" s="161">
        <f>ROUND(F274,0)+2468</f>
        <v>140817</v>
      </c>
      <c r="J274" s="161">
        <f t="shared" si="59"/>
        <v>2468</v>
      </c>
      <c r="K274" s="187" t="s">
        <v>986</v>
      </c>
      <c r="L274" s="161">
        <f>ROUND(I274,0)</f>
        <v>140817</v>
      </c>
      <c r="M274" s="161">
        <f t="shared" si="60"/>
        <v>0</v>
      </c>
      <c r="N274" s="187"/>
    </row>
    <row r="275" spans="2:14" s="275" customFormat="1" ht="12.6" customHeight="1" x14ac:dyDescent="0.25">
      <c r="B275" s="351" t="s">
        <v>1076</v>
      </c>
      <c r="C275" s="358" t="s">
        <v>1077</v>
      </c>
      <c r="D275" s="257" t="s">
        <v>1078</v>
      </c>
      <c r="E275" s="162">
        <v>370450.2170532</v>
      </c>
      <c r="F275" s="162">
        <f>ROUND(E275,0)-14058</f>
        <v>356392</v>
      </c>
      <c r="G275" s="161">
        <f t="shared" si="73"/>
        <v>-14058.217053200002</v>
      </c>
      <c r="H275" s="164"/>
      <c r="I275" s="161">
        <f>ROUND(F275,0)-6000</f>
        <v>350392</v>
      </c>
      <c r="J275" s="161">
        <f t="shared" si="59"/>
        <v>-6000</v>
      </c>
      <c r="K275" s="164" t="s">
        <v>1079</v>
      </c>
      <c r="L275" s="161">
        <f>ROUND(I275,0)</f>
        <v>350392</v>
      </c>
      <c r="M275" s="161">
        <f t="shared" si="60"/>
        <v>0</v>
      </c>
      <c r="N275" s="164"/>
    </row>
    <row r="276" spans="2:14" s="275" customFormat="1" ht="19.149999999999999" customHeight="1" x14ac:dyDescent="0.25">
      <c r="B276" s="351"/>
      <c r="C276" s="358" t="s">
        <v>1080</v>
      </c>
      <c r="D276" s="257" t="s">
        <v>912</v>
      </c>
      <c r="E276" s="162"/>
      <c r="F276" s="162">
        <v>14058</v>
      </c>
      <c r="G276" s="161">
        <f t="shared" si="73"/>
        <v>14058</v>
      </c>
      <c r="H276" s="164" t="s">
        <v>908</v>
      </c>
      <c r="I276" s="161">
        <f>ROUND(F276,0)+6705+6000</f>
        <v>26763</v>
      </c>
      <c r="J276" s="161">
        <f>I276-F276</f>
        <v>12705</v>
      </c>
      <c r="K276" s="187" t="s">
        <v>1081</v>
      </c>
      <c r="L276" s="161">
        <f>ROUND(I276,0)</f>
        <v>26763</v>
      </c>
      <c r="M276" s="161">
        <f t="shared" si="60"/>
        <v>0</v>
      </c>
      <c r="N276" s="164"/>
    </row>
    <row r="277" spans="2:14" ht="18" customHeight="1" x14ac:dyDescent="0.25">
      <c r="C277" s="339" t="s">
        <v>1082</v>
      </c>
      <c r="D277" s="292" t="s">
        <v>1083</v>
      </c>
      <c r="E277" s="294">
        <v>1647206</v>
      </c>
      <c r="F277" s="294">
        <f t="shared" ref="F277" si="77">F278+F279</f>
        <v>1852644</v>
      </c>
      <c r="G277" s="293">
        <f t="shared" si="73"/>
        <v>205438</v>
      </c>
      <c r="H277" s="296"/>
      <c r="I277" s="293">
        <f>I278+I279</f>
        <v>1852644</v>
      </c>
      <c r="J277" s="293">
        <f t="shared" si="59"/>
        <v>0</v>
      </c>
      <c r="K277" s="293"/>
      <c r="L277" s="293">
        <f>L278+L279</f>
        <v>1867644</v>
      </c>
      <c r="M277" s="293">
        <f t="shared" si="60"/>
        <v>15000</v>
      </c>
      <c r="N277" s="293"/>
    </row>
    <row r="278" spans="2:14" ht="13.5" customHeight="1" x14ac:dyDescent="0.25">
      <c r="C278" s="290" t="s">
        <v>1084</v>
      </c>
      <c r="D278" s="257" t="s">
        <v>1085</v>
      </c>
      <c r="E278" s="162">
        <v>651116</v>
      </c>
      <c r="F278" s="162">
        <f>ROUND(E278,0)+1832+142597</f>
        <v>795545</v>
      </c>
      <c r="G278" s="161">
        <f t="shared" si="73"/>
        <v>144429</v>
      </c>
      <c r="H278" s="187" t="s">
        <v>1086</v>
      </c>
      <c r="I278" s="161">
        <f>ROUND(F278,0)</f>
        <v>795545</v>
      </c>
      <c r="J278" s="161">
        <f t="shared" si="59"/>
        <v>0</v>
      </c>
      <c r="K278" s="187"/>
      <c r="L278" s="161">
        <f>ROUND(I278,0)</f>
        <v>795545</v>
      </c>
      <c r="M278" s="161">
        <f t="shared" si="60"/>
        <v>0</v>
      </c>
      <c r="N278" s="187"/>
    </row>
    <row r="279" spans="2:14" ht="28.9" customHeight="1" x14ac:dyDescent="0.25">
      <c r="C279" s="290" t="s">
        <v>1087</v>
      </c>
      <c r="D279" s="257" t="s">
        <v>969</v>
      </c>
      <c r="E279" s="162">
        <v>996090</v>
      </c>
      <c r="F279" s="162">
        <f>ROUND(E279,0)+61009</f>
        <v>1057099</v>
      </c>
      <c r="G279" s="161">
        <f t="shared" si="73"/>
        <v>61009</v>
      </c>
      <c r="H279" s="359" t="s">
        <v>1088</v>
      </c>
      <c r="I279" s="161">
        <f>ROUND(F279,0)</f>
        <v>1057099</v>
      </c>
      <c r="J279" s="161">
        <f t="shared" ref="J279:J298" si="78">I279-F279</f>
        <v>0</v>
      </c>
      <c r="K279" s="359"/>
      <c r="L279" s="161">
        <f>ROUND(I279,0)+15000</f>
        <v>1072099</v>
      </c>
      <c r="M279" s="161">
        <f t="shared" ref="M279:M298" si="79">L279-I279</f>
        <v>15000</v>
      </c>
      <c r="N279" s="318" t="s">
        <v>1089</v>
      </c>
    </row>
    <row r="280" spans="2:14" ht="16.149999999999999" customHeight="1" x14ac:dyDescent="0.25">
      <c r="C280" s="360" t="s">
        <v>1090</v>
      </c>
      <c r="D280" s="292" t="s">
        <v>1091</v>
      </c>
      <c r="E280" s="294">
        <v>706577.70189168002</v>
      </c>
      <c r="F280" s="294">
        <f>F281+F282</f>
        <v>706619</v>
      </c>
      <c r="G280" s="293">
        <f t="shared" si="73"/>
        <v>41.298108319984749</v>
      </c>
      <c r="H280" s="304"/>
      <c r="I280" s="293">
        <f>I281+I282</f>
        <v>740716</v>
      </c>
      <c r="J280" s="293">
        <f t="shared" si="78"/>
        <v>34097</v>
      </c>
      <c r="K280" s="305" t="s">
        <v>1092</v>
      </c>
      <c r="L280" s="293">
        <f>L281+L282</f>
        <v>740716</v>
      </c>
      <c r="M280" s="293">
        <f t="shared" si="79"/>
        <v>0</v>
      </c>
      <c r="N280" s="305"/>
    </row>
    <row r="281" spans="2:14" ht="16.5" customHeight="1" x14ac:dyDescent="0.25">
      <c r="B281" s="208" t="s">
        <v>1093</v>
      </c>
      <c r="C281" s="290" t="s">
        <v>1094</v>
      </c>
      <c r="D281" s="257" t="s">
        <v>1085</v>
      </c>
      <c r="E281" s="162">
        <v>314605.76040000003</v>
      </c>
      <c r="F281" s="162">
        <f>ROUND(E281,0)+41</f>
        <v>314647</v>
      </c>
      <c r="G281" s="161">
        <f t="shared" si="73"/>
        <v>41.239599999971688</v>
      </c>
      <c r="H281" s="164" t="s">
        <v>413</v>
      </c>
      <c r="I281" s="161">
        <f>ROUND(F281,0)-22981</f>
        <v>291666</v>
      </c>
      <c r="J281" s="161">
        <f t="shared" si="78"/>
        <v>-22981</v>
      </c>
      <c r="K281" s="164"/>
      <c r="L281" s="161">
        <f t="shared" ref="L281:L288" si="80">ROUND(I281,0)</f>
        <v>291666</v>
      </c>
      <c r="M281" s="161">
        <f t="shared" si="79"/>
        <v>0</v>
      </c>
      <c r="N281" s="164"/>
    </row>
    <row r="282" spans="2:14" ht="16.5" customHeight="1" x14ac:dyDescent="0.25">
      <c r="B282" s="208" t="s">
        <v>1095</v>
      </c>
      <c r="C282" s="290" t="s">
        <v>1096</v>
      </c>
      <c r="D282" s="257" t="s">
        <v>1097</v>
      </c>
      <c r="E282" s="162">
        <v>391971.94149168005</v>
      </c>
      <c r="F282" s="162">
        <f t="shared" ref="F282:F287" si="81">ROUND(E282,0)</f>
        <v>391972</v>
      </c>
      <c r="G282" s="161">
        <f t="shared" si="73"/>
        <v>5.8508319954853505E-2</v>
      </c>
      <c r="H282" s="186"/>
      <c r="I282" s="161">
        <f>ROUND(F282,0)+57078</f>
        <v>449050</v>
      </c>
      <c r="J282" s="161">
        <f t="shared" si="78"/>
        <v>57078</v>
      </c>
      <c r="K282" s="187"/>
      <c r="L282" s="161">
        <f t="shared" si="80"/>
        <v>449050</v>
      </c>
      <c r="M282" s="161">
        <f t="shared" si="79"/>
        <v>0</v>
      </c>
      <c r="N282" s="187"/>
    </row>
    <row r="283" spans="2:14" ht="19.899999999999999" customHeight="1" x14ac:dyDescent="0.25">
      <c r="B283" s="208" t="s">
        <v>1098</v>
      </c>
      <c r="C283" s="360" t="s">
        <v>1099</v>
      </c>
      <c r="D283" s="292" t="s">
        <v>1100</v>
      </c>
      <c r="E283" s="215">
        <v>482391.24160460004</v>
      </c>
      <c r="F283" s="215">
        <f t="shared" si="81"/>
        <v>482391</v>
      </c>
      <c r="G283" s="191">
        <f t="shared" si="73"/>
        <v>-0.2416046000435017</v>
      </c>
      <c r="H283" s="216"/>
      <c r="I283" s="191">
        <f t="shared" ref="I283:I288" si="82">ROUND(F283,0)</f>
        <v>482391</v>
      </c>
      <c r="J283" s="191">
        <f t="shared" si="78"/>
        <v>0</v>
      </c>
      <c r="K283" s="217"/>
      <c r="L283" s="191">
        <f t="shared" si="80"/>
        <v>482391</v>
      </c>
      <c r="M283" s="191">
        <f t="shared" si="79"/>
        <v>0</v>
      </c>
      <c r="N283" s="217"/>
    </row>
    <row r="284" spans="2:14" ht="18" customHeight="1" x14ac:dyDescent="0.25">
      <c r="B284" s="208"/>
      <c r="C284" s="360" t="s">
        <v>1101</v>
      </c>
      <c r="D284" s="292" t="s">
        <v>1102</v>
      </c>
      <c r="E284" s="215">
        <v>3000</v>
      </c>
      <c r="F284" s="215">
        <f t="shared" si="81"/>
        <v>3000</v>
      </c>
      <c r="G284" s="191">
        <f t="shared" si="73"/>
        <v>0</v>
      </c>
      <c r="H284" s="216"/>
      <c r="I284" s="191">
        <f t="shared" si="82"/>
        <v>3000</v>
      </c>
      <c r="J284" s="191">
        <f t="shared" si="78"/>
        <v>0</v>
      </c>
      <c r="K284" s="217"/>
      <c r="L284" s="191">
        <f t="shared" si="80"/>
        <v>3000</v>
      </c>
      <c r="M284" s="191">
        <f t="shared" si="79"/>
        <v>0</v>
      </c>
      <c r="N284" s="217"/>
    </row>
    <row r="285" spans="2:14" ht="31.9" customHeight="1" x14ac:dyDescent="0.25">
      <c r="B285" s="208" t="s">
        <v>1103</v>
      </c>
      <c r="C285" s="360" t="s">
        <v>1104</v>
      </c>
      <c r="D285" s="292" t="s">
        <v>1105</v>
      </c>
      <c r="E285" s="215">
        <v>17962</v>
      </c>
      <c r="F285" s="215">
        <f>ROUND(E285,0)-1841</f>
        <v>16121</v>
      </c>
      <c r="G285" s="191">
        <f t="shared" si="73"/>
        <v>-1841</v>
      </c>
      <c r="H285" s="217" t="s">
        <v>413</v>
      </c>
      <c r="I285" s="191">
        <f t="shared" si="82"/>
        <v>16121</v>
      </c>
      <c r="J285" s="191">
        <f t="shared" si="78"/>
        <v>0</v>
      </c>
      <c r="K285" s="217"/>
      <c r="L285" s="191">
        <f t="shared" si="80"/>
        <v>16121</v>
      </c>
      <c r="M285" s="191">
        <f t="shared" si="79"/>
        <v>0</v>
      </c>
      <c r="N285" s="217"/>
    </row>
    <row r="286" spans="2:14" ht="27" customHeight="1" x14ac:dyDescent="0.25">
      <c r="B286" s="208" t="s">
        <v>1106</v>
      </c>
      <c r="C286" s="360" t="s">
        <v>1107</v>
      </c>
      <c r="D286" s="292" t="s">
        <v>1108</v>
      </c>
      <c r="E286" s="215">
        <v>1049</v>
      </c>
      <c r="F286" s="215">
        <f t="shared" si="81"/>
        <v>1049</v>
      </c>
      <c r="G286" s="191">
        <f t="shared" si="73"/>
        <v>0</v>
      </c>
      <c r="H286" s="216"/>
      <c r="I286" s="191">
        <f t="shared" si="82"/>
        <v>1049</v>
      </c>
      <c r="J286" s="191">
        <f t="shared" si="78"/>
        <v>0</v>
      </c>
      <c r="K286" s="217"/>
      <c r="L286" s="191">
        <f t="shared" si="80"/>
        <v>1049</v>
      </c>
      <c r="M286" s="191">
        <f t="shared" si="79"/>
        <v>0</v>
      </c>
      <c r="N286" s="217"/>
    </row>
    <row r="287" spans="2:14" ht="57.6" customHeight="1" x14ac:dyDescent="0.25">
      <c r="B287" s="208" t="s">
        <v>1109</v>
      </c>
      <c r="C287" s="360" t="s">
        <v>1110</v>
      </c>
      <c r="D287" s="292" t="s">
        <v>1111</v>
      </c>
      <c r="E287" s="215">
        <v>765</v>
      </c>
      <c r="F287" s="215">
        <f t="shared" si="81"/>
        <v>765</v>
      </c>
      <c r="G287" s="191">
        <f t="shared" si="73"/>
        <v>0</v>
      </c>
      <c r="H287" s="216"/>
      <c r="I287" s="191">
        <f t="shared" si="82"/>
        <v>765</v>
      </c>
      <c r="J287" s="191">
        <f t="shared" si="78"/>
        <v>0</v>
      </c>
      <c r="K287" s="217"/>
      <c r="L287" s="191">
        <f t="shared" si="80"/>
        <v>765</v>
      </c>
      <c r="M287" s="191">
        <f t="shared" si="79"/>
        <v>0</v>
      </c>
      <c r="N287" s="217"/>
    </row>
    <row r="288" spans="2:14" ht="30.6" customHeight="1" x14ac:dyDescent="0.25">
      <c r="B288" s="208" t="s">
        <v>1112</v>
      </c>
      <c r="C288" s="339" t="s">
        <v>1113</v>
      </c>
      <c r="D288" s="292" t="s">
        <v>1114</v>
      </c>
      <c r="E288" s="215">
        <v>637343</v>
      </c>
      <c r="F288" s="215">
        <f>ROUND(E288,0)</f>
        <v>637343</v>
      </c>
      <c r="G288" s="191">
        <f>F288-E288</f>
        <v>0</v>
      </c>
      <c r="H288" s="216"/>
      <c r="I288" s="191">
        <f t="shared" si="82"/>
        <v>637343</v>
      </c>
      <c r="J288" s="191">
        <f>I288-F288</f>
        <v>0</v>
      </c>
      <c r="K288" s="217"/>
      <c r="L288" s="191">
        <f t="shared" si="80"/>
        <v>637343</v>
      </c>
      <c r="M288" s="191">
        <f t="shared" si="79"/>
        <v>0</v>
      </c>
      <c r="N288" s="217"/>
    </row>
    <row r="289" spans="2:14" ht="27" customHeight="1" x14ac:dyDescent="0.25">
      <c r="C289" s="339" t="s">
        <v>1115</v>
      </c>
      <c r="D289" s="292" t="s">
        <v>630</v>
      </c>
      <c r="E289" s="192">
        <v>15746</v>
      </c>
      <c r="F289" s="192">
        <f>F290+F291</f>
        <v>16496</v>
      </c>
      <c r="G289" s="191">
        <f t="shared" si="73"/>
        <v>750</v>
      </c>
      <c r="H289" s="216"/>
      <c r="I289" s="193">
        <f>I290+I291</f>
        <v>16496</v>
      </c>
      <c r="J289" s="191">
        <f t="shared" si="78"/>
        <v>0</v>
      </c>
      <c r="K289" s="217"/>
      <c r="L289" s="193">
        <f>L290+L291</f>
        <v>16496</v>
      </c>
      <c r="M289" s="191">
        <f t="shared" si="79"/>
        <v>0</v>
      </c>
      <c r="N289" s="217"/>
    </row>
    <row r="290" spans="2:14" ht="14.45" customHeight="1" x14ac:dyDescent="0.25">
      <c r="B290" s="208" t="s">
        <v>1116</v>
      </c>
      <c r="C290" s="290" t="s">
        <v>1117</v>
      </c>
      <c r="D290" s="257" t="s">
        <v>1118</v>
      </c>
      <c r="E290" s="162">
        <v>15746</v>
      </c>
      <c r="F290" s="162">
        <f>ROUND(E290,0)+750</f>
        <v>16496</v>
      </c>
      <c r="G290" s="161">
        <f t="shared" si="73"/>
        <v>750</v>
      </c>
      <c r="H290" s="187" t="s">
        <v>413</v>
      </c>
      <c r="I290" s="161">
        <f>ROUND(F290,0)</f>
        <v>16496</v>
      </c>
      <c r="J290" s="161">
        <f t="shared" si="78"/>
        <v>0</v>
      </c>
      <c r="K290" s="187"/>
      <c r="L290" s="161">
        <f>ROUND(I290,0)</f>
        <v>16496</v>
      </c>
      <c r="M290" s="161">
        <f t="shared" si="79"/>
        <v>0</v>
      </c>
      <c r="N290" s="187"/>
    </row>
    <row r="291" spans="2:14" s="275" customFormat="1" ht="15" customHeight="1" x14ac:dyDescent="0.25">
      <c r="B291" s="208" t="s">
        <v>1119</v>
      </c>
      <c r="C291" s="290" t="s">
        <v>1120</v>
      </c>
      <c r="D291" s="257" t="s">
        <v>1121</v>
      </c>
      <c r="E291" s="162">
        <v>0</v>
      </c>
      <c r="F291" s="162">
        <f>ROUND(E291,0)</f>
        <v>0</v>
      </c>
      <c r="G291" s="161">
        <f t="shared" si="73"/>
        <v>0</v>
      </c>
      <c r="H291" s="186"/>
      <c r="I291" s="161">
        <f>ROUND(F291,0)</f>
        <v>0</v>
      </c>
      <c r="J291" s="161">
        <f t="shared" si="78"/>
        <v>0</v>
      </c>
      <c r="K291" s="187"/>
      <c r="L291" s="161">
        <f>ROUND(I291,0)</f>
        <v>0</v>
      </c>
      <c r="M291" s="161">
        <f t="shared" si="79"/>
        <v>0</v>
      </c>
      <c r="N291" s="187"/>
    </row>
    <row r="292" spans="2:14" s="275" customFormat="1" ht="17.45" customHeight="1" outlineLevel="1" x14ac:dyDescent="0.2">
      <c r="C292" s="287" t="s">
        <v>1122</v>
      </c>
      <c r="D292" s="288" t="s">
        <v>1123</v>
      </c>
      <c r="E292" s="169">
        <v>0</v>
      </c>
      <c r="F292" s="169">
        <f>SUM(F293:F294)</f>
        <v>0</v>
      </c>
      <c r="G292" s="168">
        <f t="shared" si="73"/>
        <v>0</v>
      </c>
      <c r="H292" s="170"/>
      <c r="I292" s="168">
        <f>SUM(I293:I294)</f>
        <v>0</v>
      </c>
      <c r="J292" s="168">
        <f t="shared" si="78"/>
        <v>0</v>
      </c>
      <c r="K292" s="171"/>
      <c r="L292" s="168">
        <f>SUM(L293:L294)</f>
        <v>0</v>
      </c>
      <c r="M292" s="168">
        <f t="shared" si="79"/>
        <v>0</v>
      </c>
      <c r="N292" s="171"/>
    </row>
    <row r="293" spans="2:14" ht="17.25" customHeight="1" outlineLevel="1" x14ac:dyDescent="0.25">
      <c r="C293" s="283" t="s">
        <v>532</v>
      </c>
      <c r="D293" s="284" t="s">
        <v>1124</v>
      </c>
      <c r="E293" s="215"/>
      <c r="F293" s="215"/>
      <c r="G293" s="191">
        <f t="shared" si="73"/>
        <v>0</v>
      </c>
      <c r="H293" s="216"/>
      <c r="I293" s="191"/>
      <c r="J293" s="191">
        <f t="shared" si="78"/>
        <v>0</v>
      </c>
      <c r="K293" s="217"/>
      <c r="L293" s="191"/>
      <c r="M293" s="191">
        <f t="shared" si="79"/>
        <v>0</v>
      </c>
      <c r="N293" s="217"/>
    </row>
    <row r="294" spans="2:14" ht="15.75" outlineLevel="1" thickBot="1" x14ac:dyDescent="0.3">
      <c r="C294" s="283" t="s">
        <v>599</v>
      </c>
      <c r="D294" s="284" t="s">
        <v>1125</v>
      </c>
      <c r="E294" s="215"/>
      <c r="F294" s="215"/>
      <c r="G294" s="191">
        <f t="shared" si="73"/>
        <v>0</v>
      </c>
      <c r="H294" s="216"/>
      <c r="I294" s="191"/>
      <c r="J294" s="191">
        <f t="shared" si="78"/>
        <v>0</v>
      </c>
      <c r="K294" s="217"/>
      <c r="L294" s="191"/>
      <c r="M294" s="191">
        <f t="shared" si="79"/>
        <v>0</v>
      </c>
      <c r="N294" s="217"/>
    </row>
    <row r="295" spans="2:14" s="275" customFormat="1" ht="30" customHeight="1" thickBot="1" x14ac:dyDescent="0.25">
      <c r="C295" s="361"/>
      <c r="D295" s="362" t="s">
        <v>1126</v>
      </c>
      <c r="E295" s="364">
        <v>58317822.384578399</v>
      </c>
      <c r="F295" s="364">
        <f t="shared" ref="F295:I295" si="83">F130+F140+F142+F143+F148+F150+F191+F206+F225+F292</f>
        <v>59128575</v>
      </c>
      <c r="G295" s="364">
        <f t="shared" si="83"/>
        <v>810752.62895110343</v>
      </c>
      <c r="H295" s="364" t="e">
        <f t="shared" si="83"/>
        <v>#VALUE!</v>
      </c>
      <c r="I295" s="364">
        <f t="shared" si="83"/>
        <v>59750919</v>
      </c>
      <c r="J295" s="363">
        <f t="shared" si="78"/>
        <v>622344</v>
      </c>
      <c r="K295" s="365"/>
      <c r="L295" s="363">
        <f>L130+L140+L142+L143+L148+L150+L191+L206+L225+L292</f>
        <v>59826407</v>
      </c>
      <c r="M295" s="363">
        <f t="shared" si="79"/>
        <v>75488</v>
      </c>
      <c r="N295" s="365"/>
    </row>
    <row r="296" spans="2:14" s="158" customFormat="1" ht="76.150000000000006" customHeight="1" thickBot="1" x14ac:dyDescent="0.3">
      <c r="C296" s="287" t="s">
        <v>653</v>
      </c>
      <c r="D296" s="288" t="s">
        <v>1127</v>
      </c>
      <c r="E296" s="169">
        <v>3486155</v>
      </c>
      <c r="F296" s="169">
        <f>ROUND(E296,0)+37335+(133641+67)</f>
        <v>3657198</v>
      </c>
      <c r="G296" s="168">
        <f t="shared" si="73"/>
        <v>171043</v>
      </c>
      <c r="H296" s="366" t="s">
        <v>1128</v>
      </c>
      <c r="I296" s="168">
        <f>ROUND(F296,0)</f>
        <v>3657198</v>
      </c>
      <c r="J296" s="168">
        <f t="shared" si="78"/>
        <v>0</v>
      </c>
      <c r="K296" s="184"/>
      <c r="L296" s="168">
        <f>ROUND(I296,0)</f>
        <v>3657198</v>
      </c>
      <c r="M296" s="168">
        <f t="shared" si="79"/>
        <v>0</v>
      </c>
      <c r="N296" s="184"/>
    </row>
    <row r="297" spans="2:14" ht="15.75" thickBot="1" x14ac:dyDescent="0.3">
      <c r="C297" s="361"/>
      <c r="D297" s="362" t="s">
        <v>1129</v>
      </c>
      <c r="E297" s="368">
        <v>61803977.384578399</v>
      </c>
      <c r="F297" s="368">
        <f>F295+F296</f>
        <v>62785773</v>
      </c>
      <c r="G297" s="367">
        <f t="shared" si="73"/>
        <v>981795.61542160064</v>
      </c>
      <c r="H297" s="369"/>
      <c r="I297" s="367">
        <f>I295+I296</f>
        <v>63408117</v>
      </c>
      <c r="J297" s="367">
        <f t="shared" si="78"/>
        <v>622344</v>
      </c>
      <c r="K297" s="369"/>
      <c r="L297" s="367">
        <f>L295+L296</f>
        <v>63483605</v>
      </c>
      <c r="M297" s="367">
        <f t="shared" si="79"/>
        <v>75488</v>
      </c>
      <c r="N297" s="369"/>
    </row>
    <row r="298" spans="2:14" ht="16.5" thickTop="1" thickBot="1" x14ac:dyDescent="0.3">
      <c r="C298" s="370" t="s">
        <v>1130</v>
      </c>
      <c r="D298" s="371" t="s">
        <v>1131</v>
      </c>
      <c r="E298" s="373">
        <v>0.25542160123586655</v>
      </c>
      <c r="F298" s="373">
        <f>F124-F297-0.2</f>
        <v>80542.8</v>
      </c>
      <c r="G298" s="372">
        <f t="shared" si="73"/>
        <v>80542.544578398767</v>
      </c>
      <c r="H298" s="374"/>
      <c r="I298" s="372">
        <f>I124-I297-0.2</f>
        <v>50316.800000000003</v>
      </c>
      <c r="J298" s="372">
        <f t="shared" si="78"/>
        <v>-30226</v>
      </c>
      <c r="K298" s="374"/>
      <c r="L298" s="372">
        <f>L124-L297-0.2</f>
        <v>58013.8</v>
      </c>
      <c r="M298" s="372">
        <f t="shared" si="79"/>
        <v>7697</v>
      </c>
      <c r="N298" s="374"/>
    </row>
  </sheetData>
  <mergeCells count="6">
    <mergeCell ref="C127:D127"/>
    <mergeCell ref="C128:D128"/>
    <mergeCell ref="K145:K146"/>
    <mergeCell ref="H237:H238"/>
    <mergeCell ref="C2:D2"/>
    <mergeCell ref="C3:D3"/>
  </mergeCells>
  <conditionalFormatting sqref="E298:G298">
    <cfRule type="cellIs" dxfId="2" priority="5" operator="lessThan">
      <formula>0</formula>
    </cfRule>
  </conditionalFormatting>
  <conditionalFormatting sqref="I298:J298">
    <cfRule type="cellIs" dxfId="1" priority="3" operator="lessThan">
      <formula>0</formula>
    </cfRule>
  </conditionalFormatting>
  <conditionalFormatting sqref="L298:M298">
    <cfRule type="cellIs" dxfId="0" priority="2" operator="lessThan">
      <formula>0</formula>
    </cfRule>
  </conditionalFormatting>
  <pageMargins left="0.47244094488188981" right="0.47244094488188981" top="0.47244094488188981" bottom="0.47244094488188981" header="0.27559055118110237" footer="0.27559055118110237"/>
  <pageSetup paperSize="9" scale="56"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FB85-2A4F-425A-96BB-9C50A7A48FF0}">
  <sheetPr>
    <tabColor rgb="FF7030A0"/>
    <pageSetUpPr fitToPage="1"/>
  </sheetPr>
  <dimension ref="A1:BF172"/>
  <sheetViews>
    <sheetView topLeftCell="A140" zoomScaleNormal="100" workbookViewId="0">
      <pane xSplit="3" topLeftCell="D1" activePane="topRight" state="frozen"/>
      <selection activeCell="C1" sqref="C1"/>
      <selection pane="topRight" activeCell="BB169" sqref="A143:BB169"/>
    </sheetView>
  </sheetViews>
  <sheetFormatPr defaultColWidth="8.85546875" defaultRowHeight="15" outlineLevelRow="1" outlineLevelCol="1" x14ac:dyDescent="0.25"/>
  <cols>
    <col min="1" max="1" width="5" style="1" hidden="1" customWidth="1" outlineLevel="1"/>
    <col min="2" max="2" width="3.5703125" style="1" hidden="1" customWidth="1" outlineLevel="1"/>
    <col min="3" max="3" width="4.28515625" style="1" customWidth="1" collapsed="1"/>
    <col min="4" max="4" width="31.85546875" style="1" customWidth="1"/>
    <col min="5" max="5" width="12.28515625" style="1" customWidth="1"/>
    <col min="6" max="6" width="11.5703125" style="1" customWidth="1"/>
    <col min="7" max="8" width="11" style="1" customWidth="1"/>
    <col min="9" max="9" width="6.42578125" style="1" hidden="1" customWidth="1" outlineLevel="1"/>
    <col min="10" max="10" width="11.85546875" style="1" customWidth="1" collapsed="1"/>
    <col min="11" max="12" width="13.28515625" style="1" hidden="1" customWidth="1" outlineLevel="1"/>
    <col min="13" max="13" width="6" style="1" hidden="1" customWidth="1" outlineLevel="1"/>
    <col min="14" max="16" width="13.28515625" style="1" hidden="1" customWidth="1" outlineLevel="1"/>
    <col min="17" max="17" width="14.42578125" style="1" customWidth="1" collapsed="1"/>
    <col min="18" max="19" width="11.7109375" style="1" hidden="1" customWidth="1" outlineLevel="1"/>
    <col min="20" max="20" width="12.28515625" style="1" hidden="1" customWidth="1" outlineLevel="1"/>
    <col min="21" max="21" width="10.28515625" style="1" customWidth="1" collapsed="1"/>
    <col min="22" max="27" width="10.28515625" style="1" customWidth="1"/>
    <col min="28" max="50" width="10.28515625" style="1" hidden="1" customWidth="1" outlineLevel="1"/>
    <col min="51" max="51" width="11.28515625" style="1" hidden="1" customWidth="1" outlineLevel="1"/>
    <col min="52" max="52" width="10.28515625" style="1" hidden="1" customWidth="1" outlineLevel="1"/>
    <col min="53" max="53" width="12.28515625" style="1" customWidth="1" collapsed="1"/>
    <col min="54" max="54" width="11.5703125" style="1" customWidth="1" collapsed="1"/>
    <col min="55" max="55" width="8.85546875" style="1"/>
    <col min="56" max="56" width="9" style="1" bestFit="1" customWidth="1"/>
    <col min="57" max="57" width="10.7109375" style="1" customWidth="1"/>
    <col min="58" max="58" width="12.28515625" style="1" bestFit="1" customWidth="1"/>
    <col min="59" max="16384" width="8.85546875" style="1"/>
  </cols>
  <sheetData>
    <row r="1" spans="1:57" ht="18.75" x14ac:dyDescent="0.3">
      <c r="C1" s="74" t="s">
        <v>0</v>
      </c>
      <c r="K1" s="43"/>
      <c r="L1" s="43"/>
      <c r="M1" s="43"/>
      <c r="N1" s="43"/>
      <c r="O1" s="43"/>
      <c r="Q1" s="75"/>
      <c r="R1" s="75"/>
    </row>
    <row r="2" spans="1:57" ht="18.75" x14ac:dyDescent="0.3">
      <c r="C2" s="74"/>
      <c r="K2" s="75"/>
      <c r="L2" s="75"/>
      <c r="M2" s="75"/>
      <c r="N2" s="75"/>
      <c r="O2" s="75"/>
      <c r="Q2" s="75"/>
      <c r="R2" s="75"/>
      <c r="S2" s="75"/>
      <c r="T2" s="75"/>
      <c r="W2" s="59"/>
    </row>
    <row r="3" spans="1:57" ht="15.75" x14ac:dyDescent="0.25">
      <c r="C3" s="2" t="s">
        <v>1</v>
      </c>
      <c r="K3" s="43"/>
      <c r="L3" s="43"/>
      <c r="M3" s="43"/>
      <c r="N3" s="43"/>
      <c r="O3" s="43"/>
      <c r="P3" s="43"/>
      <c r="Q3" s="75"/>
      <c r="R3" s="75"/>
      <c r="S3" s="75"/>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row>
    <row r="4" spans="1:57" hidden="1" outlineLevel="1" x14ac:dyDescent="0.25">
      <c r="C4" s="3"/>
      <c r="K4" s="75"/>
      <c r="L4" s="75"/>
      <c r="M4" s="75"/>
      <c r="N4" s="75"/>
      <c r="O4" s="75"/>
      <c r="P4" s="4">
        <v>0</v>
      </c>
      <c r="Q4" s="75"/>
      <c r="R4" s="75"/>
      <c r="S4" s="75"/>
      <c r="T4" s="75"/>
      <c r="V4" s="77"/>
      <c r="W4" s="77"/>
      <c r="X4" s="77"/>
      <c r="Y4" s="77"/>
      <c r="Z4" s="77"/>
      <c r="AA4" s="77"/>
      <c r="AB4" s="77"/>
      <c r="AC4" s="77"/>
      <c r="AD4" s="77"/>
    </row>
    <row r="5" spans="1:57" s="78" customFormat="1" ht="60" collapsed="1" x14ac:dyDescent="0.25">
      <c r="B5" s="79" t="s">
        <v>2</v>
      </c>
      <c r="C5" s="5" t="s">
        <v>3</v>
      </c>
      <c r="D5" s="80" t="s">
        <v>4</v>
      </c>
      <c r="E5" s="5" t="s">
        <v>5</v>
      </c>
      <c r="F5" s="5" t="s">
        <v>6</v>
      </c>
      <c r="G5" s="5" t="s">
        <v>7</v>
      </c>
      <c r="H5" s="5" t="s">
        <v>8</v>
      </c>
      <c r="I5" s="5" t="s">
        <v>9</v>
      </c>
      <c r="J5" s="5" t="s">
        <v>10</v>
      </c>
      <c r="K5" s="5" t="s">
        <v>11</v>
      </c>
      <c r="L5" s="5" t="s">
        <v>12</v>
      </c>
      <c r="M5" s="5" t="s">
        <v>13</v>
      </c>
      <c r="N5" s="5" t="s">
        <v>14</v>
      </c>
      <c r="O5" s="5" t="s">
        <v>15</v>
      </c>
      <c r="P5" s="5" t="s">
        <v>16</v>
      </c>
      <c r="Q5" s="6" t="s">
        <v>17</v>
      </c>
      <c r="R5" s="6" t="s">
        <v>18</v>
      </c>
      <c r="S5" s="5" t="s">
        <v>19</v>
      </c>
      <c r="T5" s="5">
        <v>2023</v>
      </c>
      <c r="U5" s="80">
        <v>2024</v>
      </c>
      <c r="V5" s="80">
        <v>2025</v>
      </c>
      <c r="W5" s="80">
        <v>2026</v>
      </c>
      <c r="X5" s="80">
        <v>2027</v>
      </c>
      <c r="Y5" s="80">
        <v>2028</v>
      </c>
      <c r="Z5" s="80">
        <v>2029</v>
      </c>
      <c r="AA5" s="80">
        <v>2030</v>
      </c>
      <c r="AB5" s="80">
        <v>2031</v>
      </c>
      <c r="AC5" s="80">
        <v>2032</v>
      </c>
      <c r="AD5" s="80">
        <v>2033</v>
      </c>
      <c r="AE5" s="80">
        <v>2034</v>
      </c>
      <c r="AF5" s="80">
        <v>2035</v>
      </c>
      <c r="AG5" s="80">
        <v>2036</v>
      </c>
      <c r="AH5" s="80">
        <v>2037</v>
      </c>
      <c r="AI5" s="80">
        <v>2038</v>
      </c>
      <c r="AJ5" s="80">
        <v>2039</v>
      </c>
      <c r="AK5" s="80">
        <v>2040</v>
      </c>
      <c r="AL5" s="80">
        <v>2041</v>
      </c>
      <c r="AM5" s="80">
        <v>2042</v>
      </c>
      <c r="AN5" s="80">
        <v>2043</v>
      </c>
      <c r="AO5" s="80">
        <v>2044</v>
      </c>
      <c r="AP5" s="80">
        <v>2045</v>
      </c>
      <c r="AQ5" s="80">
        <v>2046</v>
      </c>
      <c r="AR5" s="80">
        <v>2047</v>
      </c>
      <c r="AS5" s="80">
        <v>2048</v>
      </c>
      <c r="AT5" s="80">
        <v>2049</v>
      </c>
      <c r="AU5" s="80">
        <v>2050</v>
      </c>
      <c r="AV5" s="80">
        <v>2051</v>
      </c>
      <c r="AW5" s="80">
        <v>2052</v>
      </c>
      <c r="AX5" s="80">
        <v>2053</v>
      </c>
      <c r="AY5" s="5" t="s">
        <v>20</v>
      </c>
      <c r="AZ5" s="81"/>
      <c r="BA5" s="79" t="s">
        <v>21</v>
      </c>
      <c r="BB5" s="5" t="s">
        <v>22</v>
      </c>
    </row>
    <row r="6" spans="1:57" s="43" customFormat="1" hidden="1" outlineLevel="1" x14ac:dyDescent="0.25">
      <c r="B6" s="38" t="s">
        <v>23</v>
      </c>
      <c r="C6" s="39">
        <v>1</v>
      </c>
      <c r="D6" s="40" t="s">
        <v>24</v>
      </c>
      <c r="E6" s="7" t="s">
        <v>25</v>
      </c>
      <c r="F6" s="7" t="s">
        <v>26</v>
      </c>
      <c r="G6" s="7" t="s">
        <v>27</v>
      </c>
      <c r="H6" s="7" t="s">
        <v>28</v>
      </c>
      <c r="I6" s="7" t="s">
        <v>29</v>
      </c>
      <c r="J6" s="8">
        <v>2099988.0499999998</v>
      </c>
      <c r="K6" s="9">
        <v>1343825.59</v>
      </c>
      <c r="L6" s="9"/>
      <c r="M6" s="9"/>
      <c r="N6" s="40"/>
      <c r="O6" s="40"/>
      <c r="P6" s="40"/>
      <c r="Q6" s="10" t="s">
        <v>30</v>
      </c>
      <c r="R6" s="11">
        <v>48972.4</v>
      </c>
      <c r="S6" s="11">
        <v>48972.4</v>
      </c>
      <c r="T6" s="11">
        <v>97944.8</v>
      </c>
      <c r="U6" s="11">
        <v>97944.8</v>
      </c>
      <c r="V6" s="11">
        <v>97944.8</v>
      </c>
      <c r="W6" s="11">
        <v>97944.8</v>
      </c>
      <c r="X6" s="11">
        <v>97944.8</v>
      </c>
      <c r="Y6" s="11">
        <v>97944.8</v>
      </c>
      <c r="Z6" s="11">
        <v>97944.8</v>
      </c>
      <c r="AA6" s="11">
        <v>97944.8</v>
      </c>
      <c r="AB6" s="11">
        <v>97944.8</v>
      </c>
      <c r="AC6" s="11">
        <v>97944.8</v>
      </c>
      <c r="AD6" s="11">
        <v>113829.75999999999</v>
      </c>
      <c r="AE6" s="11">
        <v>113829.75999999999</v>
      </c>
      <c r="AF6" s="11">
        <v>113829.75999999999</v>
      </c>
      <c r="AG6" s="11">
        <v>71860.709999999992</v>
      </c>
      <c r="AH6" s="11">
        <v>0</v>
      </c>
      <c r="AI6" s="11">
        <v>0</v>
      </c>
      <c r="AJ6" s="11">
        <v>0</v>
      </c>
      <c r="AK6" s="11">
        <v>0</v>
      </c>
      <c r="AL6" s="11">
        <v>0</v>
      </c>
      <c r="AM6" s="11">
        <v>0</v>
      </c>
      <c r="AN6" s="11">
        <v>0</v>
      </c>
      <c r="AO6" s="11">
        <v>0</v>
      </c>
      <c r="AP6" s="11">
        <v>0</v>
      </c>
      <c r="AQ6" s="11">
        <v>0</v>
      </c>
      <c r="AR6" s="11">
        <v>0</v>
      </c>
      <c r="AS6" s="11">
        <v>0</v>
      </c>
      <c r="AT6" s="11">
        <v>0</v>
      </c>
      <c r="AU6" s="11">
        <v>0</v>
      </c>
      <c r="AV6" s="11">
        <v>0</v>
      </c>
      <c r="AW6" s="11"/>
      <c r="AX6" s="11"/>
      <c r="AY6" s="13">
        <v>1294853.1900000002</v>
      </c>
      <c r="AZ6" s="82">
        <v>0</v>
      </c>
      <c r="BA6" s="12">
        <v>609239.59</v>
      </c>
      <c r="BB6" s="13">
        <v>1294853.19</v>
      </c>
      <c r="BE6" s="44"/>
    </row>
    <row r="7" spans="1:57" hidden="1" outlineLevel="1" x14ac:dyDescent="0.25">
      <c r="B7" s="45" t="s">
        <v>23</v>
      </c>
      <c r="C7" s="46"/>
      <c r="D7" s="47" t="s">
        <v>31</v>
      </c>
      <c r="E7" s="14"/>
      <c r="F7" s="14"/>
      <c r="G7" s="14"/>
      <c r="H7" s="14"/>
      <c r="I7" s="14"/>
      <c r="J7" s="15"/>
      <c r="K7" s="15"/>
      <c r="L7" s="15" t="s">
        <v>32</v>
      </c>
      <c r="M7" s="15"/>
      <c r="N7" s="16">
        <v>3.8879999999999999</v>
      </c>
      <c r="O7" s="16">
        <v>3.8879999999999999</v>
      </c>
      <c r="P7" s="16">
        <v>0</v>
      </c>
      <c r="Q7" s="16" t="s">
        <v>33</v>
      </c>
      <c r="R7" s="17">
        <v>11605.25</v>
      </c>
      <c r="S7" s="17">
        <v>12466.47</v>
      </c>
      <c r="T7" s="17">
        <v>24071.72</v>
      </c>
      <c r="U7" s="17">
        <v>50343.892027200003</v>
      </c>
      <c r="V7" s="17">
        <v>46535.7982032</v>
      </c>
      <c r="W7" s="17">
        <v>42727.704379200004</v>
      </c>
      <c r="X7" s="17">
        <v>38919.610555200001</v>
      </c>
      <c r="Y7" s="17">
        <v>35111.516731199998</v>
      </c>
      <c r="Z7" s="17">
        <v>31303.422907199998</v>
      </c>
      <c r="AA7" s="17">
        <v>27495.329083199998</v>
      </c>
      <c r="AB7" s="17">
        <v>23687.235259199999</v>
      </c>
      <c r="AC7" s="17">
        <v>19879.141435200003</v>
      </c>
      <c r="AD7" s="17">
        <v>16071.0476112</v>
      </c>
      <c r="AE7" s="17">
        <v>11645.346542399999</v>
      </c>
      <c r="AF7" s="17">
        <v>7219.6454735999987</v>
      </c>
      <c r="AG7" s="17">
        <v>2793.9444048</v>
      </c>
      <c r="AH7" s="17">
        <v>0</v>
      </c>
      <c r="AI7" s="17">
        <v>0</v>
      </c>
      <c r="AJ7" s="17">
        <v>0</v>
      </c>
      <c r="AK7" s="17">
        <v>0</v>
      </c>
      <c r="AL7" s="17">
        <v>0</v>
      </c>
      <c r="AM7" s="17">
        <v>0</v>
      </c>
      <c r="AN7" s="17">
        <v>0</v>
      </c>
      <c r="AO7" s="17">
        <v>0</v>
      </c>
      <c r="AP7" s="17">
        <v>0</v>
      </c>
      <c r="AQ7" s="17">
        <v>0</v>
      </c>
      <c r="AR7" s="17">
        <v>0</v>
      </c>
      <c r="AS7" s="17">
        <v>0</v>
      </c>
      <c r="AT7" s="17">
        <v>0</v>
      </c>
      <c r="AU7" s="17">
        <v>0</v>
      </c>
      <c r="AV7" s="17">
        <v>0</v>
      </c>
      <c r="AW7" s="17"/>
      <c r="AX7" s="17"/>
      <c r="AY7" s="19">
        <v>353733.63461280009</v>
      </c>
      <c r="AZ7" s="82">
        <v>0</v>
      </c>
      <c r="BA7" s="18">
        <v>81296.360726400002</v>
      </c>
      <c r="BB7" s="19">
        <v>353733.63461280003</v>
      </c>
      <c r="BD7" s="43"/>
    </row>
    <row r="8" spans="1:57" s="43" customFormat="1" hidden="1" outlineLevel="1" x14ac:dyDescent="0.25">
      <c r="B8" s="38" t="s">
        <v>23</v>
      </c>
      <c r="C8" s="39">
        <v>2</v>
      </c>
      <c r="D8" s="40" t="s">
        <v>24</v>
      </c>
      <c r="E8" s="7" t="s">
        <v>34</v>
      </c>
      <c r="F8" s="7" t="s">
        <v>35</v>
      </c>
      <c r="G8" s="7" t="s">
        <v>36</v>
      </c>
      <c r="H8" s="7" t="s">
        <v>37</v>
      </c>
      <c r="I8" s="7" t="s">
        <v>29</v>
      </c>
      <c r="J8" s="8">
        <v>6628759.9400000004</v>
      </c>
      <c r="K8" s="9">
        <v>3337088.24</v>
      </c>
      <c r="L8" s="9"/>
      <c r="M8" s="9"/>
      <c r="N8" s="10"/>
      <c r="O8" s="10">
        <v>2.3380000000000001</v>
      </c>
      <c r="P8" s="10"/>
      <c r="Q8" s="10" t="s">
        <v>30</v>
      </c>
      <c r="R8" s="11">
        <v>196299.4</v>
      </c>
      <c r="S8" s="11">
        <v>196299.4</v>
      </c>
      <c r="T8" s="11">
        <v>392598.8</v>
      </c>
      <c r="U8" s="11">
        <v>392598.8</v>
      </c>
      <c r="V8" s="11">
        <v>392598.8</v>
      </c>
      <c r="W8" s="11">
        <v>392598.8</v>
      </c>
      <c r="X8" s="11">
        <v>392598.8</v>
      </c>
      <c r="Y8" s="11">
        <v>392598.8</v>
      </c>
      <c r="Z8" s="11">
        <v>392598.8</v>
      </c>
      <c r="AA8" s="11">
        <v>392598.8</v>
      </c>
      <c r="AB8" s="11">
        <v>392597.24</v>
      </c>
      <c r="AC8" s="11">
        <v>0</v>
      </c>
      <c r="AD8" s="11">
        <v>0</v>
      </c>
      <c r="AE8" s="11">
        <v>0</v>
      </c>
      <c r="AF8" s="11">
        <v>0</v>
      </c>
      <c r="AG8" s="11">
        <v>0</v>
      </c>
      <c r="AH8" s="11">
        <v>0</v>
      </c>
      <c r="AI8" s="11">
        <v>0</v>
      </c>
      <c r="AJ8" s="11">
        <v>0</v>
      </c>
      <c r="AK8" s="11">
        <v>0</v>
      </c>
      <c r="AL8" s="11">
        <v>0</v>
      </c>
      <c r="AM8" s="11">
        <v>0</v>
      </c>
      <c r="AN8" s="11">
        <v>0</v>
      </c>
      <c r="AO8" s="11">
        <v>0</v>
      </c>
      <c r="AP8" s="11">
        <v>0</v>
      </c>
      <c r="AQ8" s="11">
        <v>0</v>
      </c>
      <c r="AR8" s="11">
        <v>0</v>
      </c>
      <c r="AS8" s="11">
        <v>0</v>
      </c>
      <c r="AT8" s="11">
        <v>0</v>
      </c>
      <c r="AU8" s="11">
        <v>0</v>
      </c>
      <c r="AV8" s="11">
        <v>0</v>
      </c>
      <c r="AW8" s="11"/>
      <c r="AX8" s="11"/>
      <c r="AY8" s="13">
        <v>3140788.84</v>
      </c>
      <c r="AZ8" s="82">
        <v>0</v>
      </c>
      <c r="BA8" s="12">
        <v>392597.24</v>
      </c>
      <c r="BB8" s="13">
        <v>3140788.84</v>
      </c>
      <c r="BE8" s="44"/>
    </row>
    <row r="9" spans="1:57" hidden="1" outlineLevel="1" x14ac:dyDescent="0.25">
      <c r="B9" s="45" t="s">
        <v>23</v>
      </c>
      <c r="C9" s="46"/>
      <c r="D9" s="47" t="s">
        <v>38</v>
      </c>
      <c r="E9" s="14"/>
      <c r="F9" s="14"/>
      <c r="G9" s="14"/>
      <c r="H9" s="14"/>
      <c r="I9" s="14"/>
      <c r="J9" s="15"/>
      <c r="K9" s="15"/>
      <c r="L9" s="20" t="s">
        <v>39</v>
      </c>
      <c r="M9" s="20"/>
      <c r="N9" s="16">
        <v>4.1500000000000004</v>
      </c>
      <c r="O9" s="21">
        <v>4.1500000000000004</v>
      </c>
      <c r="P9" s="16">
        <v>0</v>
      </c>
      <c r="Q9" s="16" t="s">
        <v>33</v>
      </c>
      <c r="R9" s="17">
        <v>62557.14</v>
      </c>
      <c r="S9" s="17">
        <v>21380.09</v>
      </c>
      <c r="T9" s="17">
        <v>83937.23</v>
      </c>
      <c r="U9" s="17">
        <v>130342.73686</v>
      </c>
      <c r="V9" s="17">
        <v>114049.88666000002</v>
      </c>
      <c r="W9" s="17">
        <v>97757.036460000018</v>
      </c>
      <c r="X9" s="17">
        <v>81464.186260000002</v>
      </c>
      <c r="Y9" s="17">
        <v>65171.336059999994</v>
      </c>
      <c r="Z9" s="17">
        <v>48878.485860000001</v>
      </c>
      <c r="AA9" s="17">
        <v>32585.635660000007</v>
      </c>
      <c r="AB9" s="17">
        <v>16292.785460000001</v>
      </c>
      <c r="AC9" s="17">
        <v>0</v>
      </c>
      <c r="AD9" s="17">
        <v>0</v>
      </c>
      <c r="AE9" s="17">
        <v>0</v>
      </c>
      <c r="AF9" s="17">
        <v>0</v>
      </c>
      <c r="AG9" s="17">
        <v>0</v>
      </c>
      <c r="AH9" s="17">
        <v>0</v>
      </c>
      <c r="AI9" s="17">
        <v>0</v>
      </c>
      <c r="AJ9" s="17">
        <v>0</v>
      </c>
      <c r="AK9" s="17">
        <v>0</v>
      </c>
      <c r="AL9" s="17">
        <v>0</v>
      </c>
      <c r="AM9" s="17">
        <v>0</v>
      </c>
      <c r="AN9" s="17">
        <v>0</v>
      </c>
      <c r="AO9" s="17">
        <v>0</v>
      </c>
      <c r="AP9" s="17">
        <v>0</v>
      </c>
      <c r="AQ9" s="17">
        <v>0</v>
      </c>
      <c r="AR9" s="17">
        <v>0</v>
      </c>
      <c r="AS9" s="17">
        <v>0</v>
      </c>
      <c r="AT9" s="17">
        <v>0</v>
      </c>
      <c r="AU9" s="17">
        <v>0</v>
      </c>
      <c r="AV9" s="17">
        <v>0</v>
      </c>
      <c r="AW9" s="17"/>
      <c r="AX9" s="17"/>
      <c r="AY9" s="19">
        <v>586542.08928000007</v>
      </c>
      <c r="AZ9" s="82">
        <v>0</v>
      </c>
      <c r="BA9" s="18">
        <v>16292.785460000001</v>
      </c>
      <c r="BB9" s="19">
        <v>586542.08928000007</v>
      </c>
      <c r="BD9" s="43"/>
    </row>
    <row r="10" spans="1:57" s="43" customFormat="1" hidden="1" outlineLevel="1" x14ac:dyDescent="0.25">
      <c r="A10" s="43" t="s">
        <v>40</v>
      </c>
      <c r="B10" s="38" t="s">
        <v>23</v>
      </c>
      <c r="C10" s="39">
        <v>3</v>
      </c>
      <c r="D10" s="40" t="s">
        <v>41</v>
      </c>
      <c r="E10" s="7" t="s">
        <v>42</v>
      </c>
      <c r="F10" s="7" t="s">
        <v>43</v>
      </c>
      <c r="G10" s="7" t="s">
        <v>44</v>
      </c>
      <c r="H10" s="7" t="s">
        <v>45</v>
      </c>
      <c r="I10" s="7" t="s">
        <v>29</v>
      </c>
      <c r="J10" s="8">
        <v>871076.43</v>
      </c>
      <c r="K10" s="9">
        <v>453250.01</v>
      </c>
      <c r="L10" s="9"/>
      <c r="M10" s="9"/>
      <c r="N10" s="10"/>
      <c r="O10" s="10">
        <v>1.1990000000000001</v>
      </c>
      <c r="P10" s="10"/>
      <c r="Q10" s="10" t="s">
        <v>30</v>
      </c>
      <c r="R10" s="11">
        <v>26661.78</v>
      </c>
      <c r="S10" s="11">
        <v>26661.78</v>
      </c>
      <c r="T10" s="11">
        <v>53323.56</v>
      </c>
      <c r="U10" s="11">
        <v>53323.56</v>
      </c>
      <c r="V10" s="11">
        <v>53323.56</v>
      </c>
      <c r="W10" s="11">
        <v>53323.56</v>
      </c>
      <c r="X10" s="11">
        <v>53323.56</v>
      </c>
      <c r="Y10" s="11">
        <v>53323.56</v>
      </c>
      <c r="Z10" s="11">
        <v>53323.56</v>
      </c>
      <c r="AA10" s="11">
        <v>53323.56</v>
      </c>
      <c r="AB10" s="11">
        <v>51223.4</v>
      </c>
      <c r="AC10" s="11">
        <v>2099.91</v>
      </c>
      <c r="AD10" s="11">
        <v>0</v>
      </c>
      <c r="AE10" s="11">
        <v>0</v>
      </c>
      <c r="AF10" s="11">
        <v>0</v>
      </c>
      <c r="AG10" s="11">
        <v>0</v>
      </c>
      <c r="AH10" s="11">
        <v>0</v>
      </c>
      <c r="AI10" s="11">
        <v>0</v>
      </c>
      <c r="AJ10" s="11">
        <v>0</v>
      </c>
      <c r="AK10" s="11">
        <v>0</v>
      </c>
      <c r="AL10" s="11">
        <v>0</v>
      </c>
      <c r="AM10" s="11">
        <v>0</v>
      </c>
      <c r="AN10" s="11">
        <v>0</v>
      </c>
      <c r="AO10" s="11">
        <v>0</v>
      </c>
      <c r="AP10" s="11">
        <v>0</v>
      </c>
      <c r="AQ10" s="11">
        <v>0</v>
      </c>
      <c r="AR10" s="11">
        <v>0</v>
      </c>
      <c r="AS10" s="11">
        <v>0</v>
      </c>
      <c r="AT10" s="11">
        <v>0</v>
      </c>
      <c r="AU10" s="11">
        <v>0</v>
      </c>
      <c r="AV10" s="11">
        <v>0</v>
      </c>
      <c r="AW10" s="11"/>
      <c r="AX10" s="11"/>
      <c r="AY10" s="13">
        <v>426588.23</v>
      </c>
      <c r="AZ10" s="82">
        <v>0</v>
      </c>
      <c r="BA10" s="12">
        <v>53323.31</v>
      </c>
      <c r="BB10" s="13">
        <v>426588.23</v>
      </c>
      <c r="BE10" s="44"/>
    </row>
    <row r="11" spans="1:57" hidden="1" outlineLevel="1" x14ac:dyDescent="0.25">
      <c r="A11" s="43" t="s">
        <v>40</v>
      </c>
      <c r="B11" s="45" t="s">
        <v>23</v>
      </c>
      <c r="C11" s="46"/>
      <c r="D11" s="47" t="s">
        <v>46</v>
      </c>
      <c r="E11" s="14"/>
      <c r="F11" s="14"/>
      <c r="G11" s="14"/>
      <c r="H11" s="14"/>
      <c r="I11" s="14"/>
      <c r="J11" s="15"/>
      <c r="K11" s="15"/>
      <c r="L11" s="15" t="s">
        <v>47</v>
      </c>
      <c r="M11" s="15"/>
      <c r="N11" s="16">
        <v>4.1500000000000004</v>
      </c>
      <c r="O11" s="21">
        <v>4.1500000000000004</v>
      </c>
      <c r="P11" s="16">
        <v>0</v>
      </c>
      <c r="Q11" s="16" t="s">
        <v>33</v>
      </c>
      <c r="R11" s="17">
        <v>4357.3500000000004</v>
      </c>
      <c r="S11" s="17">
        <v>4578.09</v>
      </c>
      <c r="T11" s="17">
        <v>8935.44</v>
      </c>
      <c r="U11" s="17">
        <v>17703.411545000003</v>
      </c>
      <c r="V11" s="17">
        <v>15376.41</v>
      </c>
      <c r="W11" s="17">
        <v>13137.43</v>
      </c>
      <c r="X11" s="17">
        <v>10896.919999999998</v>
      </c>
      <c r="Y11" s="17">
        <v>8679.44</v>
      </c>
      <c r="Z11" s="17">
        <v>6409.7699999999995</v>
      </c>
      <c r="AA11" s="17">
        <v>4166.21</v>
      </c>
      <c r="AB11" s="17">
        <v>1941.92</v>
      </c>
      <c r="AC11" s="17">
        <v>173.87</v>
      </c>
      <c r="AD11" s="17">
        <v>0</v>
      </c>
      <c r="AE11" s="17">
        <v>0</v>
      </c>
      <c r="AF11" s="17">
        <v>0</v>
      </c>
      <c r="AG11" s="17">
        <v>0</v>
      </c>
      <c r="AH11" s="17">
        <v>0</v>
      </c>
      <c r="AI11" s="17">
        <v>0</v>
      </c>
      <c r="AJ11" s="17">
        <v>0</v>
      </c>
      <c r="AK11" s="17">
        <v>0</v>
      </c>
      <c r="AL11" s="17">
        <v>0</v>
      </c>
      <c r="AM11" s="17">
        <v>0</v>
      </c>
      <c r="AN11" s="17">
        <v>0</v>
      </c>
      <c r="AO11" s="17">
        <v>0</v>
      </c>
      <c r="AP11" s="17">
        <v>0</v>
      </c>
      <c r="AQ11" s="17">
        <v>0</v>
      </c>
      <c r="AR11" s="17">
        <v>0</v>
      </c>
      <c r="AS11" s="17">
        <v>0</v>
      </c>
      <c r="AT11" s="17">
        <v>0</v>
      </c>
      <c r="AU11" s="17">
        <v>0</v>
      </c>
      <c r="AV11" s="17">
        <v>0</v>
      </c>
      <c r="AW11" s="17"/>
      <c r="AX11" s="17"/>
      <c r="AY11" s="19">
        <v>78485.381544999997</v>
      </c>
      <c r="AZ11" s="82">
        <v>0</v>
      </c>
      <c r="BA11" s="18">
        <v>2115.79</v>
      </c>
      <c r="BB11" s="19">
        <v>78485.381544999997</v>
      </c>
      <c r="BD11" s="43"/>
    </row>
    <row r="12" spans="1:57" s="83" customFormat="1" hidden="1" outlineLevel="1" x14ac:dyDescent="0.25">
      <c r="A12" s="83" t="s">
        <v>40</v>
      </c>
      <c r="B12" s="84" t="s">
        <v>23</v>
      </c>
      <c r="C12" s="84">
        <v>4</v>
      </c>
      <c r="D12" s="84" t="s">
        <v>24</v>
      </c>
      <c r="E12" s="22" t="s">
        <v>48</v>
      </c>
      <c r="F12" s="22" t="s">
        <v>49</v>
      </c>
      <c r="G12" s="22" t="s">
        <v>50</v>
      </c>
      <c r="H12" s="22" t="s">
        <v>51</v>
      </c>
      <c r="I12" s="22" t="s">
        <v>29</v>
      </c>
      <c r="J12" s="85">
        <v>520921.91</v>
      </c>
      <c r="K12" s="23">
        <v>28941.09</v>
      </c>
      <c r="L12" s="23"/>
      <c r="M12" s="23"/>
      <c r="N12" s="24"/>
      <c r="O12" s="24"/>
      <c r="P12" s="24"/>
      <c r="Q12" s="24" t="s">
        <v>30</v>
      </c>
      <c r="R12" s="25">
        <v>28941.22</v>
      </c>
      <c r="S12" s="25">
        <v>28941.09</v>
      </c>
      <c r="T12" s="25">
        <v>57882.31</v>
      </c>
      <c r="U12" s="11">
        <v>67.680000000000007</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c r="AX12" s="25"/>
      <c r="AY12" s="13">
        <v>67.680000000000007</v>
      </c>
      <c r="AZ12" s="82">
        <v>0</v>
      </c>
      <c r="BA12" s="26">
        <v>0</v>
      </c>
      <c r="BB12" s="27">
        <v>67.680000000000007</v>
      </c>
      <c r="BD12" s="43"/>
      <c r="BE12" s="1"/>
    </row>
    <row r="13" spans="1:57" s="92" customFormat="1" hidden="1" outlineLevel="1" x14ac:dyDescent="0.25">
      <c r="A13" s="83" t="s">
        <v>40</v>
      </c>
      <c r="B13" s="28" t="s">
        <v>23</v>
      </c>
      <c r="C13" s="28"/>
      <c r="D13" s="86" t="s">
        <v>52</v>
      </c>
      <c r="E13" s="28"/>
      <c r="F13" s="28"/>
      <c r="G13" s="28"/>
      <c r="H13" s="28"/>
      <c r="I13" s="28"/>
      <c r="J13" s="87"/>
      <c r="K13" s="87"/>
      <c r="L13" s="87" t="s">
        <v>53</v>
      </c>
      <c r="M13" s="87"/>
      <c r="N13" s="88">
        <v>3.0870000000000002</v>
      </c>
      <c r="O13" s="88">
        <v>3.0870000000000002</v>
      </c>
      <c r="P13" s="88">
        <v>0</v>
      </c>
      <c r="Q13" s="88" t="s">
        <v>33</v>
      </c>
      <c r="R13" s="89">
        <v>932.81</v>
      </c>
      <c r="S13" s="89">
        <v>202.98</v>
      </c>
      <c r="T13" s="89">
        <v>1135.79</v>
      </c>
      <c r="U13" s="17">
        <v>5.73</v>
      </c>
      <c r="V13" s="89">
        <v>0</v>
      </c>
      <c r="W13" s="89">
        <v>0</v>
      </c>
      <c r="X13" s="89">
        <v>0</v>
      </c>
      <c r="Y13" s="89">
        <v>0</v>
      </c>
      <c r="Z13" s="89">
        <v>0</v>
      </c>
      <c r="AA13" s="89">
        <v>0</v>
      </c>
      <c r="AB13" s="89">
        <v>0</v>
      </c>
      <c r="AC13" s="89">
        <v>0</v>
      </c>
      <c r="AD13" s="89">
        <v>0</v>
      </c>
      <c r="AE13" s="89">
        <v>0</v>
      </c>
      <c r="AF13" s="89">
        <v>0</v>
      </c>
      <c r="AG13" s="89">
        <v>0</v>
      </c>
      <c r="AH13" s="89">
        <v>0</v>
      </c>
      <c r="AI13" s="89">
        <v>0</v>
      </c>
      <c r="AJ13" s="89">
        <v>0</v>
      </c>
      <c r="AK13" s="89">
        <v>0</v>
      </c>
      <c r="AL13" s="89">
        <v>0</v>
      </c>
      <c r="AM13" s="89">
        <v>0</v>
      </c>
      <c r="AN13" s="89">
        <v>0</v>
      </c>
      <c r="AO13" s="89">
        <v>0</v>
      </c>
      <c r="AP13" s="89">
        <v>0</v>
      </c>
      <c r="AQ13" s="89">
        <v>0</v>
      </c>
      <c r="AR13" s="89">
        <v>0</v>
      </c>
      <c r="AS13" s="89">
        <v>0</v>
      </c>
      <c r="AT13" s="89">
        <v>0</v>
      </c>
      <c r="AU13" s="89">
        <v>0</v>
      </c>
      <c r="AV13" s="89">
        <v>0</v>
      </c>
      <c r="AW13" s="89"/>
      <c r="AX13" s="89"/>
      <c r="AY13" s="19">
        <v>5.73</v>
      </c>
      <c r="AZ13" s="82">
        <v>0</v>
      </c>
      <c r="BA13" s="90">
        <v>0</v>
      </c>
      <c r="BB13" s="91">
        <v>5.73</v>
      </c>
      <c r="BD13" s="43"/>
      <c r="BE13" s="1"/>
    </row>
    <row r="14" spans="1:57" s="43" customFormat="1" hidden="1" outlineLevel="1" x14ac:dyDescent="0.25">
      <c r="B14" s="38" t="s">
        <v>23</v>
      </c>
      <c r="C14" s="39">
        <v>5</v>
      </c>
      <c r="D14" s="40" t="s">
        <v>54</v>
      </c>
      <c r="E14" s="7" t="s">
        <v>55</v>
      </c>
      <c r="F14" s="7" t="s">
        <v>56</v>
      </c>
      <c r="G14" s="7" t="s">
        <v>57</v>
      </c>
      <c r="H14" s="7" t="s">
        <v>58</v>
      </c>
      <c r="I14" s="7" t="s">
        <v>29</v>
      </c>
      <c r="J14" s="8">
        <v>1925611</v>
      </c>
      <c r="K14" s="9">
        <v>1195236</v>
      </c>
      <c r="L14" s="9"/>
      <c r="M14" s="9"/>
      <c r="N14" s="10"/>
      <c r="O14" s="10"/>
      <c r="P14" s="10"/>
      <c r="Q14" s="10" t="s">
        <v>30</v>
      </c>
      <c r="R14" s="11">
        <v>66402</v>
      </c>
      <c r="S14" s="11">
        <v>66402</v>
      </c>
      <c r="T14" s="11">
        <v>132804</v>
      </c>
      <c r="U14" s="11">
        <v>132804</v>
      </c>
      <c r="V14" s="11">
        <v>132804</v>
      </c>
      <c r="W14" s="11">
        <v>132804</v>
      </c>
      <c r="X14" s="11">
        <v>132804</v>
      </c>
      <c r="Y14" s="11">
        <v>132804</v>
      </c>
      <c r="Z14" s="11">
        <v>132804</v>
      </c>
      <c r="AA14" s="11">
        <v>132804</v>
      </c>
      <c r="AB14" s="11">
        <v>132804</v>
      </c>
      <c r="AC14" s="11">
        <v>66402</v>
      </c>
      <c r="AD14" s="11">
        <v>0</v>
      </c>
      <c r="AE14" s="11">
        <v>0</v>
      </c>
      <c r="AF14" s="11">
        <v>0</v>
      </c>
      <c r="AG14" s="11">
        <v>0</v>
      </c>
      <c r="AH14" s="11">
        <v>0</v>
      </c>
      <c r="AI14" s="11">
        <v>0</v>
      </c>
      <c r="AJ14" s="11">
        <v>0</v>
      </c>
      <c r="AK14" s="11">
        <v>0</v>
      </c>
      <c r="AL14" s="11">
        <v>0</v>
      </c>
      <c r="AM14" s="11">
        <v>0</v>
      </c>
      <c r="AN14" s="11">
        <v>0</v>
      </c>
      <c r="AO14" s="11">
        <v>0</v>
      </c>
      <c r="AP14" s="11">
        <v>0</v>
      </c>
      <c r="AQ14" s="11">
        <v>0</v>
      </c>
      <c r="AR14" s="11">
        <v>0</v>
      </c>
      <c r="AS14" s="11">
        <v>0</v>
      </c>
      <c r="AT14" s="11">
        <v>0</v>
      </c>
      <c r="AU14" s="11">
        <v>0</v>
      </c>
      <c r="AV14" s="11">
        <v>0</v>
      </c>
      <c r="AW14" s="11"/>
      <c r="AX14" s="11"/>
      <c r="AY14" s="13">
        <v>1128834</v>
      </c>
      <c r="AZ14" s="82">
        <v>0</v>
      </c>
      <c r="BA14" s="12">
        <v>199206</v>
      </c>
      <c r="BB14" s="13">
        <v>1128834</v>
      </c>
      <c r="BE14" s="1"/>
    </row>
    <row r="15" spans="1:57" hidden="1" outlineLevel="1" x14ac:dyDescent="0.25">
      <c r="B15" s="45" t="s">
        <v>23</v>
      </c>
      <c r="C15" s="46"/>
      <c r="D15" s="47" t="s">
        <v>59</v>
      </c>
      <c r="E15" s="14"/>
      <c r="F15" s="14"/>
      <c r="G15" s="14"/>
      <c r="H15" s="14"/>
      <c r="I15" s="14"/>
      <c r="J15" s="15"/>
      <c r="K15" s="15"/>
      <c r="L15" s="15" t="s">
        <v>60</v>
      </c>
      <c r="M15" s="15"/>
      <c r="N15" s="16">
        <v>4.0579999999999998</v>
      </c>
      <c r="O15" s="16">
        <v>4.0579999999999998</v>
      </c>
      <c r="P15" s="16">
        <v>0</v>
      </c>
      <c r="Q15" s="16" t="s">
        <v>33</v>
      </c>
      <c r="R15" s="17">
        <v>7392.3300000000008</v>
      </c>
      <c r="S15" s="17">
        <v>11592.87</v>
      </c>
      <c r="T15" s="17">
        <v>18985.2</v>
      </c>
      <c r="U15" s="17">
        <v>45808.083719999995</v>
      </c>
      <c r="V15" s="17">
        <v>40418.897399999994</v>
      </c>
      <c r="W15" s="17">
        <v>35029.711080000001</v>
      </c>
      <c r="X15" s="17">
        <v>29640.524759999997</v>
      </c>
      <c r="Y15" s="17">
        <v>24251.33844</v>
      </c>
      <c r="Z15" s="17">
        <v>18862.152119999999</v>
      </c>
      <c r="AA15" s="17">
        <v>13472.965799999998</v>
      </c>
      <c r="AB15" s="17">
        <v>8083.7794800000001</v>
      </c>
      <c r="AC15" s="17">
        <v>2694.5931599999999</v>
      </c>
      <c r="AD15" s="17">
        <v>0</v>
      </c>
      <c r="AE15" s="17">
        <v>0</v>
      </c>
      <c r="AF15" s="17">
        <v>0</v>
      </c>
      <c r="AG15" s="17">
        <v>0</v>
      </c>
      <c r="AH15" s="17">
        <v>0</v>
      </c>
      <c r="AI15" s="17">
        <v>0</v>
      </c>
      <c r="AJ15" s="17">
        <v>0</v>
      </c>
      <c r="AK15" s="17">
        <v>0</v>
      </c>
      <c r="AL15" s="17">
        <v>0</v>
      </c>
      <c r="AM15" s="17">
        <v>0</v>
      </c>
      <c r="AN15" s="17">
        <v>0</v>
      </c>
      <c r="AO15" s="17">
        <v>0</v>
      </c>
      <c r="AP15" s="17">
        <v>0</v>
      </c>
      <c r="AQ15" s="17">
        <v>0</v>
      </c>
      <c r="AR15" s="17">
        <v>0</v>
      </c>
      <c r="AS15" s="17">
        <v>0</v>
      </c>
      <c r="AT15" s="17">
        <v>0</v>
      </c>
      <c r="AU15" s="17">
        <v>0</v>
      </c>
      <c r="AV15" s="17">
        <v>0</v>
      </c>
      <c r="AW15" s="17"/>
      <c r="AX15" s="17"/>
      <c r="AY15" s="19">
        <v>218262.04595999999</v>
      </c>
      <c r="AZ15" s="82">
        <v>0</v>
      </c>
      <c r="BA15" s="18">
        <v>10778.37264</v>
      </c>
      <c r="BB15" s="19">
        <v>218262.04595999999</v>
      </c>
      <c r="BD15" s="43"/>
    </row>
    <row r="16" spans="1:57" s="43" customFormat="1" hidden="1" outlineLevel="1" x14ac:dyDescent="0.25">
      <c r="B16" s="38" t="s">
        <v>23</v>
      </c>
      <c r="C16" s="39">
        <v>6</v>
      </c>
      <c r="D16" s="40" t="s">
        <v>54</v>
      </c>
      <c r="E16" s="7" t="s">
        <v>61</v>
      </c>
      <c r="F16" s="7" t="s">
        <v>62</v>
      </c>
      <c r="G16" s="7" t="s">
        <v>63</v>
      </c>
      <c r="H16" s="7" t="s">
        <v>64</v>
      </c>
      <c r="I16" s="7" t="s">
        <v>29</v>
      </c>
      <c r="J16" s="8">
        <v>154450.12</v>
      </c>
      <c r="K16" s="9">
        <v>96866</v>
      </c>
      <c r="L16" s="9"/>
      <c r="M16" s="9"/>
      <c r="N16" s="10"/>
      <c r="O16" s="10"/>
      <c r="P16" s="10"/>
      <c r="Q16" s="10" t="s">
        <v>30</v>
      </c>
      <c r="R16" s="11">
        <v>5236</v>
      </c>
      <c r="S16" s="11">
        <v>5236</v>
      </c>
      <c r="T16" s="11">
        <v>10472</v>
      </c>
      <c r="U16" s="11">
        <v>10472</v>
      </c>
      <c r="V16" s="11">
        <v>10472</v>
      </c>
      <c r="W16" s="11">
        <v>10472</v>
      </c>
      <c r="X16" s="11">
        <v>10472</v>
      </c>
      <c r="Y16" s="11">
        <v>10472</v>
      </c>
      <c r="Z16" s="11">
        <v>10472</v>
      </c>
      <c r="AA16" s="11">
        <v>10472</v>
      </c>
      <c r="AB16" s="11">
        <v>10472</v>
      </c>
      <c r="AC16" s="11">
        <v>7854</v>
      </c>
      <c r="AD16" s="11">
        <v>0</v>
      </c>
      <c r="AE16" s="11">
        <v>0</v>
      </c>
      <c r="AF16" s="11">
        <v>0</v>
      </c>
      <c r="AG16" s="11">
        <v>0</v>
      </c>
      <c r="AH16" s="11">
        <v>0</v>
      </c>
      <c r="AI16" s="11">
        <v>0</v>
      </c>
      <c r="AJ16" s="11">
        <v>0</v>
      </c>
      <c r="AK16" s="11">
        <v>0</v>
      </c>
      <c r="AL16" s="11">
        <v>0</v>
      </c>
      <c r="AM16" s="11">
        <v>0</v>
      </c>
      <c r="AN16" s="11">
        <v>0</v>
      </c>
      <c r="AO16" s="11">
        <v>0</v>
      </c>
      <c r="AP16" s="11">
        <v>0</v>
      </c>
      <c r="AQ16" s="11">
        <v>0</v>
      </c>
      <c r="AR16" s="11">
        <v>0</v>
      </c>
      <c r="AS16" s="11">
        <v>0</v>
      </c>
      <c r="AT16" s="11">
        <v>0</v>
      </c>
      <c r="AU16" s="11">
        <v>0</v>
      </c>
      <c r="AV16" s="11">
        <v>0</v>
      </c>
      <c r="AW16" s="11"/>
      <c r="AX16" s="11"/>
      <c r="AY16" s="13">
        <v>91630</v>
      </c>
      <c r="AZ16" s="82">
        <v>0</v>
      </c>
      <c r="BA16" s="12">
        <v>18326</v>
      </c>
      <c r="BB16" s="13">
        <v>91630</v>
      </c>
      <c r="BE16" s="44"/>
    </row>
    <row r="17" spans="2:57" hidden="1" outlineLevel="1" x14ac:dyDescent="0.25">
      <c r="B17" s="45" t="s">
        <v>23</v>
      </c>
      <c r="C17" s="46"/>
      <c r="D17" s="47" t="s">
        <v>65</v>
      </c>
      <c r="E17" s="14"/>
      <c r="F17" s="14"/>
      <c r="G17" s="14"/>
      <c r="H17" s="14"/>
      <c r="I17" s="14"/>
      <c r="J17" s="15"/>
      <c r="K17" s="15"/>
      <c r="L17" s="15" t="s">
        <v>66</v>
      </c>
      <c r="M17" s="15"/>
      <c r="N17" s="16">
        <v>4.3659999999999997</v>
      </c>
      <c r="O17" s="16">
        <v>4.3659999999999997</v>
      </c>
      <c r="P17" s="16">
        <v>0</v>
      </c>
      <c r="Q17" s="16" t="s">
        <v>33</v>
      </c>
      <c r="R17" s="17">
        <v>887.57999999999993</v>
      </c>
      <c r="S17" s="17">
        <v>632.54</v>
      </c>
      <c r="T17" s="17">
        <v>1520.12</v>
      </c>
      <c r="U17" s="17">
        <v>4000.5657999999994</v>
      </c>
      <c r="V17" s="17">
        <v>3543.3582799999999</v>
      </c>
      <c r="W17" s="17">
        <v>3086.15076</v>
      </c>
      <c r="X17" s="17">
        <v>2628.9432399999996</v>
      </c>
      <c r="Y17" s="17">
        <v>2171.7357199999997</v>
      </c>
      <c r="Z17" s="17">
        <v>1714.5281999999997</v>
      </c>
      <c r="AA17" s="17">
        <v>1257.3206799999998</v>
      </c>
      <c r="AB17" s="17">
        <v>800.11315999999988</v>
      </c>
      <c r="AC17" s="17">
        <v>342.90564000000001</v>
      </c>
      <c r="AD17" s="17">
        <v>0</v>
      </c>
      <c r="AE17" s="17">
        <v>0</v>
      </c>
      <c r="AF17" s="17">
        <v>0</v>
      </c>
      <c r="AG17" s="17">
        <v>0</v>
      </c>
      <c r="AH17" s="17">
        <v>0</v>
      </c>
      <c r="AI17" s="17">
        <v>0</v>
      </c>
      <c r="AJ17" s="17">
        <v>0</v>
      </c>
      <c r="AK17" s="17">
        <v>0</v>
      </c>
      <c r="AL17" s="17">
        <v>0</v>
      </c>
      <c r="AM17" s="17">
        <v>0</v>
      </c>
      <c r="AN17" s="17">
        <v>0</v>
      </c>
      <c r="AO17" s="17">
        <v>0</v>
      </c>
      <c r="AP17" s="17">
        <v>0</v>
      </c>
      <c r="AQ17" s="17">
        <v>0</v>
      </c>
      <c r="AR17" s="17">
        <v>0</v>
      </c>
      <c r="AS17" s="17">
        <v>0</v>
      </c>
      <c r="AT17" s="17">
        <v>0</v>
      </c>
      <c r="AU17" s="17">
        <v>0</v>
      </c>
      <c r="AV17" s="17">
        <v>0</v>
      </c>
      <c r="AW17" s="17"/>
      <c r="AX17" s="17"/>
      <c r="AY17" s="19">
        <v>19545.621480000002</v>
      </c>
      <c r="AZ17" s="82">
        <v>0</v>
      </c>
      <c r="BA17" s="18">
        <v>1143.0187999999998</v>
      </c>
      <c r="BB17" s="19">
        <v>19545.621480000002</v>
      </c>
      <c r="BD17" s="43"/>
    </row>
    <row r="18" spans="2:57" s="43" customFormat="1" hidden="1" outlineLevel="1" x14ac:dyDescent="0.25">
      <c r="B18" s="38" t="s">
        <v>23</v>
      </c>
      <c r="C18" s="39">
        <v>7</v>
      </c>
      <c r="D18" s="40" t="s">
        <v>67</v>
      </c>
      <c r="E18" s="7" t="s">
        <v>68</v>
      </c>
      <c r="F18" s="7" t="s">
        <v>69</v>
      </c>
      <c r="G18" s="7" t="s">
        <v>70</v>
      </c>
      <c r="H18" s="7" t="s">
        <v>71</v>
      </c>
      <c r="I18" s="7" t="s">
        <v>29</v>
      </c>
      <c r="J18" s="8">
        <v>11123368</v>
      </c>
      <c r="K18" s="9">
        <v>9499600</v>
      </c>
      <c r="L18" s="9"/>
      <c r="M18" s="9"/>
      <c r="N18" s="10"/>
      <c r="O18" s="10"/>
      <c r="P18" s="10"/>
      <c r="Q18" s="10" t="s">
        <v>30</v>
      </c>
      <c r="R18" s="11">
        <v>189992</v>
      </c>
      <c r="S18" s="11">
        <v>189992</v>
      </c>
      <c r="T18" s="11">
        <v>379984</v>
      </c>
      <c r="U18" s="11">
        <v>379984</v>
      </c>
      <c r="V18" s="11">
        <v>379984</v>
      </c>
      <c r="W18" s="11">
        <v>379984</v>
      </c>
      <c r="X18" s="11">
        <v>379984</v>
      </c>
      <c r="Y18" s="11">
        <v>379984</v>
      </c>
      <c r="Z18" s="11">
        <v>379984</v>
      </c>
      <c r="AA18" s="11">
        <v>379984</v>
      </c>
      <c r="AB18" s="11">
        <v>379984</v>
      </c>
      <c r="AC18" s="11">
        <v>379984</v>
      </c>
      <c r="AD18" s="11">
        <v>379984</v>
      </c>
      <c r="AE18" s="11">
        <v>379984</v>
      </c>
      <c r="AF18" s="11">
        <v>379984</v>
      </c>
      <c r="AG18" s="11">
        <v>379984</v>
      </c>
      <c r="AH18" s="11">
        <v>379984</v>
      </c>
      <c r="AI18" s="11">
        <v>379984</v>
      </c>
      <c r="AJ18" s="11">
        <v>379984</v>
      </c>
      <c r="AK18" s="11">
        <v>379984</v>
      </c>
      <c r="AL18" s="11">
        <v>379984</v>
      </c>
      <c r="AM18" s="11">
        <v>379984</v>
      </c>
      <c r="AN18" s="11">
        <v>379984</v>
      </c>
      <c r="AO18" s="11">
        <v>379984</v>
      </c>
      <c r="AP18" s="11">
        <v>379984</v>
      </c>
      <c r="AQ18" s="11">
        <v>379984</v>
      </c>
      <c r="AR18" s="11">
        <v>379984</v>
      </c>
      <c r="AS18" s="11">
        <v>189992</v>
      </c>
      <c r="AT18" s="11">
        <v>0</v>
      </c>
      <c r="AU18" s="11">
        <v>0</v>
      </c>
      <c r="AV18" s="11">
        <v>0</v>
      </c>
      <c r="AW18" s="11"/>
      <c r="AX18" s="11"/>
      <c r="AY18" s="13">
        <v>9309608</v>
      </c>
      <c r="AZ18" s="82">
        <v>0</v>
      </c>
      <c r="BA18" s="12">
        <v>6649720</v>
      </c>
      <c r="BB18" s="13">
        <v>9309608</v>
      </c>
      <c r="BE18" s="44"/>
    </row>
    <row r="19" spans="2:57" hidden="1" outlineLevel="1" x14ac:dyDescent="0.25">
      <c r="B19" s="45" t="s">
        <v>23</v>
      </c>
      <c r="C19" s="46"/>
      <c r="D19" s="47" t="s">
        <v>72</v>
      </c>
      <c r="E19" s="14"/>
      <c r="F19" s="14"/>
      <c r="G19" s="14"/>
      <c r="H19" s="14"/>
      <c r="I19" s="14"/>
      <c r="J19" s="15"/>
      <c r="K19" s="15"/>
      <c r="L19" s="15" t="s">
        <v>73</v>
      </c>
      <c r="M19" s="15"/>
      <c r="N19" s="16">
        <v>3.8719999999999999</v>
      </c>
      <c r="O19" s="16">
        <v>3.8719999999999999</v>
      </c>
      <c r="P19" s="16">
        <v>0</v>
      </c>
      <c r="Q19" s="16" t="s">
        <v>33</v>
      </c>
      <c r="R19" s="17">
        <v>93779.03</v>
      </c>
      <c r="S19" s="17">
        <v>87825.27</v>
      </c>
      <c r="T19" s="17">
        <v>181604.3</v>
      </c>
      <c r="U19" s="17">
        <v>360468.02175999997</v>
      </c>
      <c r="V19" s="17">
        <v>345755.04128</v>
      </c>
      <c r="W19" s="17">
        <v>331042.06079999998</v>
      </c>
      <c r="X19" s="17">
        <v>316329.08031999995</v>
      </c>
      <c r="Y19" s="17">
        <v>301616.09983999998</v>
      </c>
      <c r="Z19" s="17">
        <v>286903.11936000001</v>
      </c>
      <c r="AA19" s="17">
        <v>272190.13887999998</v>
      </c>
      <c r="AB19" s="17">
        <v>257477.15839999999</v>
      </c>
      <c r="AC19" s="17">
        <v>242764.17791999999</v>
      </c>
      <c r="AD19" s="17">
        <v>228051.19743999999</v>
      </c>
      <c r="AE19" s="17">
        <v>213338.21695999999</v>
      </c>
      <c r="AF19" s="17">
        <v>198625.23647999999</v>
      </c>
      <c r="AG19" s="17">
        <v>183912.25599999996</v>
      </c>
      <c r="AH19" s="17">
        <v>169199.27552000002</v>
      </c>
      <c r="AI19" s="17">
        <v>154486.29504</v>
      </c>
      <c r="AJ19" s="17">
        <v>139773.31456</v>
      </c>
      <c r="AK19" s="17">
        <v>125060.33408</v>
      </c>
      <c r="AL19" s="17">
        <v>110347.35359999999</v>
      </c>
      <c r="AM19" s="17">
        <v>95634.373119999989</v>
      </c>
      <c r="AN19" s="17">
        <v>80921.392639999991</v>
      </c>
      <c r="AO19" s="17">
        <v>66208.412160000007</v>
      </c>
      <c r="AP19" s="17">
        <v>51495.431679999994</v>
      </c>
      <c r="AQ19" s="17">
        <v>36782.451200000003</v>
      </c>
      <c r="AR19" s="17">
        <v>22069.470720000001</v>
      </c>
      <c r="AS19" s="17">
        <v>7356.4902400000001</v>
      </c>
      <c r="AT19" s="17">
        <v>0</v>
      </c>
      <c r="AU19" s="17">
        <v>0</v>
      </c>
      <c r="AV19" s="17">
        <v>0</v>
      </c>
      <c r="AW19" s="17"/>
      <c r="AX19" s="17"/>
      <c r="AY19" s="19">
        <v>4597806.3999999994</v>
      </c>
      <c r="AZ19" s="82">
        <v>0</v>
      </c>
      <c r="BA19" s="18">
        <v>2383502.8377600005</v>
      </c>
      <c r="BB19" s="19">
        <v>4597806.4000000004</v>
      </c>
      <c r="BD19" s="43"/>
    </row>
    <row r="20" spans="2:57" s="43" customFormat="1" hidden="1" outlineLevel="1" x14ac:dyDescent="0.25">
      <c r="B20" s="38" t="s">
        <v>74</v>
      </c>
      <c r="C20" s="39">
        <v>8</v>
      </c>
      <c r="D20" s="40" t="s">
        <v>75</v>
      </c>
      <c r="E20" s="7" t="s">
        <v>76</v>
      </c>
      <c r="F20" s="7" t="s">
        <v>77</v>
      </c>
      <c r="G20" s="7" t="s">
        <v>78</v>
      </c>
      <c r="H20" s="7" t="s">
        <v>79</v>
      </c>
      <c r="I20" s="7" t="s">
        <v>29</v>
      </c>
      <c r="J20" s="8">
        <v>484935.32</v>
      </c>
      <c r="K20" s="9">
        <v>299602</v>
      </c>
      <c r="L20" s="9"/>
      <c r="M20" s="9"/>
      <c r="N20" s="10"/>
      <c r="O20" s="10"/>
      <c r="P20" s="10"/>
      <c r="Q20" s="10" t="s">
        <v>30</v>
      </c>
      <c r="R20" s="11">
        <v>10156</v>
      </c>
      <c r="S20" s="11">
        <v>10156</v>
      </c>
      <c r="T20" s="11">
        <v>20312</v>
      </c>
      <c r="U20" s="11">
        <v>20312</v>
      </c>
      <c r="V20" s="11">
        <v>20312</v>
      </c>
      <c r="W20" s="11">
        <v>20312</v>
      </c>
      <c r="X20" s="11">
        <v>20312</v>
      </c>
      <c r="Y20" s="11">
        <v>20312</v>
      </c>
      <c r="Z20" s="11">
        <v>20312</v>
      </c>
      <c r="AA20" s="11">
        <v>20312</v>
      </c>
      <c r="AB20" s="11">
        <v>20312</v>
      </c>
      <c r="AC20" s="11">
        <v>20312</v>
      </c>
      <c r="AD20" s="11">
        <v>20312</v>
      </c>
      <c r="AE20" s="11">
        <v>20312</v>
      </c>
      <c r="AF20" s="11">
        <v>20312</v>
      </c>
      <c r="AG20" s="11">
        <v>20312</v>
      </c>
      <c r="AH20" s="11">
        <v>20312</v>
      </c>
      <c r="AI20" s="11">
        <v>5078</v>
      </c>
      <c r="AJ20" s="11">
        <v>0</v>
      </c>
      <c r="AK20" s="11">
        <v>0</v>
      </c>
      <c r="AL20" s="11">
        <v>0</v>
      </c>
      <c r="AM20" s="11">
        <v>0</v>
      </c>
      <c r="AN20" s="11">
        <v>0</v>
      </c>
      <c r="AO20" s="11">
        <v>0</v>
      </c>
      <c r="AP20" s="11">
        <v>0</v>
      </c>
      <c r="AQ20" s="11">
        <v>0</v>
      </c>
      <c r="AR20" s="11">
        <v>0</v>
      </c>
      <c r="AS20" s="11">
        <v>0</v>
      </c>
      <c r="AT20" s="11">
        <v>0</v>
      </c>
      <c r="AU20" s="11">
        <v>0</v>
      </c>
      <c r="AV20" s="11">
        <v>0</v>
      </c>
      <c r="AW20" s="11"/>
      <c r="AX20" s="11"/>
      <c r="AY20" s="13">
        <v>289446</v>
      </c>
      <c r="AZ20" s="82">
        <v>0</v>
      </c>
      <c r="BA20" s="12">
        <v>147262</v>
      </c>
      <c r="BB20" s="13">
        <v>289446</v>
      </c>
      <c r="BE20" s="44"/>
    </row>
    <row r="21" spans="2:57" hidden="1" outlineLevel="1" x14ac:dyDescent="0.25">
      <c r="B21" s="45" t="s">
        <v>74</v>
      </c>
      <c r="C21" s="46"/>
      <c r="D21" s="47" t="s">
        <v>80</v>
      </c>
      <c r="E21" s="14"/>
      <c r="F21" s="14"/>
      <c r="G21" s="14"/>
      <c r="H21" s="14"/>
      <c r="I21" s="14"/>
      <c r="J21" s="15"/>
      <c r="K21" s="15"/>
      <c r="L21" s="15" t="s">
        <v>81</v>
      </c>
      <c r="M21" s="15"/>
      <c r="N21" s="16">
        <v>3.613</v>
      </c>
      <c r="O21" s="16">
        <v>3.613</v>
      </c>
      <c r="P21" s="16">
        <v>0</v>
      </c>
      <c r="Q21" s="16" t="s">
        <v>33</v>
      </c>
      <c r="R21" s="17">
        <v>4344.29</v>
      </c>
      <c r="S21" s="17">
        <v>2569.66</v>
      </c>
      <c r="T21" s="17">
        <v>6913.95</v>
      </c>
      <c r="U21" s="17">
        <v>10457.68398</v>
      </c>
      <c r="V21" s="17">
        <v>9723.81142</v>
      </c>
      <c r="W21" s="17">
        <v>8989.9388600000002</v>
      </c>
      <c r="X21" s="17">
        <v>8256.0663000000004</v>
      </c>
      <c r="Y21" s="17">
        <v>7522.1937399999997</v>
      </c>
      <c r="Z21" s="17">
        <v>6788.3211799999999</v>
      </c>
      <c r="AA21" s="17">
        <v>6054.4486199999992</v>
      </c>
      <c r="AB21" s="17">
        <v>5320.5760600000003</v>
      </c>
      <c r="AC21" s="17">
        <v>4586.7034999999996</v>
      </c>
      <c r="AD21" s="17">
        <v>3852.8309399999998</v>
      </c>
      <c r="AE21" s="17">
        <v>3118.95838</v>
      </c>
      <c r="AF21" s="17">
        <v>2385.0858199999998</v>
      </c>
      <c r="AG21" s="17">
        <v>1651.21326</v>
      </c>
      <c r="AH21" s="17">
        <v>917.34070000000008</v>
      </c>
      <c r="AI21" s="17">
        <v>183.46813999999998</v>
      </c>
      <c r="AJ21" s="17">
        <v>0</v>
      </c>
      <c r="AK21" s="17">
        <v>0</v>
      </c>
      <c r="AL21" s="17">
        <v>0</v>
      </c>
      <c r="AM21" s="17">
        <v>0</v>
      </c>
      <c r="AN21" s="17">
        <v>0</v>
      </c>
      <c r="AO21" s="17">
        <v>0</v>
      </c>
      <c r="AP21" s="17">
        <v>0</v>
      </c>
      <c r="AQ21" s="17">
        <v>0</v>
      </c>
      <c r="AR21" s="17">
        <v>0</v>
      </c>
      <c r="AS21" s="17">
        <v>0</v>
      </c>
      <c r="AT21" s="17">
        <v>0</v>
      </c>
      <c r="AU21" s="17">
        <v>0</v>
      </c>
      <c r="AV21" s="17">
        <v>0</v>
      </c>
      <c r="AW21" s="17"/>
      <c r="AX21" s="17"/>
      <c r="AY21" s="19">
        <v>79808.640899999984</v>
      </c>
      <c r="AZ21" s="82">
        <v>0</v>
      </c>
      <c r="BA21" s="18">
        <v>22016.176800000001</v>
      </c>
      <c r="BB21" s="19">
        <v>79808.640899999999</v>
      </c>
      <c r="BD21" s="43"/>
    </row>
    <row r="22" spans="2:57" s="43" customFormat="1" hidden="1" outlineLevel="1" x14ac:dyDescent="0.25">
      <c r="B22" s="38" t="s">
        <v>74</v>
      </c>
      <c r="C22" s="39">
        <v>9</v>
      </c>
      <c r="D22" s="40" t="s">
        <v>82</v>
      </c>
      <c r="E22" s="7" t="s">
        <v>83</v>
      </c>
      <c r="F22" s="7" t="s">
        <v>84</v>
      </c>
      <c r="G22" s="7" t="s">
        <v>85</v>
      </c>
      <c r="H22" s="7" t="s">
        <v>86</v>
      </c>
      <c r="I22" s="7" t="s">
        <v>29</v>
      </c>
      <c r="J22" s="8">
        <v>278611.39</v>
      </c>
      <c r="K22" s="9">
        <v>217140</v>
      </c>
      <c r="L22" s="9"/>
      <c r="M22" s="9"/>
      <c r="N22" s="10"/>
      <c r="O22" s="10"/>
      <c r="P22" s="10"/>
      <c r="Q22" s="10" t="s">
        <v>30</v>
      </c>
      <c r="R22" s="11">
        <v>7238</v>
      </c>
      <c r="S22" s="11">
        <v>7238</v>
      </c>
      <c r="T22" s="11">
        <v>14476</v>
      </c>
      <c r="U22" s="11">
        <v>14476</v>
      </c>
      <c r="V22" s="11">
        <v>14476</v>
      </c>
      <c r="W22" s="11">
        <v>14476</v>
      </c>
      <c r="X22" s="11">
        <v>14476</v>
      </c>
      <c r="Y22" s="11">
        <v>14476</v>
      </c>
      <c r="Z22" s="11">
        <v>14476</v>
      </c>
      <c r="AA22" s="11">
        <v>14476</v>
      </c>
      <c r="AB22" s="11">
        <v>14476</v>
      </c>
      <c r="AC22" s="11">
        <v>14476</v>
      </c>
      <c r="AD22" s="11">
        <v>14476</v>
      </c>
      <c r="AE22" s="11">
        <v>14476</v>
      </c>
      <c r="AF22" s="11">
        <v>14476</v>
      </c>
      <c r="AG22" s="11">
        <v>14476</v>
      </c>
      <c r="AH22" s="11">
        <v>14476</v>
      </c>
      <c r="AI22" s="11">
        <v>7238</v>
      </c>
      <c r="AJ22" s="11">
        <v>0</v>
      </c>
      <c r="AK22" s="11">
        <v>0</v>
      </c>
      <c r="AL22" s="11">
        <v>0</v>
      </c>
      <c r="AM22" s="11">
        <v>0</v>
      </c>
      <c r="AN22" s="11">
        <v>0</v>
      </c>
      <c r="AO22" s="11">
        <v>0</v>
      </c>
      <c r="AP22" s="11">
        <v>0</v>
      </c>
      <c r="AQ22" s="11">
        <v>0</v>
      </c>
      <c r="AR22" s="11">
        <v>0</v>
      </c>
      <c r="AS22" s="11">
        <v>0</v>
      </c>
      <c r="AT22" s="11">
        <v>0</v>
      </c>
      <c r="AU22" s="11">
        <v>0</v>
      </c>
      <c r="AV22" s="11">
        <v>0</v>
      </c>
      <c r="AW22" s="11"/>
      <c r="AX22" s="11"/>
      <c r="AY22" s="13">
        <v>209902</v>
      </c>
      <c r="AZ22" s="82">
        <v>0</v>
      </c>
      <c r="BA22" s="12">
        <v>108570</v>
      </c>
      <c r="BB22" s="13">
        <v>209902</v>
      </c>
      <c r="BE22" s="44"/>
    </row>
    <row r="23" spans="2:57" hidden="1" outlineLevel="1" x14ac:dyDescent="0.25">
      <c r="B23" s="45" t="s">
        <v>74</v>
      </c>
      <c r="C23" s="46"/>
      <c r="D23" s="47" t="s">
        <v>87</v>
      </c>
      <c r="E23" s="14"/>
      <c r="F23" s="14"/>
      <c r="G23" s="14"/>
      <c r="H23" s="14"/>
      <c r="I23" s="14"/>
      <c r="J23" s="15"/>
      <c r="K23" s="15"/>
      <c r="L23" s="15" t="s">
        <v>88</v>
      </c>
      <c r="M23" s="15"/>
      <c r="N23" s="16">
        <v>4.0570000000000004</v>
      </c>
      <c r="O23" s="16">
        <v>4.0570000000000004</v>
      </c>
      <c r="P23" s="16">
        <v>0</v>
      </c>
      <c r="Q23" s="16" t="s">
        <v>33</v>
      </c>
      <c r="R23" s="17">
        <v>1758.2300000000002</v>
      </c>
      <c r="S23" s="17">
        <v>2108.35</v>
      </c>
      <c r="T23" s="17">
        <v>3866.58</v>
      </c>
      <c r="U23" s="17">
        <v>8515.7241400000003</v>
      </c>
      <c r="V23" s="17">
        <v>7928.4328200000009</v>
      </c>
      <c r="W23" s="17">
        <v>7341.1415000000006</v>
      </c>
      <c r="X23" s="17">
        <v>6753.8501800000004</v>
      </c>
      <c r="Y23" s="17">
        <v>6166.558860000001</v>
      </c>
      <c r="Z23" s="17">
        <v>5579.2675400000007</v>
      </c>
      <c r="AA23" s="17">
        <v>4991.9762200000005</v>
      </c>
      <c r="AB23" s="17">
        <v>4404.6849000000002</v>
      </c>
      <c r="AC23" s="17">
        <v>3817.3935799999999</v>
      </c>
      <c r="AD23" s="17">
        <v>3230.1022600000001</v>
      </c>
      <c r="AE23" s="17">
        <v>2642.8109400000003</v>
      </c>
      <c r="AF23" s="17">
        <v>2055.5196200000005</v>
      </c>
      <c r="AG23" s="17">
        <v>1468.2283000000002</v>
      </c>
      <c r="AH23" s="17">
        <v>880.93698000000006</v>
      </c>
      <c r="AI23" s="17">
        <v>293.64566000000002</v>
      </c>
      <c r="AJ23" s="17">
        <v>0</v>
      </c>
      <c r="AK23" s="17">
        <v>0</v>
      </c>
      <c r="AL23" s="17">
        <v>0</v>
      </c>
      <c r="AM23" s="17">
        <v>0</v>
      </c>
      <c r="AN23" s="17">
        <v>0</v>
      </c>
      <c r="AO23" s="17">
        <v>0</v>
      </c>
      <c r="AP23" s="17">
        <v>0</v>
      </c>
      <c r="AQ23" s="17">
        <v>0</v>
      </c>
      <c r="AR23" s="17">
        <v>0</v>
      </c>
      <c r="AS23" s="17">
        <v>0</v>
      </c>
      <c r="AT23" s="17">
        <v>0</v>
      </c>
      <c r="AU23" s="17">
        <v>0</v>
      </c>
      <c r="AV23" s="17">
        <v>0</v>
      </c>
      <c r="AW23" s="17"/>
      <c r="AX23" s="17"/>
      <c r="AY23" s="19">
        <v>66070.273499999996</v>
      </c>
      <c r="AZ23" s="82">
        <v>0</v>
      </c>
      <c r="BA23" s="18">
        <v>18793.322239999998</v>
      </c>
      <c r="BB23" s="19">
        <v>66070.273499999996</v>
      </c>
      <c r="BD23" s="43"/>
    </row>
    <row r="24" spans="2:57" s="43" customFormat="1" hidden="1" outlineLevel="1" x14ac:dyDescent="0.25">
      <c r="B24" s="38" t="s">
        <v>74</v>
      </c>
      <c r="C24" s="39">
        <v>10</v>
      </c>
      <c r="D24" s="40" t="s">
        <v>89</v>
      </c>
      <c r="E24" s="7" t="s">
        <v>90</v>
      </c>
      <c r="F24" s="7" t="s">
        <v>91</v>
      </c>
      <c r="G24" s="7" t="s">
        <v>85</v>
      </c>
      <c r="H24" s="7" t="s">
        <v>92</v>
      </c>
      <c r="I24" s="7" t="s">
        <v>29</v>
      </c>
      <c r="J24" s="8">
        <v>55899</v>
      </c>
      <c r="K24" s="9">
        <v>17888</v>
      </c>
      <c r="L24" s="9"/>
      <c r="M24" s="9"/>
      <c r="N24" s="10"/>
      <c r="O24" s="10"/>
      <c r="P24" s="10"/>
      <c r="Q24" s="10" t="s">
        <v>30</v>
      </c>
      <c r="R24" s="11">
        <v>4472</v>
      </c>
      <c r="S24" s="11">
        <v>4472</v>
      </c>
      <c r="T24" s="11">
        <v>8944</v>
      </c>
      <c r="U24" s="11">
        <v>8944</v>
      </c>
      <c r="V24" s="11">
        <v>4472</v>
      </c>
      <c r="W24" s="11">
        <v>0</v>
      </c>
      <c r="X24" s="11">
        <v>0</v>
      </c>
      <c r="Y24" s="11">
        <v>0</v>
      </c>
      <c r="Z24" s="11">
        <v>0</v>
      </c>
      <c r="AA24" s="11">
        <v>0</v>
      </c>
      <c r="AB24" s="11">
        <v>0</v>
      </c>
      <c r="AC24" s="11">
        <v>0</v>
      </c>
      <c r="AD24" s="11">
        <v>0</v>
      </c>
      <c r="AE24" s="11">
        <v>0</v>
      </c>
      <c r="AF24" s="11">
        <v>0</v>
      </c>
      <c r="AG24" s="11">
        <v>0</v>
      </c>
      <c r="AH24" s="11">
        <v>0</v>
      </c>
      <c r="AI24" s="11">
        <v>0</v>
      </c>
      <c r="AJ24" s="11">
        <v>0</v>
      </c>
      <c r="AK24" s="11">
        <v>0</v>
      </c>
      <c r="AL24" s="11">
        <v>0</v>
      </c>
      <c r="AM24" s="11">
        <v>0</v>
      </c>
      <c r="AN24" s="11">
        <v>0</v>
      </c>
      <c r="AO24" s="11">
        <v>0</v>
      </c>
      <c r="AP24" s="11">
        <v>0</v>
      </c>
      <c r="AQ24" s="11">
        <v>0</v>
      </c>
      <c r="AR24" s="11">
        <v>0</v>
      </c>
      <c r="AS24" s="11">
        <v>0</v>
      </c>
      <c r="AT24" s="11">
        <v>0</v>
      </c>
      <c r="AU24" s="11">
        <v>0</v>
      </c>
      <c r="AV24" s="11">
        <v>0</v>
      </c>
      <c r="AW24" s="11"/>
      <c r="AX24" s="11"/>
      <c r="AY24" s="13">
        <v>13416</v>
      </c>
      <c r="AZ24" s="82">
        <v>0</v>
      </c>
      <c r="BA24" s="12">
        <v>0</v>
      </c>
      <c r="BB24" s="13">
        <v>13416</v>
      </c>
      <c r="BE24" s="44"/>
    </row>
    <row r="25" spans="2:57" hidden="1" outlineLevel="1" x14ac:dyDescent="0.25">
      <c r="B25" s="45" t="s">
        <v>74</v>
      </c>
      <c r="C25" s="46"/>
      <c r="D25" s="47" t="s">
        <v>93</v>
      </c>
      <c r="E25" s="14"/>
      <c r="F25" s="14"/>
      <c r="G25" s="14"/>
      <c r="H25" s="14"/>
      <c r="I25" s="14"/>
      <c r="J25" s="15"/>
      <c r="K25" s="15"/>
      <c r="L25" s="15" t="s">
        <v>88</v>
      </c>
      <c r="M25" s="15"/>
      <c r="N25" s="16">
        <v>4.0570000000000004</v>
      </c>
      <c r="O25" s="16">
        <v>4.0570000000000004</v>
      </c>
      <c r="P25" s="16">
        <v>0</v>
      </c>
      <c r="Q25" s="16" t="s">
        <v>33</v>
      </c>
      <c r="R25" s="17">
        <v>165.95999999999998</v>
      </c>
      <c r="S25" s="17">
        <v>171.43</v>
      </c>
      <c r="T25" s="17">
        <v>337.39</v>
      </c>
      <c r="U25" s="17">
        <v>544.28712000000007</v>
      </c>
      <c r="V25" s="17">
        <v>181.42904000000001</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c r="AX25" s="17"/>
      <c r="AY25" s="19">
        <v>725.71616000000006</v>
      </c>
      <c r="AZ25" s="82">
        <v>0</v>
      </c>
      <c r="BA25" s="18">
        <v>0</v>
      </c>
      <c r="BB25" s="19">
        <v>725.71616000000006</v>
      </c>
      <c r="BD25" s="43"/>
    </row>
    <row r="26" spans="2:57" s="43" customFormat="1" hidden="1" outlineLevel="1" x14ac:dyDescent="0.25">
      <c r="B26" s="38" t="s">
        <v>74</v>
      </c>
      <c r="C26" s="39">
        <v>11</v>
      </c>
      <c r="D26" s="40" t="s">
        <v>94</v>
      </c>
      <c r="E26" s="7" t="s">
        <v>95</v>
      </c>
      <c r="F26" s="7" t="s">
        <v>96</v>
      </c>
      <c r="G26" s="7" t="s">
        <v>85</v>
      </c>
      <c r="H26" s="7" t="s">
        <v>97</v>
      </c>
      <c r="I26" s="7" t="s">
        <v>29</v>
      </c>
      <c r="J26" s="8">
        <v>49472</v>
      </c>
      <c r="K26" s="9">
        <v>14800</v>
      </c>
      <c r="L26" s="9"/>
      <c r="M26" s="9"/>
      <c r="N26" s="10"/>
      <c r="O26" s="10"/>
      <c r="P26" s="10"/>
      <c r="Q26" s="10" t="s">
        <v>30</v>
      </c>
      <c r="R26" s="11">
        <v>740</v>
      </c>
      <c r="S26" s="11">
        <v>740</v>
      </c>
      <c r="T26" s="11">
        <v>1480</v>
      </c>
      <c r="U26" s="11">
        <v>1480</v>
      </c>
      <c r="V26" s="11">
        <v>1480</v>
      </c>
      <c r="W26" s="11">
        <v>1480</v>
      </c>
      <c r="X26" s="11">
        <v>1480</v>
      </c>
      <c r="Y26" s="11">
        <v>1480</v>
      </c>
      <c r="Z26" s="11">
        <v>1480</v>
      </c>
      <c r="AA26" s="11">
        <v>1480</v>
      </c>
      <c r="AB26" s="11">
        <v>1480</v>
      </c>
      <c r="AC26" s="11">
        <v>1480</v>
      </c>
      <c r="AD26" s="11">
        <v>740</v>
      </c>
      <c r="AE26" s="11">
        <v>0</v>
      </c>
      <c r="AF26" s="11">
        <v>0</v>
      </c>
      <c r="AG26" s="11">
        <v>0</v>
      </c>
      <c r="AH26" s="11">
        <v>0</v>
      </c>
      <c r="AI26" s="11">
        <v>0</v>
      </c>
      <c r="AJ26" s="11">
        <v>0</v>
      </c>
      <c r="AK26" s="11">
        <v>0</v>
      </c>
      <c r="AL26" s="11">
        <v>0</v>
      </c>
      <c r="AM26" s="11">
        <v>0</v>
      </c>
      <c r="AN26" s="11">
        <v>0</v>
      </c>
      <c r="AO26" s="11">
        <v>0</v>
      </c>
      <c r="AP26" s="11">
        <v>0</v>
      </c>
      <c r="AQ26" s="11">
        <v>0</v>
      </c>
      <c r="AR26" s="11">
        <v>0</v>
      </c>
      <c r="AS26" s="11">
        <v>0</v>
      </c>
      <c r="AT26" s="11">
        <v>0</v>
      </c>
      <c r="AU26" s="11">
        <v>0</v>
      </c>
      <c r="AV26" s="11">
        <v>0</v>
      </c>
      <c r="AW26" s="11"/>
      <c r="AX26" s="11"/>
      <c r="AY26" s="13">
        <v>14060</v>
      </c>
      <c r="AZ26" s="82">
        <v>0</v>
      </c>
      <c r="BA26" s="12">
        <v>3700</v>
      </c>
      <c r="BB26" s="13">
        <v>14060</v>
      </c>
      <c r="BE26" s="44"/>
    </row>
    <row r="27" spans="2:57" hidden="1" outlineLevel="1" x14ac:dyDescent="0.25">
      <c r="B27" s="45" t="s">
        <v>74</v>
      </c>
      <c r="C27" s="46"/>
      <c r="D27" s="47" t="s">
        <v>98</v>
      </c>
      <c r="E27" s="14"/>
      <c r="F27" s="14"/>
      <c r="G27" s="14"/>
      <c r="H27" s="14"/>
      <c r="I27" s="14"/>
      <c r="J27" s="15"/>
      <c r="K27" s="15"/>
      <c r="L27" s="15" t="s">
        <v>88</v>
      </c>
      <c r="M27" s="15"/>
      <c r="N27" s="16">
        <v>4.0570000000000004</v>
      </c>
      <c r="O27" s="16">
        <v>4.0570000000000004</v>
      </c>
      <c r="P27" s="16">
        <v>0</v>
      </c>
      <c r="Q27" s="16" t="s">
        <v>33</v>
      </c>
      <c r="R27" s="17">
        <v>121.18</v>
      </c>
      <c r="S27" s="17">
        <v>143.56</v>
      </c>
      <c r="T27" s="17">
        <v>264.74</v>
      </c>
      <c r="U27" s="17">
        <v>570.41420000000005</v>
      </c>
      <c r="V27" s="17">
        <v>510.37060000000002</v>
      </c>
      <c r="W27" s="17">
        <v>450.32700000000006</v>
      </c>
      <c r="X27" s="17">
        <v>390.28340000000003</v>
      </c>
      <c r="Y27" s="17">
        <v>330.23980000000006</v>
      </c>
      <c r="Z27" s="17">
        <v>270.19620000000003</v>
      </c>
      <c r="AA27" s="17">
        <v>210.15260000000001</v>
      </c>
      <c r="AB27" s="17">
        <v>150.10900000000001</v>
      </c>
      <c r="AC27" s="17">
        <v>90.065400000000011</v>
      </c>
      <c r="AD27" s="17">
        <v>30.021800000000002</v>
      </c>
      <c r="AE27" s="17">
        <v>0</v>
      </c>
      <c r="AF27" s="17">
        <v>0</v>
      </c>
      <c r="AG27" s="17">
        <v>0</v>
      </c>
      <c r="AH27" s="17">
        <v>0</v>
      </c>
      <c r="AI27" s="17">
        <v>0</v>
      </c>
      <c r="AJ27" s="17">
        <v>0</v>
      </c>
      <c r="AK27" s="17">
        <v>0</v>
      </c>
      <c r="AL27" s="17">
        <v>0</v>
      </c>
      <c r="AM27" s="17">
        <v>0</v>
      </c>
      <c r="AN27" s="17">
        <v>0</v>
      </c>
      <c r="AO27" s="17">
        <v>0</v>
      </c>
      <c r="AP27" s="17">
        <v>0</v>
      </c>
      <c r="AQ27" s="17">
        <v>0</v>
      </c>
      <c r="AR27" s="17">
        <v>0</v>
      </c>
      <c r="AS27" s="17">
        <v>0</v>
      </c>
      <c r="AT27" s="17">
        <v>0</v>
      </c>
      <c r="AU27" s="17">
        <v>0</v>
      </c>
      <c r="AV27" s="17">
        <v>0</v>
      </c>
      <c r="AW27" s="17"/>
      <c r="AX27" s="17"/>
      <c r="AY27" s="19">
        <v>3002.18</v>
      </c>
      <c r="AZ27" s="82">
        <v>0</v>
      </c>
      <c r="BA27" s="18">
        <v>270.19620000000003</v>
      </c>
      <c r="BB27" s="19">
        <v>3002.18</v>
      </c>
      <c r="BD27" s="43"/>
    </row>
    <row r="28" spans="2:57" s="43" customFormat="1" hidden="1" outlineLevel="1" x14ac:dyDescent="0.25">
      <c r="B28" s="38" t="s">
        <v>74</v>
      </c>
      <c r="C28" s="39">
        <v>12</v>
      </c>
      <c r="D28" s="40" t="s">
        <v>99</v>
      </c>
      <c r="E28" s="7" t="s">
        <v>100</v>
      </c>
      <c r="F28" s="7" t="s">
        <v>101</v>
      </c>
      <c r="G28" s="7" t="s">
        <v>85</v>
      </c>
      <c r="H28" s="7" t="s">
        <v>86</v>
      </c>
      <c r="I28" s="7" t="s">
        <v>29</v>
      </c>
      <c r="J28" s="8">
        <v>238897.15</v>
      </c>
      <c r="K28" s="9">
        <v>159000</v>
      </c>
      <c r="L28" s="9"/>
      <c r="M28" s="9"/>
      <c r="N28" s="10"/>
      <c r="O28" s="10"/>
      <c r="P28" s="10"/>
      <c r="Q28" s="10" t="s">
        <v>30</v>
      </c>
      <c r="R28" s="11">
        <v>5300</v>
      </c>
      <c r="S28" s="11">
        <v>5300</v>
      </c>
      <c r="T28" s="11">
        <v>10600</v>
      </c>
      <c r="U28" s="11">
        <v>10600</v>
      </c>
      <c r="V28" s="11">
        <v>10600</v>
      </c>
      <c r="W28" s="11">
        <v>10600</v>
      </c>
      <c r="X28" s="11">
        <v>10600</v>
      </c>
      <c r="Y28" s="11">
        <v>10600</v>
      </c>
      <c r="Z28" s="11">
        <v>10600</v>
      </c>
      <c r="AA28" s="11">
        <v>10600</v>
      </c>
      <c r="AB28" s="11">
        <v>10600</v>
      </c>
      <c r="AC28" s="11">
        <v>10600</v>
      </c>
      <c r="AD28" s="11">
        <v>10600</v>
      </c>
      <c r="AE28" s="11">
        <v>10600</v>
      </c>
      <c r="AF28" s="11">
        <v>10600</v>
      </c>
      <c r="AG28" s="11">
        <v>10600</v>
      </c>
      <c r="AH28" s="11">
        <v>10600</v>
      </c>
      <c r="AI28" s="11">
        <v>5300</v>
      </c>
      <c r="AJ28" s="11">
        <v>0</v>
      </c>
      <c r="AK28" s="11">
        <v>0</v>
      </c>
      <c r="AL28" s="11">
        <v>0</v>
      </c>
      <c r="AM28" s="11">
        <v>0</v>
      </c>
      <c r="AN28" s="11">
        <v>0</v>
      </c>
      <c r="AO28" s="11">
        <v>0</v>
      </c>
      <c r="AP28" s="11">
        <v>0</v>
      </c>
      <c r="AQ28" s="11">
        <v>0</v>
      </c>
      <c r="AR28" s="11">
        <v>0</v>
      </c>
      <c r="AS28" s="11">
        <v>0</v>
      </c>
      <c r="AT28" s="11">
        <v>0</v>
      </c>
      <c r="AU28" s="11">
        <v>0</v>
      </c>
      <c r="AV28" s="11">
        <v>0</v>
      </c>
      <c r="AW28" s="11"/>
      <c r="AX28" s="11"/>
      <c r="AY28" s="13">
        <v>153700</v>
      </c>
      <c r="AZ28" s="82">
        <v>0</v>
      </c>
      <c r="BA28" s="12">
        <v>79500</v>
      </c>
      <c r="BB28" s="13">
        <v>153700</v>
      </c>
      <c r="BE28" s="44"/>
    </row>
    <row r="29" spans="2:57" hidden="1" outlineLevel="1" x14ac:dyDescent="0.25">
      <c r="B29" s="45" t="s">
        <v>74</v>
      </c>
      <c r="C29" s="46"/>
      <c r="D29" s="47" t="s">
        <v>102</v>
      </c>
      <c r="E29" s="14"/>
      <c r="F29" s="14"/>
      <c r="G29" s="14"/>
      <c r="H29" s="14"/>
      <c r="I29" s="14"/>
      <c r="J29" s="15"/>
      <c r="K29" s="15"/>
      <c r="L29" s="15" t="s">
        <v>88</v>
      </c>
      <c r="M29" s="15"/>
      <c r="N29" s="16">
        <v>4.0570000000000004</v>
      </c>
      <c r="O29" s="16">
        <v>4.0570000000000004</v>
      </c>
      <c r="P29" s="16">
        <v>0</v>
      </c>
      <c r="Q29" s="16" t="s">
        <v>33</v>
      </c>
      <c r="R29" s="17">
        <v>1287.47</v>
      </c>
      <c r="S29" s="17">
        <v>1543.82</v>
      </c>
      <c r="T29" s="17">
        <v>2831.29</v>
      </c>
      <c r="U29" s="17">
        <v>6235.6090000000004</v>
      </c>
      <c r="V29" s="17">
        <v>5805.5670000000009</v>
      </c>
      <c r="W29" s="17">
        <v>5375.5249999999996</v>
      </c>
      <c r="X29" s="17">
        <v>4945.4830000000002</v>
      </c>
      <c r="Y29" s="17">
        <v>4515.4410000000007</v>
      </c>
      <c r="Z29" s="17">
        <v>4085.3990000000003</v>
      </c>
      <c r="AA29" s="17">
        <v>3655.357</v>
      </c>
      <c r="AB29" s="17">
        <v>3225.3150000000005</v>
      </c>
      <c r="AC29" s="17">
        <v>2795.2730000000006</v>
      </c>
      <c r="AD29" s="17">
        <v>2365.2310000000002</v>
      </c>
      <c r="AE29" s="17">
        <v>1935.1890000000003</v>
      </c>
      <c r="AF29" s="17">
        <v>1505.1470000000002</v>
      </c>
      <c r="AG29" s="17">
        <v>1075.1050000000002</v>
      </c>
      <c r="AH29" s="17">
        <v>645.06299999999999</v>
      </c>
      <c r="AI29" s="17">
        <v>215.02100000000002</v>
      </c>
      <c r="AJ29" s="17">
        <v>0</v>
      </c>
      <c r="AK29" s="17">
        <v>0</v>
      </c>
      <c r="AL29" s="17">
        <v>0</v>
      </c>
      <c r="AM29" s="17">
        <v>0</v>
      </c>
      <c r="AN29" s="17">
        <v>0</v>
      </c>
      <c r="AO29" s="17">
        <v>0</v>
      </c>
      <c r="AP29" s="17">
        <v>0</v>
      </c>
      <c r="AQ29" s="17">
        <v>0</v>
      </c>
      <c r="AR29" s="17">
        <v>0</v>
      </c>
      <c r="AS29" s="17">
        <v>0</v>
      </c>
      <c r="AT29" s="17">
        <v>0</v>
      </c>
      <c r="AU29" s="17">
        <v>0</v>
      </c>
      <c r="AV29" s="17">
        <v>0</v>
      </c>
      <c r="AW29" s="17"/>
      <c r="AX29" s="17"/>
      <c r="AY29" s="19">
        <v>48379.725000000006</v>
      </c>
      <c r="AZ29" s="82">
        <v>0</v>
      </c>
      <c r="BA29" s="18">
        <v>13761.344000000003</v>
      </c>
      <c r="BB29" s="19">
        <v>48379.725000000006</v>
      </c>
      <c r="BD29" s="43"/>
    </row>
    <row r="30" spans="2:57" s="43" customFormat="1" hidden="1" outlineLevel="1" x14ac:dyDescent="0.25">
      <c r="B30" s="38" t="s">
        <v>74</v>
      </c>
      <c r="C30" s="39">
        <v>13</v>
      </c>
      <c r="D30" s="40" t="s">
        <v>103</v>
      </c>
      <c r="E30" s="7" t="s">
        <v>104</v>
      </c>
      <c r="F30" s="7" t="s">
        <v>105</v>
      </c>
      <c r="G30" s="7" t="s">
        <v>106</v>
      </c>
      <c r="H30" s="7" t="s">
        <v>107</v>
      </c>
      <c r="I30" s="7" t="s">
        <v>29</v>
      </c>
      <c r="J30" s="8">
        <v>34291</v>
      </c>
      <c r="K30" s="9">
        <v>17740</v>
      </c>
      <c r="L30" s="9"/>
      <c r="M30" s="9"/>
      <c r="N30" s="10"/>
      <c r="O30" s="10"/>
      <c r="P30" s="10"/>
      <c r="Q30" s="10" t="s">
        <v>30</v>
      </c>
      <c r="R30" s="11">
        <v>1842</v>
      </c>
      <c r="S30" s="11">
        <v>1774</v>
      </c>
      <c r="T30" s="11">
        <v>3616</v>
      </c>
      <c r="U30" s="11">
        <v>3548</v>
      </c>
      <c r="V30" s="11">
        <v>3548</v>
      </c>
      <c r="W30" s="11">
        <v>3548</v>
      </c>
      <c r="X30" s="11">
        <v>3548</v>
      </c>
      <c r="Y30" s="11">
        <v>1774</v>
      </c>
      <c r="Z30" s="11">
        <v>0</v>
      </c>
      <c r="AA30" s="11">
        <v>0</v>
      </c>
      <c r="AB30" s="11">
        <v>0</v>
      </c>
      <c r="AC30" s="11">
        <v>0</v>
      </c>
      <c r="AD30" s="11">
        <v>0</v>
      </c>
      <c r="AE30" s="11">
        <v>0</v>
      </c>
      <c r="AF30" s="11">
        <v>0</v>
      </c>
      <c r="AG30" s="11">
        <v>0</v>
      </c>
      <c r="AH30" s="11">
        <v>0</v>
      </c>
      <c r="AI30" s="11">
        <v>0</v>
      </c>
      <c r="AJ30" s="11">
        <v>0</v>
      </c>
      <c r="AK30" s="11">
        <v>0</v>
      </c>
      <c r="AL30" s="11">
        <v>0</v>
      </c>
      <c r="AM30" s="11">
        <v>0</v>
      </c>
      <c r="AN30" s="11">
        <v>0</v>
      </c>
      <c r="AO30" s="11">
        <v>0</v>
      </c>
      <c r="AP30" s="11">
        <v>0</v>
      </c>
      <c r="AQ30" s="11">
        <v>0</v>
      </c>
      <c r="AR30" s="11">
        <v>0</v>
      </c>
      <c r="AS30" s="11">
        <v>0</v>
      </c>
      <c r="AT30" s="11">
        <v>0</v>
      </c>
      <c r="AU30" s="11">
        <v>0</v>
      </c>
      <c r="AV30" s="11">
        <v>0</v>
      </c>
      <c r="AW30" s="11"/>
      <c r="AX30" s="11"/>
      <c r="AY30" s="13">
        <v>15966</v>
      </c>
      <c r="AZ30" s="82">
        <v>0</v>
      </c>
      <c r="BA30" s="12">
        <v>0</v>
      </c>
      <c r="BB30" s="13">
        <v>15966</v>
      </c>
      <c r="BE30" s="44"/>
    </row>
    <row r="31" spans="2:57" hidden="1" outlineLevel="1" x14ac:dyDescent="0.25">
      <c r="B31" s="45" t="s">
        <v>74</v>
      </c>
      <c r="C31" s="46"/>
      <c r="D31" s="47" t="s">
        <v>108</v>
      </c>
      <c r="E31" s="14"/>
      <c r="F31" s="14"/>
      <c r="G31" s="14"/>
      <c r="H31" s="14"/>
      <c r="I31" s="14"/>
      <c r="J31" s="15"/>
      <c r="K31" s="15"/>
      <c r="L31" s="15" t="s">
        <v>109</v>
      </c>
      <c r="M31" s="15"/>
      <c r="N31" s="16">
        <v>4.415</v>
      </c>
      <c r="O31" s="16">
        <v>4.415</v>
      </c>
      <c r="P31" s="16">
        <v>0</v>
      </c>
      <c r="Q31" s="16" t="s">
        <v>33</v>
      </c>
      <c r="R31" s="17">
        <v>163.44</v>
      </c>
      <c r="S31" s="17">
        <v>172.63</v>
      </c>
      <c r="T31" s="17">
        <v>336.07</v>
      </c>
      <c r="U31" s="17">
        <v>704.89890000000003</v>
      </c>
      <c r="V31" s="17">
        <v>548.25469999999996</v>
      </c>
      <c r="W31" s="17">
        <v>391.6105</v>
      </c>
      <c r="X31" s="17">
        <v>234.96630000000002</v>
      </c>
      <c r="Y31" s="17">
        <v>78.322100000000006</v>
      </c>
      <c r="Z31" s="17">
        <v>0</v>
      </c>
      <c r="AA31" s="17">
        <v>0</v>
      </c>
      <c r="AB31" s="17">
        <v>0</v>
      </c>
      <c r="AC31" s="17">
        <v>0</v>
      </c>
      <c r="AD31" s="17">
        <v>0</v>
      </c>
      <c r="AE31" s="17">
        <v>0</v>
      </c>
      <c r="AF31" s="17">
        <v>0</v>
      </c>
      <c r="AG31" s="17">
        <v>0</v>
      </c>
      <c r="AH31" s="17">
        <v>0</v>
      </c>
      <c r="AI31" s="17">
        <v>0</v>
      </c>
      <c r="AJ31" s="17">
        <v>0</v>
      </c>
      <c r="AK31" s="17">
        <v>0</v>
      </c>
      <c r="AL31" s="17">
        <v>0</v>
      </c>
      <c r="AM31" s="17">
        <v>0</v>
      </c>
      <c r="AN31" s="17">
        <v>0</v>
      </c>
      <c r="AO31" s="17">
        <v>0</v>
      </c>
      <c r="AP31" s="17">
        <v>0</v>
      </c>
      <c r="AQ31" s="17">
        <v>0</v>
      </c>
      <c r="AR31" s="17">
        <v>0</v>
      </c>
      <c r="AS31" s="17">
        <v>0</v>
      </c>
      <c r="AT31" s="17">
        <v>0</v>
      </c>
      <c r="AU31" s="17">
        <v>0</v>
      </c>
      <c r="AV31" s="17">
        <v>0</v>
      </c>
      <c r="AW31" s="17"/>
      <c r="AX31" s="17"/>
      <c r="AY31" s="19">
        <v>1958.0525000000002</v>
      </c>
      <c r="AZ31" s="82">
        <v>0</v>
      </c>
      <c r="BA31" s="18">
        <v>0</v>
      </c>
      <c r="BB31" s="19">
        <v>1958.0525000000002</v>
      </c>
      <c r="BD31" s="43"/>
    </row>
    <row r="32" spans="2:57" s="43" customFormat="1" hidden="1" outlineLevel="1" x14ac:dyDescent="0.25">
      <c r="B32" s="38" t="s">
        <v>74</v>
      </c>
      <c r="C32" s="39">
        <v>14</v>
      </c>
      <c r="D32" s="40" t="s">
        <v>110</v>
      </c>
      <c r="E32" s="7" t="s">
        <v>111</v>
      </c>
      <c r="F32" s="7" t="s">
        <v>112</v>
      </c>
      <c r="G32" s="7" t="s">
        <v>113</v>
      </c>
      <c r="H32" s="7" t="s">
        <v>114</v>
      </c>
      <c r="I32" s="7" t="s">
        <v>29</v>
      </c>
      <c r="J32" s="8">
        <v>2609698.31</v>
      </c>
      <c r="K32" s="9">
        <v>2374239.31</v>
      </c>
      <c r="L32" s="9"/>
      <c r="M32" s="9"/>
      <c r="N32" s="10"/>
      <c r="O32" s="10"/>
      <c r="P32" s="10"/>
      <c r="Q32" s="10" t="s">
        <v>30</v>
      </c>
      <c r="R32" s="11">
        <v>47100</v>
      </c>
      <c r="S32" s="11">
        <v>47100</v>
      </c>
      <c r="T32" s="11">
        <v>94200</v>
      </c>
      <c r="U32" s="11">
        <v>94200</v>
      </c>
      <c r="V32" s="11">
        <v>94200</v>
      </c>
      <c r="W32" s="11">
        <v>94200</v>
      </c>
      <c r="X32" s="11">
        <v>94200</v>
      </c>
      <c r="Y32" s="11">
        <v>94200</v>
      </c>
      <c r="Z32" s="11">
        <v>94200</v>
      </c>
      <c r="AA32" s="11">
        <v>94200</v>
      </c>
      <c r="AB32" s="11">
        <v>94200</v>
      </c>
      <c r="AC32" s="11">
        <v>94200</v>
      </c>
      <c r="AD32" s="11">
        <v>94200</v>
      </c>
      <c r="AE32" s="11">
        <v>94200</v>
      </c>
      <c r="AF32" s="11">
        <v>94200</v>
      </c>
      <c r="AG32" s="11">
        <v>94200</v>
      </c>
      <c r="AH32" s="11">
        <v>94200</v>
      </c>
      <c r="AI32" s="11">
        <v>94200</v>
      </c>
      <c r="AJ32" s="11">
        <v>94200</v>
      </c>
      <c r="AK32" s="11">
        <v>94200</v>
      </c>
      <c r="AL32" s="11">
        <v>94200</v>
      </c>
      <c r="AM32" s="11">
        <v>94200</v>
      </c>
      <c r="AN32" s="11">
        <v>94200</v>
      </c>
      <c r="AO32" s="11">
        <v>94200</v>
      </c>
      <c r="AP32" s="11">
        <v>94200</v>
      </c>
      <c r="AQ32" s="11">
        <v>94200</v>
      </c>
      <c r="AR32" s="11">
        <v>94200</v>
      </c>
      <c r="AS32" s="11">
        <v>66339.31</v>
      </c>
      <c r="AT32" s="11">
        <v>0</v>
      </c>
      <c r="AU32" s="11">
        <v>0</v>
      </c>
      <c r="AV32" s="11">
        <v>0</v>
      </c>
      <c r="AW32" s="11"/>
      <c r="AX32" s="11"/>
      <c r="AY32" s="13">
        <v>2327139.31</v>
      </c>
      <c r="AZ32" s="82">
        <v>0</v>
      </c>
      <c r="BA32" s="12">
        <v>1667739.31</v>
      </c>
      <c r="BB32" s="13">
        <v>2327139.31</v>
      </c>
      <c r="BE32" s="44"/>
    </row>
    <row r="33" spans="2:57" hidden="1" outlineLevel="1" x14ac:dyDescent="0.25">
      <c r="B33" s="45" t="s">
        <v>74</v>
      </c>
      <c r="C33" s="46"/>
      <c r="D33" s="47" t="s">
        <v>115</v>
      </c>
      <c r="E33" s="14"/>
      <c r="F33" s="14"/>
      <c r="G33" s="14"/>
      <c r="H33" s="14"/>
      <c r="I33" s="14"/>
      <c r="J33" s="15"/>
      <c r="K33" s="15"/>
      <c r="L33" s="15" t="s">
        <v>116</v>
      </c>
      <c r="M33" s="15"/>
      <c r="N33" s="16">
        <v>4.3639999999999999</v>
      </c>
      <c r="O33" s="16">
        <v>4.3639999999999999</v>
      </c>
      <c r="P33" s="16">
        <v>0</v>
      </c>
      <c r="Q33" s="16" t="s">
        <v>33</v>
      </c>
      <c r="R33" s="17">
        <v>22429.32</v>
      </c>
      <c r="S33" s="17">
        <v>19021.490000000002</v>
      </c>
      <c r="T33" s="17">
        <v>41450.81</v>
      </c>
      <c r="U33" s="17">
        <v>101556.35948839999</v>
      </c>
      <c r="V33" s="17">
        <v>97445.471488400013</v>
      </c>
      <c r="W33" s="17">
        <v>93334.583488400007</v>
      </c>
      <c r="X33" s="17">
        <v>89223.695488400001</v>
      </c>
      <c r="Y33" s="17">
        <v>85112.807488400009</v>
      </c>
      <c r="Z33" s="17">
        <v>81001.919488400003</v>
      </c>
      <c r="AA33" s="17">
        <v>76891.031488399996</v>
      </c>
      <c r="AB33" s="17">
        <v>72780.143488400005</v>
      </c>
      <c r="AC33" s="17">
        <v>68669.255488399998</v>
      </c>
      <c r="AD33" s="17">
        <v>64558.367488400007</v>
      </c>
      <c r="AE33" s="17">
        <v>60447.4794884</v>
      </c>
      <c r="AF33" s="17">
        <v>56336.591488400001</v>
      </c>
      <c r="AG33" s="17">
        <v>52225.703488400002</v>
      </c>
      <c r="AH33" s="17">
        <v>48114.815488400003</v>
      </c>
      <c r="AI33" s="17">
        <v>44003.927488400004</v>
      </c>
      <c r="AJ33" s="17">
        <v>39893.039488400005</v>
      </c>
      <c r="AK33" s="17">
        <v>35782.151488399999</v>
      </c>
      <c r="AL33" s="17">
        <v>31671.2634884</v>
      </c>
      <c r="AM33" s="17">
        <v>27560.375488400005</v>
      </c>
      <c r="AN33" s="17">
        <v>23449.487488400002</v>
      </c>
      <c r="AO33" s="17">
        <v>19338.599488399999</v>
      </c>
      <c r="AP33" s="17">
        <v>15227.711488399998</v>
      </c>
      <c r="AQ33" s="17">
        <v>11116.823488399999</v>
      </c>
      <c r="AR33" s="17">
        <v>7005.9354883999995</v>
      </c>
      <c r="AS33" s="17">
        <v>2895.0474883999996</v>
      </c>
      <c r="AT33" s="17">
        <v>0</v>
      </c>
      <c r="AU33" s="17">
        <v>0</v>
      </c>
      <c r="AV33" s="17">
        <v>0</v>
      </c>
      <c r="AW33" s="17"/>
      <c r="AX33" s="17"/>
      <c r="AY33" s="19">
        <v>1305642.5872100003</v>
      </c>
      <c r="AZ33" s="82">
        <v>0</v>
      </c>
      <c r="BA33" s="18">
        <v>681076.71879120008</v>
      </c>
      <c r="BB33" s="19">
        <v>1305642.58721</v>
      </c>
      <c r="BD33" s="43"/>
    </row>
    <row r="34" spans="2:57" s="43" customFormat="1" hidden="1" outlineLevel="1" x14ac:dyDescent="0.25">
      <c r="B34" s="38" t="s">
        <v>74</v>
      </c>
      <c r="C34" s="39">
        <v>15</v>
      </c>
      <c r="D34" s="40" t="s">
        <v>117</v>
      </c>
      <c r="E34" s="7" t="s">
        <v>118</v>
      </c>
      <c r="F34" s="7" t="s">
        <v>119</v>
      </c>
      <c r="G34" s="7" t="s">
        <v>113</v>
      </c>
      <c r="H34" s="7" t="s">
        <v>114</v>
      </c>
      <c r="I34" s="7" t="s">
        <v>29</v>
      </c>
      <c r="J34" s="8">
        <v>3496295</v>
      </c>
      <c r="K34" s="9">
        <v>3181399</v>
      </c>
      <c r="L34" s="9"/>
      <c r="M34" s="9"/>
      <c r="N34" s="10"/>
      <c r="O34" s="10"/>
      <c r="P34" s="10"/>
      <c r="Q34" s="10" t="s">
        <v>30</v>
      </c>
      <c r="R34" s="11">
        <v>62998</v>
      </c>
      <c r="S34" s="11">
        <v>62998</v>
      </c>
      <c r="T34" s="11">
        <v>125996</v>
      </c>
      <c r="U34" s="11">
        <v>125996</v>
      </c>
      <c r="V34" s="11">
        <v>125996</v>
      </c>
      <c r="W34" s="11">
        <v>125996</v>
      </c>
      <c r="X34" s="11">
        <v>125996</v>
      </c>
      <c r="Y34" s="11">
        <v>125996</v>
      </c>
      <c r="Z34" s="11">
        <v>125996</v>
      </c>
      <c r="AA34" s="11">
        <v>125996</v>
      </c>
      <c r="AB34" s="11">
        <v>125996</v>
      </c>
      <c r="AC34" s="11">
        <v>125996</v>
      </c>
      <c r="AD34" s="11">
        <v>125996</v>
      </c>
      <c r="AE34" s="11">
        <v>125996</v>
      </c>
      <c r="AF34" s="11">
        <v>125996</v>
      </c>
      <c r="AG34" s="11">
        <v>125996</v>
      </c>
      <c r="AH34" s="11">
        <v>125996</v>
      </c>
      <c r="AI34" s="11">
        <v>125996</v>
      </c>
      <c r="AJ34" s="11">
        <v>125996</v>
      </c>
      <c r="AK34" s="11">
        <v>125996</v>
      </c>
      <c r="AL34" s="11">
        <v>125996</v>
      </c>
      <c r="AM34" s="11">
        <v>125996</v>
      </c>
      <c r="AN34" s="11">
        <v>125996</v>
      </c>
      <c r="AO34" s="11">
        <v>125996</v>
      </c>
      <c r="AP34" s="11">
        <v>125996</v>
      </c>
      <c r="AQ34" s="11">
        <v>125996</v>
      </c>
      <c r="AR34" s="11">
        <v>125996</v>
      </c>
      <c r="AS34" s="11">
        <v>94497</v>
      </c>
      <c r="AT34" s="11">
        <v>0</v>
      </c>
      <c r="AU34" s="11">
        <v>0</v>
      </c>
      <c r="AV34" s="11">
        <v>0</v>
      </c>
      <c r="AW34" s="11"/>
      <c r="AX34" s="11"/>
      <c r="AY34" s="13">
        <v>3118401</v>
      </c>
      <c r="AZ34" s="82">
        <v>0</v>
      </c>
      <c r="BA34" s="12">
        <v>2236429</v>
      </c>
      <c r="BB34" s="13">
        <v>3118401</v>
      </c>
      <c r="BE34" s="44"/>
    </row>
    <row r="35" spans="2:57" hidden="1" outlineLevel="1" x14ac:dyDescent="0.25">
      <c r="B35" s="45" t="s">
        <v>74</v>
      </c>
      <c r="C35" s="46"/>
      <c r="D35" s="47" t="s">
        <v>120</v>
      </c>
      <c r="E35" s="14"/>
      <c r="F35" s="14"/>
      <c r="G35" s="14"/>
      <c r="H35" s="14"/>
      <c r="I35" s="14"/>
      <c r="J35" s="15"/>
      <c r="K35" s="15"/>
      <c r="L35" s="15" t="s">
        <v>116</v>
      </c>
      <c r="M35" s="15"/>
      <c r="N35" s="16">
        <v>4.3639999999999999</v>
      </c>
      <c r="O35" s="16">
        <v>4.3639999999999999</v>
      </c>
      <c r="P35" s="16">
        <v>0</v>
      </c>
      <c r="Q35" s="16" t="s">
        <v>33</v>
      </c>
      <c r="R35" s="17">
        <v>30053.5</v>
      </c>
      <c r="S35" s="17">
        <v>25488.22</v>
      </c>
      <c r="T35" s="17">
        <v>55541.72</v>
      </c>
      <c r="U35" s="17">
        <v>136087.01963999998</v>
      </c>
      <c r="V35" s="17">
        <v>130588.5542</v>
      </c>
      <c r="W35" s="17">
        <v>125090.08876</v>
      </c>
      <c r="X35" s="17">
        <v>119591.62332</v>
      </c>
      <c r="Y35" s="17">
        <v>114093.15787999998</v>
      </c>
      <c r="Z35" s="17">
        <v>108594.69243999998</v>
      </c>
      <c r="AA35" s="17">
        <v>103096.227</v>
      </c>
      <c r="AB35" s="17">
        <v>97597.761559999999</v>
      </c>
      <c r="AC35" s="17">
        <v>92099.296119999999</v>
      </c>
      <c r="AD35" s="17">
        <v>86600.830679999999</v>
      </c>
      <c r="AE35" s="17">
        <v>81102.365239999999</v>
      </c>
      <c r="AF35" s="17">
        <v>75603.899799999999</v>
      </c>
      <c r="AG35" s="17">
        <v>70105.434359999999</v>
      </c>
      <c r="AH35" s="17">
        <v>64606.968919999999</v>
      </c>
      <c r="AI35" s="17">
        <v>59108.503479999999</v>
      </c>
      <c r="AJ35" s="17">
        <v>53610.038039999992</v>
      </c>
      <c r="AK35" s="17">
        <v>48111.5726</v>
      </c>
      <c r="AL35" s="17">
        <v>42613.10716</v>
      </c>
      <c r="AM35" s="17">
        <v>37114.64172</v>
      </c>
      <c r="AN35" s="17">
        <v>31616.17628</v>
      </c>
      <c r="AO35" s="17">
        <v>26117.71084</v>
      </c>
      <c r="AP35" s="17">
        <v>20619.2454</v>
      </c>
      <c r="AQ35" s="17">
        <v>15120.77996</v>
      </c>
      <c r="AR35" s="17">
        <v>9622.3145199999999</v>
      </c>
      <c r="AS35" s="17">
        <v>4123.84908</v>
      </c>
      <c r="AT35" s="17">
        <v>0</v>
      </c>
      <c r="AU35" s="17">
        <v>0</v>
      </c>
      <c r="AV35" s="17">
        <v>0</v>
      </c>
      <c r="AW35" s="17"/>
      <c r="AX35" s="17"/>
      <c r="AY35" s="19">
        <v>1752635.8589999997</v>
      </c>
      <c r="AZ35" s="82">
        <v>0</v>
      </c>
      <c r="BA35" s="18">
        <v>915494.49575999985</v>
      </c>
      <c r="BB35" s="19">
        <v>1752635.8589999997</v>
      </c>
      <c r="BD35" s="43"/>
    </row>
    <row r="36" spans="2:57" s="43" customFormat="1" hidden="1" outlineLevel="1" collapsed="1" x14ac:dyDescent="0.25">
      <c r="B36" s="38" t="s">
        <v>74</v>
      </c>
      <c r="C36" s="39">
        <v>16</v>
      </c>
      <c r="D36" s="40" t="s">
        <v>82</v>
      </c>
      <c r="E36" s="7" t="s">
        <v>121</v>
      </c>
      <c r="F36" s="7" t="s">
        <v>122</v>
      </c>
      <c r="G36" s="7" t="s">
        <v>123</v>
      </c>
      <c r="H36" s="7" t="s">
        <v>124</v>
      </c>
      <c r="I36" s="7" t="s">
        <v>29</v>
      </c>
      <c r="J36" s="8">
        <v>190122</v>
      </c>
      <c r="K36" s="9">
        <v>148712</v>
      </c>
      <c r="L36" s="9"/>
      <c r="M36" s="9"/>
      <c r="N36" s="10"/>
      <c r="O36" s="10">
        <v>1.482</v>
      </c>
      <c r="P36" s="10"/>
      <c r="Q36" s="10" t="s">
        <v>30</v>
      </c>
      <c r="R36" s="11">
        <v>4876</v>
      </c>
      <c r="S36" s="11">
        <v>4876</v>
      </c>
      <c r="T36" s="11">
        <v>9752</v>
      </c>
      <c r="U36" s="11">
        <v>9752</v>
      </c>
      <c r="V36" s="11">
        <v>9752</v>
      </c>
      <c r="W36" s="11">
        <v>9752</v>
      </c>
      <c r="X36" s="11">
        <v>9752</v>
      </c>
      <c r="Y36" s="11">
        <v>9752</v>
      </c>
      <c r="Z36" s="11">
        <v>9752</v>
      </c>
      <c r="AA36" s="11">
        <v>9752</v>
      </c>
      <c r="AB36" s="11">
        <v>9752</v>
      </c>
      <c r="AC36" s="11">
        <v>9752</v>
      </c>
      <c r="AD36" s="11">
        <v>9752</v>
      </c>
      <c r="AE36" s="11">
        <v>9752</v>
      </c>
      <c r="AF36" s="11">
        <v>9752</v>
      </c>
      <c r="AG36" s="11">
        <v>9752</v>
      </c>
      <c r="AH36" s="11">
        <v>9752</v>
      </c>
      <c r="AI36" s="11">
        <v>7308</v>
      </c>
      <c r="AJ36" s="11">
        <v>0</v>
      </c>
      <c r="AK36" s="11">
        <v>0</v>
      </c>
      <c r="AL36" s="11">
        <v>0</v>
      </c>
      <c r="AM36" s="11">
        <v>0</v>
      </c>
      <c r="AN36" s="11">
        <v>0</v>
      </c>
      <c r="AO36" s="11">
        <v>0</v>
      </c>
      <c r="AP36" s="11">
        <v>0</v>
      </c>
      <c r="AQ36" s="11">
        <v>0</v>
      </c>
      <c r="AR36" s="11">
        <v>0</v>
      </c>
      <c r="AS36" s="11">
        <v>0</v>
      </c>
      <c r="AT36" s="11">
        <v>0</v>
      </c>
      <c r="AU36" s="11">
        <v>0</v>
      </c>
      <c r="AV36" s="11">
        <v>0</v>
      </c>
      <c r="AW36" s="11"/>
      <c r="AX36" s="11"/>
      <c r="AY36" s="13">
        <v>143836</v>
      </c>
      <c r="AZ36" s="82">
        <v>0</v>
      </c>
      <c r="BA36" s="12">
        <v>75572</v>
      </c>
      <c r="BB36" s="13">
        <v>143836</v>
      </c>
      <c r="BE36" s="44"/>
    </row>
    <row r="37" spans="2:57" hidden="1" outlineLevel="1" x14ac:dyDescent="0.25">
      <c r="B37" s="45" t="s">
        <v>74</v>
      </c>
      <c r="C37" s="46"/>
      <c r="D37" s="47" t="s">
        <v>125</v>
      </c>
      <c r="E37" s="14"/>
      <c r="F37" s="14"/>
      <c r="G37" s="14"/>
      <c r="H37" s="14"/>
      <c r="I37" s="14"/>
      <c r="J37" s="15"/>
      <c r="K37" s="15"/>
      <c r="L37" s="15" t="s">
        <v>126</v>
      </c>
      <c r="M37" s="15"/>
      <c r="N37" s="16">
        <v>4.1500000000000004</v>
      </c>
      <c r="O37" s="21">
        <v>4.1500000000000004</v>
      </c>
      <c r="P37" s="16">
        <v>0</v>
      </c>
      <c r="Q37" s="16" t="s">
        <v>33</v>
      </c>
      <c r="R37" s="17">
        <v>1722.69</v>
      </c>
      <c r="S37" s="17">
        <v>908.74</v>
      </c>
      <c r="T37" s="17">
        <v>2631.4300000000003</v>
      </c>
      <c r="U37" s="17">
        <v>5969.1940000000004</v>
      </c>
      <c r="V37" s="17">
        <v>5564.4860000000008</v>
      </c>
      <c r="W37" s="17">
        <v>5159.7780000000002</v>
      </c>
      <c r="X37" s="17">
        <v>4755.0700000000006</v>
      </c>
      <c r="Y37" s="17">
        <v>4350.3620000000001</v>
      </c>
      <c r="Z37" s="17">
        <v>3945.6540000000005</v>
      </c>
      <c r="AA37" s="17">
        <v>3540.9460000000004</v>
      </c>
      <c r="AB37" s="17">
        <v>3136.2380000000003</v>
      </c>
      <c r="AC37" s="17">
        <v>2731.53</v>
      </c>
      <c r="AD37" s="17">
        <v>2326.8220000000001</v>
      </c>
      <c r="AE37" s="17">
        <v>1922.1140000000003</v>
      </c>
      <c r="AF37" s="17">
        <v>1517.4059999999999</v>
      </c>
      <c r="AG37" s="17">
        <v>1112.6980000000001</v>
      </c>
      <c r="AH37" s="17">
        <v>707.99</v>
      </c>
      <c r="AI37" s="17">
        <v>303.28200000000004</v>
      </c>
      <c r="AJ37" s="17">
        <v>0</v>
      </c>
      <c r="AK37" s="17">
        <v>0</v>
      </c>
      <c r="AL37" s="17">
        <v>0</v>
      </c>
      <c r="AM37" s="17">
        <v>0</v>
      </c>
      <c r="AN37" s="17">
        <v>0</v>
      </c>
      <c r="AO37" s="17">
        <v>0</v>
      </c>
      <c r="AP37" s="17">
        <v>0</v>
      </c>
      <c r="AQ37" s="17">
        <v>0</v>
      </c>
      <c r="AR37" s="17">
        <v>0</v>
      </c>
      <c r="AS37" s="17">
        <v>0</v>
      </c>
      <c r="AT37" s="17">
        <v>0</v>
      </c>
      <c r="AU37" s="17">
        <v>0</v>
      </c>
      <c r="AV37" s="17">
        <v>0</v>
      </c>
      <c r="AW37" s="17"/>
      <c r="AX37" s="17"/>
      <c r="AY37" s="19">
        <v>47043.57</v>
      </c>
      <c r="AZ37" s="82">
        <v>0</v>
      </c>
      <c r="BA37" s="18">
        <v>13758.08</v>
      </c>
      <c r="BB37" s="19">
        <v>47043.570000000007</v>
      </c>
      <c r="BD37" s="43"/>
    </row>
    <row r="38" spans="2:57" s="43" customFormat="1" hidden="1" outlineLevel="1" collapsed="1" x14ac:dyDescent="0.25">
      <c r="B38" s="38" t="s">
        <v>74</v>
      </c>
      <c r="C38" s="39">
        <v>17</v>
      </c>
      <c r="D38" s="40" t="s">
        <v>127</v>
      </c>
      <c r="E38" s="7" t="s">
        <v>128</v>
      </c>
      <c r="F38" s="7" t="s">
        <v>129</v>
      </c>
      <c r="G38" s="7" t="s">
        <v>130</v>
      </c>
      <c r="H38" s="7" t="s">
        <v>124</v>
      </c>
      <c r="I38" s="7" t="s">
        <v>29</v>
      </c>
      <c r="J38" s="8">
        <v>177076.43</v>
      </c>
      <c r="K38" s="9">
        <v>140300</v>
      </c>
      <c r="L38" s="9"/>
      <c r="M38" s="9"/>
      <c r="N38" s="10"/>
      <c r="O38" s="10">
        <v>1.903</v>
      </c>
      <c r="P38" s="10"/>
      <c r="Q38" s="10" t="s">
        <v>30</v>
      </c>
      <c r="R38" s="11">
        <v>4600</v>
      </c>
      <c r="S38" s="11">
        <v>4600</v>
      </c>
      <c r="T38" s="11">
        <v>9200</v>
      </c>
      <c r="U38" s="11">
        <v>9200</v>
      </c>
      <c r="V38" s="11">
        <v>9200</v>
      </c>
      <c r="W38" s="11">
        <v>9200</v>
      </c>
      <c r="X38" s="11">
        <v>9200</v>
      </c>
      <c r="Y38" s="11">
        <v>9200</v>
      </c>
      <c r="Z38" s="11">
        <v>9200</v>
      </c>
      <c r="AA38" s="11">
        <v>9200</v>
      </c>
      <c r="AB38" s="11">
        <v>9200</v>
      </c>
      <c r="AC38" s="11">
        <v>9200</v>
      </c>
      <c r="AD38" s="11">
        <v>9200</v>
      </c>
      <c r="AE38" s="11">
        <v>9200</v>
      </c>
      <c r="AF38" s="11">
        <v>9200</v>
      </c>
      <c r="AG38" s="11">
        <v>9200</v>
      </c>
      <c r="AH38" s="11">
        <v>9200</v>
      </c>
      <c r="AI38" s="11">
        <v>6900</v>
      </c>
      <c r="AJ38" s="11">
        <v>0</v>
      </c>
      <c r="AK38" s="11">
        <v>0</v>
      </c>
      <c r="AL38" s="11">
        <v>0</v>
      </c>
      <c r="AM38" s="11">
        <v>0</v>
      </c>
      <c r="AN38" s="11">
        <v>0</v>
      </c>
      <c r="AO38" s="11">
        <v>0</v>
      </c>
      <c r="AP38" s="11">
        <v>0</v>
      </c>
      <c r="AQ38" s="11">
        <v>0</v>
      </c>
      <c r="AR38" s="11">
        <v>0</v>
      </c>
      <c r="AS38" s="11">
        <v>0</v>
      </c>
      <c r="AT38" s="11">
        <v>0</v>
      </c>
      <c r="AU38" s="11">
        <v>0</v>
      </c>
      <c r="AV38" s="11">
        <v>0</v>
      </c>
      <c r="AW38" s="11"/>
      <c r="AX38" s="11"/>
      <c r="AY38" s="13">
        <v>135700</v>
      </c>
      <c r="AZ38" s="82">
        <v>0</v>
      </c>
      <c r="BA38" s="12">
        <v>71300</v>
      </c>
      <c r="BB38" s="13">
        <v>135700</v>
      </c>
      <c r="BE38" s="44"/>
    </row>
    <row r="39" spans="2:57" hidden="1" outlineLevel="1" x14ac:dyDescent="0.25">
      <c r="B39" s="45" t="s">
        <v>74</v>
      </c>
      <c r="C39" s="46"/>
      <c r="D39" s="47" t="s">
        <v>131</v>
      </c>
      <c r="E39" s="14"/>
      <c r="F39" s="14"/>
      <c r="G39" s="14"/>
      <c r="H39" s="14"/>
      <c r="I39" s="14"/>
      <c r="J39" s="15"/>
      <c r="K39" s="15"/>
      <c r="L39" s="15" t="s">
        <v>132</v>
      </c>
      <c r="M39" s="15"/>
      <c r="N39" s="16">
        <v>4.1500000000000004</v>
      </c>
      <c r="O39" s="21">
        <v>4.1500000000000004</v>
      </c>
      <c r="P39" s="16">
        <v>0</v>
      </c>
      <c r="Q39" s="16" t="s">
        <v>33</v>
      </c>
      <c r="R39" s="17">
        <v>2086.9299999999998</v>
      </c>
      <c r="S39" s="17">
        <v>851.29</v>
      </c>
      <c r="T39" s="17">
        <v>2938.22</v>
      </c>
      <c r="U39" s="17">
        <v>5631.55</v>
      </c>
      <c r="V39" s="17">
        <v>5249.75</v>
      </c>
      <c r="W39" s="17">
        <v>4867.9500000000007</v>
      </c>
      <c r="X39" s="17">
        <v>4486.1500000000005</v>
      </c>
      <c r="Y39" s="17">
        <v>4104.3500000000004</v>
      </c>
      <c r="Z39" s="17">
        <v>3722.5500000000006</v>
      </c>
      <c r="AA39" s="17">
        <v>3340.75</v>
      </c>
      <c r="AB39" s="17">
        <v>2958.95</v>
      </c>
      <c r="AC39" s="17">
        <v>2577.15</v>
      </c>
      <c r="AD39" s="17">
        <v>2195.3500000000004</v>
      </c>
      <c r="AE39" s="17">
        <v>1813.5500000000002</v>
      </c>
      <c r="AF39" s="17">
        <v>1431.75</v>
      </c>
      <c r="AG39" s="17">
        <v>1049.95</v>
      </c>
      <c r="AH39" s="17">
        <v>668.15</v>
      </c>
      <c r="AI39" s="17">
        <v>286.35000000000002</v>
      </c>
      <c r="AJ39" s="17">
        <v>0</v>
      </c>
      <c r="AK39" s="17">
        <v>0</v>
      </c>
      <c r="AL39" s="17">
        <v>0</v>
      </c>
      <c r="AM39" s="17">
        <v>0</v>
      </c>
      <c r="AN39" s="17">
        <v>0</v>
      </c>
      <c r="AO39" s="17">
        <v>0</v>
      </c>
      <c r="AP39" s="17">
        <v>0</v>
      </c>
      <c r="AQ39" s="17">
        <v>0</v>
      </c>
      <c r="AR39" s="17">
        <v>0</v>
      </c>
      <c r="AS39" s="17">
        <v>0</v>
      </c>
      <c r="AT39" s="17">
        <v>0</v>
      </c>
      <c r="AU39" s="17">
        <v>0</v>
      </c>
      <c r="AV39" s="17">
        <v>0</v>
      </c>
      <c r="AW39" s="17"/>
      <c r="AX39" s="17"/>
      <c r="AY39" s="19">
        <v>44384.25</v>
      </c>
      <c r="AZ39" s="82">
        <v>0</v>
      </c>
      <c r="BA39" s="18">
        <v>12981.2</v>
      </c>
      <c r="BB39" s="19">
        <v>44384.25</v>
      </c>
      <c r="BD39" s="43"/>
    </row>
    <row r="40" spans="2:57" s="43" customFormat="1" hidden="1" outlineLevel="1" collapsed="1" x14ac:dyDescent="0.25">
      <c r="B40" s="38" t="s">
        <v>23</v>
      </c>
      <c r="C40" s="39">
        <v>18</v>
      </c>
      <c r="D40" s="40" t="s">
        <v>133</v>
      </c>
      <c r="E40" s="7" t="s">
        <v>134</v>
      </c>
      <c r="F40" s="7" t="s">
        <v>135</v>
      </c>
      <c r="G40" s="7" t="s">
        <v>130</v>
      </c>
      <c r="H40" s="7" t="s">
        <v>136</v>
      </c>
      <c r="I40" s="7" t="s">
        <v>29</v>
      </c>
      <c r="J40" s="8">
        <v>1174139.99</v>
      </c>
      <c r="K40" s="9">
        <v>830003.99</v>
      </c>
      <c r="L40" s="9"/>
      <c r="M40" s="9"/>
      <c r="N40" s="10"/>
      <c r="O40" s="10">
        <v>1.903</v>
      </c>
      <c r="P40" s="10"/>
      <c r="Q40" s="10" t="s">
        <v>30</v>
      </c>
      <c r="R40" s="11">
        <v>40488</v>
      </c>
      <c r="S40" s="11">
        <v>40488</v>
      </c>
      <c r="T40" s="11">
        <v>80976</v>
      </c>
      <c r="U40" s="11">
        <v>80976</v>
      </c>
      <c r="V40" s="11">
        <v>80976</v>
      </c>
      <c r="W40" s="11">
        <v>80976</v>
      </c>
      <c r="X40" s="11">
        <v>80976</v>
      </c>
      <c r="Y40" s="11">
        <v>80976</v>
      </c>
      <c r="Z40" s="11">
        <v>80976</v>
      </c>
      <c r="AA40" s="11">
        <v>80976</v>
      </c>
      <c r="AB40" s="11">
        <v>80976</v>
      </c>
      <c r="AC40" s="11">
        <v>80976</v>
      </c>
      <c r="AD40" s="11">
        <v>60731.990000000005</v>
      </c>
      <c r="AE40" s="11">
        <v>0</v>
      </c>
      <c r="AF40" s="11">
        <v>0</v>
      </c>
      <c r="AG40" s="11">
        <v>0</v>
      </c>
      <c r="AH40" s="11">
        <v>0</v>
      </c>
      <c r="AI40" s="11">
        <v>0</v>
      </c>
      <c r="AJ40" s="11">
        <v>0</v>
      </c>
      <c r="AK40" s="11">
        <v>0</v>
      </c>
      <c r="AL40" s="11">
        <v>0</v>
      </c>
      <c r="AM40" s="11">
        <v>0</v>
      </c>
      <c r="AN40" s="11">
        <v>0</v>
      </c>
      <c r="AO40" s="11">
        <v>0</v>
      </c>
      <c r="AP40" s="11">
        <v>0</v>
      </c>
      <c r="AQ40" s="11">
        <v>0</v>
      </c>
      <c r="AR40" s="11">
        <v>0</v>
      </c>
      <c r="AS40" s="11">
        <v>0</v>
      </c>
      <c r="AT40" s="11">
        <v>0</v>
      </c>
      <c r="AU40" s="11">
        <v>0</v>
      </c>
      <c r="AV40" s="11">
        <v>0</v>
      </c>
      <c r="AW40" s="11"/>
      <c r="AX40" s="11"/>
      <c r="AY40" s="13">
        <v>789515.99</v>
      </c>
      <c r="AZ40" s="82">
        <v>0</v>
      </c>
      <c r="BA40" s="12">
        <v>222683.99</v>
      </c>
      <c r="BB40" s="13">
        <v>789515.99</v>
      </c>
      <c r="BE40" s="44"/>
    </row>
    <row r="41" spans="2:57" hidden="1" outlineLevel="1" x14ac:dyDescent="0.25">
      <c r="B41" s="45" t="s">
        <v>23</v>
      </c>
      <c r="C41" s="46"/>
      <c r="D41" s="47"/>
      <c r="E41" s="14"/>
      <c r="F41" s="14"/>
      <c r="G41" s="14"/>
      <c r="H41" s="14"/>
      <c r="I41" s="14"/>
      <c r="J41" s="15"/>
      <c r="K41" s="15"/>
      <c r="L41" s="15" t="s">
        <v>137</v>
      </c>
      <c r="M41" s="15"/>
      <c r="N41" s="16">
        <v>4.1500000000000004</v>
      </c>
      <c r="O41" s="21">
        <v>4.1500000000000004</v>
      </c>
      <c r="P41" s="16">
        <v>0</v>
      </c>
      <c r="Q41" s="16" t="s">
        <v>33</v>
      </c>
      <c r="R41" s="17">
        <v>12525.74</v>
      </c>
      <c r="S41" s="17">
        <v>4977</v>
      </c>
      <c r="T41" s="17">
        <v>17502.739999999998</v>
      </c>
      <c r="U41" s="17">
        <v>32764.913585000002</v>
      </c>
      <c r="V41" s="17">
        <v>29404.409585000001</v>
      </c>
      <c r="W41" s="17">
        <v>26043.905585000004</v>
      </c>
      <c r="X41" s="17">
        <v>22683.401585000003</v>
      </c>
      <c r="Y41" s="17">
        <v>19322.897585000002</v>
      </c>
      <c r="Z41" s="17">
        <v>15962.393585000002</v>
      </c>
      <c r="AA41" s="17">
        <v>12601.889585000003</v>
      </c>
      <c r="AB41" s="17">
        <v>9241.385585</v>
      </c>
      <c r="AC41" s="17">
        <v>5880.8815850000001</v>
      </c>
      <c r="AD41" s="17">
        <v>2520.3775850000006</v>
      </c>
      <c r="AE41" s="17">
        <v>0</v>
      </c>
      <c r="AF41" s="17">
        <v>0</v>
      </c>
      <c r="AG41" s="17">
        <v>0</v>
      </c>
      <c r="AH41" s="17">
        <v>0</v>
      </c>
      <c r="AI41" s="17">
        <v>0</v>
      </c>
      <c r="AJ41" s="17">
        <v>0</v>
      </c>
      <c r="AK41" s="17">
        <v>0</v>
      </c>
      <c r="AL41" s="17">
        <v>0</v>
      </c>
      <c r="AM41" s="17">
        <v>0</v>
      </c>
      <c r="AN41" s="17">
        <v>0</v>
      </c>
      <c r="AO41" s="17">
        <v>0</v>
      </c>
      <c r="AP41" s="17">
        <v>0</v>
      </c>
      <c r="AQ41" s="17">
        <v>0</v>
      </c>
      <c r="AR41" s="17">
        <v>0</v>
      </c>
      <c r="AS41" s="17">
        <v>0</v>
      </c>
      <c r="AT41" s="17">
        <v>0</v>
      </c>
      <c r="AU41" s="17">
        <v>0</v>
      </c>
      <c r="AV41" s="17">
        <v>0</v>
      </c>
      <c r="AW41" s="17"/>
      <c r="AX41" s="17"/>
      <c r="AY41" s="19">
        <v>176426.45585000003</v>
      </c>
      <c r="AZ41" s="82">
        <v>0</v>
      </c>
      <c r="BA41" s="18">
        <v>17642.644755000001</v>
      </c>
      <c r="BB41" s="19">
        <v>176426.45585000003</v>
      </c>
      <c r="BD41" s="43"/>
    </row>
    <row r="42" spans="2:57" s="43" customFormat="1" hidden="1" outlineLevel="1" collapsed="1" x14ac:dyDescent="0.25">
      <c r="B42" s="38" t="s">
        <v>23</v>
      </c>
      <c r="C42" s="39">
        <v>19</v>
      </c>
      <c r="D42" s="40" t="s">
        <v>138</v>
      </c>
      <c r="E42" s="7" t="s">
        <v>139</v>
      </c>
      <c r="F42" s="7" t="s">
        <v>140</v>
      </c>
      <c r="G42" s="7" t="s">
        <v>141</v>
      </c>
      <c r="H42" s="7" t="s">
        <v>142</v>
      </c>
      <c r="I42" s="7" t="s">
        <v>29</v>
      </c>
      <c r="J42" s="8">
        <v>388132.51</v>
      </c>
      <c r="K42" s="9">
        <v>204582</v>
      </c>
      <c r="L42" s="9"/>
      <c r="M42" s="9"/>
      <c r="N42" s="10"/>
      <c r="O42" s="10">
        <v>2.621</v>
      </c>
      <c r="P42" s="10"/>
      <c r="Q42" s="10" t="s">
        <v>30</v>
      </c>
      <c r="R42" s="11">
        <v>19484</v>
      </c>
      <c r="S42" s="11">
        <v>19484</v>
      </c>
      <c r="T42" s="11">
        <v>38968</v>
      </c>
      <c r="U42" s="11">
        <v>38968</v>
      </c>
      <c r="V42" s="11">
        <v>38968</v>
      </c>
      <c r="W42" s="11">
        <v>38968</v>
      </c>
      <c r="X42" s="11">
        <v>38968</v>
      </c>
      <c r="Y42" s="11">
        <v>29226</v>
      </c>
      <c r="Z42" s="11">
        <v>0</v>
      </c>
      <c r="AA42" s="11">
        <v>0</v>
      </c>
      <c r="AB42" s="11">
        <v>0</v>
      </c>
      <c r="AC42" s="11">
        <v>0</v>
      </c>
      <c r="AD42" s="11">
        <v>0</v>
      </c>
      <c r="AE42" s="11">
        <v>0</v>
      </c>
      <c r="AF42" s="11">
        <v>0</v>
      </c>
      <c r="AG42" s="11">
        <v>0</v>
      </c>
      <c r="AH42" s="11">
        <v>0</v>
      </c>
      <c r="AI42" s="11">
        <v>0</v>
      </c>
      <c r="AJ42" s="11">
        <v>0</v>
      </c>
      <c r="AK42" s="11">
        <v>0</v>
      </c>
      <c r="AL42" s="11">
        <v>0</v>
      </c>
      <c r="AM42" s="11">
        <v>0</v>
      </c>
      <c r="AN42" s="11">
        <v>0</v>
      </c>
      <c r="AO42" s="11">
        <v>0</v>
      </c>
      <c r="AP42" s="11">
        <v>0</v>
      </c>
      <c r="AQ42" s="11">
        <v>0</v>
      </c>
      <c r="AR42" s="11">
        <v>0</v>
      </c>
      <c r="AS42" s="11">
        <v>0</v>
      </c>
      <c r="AT42" s="11">
        <v>0</v>
      </c>
      <c r="AU42" s="11">
        <v>0</v>
      </c>
      <c r="AV42" s="11">
        <v>0</v>
      </c>
      <c r="AW42" s="11"/>
      <c r="AX42" s="11"/>
      <c r="AY42" s="13">
        <v>185098</v>
      </c>
      <c r="AZ42" s="82">
        <v>0</v>
      </c>
      <c r="BA42" s="12">
        <v>0</v>
      </c>
      <c r="BB42" s="13">
        <v>185098</v>
      </c>
      <c r="BE42" s="44"/>
    </row>
    <row r="43" spans="2:57" hidden="1" outlineLevel="1" x14ac:dyDescent="0.25">
      <c r="B43" s="45" t="s">
        <v>23</v>
      </c>
      <c r="C43" s="46"/>
      <c r="D43" s="47"/>
      <c r="E43" s="14"/>
      <c r="F43" s="14"/>
      <c r="G43" s="14"/>
      <c r="H43" s="14"/>
      <c r="I43" s="14"/>
      <c r="J43" s="15"/>
      <c r="K43" s="15"/>
      <c r="L43" s="15" t="s">
        <v>143</v>
      </c>
      <c r="M43" s="15"/>
      <c r="N43" s="16">
        <v>4.1500000000000004</v>
      </c>
      <c r="O43" s="21">
        <v>4.1500000000000004</v>
      </c>
      <c r="P43" s="16">
        <v>0</v>
      </c>
      <c r="Q43" s="16" t="s">
        <v>33</v>
      </c>
      <c r="R43" s="17">
        <v>4395.3599999999997</v>
      </c>
      <c r="S43" s="17">
        <v>1362.51</v>
      </c>
      <c r="T43" s="17">
        <v>5757.87</v>
      </c>
      <c r="U43" s="17">
        <v>7681.5670000000009</v>
      </c>
      <c r="V43" s="17">
        <v>6064.3950000000004</v>
      </c>
      <c r="W43" s="17">
        <v>4447.2230000000009</v>
      </c>
      <c r="X43" s="17">
        <v>2830.0510000000004</v>
      </c>
      <c r="Y43" s="17">
        <v>1212.8790000000001</v>
      </c>
      <c r="Z43" s="17">
        <v>0</v>
      </c>
      <c r="AA43" s="17">
        <v>0</v>
      </c>
      <c r="AB43" s="17">
        <v>0</v>
      </c>
      <c r="AC43" s="17">
        <v>0</v>
      </c>
      <c r="AD43" s="17">
        <v>0</v>
      </c>
      <c r="AE43" s="17">
        <v>0</v>
      </c>
      <c r="AF43" s="17">
        <v>0</v>
      </c>
      <c r="AG43" s="17">
        <v>0</v>
      </c>
      <c r="AH43" s="17">
        <v>0</v>
      </c>
      <c r="AI43" s="17">
        <v>0</v>
      </c>
      <c r="AJ43" s="17">
        <v>0</v>
      </c>
      <c r="AK43" s="17">
        <v>0</v>
      </c>
      <c r="AL43" s="17">
        <v>0</v>
      </c>
      <c r="AM43" s="17">
        <v>0</v>
      </c>
      <c r="AN43" s="17">
        <v>0</v>
      </c>
      <c r="AO43" s="17">
        <v>0</v>
      </c>
      <c r="AP43" s="17">
        <v>0</v>
      </c>
      <c r="AQ43" s="17">
        <v>0</v>
      </c>
      <c r="AR43" s="17">
        <v>0</v>
      </c>
      <c r="AS43" s="17">
        <v>0</v>
      </c>
      <c r="AT43" s="17">
        <v>0</v>
      </c>
      <c r="AU43" s="17">
        <v>0</v>
      </c>
      <c r="AV43" s="17">
        <v>0</v>
      </c>
      <c r="AW43" s="17"/>
      <c r="AX43" s="17"/>
      <c r="AY43" s="19">
        <v>22236.115000000002</v>
      </c>
      <c r="AZ43" s="82">
        <v>0</v>
      </c>
      <c r="BA43" s="18">
        <v>0</v>
      </c>
      <c r="BB43" s="19">
        <v>22236.115000000002</v>
      </c>
      <c r="BD43" s="43"/>
    </row>
    <row r="44" spans="2:57" s="43" customFormat="1" hidden="1" outlineLevel="1" x14ac:dyDescent="0.25">
      <c r="B44" s="38" t="s">
        <v>74</v>
      </c>
      <c r="C44" s="39">
        <v>20</v>
      </c>
      <c r="D44" s="40" t="s">
        <v>82</v>
      </c>
      <c r="E44" s="7" t="s">
        <v>144</v>
      </c>
      <c r="F44" s="7" t="s">
        <v>145</v>
      </c>
      <c r="G44" s="7" t="s">
        <v>146</v>
      </c>
      <c r="H44" s="7" t="s">
        <v>147</v>
      </c>
      <c r="I44" s="7" t="s">
        <v>29</v>
      </c>
      <c r="J44" s="8">
        <v>160577.24</v>
      </c>
      <c r="K44" s="9">
        <v>127658</v>
      </c>
      <c r="L44" s="9"/>
      <c r="M44" s="9"/>
      <c r="N44" s="10"/>
      <c r="O44" s="10">
        <v>2.964</v>
      </c>
      <c r="P44" s="10"/>
      <c r="Q44" s="10" t="s">
        <v>30</v>
      </c>
      <c r="R44" s="11">
        <v>4118</v>
      </c>
      <c r="S44" s="11">
        <v>4118</v>
      </c>
      <c r="T44" s="11">
        <v>8236</v>
      </c>
      <c r="U44" s="11">
        <v>8236</v>
      </c>
      <c r="V44" s="11">
        <v>8236</v>
      </c>
      <c r="W44" s="11">
        <v>8236</v>
      </c>
      <c r="X44" s="11">
        <v>8236</v>
      </c>
      <c r="Y44" s="11">
        <v>8236</v>
      </c>
      <c r="Z44" s="11">
        <v>8236</v>
      </c>
      <c r="AA44" s="11">
        <v>8236</v>
      </c>
      <c r="AB44" s="11">
        <v>8236</v>
      </c>
      <c r="AC44" s="11">
        <v>8236</v>
      </c>
      <c r="AD44" s="11">
        <v>8236</v>
      </c>
      <c r="AE44" s="11">
        <v>8236</v>
      </c>
      <c r="AF44" s="11">
        <v>8236</v>
      </c>
      <c r="AG44" s="11">
        <v>8236</v>
      </c>
      <c r="AH44" s="11">
        <v>8236</v>
      </c>
      <c r="AI44" s="11">
        <v>8236</v>
      </c>
      <c r="AJ44" s="11">
        <v>0</v>
      </c>
      <c r="AK44" s="11">
        <v>0</v>
      </c>
      <c r="AL44" s="11">
        <v>0</v>
      </c>
      <c r="AM44" s="11">
        <v>0</v>
      </c>
      <c r="AN44" s="11">
        <v>0</v>
      </c>
      <c r="AO44" s="11">
        <v>0</v>
      </c>
      <c r="AP44" s="11">
        <v>0</v>
      </c>
      <c r="AQ44" s="11">
        <v>0</v>
      </c>
      <c r="AR44" s="11">
        <v>0</v>
      </c>
      <c r="AS44" s="11">
        <v>0</v>
      </c>
      <c r="AT44" s="11">
        <v>0</v>
      </c>
      <c r="AU44" s="11">
        <v>0</v>
      </c>
      <c r="AV44" s="11">
        <v>0</v>
      </c>
      <c r="AW44" s="11"/>
      <c r="AX44" s="11"/>
      <c r="AY44" s="13">
        <v>123540</v>
      </c>
      <c r="AZ44" s="82">
        <v>0</v>
      </c>
      <c r="BA44" s="12">
        <v>65888</v>
      </c>
      <c r="BB44" s="13">
        <v>123540</v>
      </c>
      <c r="BE44" s="44"/>
    </row>
    <row r="45" spans="2:57" hidden="1" outlineLevel="1" x14ac:dyDescent="0.25">
      <c r="B45" s="45" t="s">
        <v>74</v>
      </c>
      <c r="C45" s="46"/>
      <c r="D45" s="47" t="s">
        <v>148</v>
      </c>
      <c r="E45" s="14"/>
      <c r="F45" s="14"/>
      <c r="G45" s="14"/>
      <c r="H45" s="14"/>
      <c r="I45" s="14"/>
      <c r="J45" s="15"/>
      <c r="K45" s="15"/>
      <c r="L45" s="15" t="s">
        <v>149</v>
      </c>
      <c r="M45" s="15"/>
      <c r="N45" s="16">
        <v>4.1500000000000004</v>
      </c>
      <c r="O45" s="21">
        <v>4.1500000000000004</v>
      </c>
      <c r="P45" s="16">
        <v>0</v>
      </c>
      <c r="Q45" s="16" t="s">
        <v>33</v>
      </c>
      <c r="R45" s="17">
        <v>2537.44</v>
      </c>
      <c r="S45" s="17">
        <v>965.1</v>
      </c>
      <c r="T45" s="17">
        <v>3502.54</v>
      </c>
      <c r="U45" s="17">
        <v>5126.9100000000008</v>
      </c>
      <c r="V45" s="17">
        <v>4785.116</v>
      </c>
      <c r="W45" s="17">
        <v>4443.3220000000001</v>
      </c>
      <c r="X45" s="17">
        <v>4101.5280000000002</v>
      </c>
      <c r="Y45" s="17">
        <v>3759.7340000000004</v>
      </c>
      <c r="Z45" s="17">
        <v>3417.9400000000005</v>
      </c>
      <c r="AA45" s="17">
        <v>3076.1460000000002</v>
      </c>
      <c r="AB45" s="17">
        <v>2734.3520000000003</v>
      </c>
      <c r="AC45" s="17">
        <v>2392.558</v>
      </c>
      <c r="AD45" s="17">
        <v>2050.7640000000001</v>
      </c>
      <c r="AE45" s="17">
        <v>1708.9700000000003</v>
      </c>
      <c r="AF45" s="17">
        <v>1367.1760000000002</v>
      </c>
      <c r="AG45" s="17">
        <v>1025.3820000000001</v>
      </c>
      <c r="AH45" s="17">
        <v>683.58800000000008</v>
      </c>
      <c r="AI45" s="17">
        <v>341.79400000000004</v>
      </c>
      <c r="AJ45" s="17">
        <v>0</v>
      </c>
      <c r="AK45" s="17">
        <v>0</v>
      </c>
      <c r="AL45" s="17">
        <v>0</v>
      </c>
      <c r="AM45" s="17">
        <v>0</v>
      </c>
      <c r="AN45" s="17">
        <v>0</v>
      </c>
      <c r="AO45" s="17">
        <v>0</v>
      </c>
      <c r="AP45" s="17">
        <v>0</v>
      </c>
      <c r="AQ45" s="17">
        <v>0</v>
      </c>
      <c r="AR45" s="17">
        <v>0</v>
      </c>
      <c r="AS45" s="17">
        <v>0</v>
      </c>
      <c r="AT45" s="17">
        <v>0</v>
      </c>
      <c r="AU45" s="17">
        <v>0</v>
      </c>
      <c r="AV45" s="17">
        <v>0</v>
      </c>
      <c r="AW45" s="17"/>
      <c r="AX45" s="17"/>
      <c r="AY45" s="19">
        <v>41015.280000000006</v>
      </c>
      <c r="AZ45" s="82">
        <v>0</v>
      </c>
      <c r="BA45" s="18">
        <v>12304.583999999999</v>
      </c>
      <c r="BB45" s="19">
        <v>41015.279999999999</v>
      </c>
      <c r="BD45" s="43"/>
    </row>
    <row r="46" spans="2:57" s="43" customFormat="1" hidden="1" outlineLevel="1" x14ac:dyDescent="0.25">
      <c r="B46" s="38" t="s">
        <v>74</v>
      </c>
      <c r="C46" s="39">
        <v>21</v>
      </c>
      <c r="D46" s="40" t="s">
        <v>150</v>
      </c>
      <c r="E46" s="7" t="s">
        <v>151</v>
      </c>
      <c r="F46" s="7" t="s">
        <v>152</v>
      </c>
      <c r="G46" s="7" t="s">
        <v>153</v>
      </c>
      <c r="H46" s="7" t="s">
        <v>154</v>
      </c>
      <c r="I46" s="7" t="s">
        <v>29</v>
      </c>
      <c r="J46" s="8">
        <v>131127</v>
      </c>
      <c r="K46" s="9">
        <v>104284</v>
      </c>
      <c r="L46" s="9"/>
      <c r="M46" s="9"/>
      <c r="N46" s="10"/>
      <c r="O46" s="10">
        <v>2.9870000000000001</v>
      </c>
      <c r="P46" s="10"/>
      <c r="Q46" s="10" t="s">
        <v>30</v>
      </c>
      <c r="R46" s="11">
        <v>3364</v>
      </c>
      <c r="S46" s="11">
        <v>3364</v>
      </c>
      <c r="T46" s="11">
        <v>6728</v>
      </c>
      <c r="U46" s="11">
        <v>6728</v>
      </c>
      <c r="V46" s="11">
        <v>6728</v>
      </c>
      <c r="W46" s="11">
        <v>6728</v>
      </c>
      <c r="X46" s="11">
        <v>6728</v>
      </c>
      <c r="Y46" s="11">
        <v>6728</v>
      </c>
      <c r="Z46" s="11">
        <v>6728</v>
      </c>
      <c r="AA46" s="11">
        <v>6728</v>
      </c>
      <c r="AB46" s="11">
        <v>6728</v>
      </c>
      <c r="AC46" s="11">
        <v>6728</v>
      </c>
      <c r="AD46" s="11">
        <v>6728</v>
      </c>
      <c r="AE46" s="11">
        <v>6728</v>
      </c>
      <c r="AF46" s="11">
        <v>6728</v>
      </c>
      <c r="AG46" s="11">
        <v>6728</v>
      </c>
      <c r="AH46" s="11">
        <v>6728</v>
      </c>
      <c r="AI46" s="11">
        <v>6728</v>
      </c>
      <c r="AJ46" s="11">
        <v>0</v>
      </c>
      <c r="AK46" s="11">
        <v>0</v>
      </c>
      <c r="AL46" s="11">
        <v>0</v>
      </c>
      <c r="AM46" s="11">
        <v>0</v>
      </c>
      <c r="AN46" s="11">
        <v>0</v>
      </c>
      <c r="AO46" s="11">
        <v>0</v>
      </c>
      <c r="AP46" s="11">
        <v>0</v>
      </c>
      <c r="AQ46" s="11">
        <v>0</v>
      </c>
      <c r="AR46" s="11">
        <v>0</v>
      </c>
      <c r="AS46" s="11">
        <v>0</v>
      </c>
      <c r="AT46" s="11">
        <v>0</v>
      </c>
      <c r="AU46" s="11">
        <v>0</v>
      </c>
      <c r="AV46" s="11">
        <v>0</v>
      </c>
      <c r="AW46" s="11"/>
      <c r="AX46" s="11"/>
      <c r="AY46" s="13">
        <v>100920</v>
      </c>
      <c r="AZ46" s="82">
        <v>0</v>
      </c>
      <c r="BA46" s="12">
        <v>53824</v>
      </c>
      <c r="BB46" s="13">
        <v>100920</v>
      </c>
      <c r="BE46" s="44"/>
    </row>
    <row r="47" spans="2:57" hidden="1" outlineLevel="1" x14ac:dyDescent="0.25">
      <c r="B47" s="45" t="s">
        <v>74</v>
      </c>
      <c r="C47" s="46"/>
      <c r="D47" s="47" t="s">
        <v>155</v>
      </c>
      <c r="E47" s="14"/>
      <c r="F47" s="14"/>
      <c r="G47" s="14"/>
      <c r="H47" s="14"/>
      <c r="I47" s="14"/>
      <c r="J47" s="15"/>
      <c r="K47" s="15"/>
      <c r="L47" s="15" t="s">
        <v>156</v>
      </c>
      <c r="M47" s="15"/>
      <c r="N47" s="16">
        <v>4.1500000000000004</v>
      </c>
      <c r="O47" s="21">
        <v>4.1500000000000004</v>
      </c>
      <c r="P47" s="16">
        <v>0</v>
      </c>
      <c r="Q47" s="16" t="s">
        <v>33</v>
      </c>
      <c r="R47" s="17">
        <v>2034.5</v>
      </c>
      <c r="S47" s="17">
        <v>794.51</v>
      </c>
      <c r="T47" s="17">
        <v>2829.01</v>
      </c>
      <c r="U47" s="17">
        <v>4188.18</v>
      </c>
      <c r="V47" s="17">
        <v>3908.9680000000003</v>
      </c>
      <c r="W47" s="17">
        <v>3629.7560000000003</v>
      </c>
      <c r="X47" s="17">
        <v>3350.5440000000003</v>
      </c>
      <c r="Y47" s="17">
        <v>3071.3320000000003</v>
      </c>
      <c r="Z47" s="17">
        <v>2792.12</v>
      </c>
      <c r="AA47" s="17">
        <v>2512.9080000000004</v>
      </c>
      <c r="AB47" s="17">
        <v>2233.6959999999999</v>
      </c>
      <c r="AC47" s="17">
        <v>1954.4840000000002</v>
      </c>
      <c r="AD47" s="17">
        <v>1675.2720000000002</v>
      </c>
      <c r="AE47" s="17">
        <v>1396.06</v>
      </c>
      <c r="AF47" s="17">
        <v>1116.848</v>
      </c>
      <c r="AG47" s="17">
        <v>837.63600000000008</v>
      </c>
      <c r="AH47" s="17">
        <v>558.42399999999998</v>
      </c>
      <c r="AI47" s="17">
        <v>279.21199999999999</v>
      </c>
      <c r="AJ47" s="17">
        <v>0</v>
      </c>
      <c r="AK47" s="17">
        <v>0</v>
      </c>
      <c r="AL47" s="17">
        <v>0</v>
      </c>
      <c r="AM47" s="17">
        <v>0</v>
      </c>
      <c r="AN47" s="17">
        <v>0</v>
      </c>
      <c r="AO47" s="17">
        <v>0</v>
      </c>
      <c r="AP47" s="17">
        <v>0</v>
      </c>
      <c r="AQ47" s="17">
        <v>0</v>
      </c>
      <c r="AR47" s="17">
        <v>0</v>
      </c>
      <c r="AS47" s="17">
        <v>0</v>
      </c>
      <c r="AT47" s="17">
        <v>0</v>
      </c>
      <c r="AU47" s="17">
        <v>0</v>
      </c>
      <c r="AV47" s="17">
        <v>0</v>
      </c>
      <c r="AW47" s="17"/>
      <c r="AX47" s="17"/>
      <c r="AY47" s="19">
        <v>33505.440000000002</v>
      </c>
      <c r="AZ47" s="82">
        <v>0</v>
      </c>
      <c r="BA47" s="18">
        <v>10051.632000000001</v>
      </c>
      <c r="BB47" s="19">
        <v>33505.440000000002</v>
      </c>
      <c r="BD47" s="43"/>
    </row>
    <row r="48" spans="2:57" s="43" customFormat="1" hidden="1" outlineLevel="1" x14ac:dyDescent="0.25">
      <c r="B48" s="38" t="s">
        <v>74</v>
      </c>
      <c r="C48" s="39">
        <v>22</v>
      </c>
      <c r="D48" s="40" t="s">
        <v>157</v>
      </c>
      <c r="E48" s="7" t="s">
        <v>158</v>
      </c>
      <c r="F48" s="7" t="s">
        <v>159</v>
      </c>
      <c r="G48" s="7" t="s">
        <v>160</v>
      </c>
      <c r="H48" s="7" t="s">
        <v>161</v>
      </c>
      <c r="I48" s="7" t="s">
        <v>29</v>
      </c>
      <c r="J48" s="8">
        <v>5678344.2000000002</v>
      </c>
      <c r="K48" s="9">
        <v>3249664</v>
      </c>
      <c r="L48" s="9"/>
      <c r="M48" s="9"/>
      <c r="N48" s="10"/>
      <c r="O48" s="10"/>
      <c r="P48" s="10"/>
      <c r="Q48" s="10" t="s">
        <v>30</v>
      </c>
      <c r="R48" s="11">
        <v>217480</v>
      </c>
      <c r="S48" s="11">
        <v>217480</v>
      </c>
      <c r="T48" s="11">
        <v>434960</v>
      </c>
      <c r="U48" s="11">
        <v>395316</v>
      </c>
      <c r="V48" s="11">
        <v>363420</v>
      </c>
      <c r="W48" s="11">
        <v>344336</v>
      </c>
      <c r="X48" s="11">
        <v>314856</v>
      </c>
      <c r="Y48" s="11">
        <v>305080</v>
      </c>
      <c r="Z48" s="11">
        <v>279984</v>
      </c>
      <c r="AA48" s="11">
        <v>252100</v>
      </c>
      <c r="AB48" s="11">
        <v>243352</v>
      </c>
      <c r="AC48" s="11">
        <v>243352</v>
      </c>
      <c r="AD48" s="11">
        <v>243352</v>
      </c>
      <c r="AE48" s="11">
        <v>33356</v>
      </c>
      <c r="AF48" s="11">
        <v>13680</v>
      </c>
      <c r="AG48" s="11">
        <v>0</v>
      </c>
      <c r="AH48" s="11">
        <v>0</v>
      </c>
      <c r="AI48" s="11">
        <v>0</v>
      </c>
      <c r="AJ48" s="11">
        <v>0</v>
      </c>
      <c r="AK48" s="11">
        <v>0</v>
      </c>
      <c r="AL48" s="11">
        <v>0</v>
      </c>
      <c r="AM48" s="11">
        <v>0</v>
      </c>
      <c r="AN48" s="11">
        <v>0</v>
      </c>
      <c r="AO48" s="11">
        <v>0</v>
      </c>
      <c r="AP48" s="11">
        <v>0</v>
      </c>
      <c r="AQ48" s="11">
        <v>0</v>
      </c>
      <c r="AR48" s="11">
        <v>0</v>
      </c>
      <c r="AS48" s="11">
        <v>0</v>
      </c>
      <c r="AT48" s="11">
        <v>0</v>
      </c>
      <c r="AU48" s="11">
        <v>0</v>
      </c>
      <c r="AV48" s="11">
        <v>0</v>
      </c>
      <c r="AW48" s="11"/>
      <c r="AX48" s="11"/>
      <c r="AY48" s="13">
        <v>3032184</v>
      </c>
      <c r="AZ48" s="82">
        <v>0</v>
      </c>
      <c r="BA48" s="12">
        <v>777092</v>
      </c>
      <c r="BB48" s="13">
        <v>3032184</v>
      </c>
      <c r="BE48" s="44"/>
    </row>
    <row r="49" spans="1:57" hidden="1" outlineLevel="1" x14ac:dyDescent="0.25">
      <c r="B49" s="45" t="s">
        <v>74</v>
      </c>
      <c r="C49" s="46"/>
      <c r="D49" s="47" t="s">
        <v>162</v>
      </c>
      <c r="E49" s="14"/>
      <c r="F49" s="14"/>
      <c r="G49" s="14"/>
      <c r="H49" s="14"/>
      <c r="I49" s="14"/>
      <c r="J49" s="15"/>
      <c r="K49" s="15"/>
      <c r="L49" s="15" t="s">
        <v>163</v>
      </c>
      <c r="M49" s="15"/>
      <c r="N49" s="16">
        <v>3.875</v>
      </c>
      <c r="O49" s="16">
        <v>3.875</v>
      </c>
      <c r="P49" s="16">
        <v>0</v>
      </c>
      <c r="Q49" s="16" t="s">
        <v>33</v>
      </c>
      <c r="R49" s="17">
        <v>42392.02</v>
      </c>
      <c r="S49" s="17">
        <v>29984.080000000002</v>
      </c>
      <c r="T49" s="17">
        <v>72376.100000000006</v>
      </c>
      <c r="U49" s="17">
        <v>117497.13</v>
      </c>
      <c r="V49" s="17">
        <v>102178.63499999999</v>
      </c>
      <c r="W49" s="17">
        <v>88096.11</v>
      </c>
      <c r="X49" s="17">
        <v>74753.09</v>
      </c>
      <c r="Y49" s="17">
        <v>62552.42</v>
      </c>
      <c r="Z49" s="17">
        <v>50730.57</v>
      </c>
      <c r="AA49" s="17">
        <v>39881.19</v>
      </c>
      <c r="AB49" s="17">
        <v>30112.314999999999</v>
      </c>
      <c r="AC49" s="17">
        <v>20682.424999999999</v>
      </c>
      <c r="AD49" s="17">
        <v>11252.535</v>
      </c>
      <c r="AE49" s="17">
        <v>1822.645</v>
      </c>
      <c r="AF49" s="17">
        <v>530.1</v>
      </c>
      <c r="AG49" s="17">
        <v>0</v>
      </c>
      <c r="AH49" s="17">
        <v>0</v>
      </c>
      <c r="AI49" s="17">
        <v>0</v>
      </c>
      <c r="AJ49" s="17">
        <v>0</v>
      </c>
      <c r="AK49" s="17">
        <v>0</v>
      </c>
      <c r="AL49" s="17">
        <v>0</v>
      </c>
      <c r="AM49" s="17">
        <v>0</v>
      </c>
      <c r="AN49" s="17">
        <v>0</v>
      </c>
      <c r="AO49" s="17">
        <v>0</v>
      </c>
      <c r="AP49" s="17">
        <v>0</v>
      </c>
      <c r="AQ49" s="17">
        <v>0</v>
      </c>
      <c r="AR49" s="17">
        <v>0</v>
      </c>
      <c r="AS49" s="17">
        <v>0</v>
      </c>
      <c r="AT49" s="17">
        <v>0</v>
      </c>
      <c r="AU49" s="17">
        <v>0</v>
      </c>
      <c r="AV49" s="17">
        <v>0</v>
      </c>
      <c r="AW49" s="17"/>
      <c r="AX49" s="17"/>
      <c r="AY49" s="19">
        <v>600089.16500000004</v>
      </c>
      <c r="AZ49" s="82">
        <v>0</v>
      </c>
      <c r="BA49" s="18">
        <v>64400.01999999999</v>
      </c>
      <c r="BB49" s="19">
        <v>600089.16500000004</v>
      </c>
      <c r="BD49" s="43"/>
    </row>
    <row r="50" spans="1:57" s="43" customFormat="1" hidden="1" outlineLevel="1" x14ac:dyDescent="0.25">
      <c r="B50" s="38" t="s">
        <v>74</v>
      </c>
      <c r="C50" s="39">
        <v>23</v>
      </c>
      <c r="D50" s="40" t="s">
        <v>164</v>
      </c>
      <c r="E50" s="7" t="s">
        <v>165</v>
      </c>
      <c r="F50" s="7" t="s">
        <v>166</v>
      </c>
      <c r="G50" s="7" t="s">
        <v>167</v>
      </c>
      <c r="H50" s="7" t="s">
        <v>168</v>
      </c>
      <c r="I50" s="7" t="s">
        <v>29</v>
      </c>
      <c r="J50" s="8">
        <v>117517</v>
      </c>
      <c r="K50" s="9">
        <v>11109</v>
      </c>
      <c r="L50" s="9"/>
      <c r="M50" s="9"/>
      <c r="N50" s="10"/>
      <c r="O50" s="10"/>
      <c r="P50" s="10"/>
      <c r="Q50" s="10" t="s">
        <v>30</v>
      </c>
      <c r="R50" s="11">
        <v>966</v>
      </c>
      <c r="S50" s="11">
        <v>966</v>
      </c>
      <c r="T50" s="11">
        <v>1932</v>
      </c>
      <c r="U50" s="11">
        <v>1932</v>
      </c>
      <c r="V50" s="11">
        <v>1932</v>
      </c>
      <c r="W50" s="11">
        <v>1932</v>
      </c>
      <c r="X50" s="11">
        <v>1932</v>
      </c>
      <c r="Y50" s="11">
        <v>1932</v>
      </c>
      <c r="Z50" s="11">
        <v>483</v>
      </c>
      <c r="AA50" s="11">
        <v>0</v>
      </c>
      <c r="AB50" s="11">
        <v>0</v>
      </c>
      <c r="AC50" s="11">
        <v>0</v>
      </c>
      <c r="AD50" s="11">
        <v>0</v>
      </c>
      <c r="AE50" s="11">
        <v>0</v>
      </c>
      <c r="AF50" s="11">
        <v>0</v>
      </c>
      <c r="AG50" s="11">
        <v>0</v>
      </c>
      <c r="AH50" s="11">
        <v>0</v>
      </c>
      <c r="AI50" s="11">
        <v>0</v>
      </c>
      <c r="AJ50" s="11">
        <v>0</v>
      </c>
      <c r="AK50" s="11">
        <v>0</v>
      </c>
      <c r="AL50" s="11">
        <v>0</v>
      </c>
      <c r="AM50" s="11">
        <v>0</v>
      </c>
      <c r="AN50" s="11">
        <v>0</v>
      </c>
      <c r="AO50" s="11">
        <v>0</v>
      </c>
      <c r="AP50" s="11">
        <v>0</v>
      </c>
      <c r="AQ50" s="11">
        <v>0</v>
      </c>
      <c r="AR50" s="11">
        <v>0</v>
      </c>
      <c r="AS50" s="11">
        <v>0</v>
      </c>
      <c r="AT50" s="11">
        <v>0</v>
      </c>
      <c r="AU50" s="11">
        <v>0</v>
      </c>
      <c r="AV50" s="11">
        <v>0</v>
      </c>
      <c r="AW50" s="11"/>
      <c r="AX50" s="11"/>
      <c r="AY50" s="13">
        <v>10143</v>
      </c>
      <c r="AZ50" s="82">
        <v>0</v>
      </c>
      <c r="BA50" s="12">
        <v>0</v>
      </c>
      <c r="BB50" s="13">
        <v>10143</v>
      </c>
      <c r="BE50" s="44"/>
    </row>
    <row r="51" spans="1:57" hidden="1" outlineLevel="1" x14ac:dyDescent="0.25">
      <c r="B51" s="45" t="s">
        <v>74</v>
      </c>
      <c r="C51" s="46"/>
      <c r="D51" s="47" t="s">
        <v>169</v>
      </c>
      <c r="E51" s="14"/>
      <c r="F51" s="14"/>
      <c r="G51" s="14"/>
      <c r="H51" s="14"/>
      <c r="I51" s="14"/>
      <c r="J51" s="15"/>
      <c r="K51" s="15"/>
      <c r="L51" s="15" t="s">
        <v>170</v>
      </c>
      <c r="M51" s="15"/>
      <c r="N51" s="16">
        <v>4.0709999999999997</v>
      </c>
      <c r="O51" s="16">
        <v>4.0709999999999997</v>
      </c>
      <c r="P51" s="16">
        <v>0</v>
      </c>
      <c r="Q51" s="16" t="s">
        <v>33</v>
      </c>
      <c r="R51" s="17">
        <v>144.10000000000002</v>
      </c>
      <c r="S51" s="17">
        <v>107.92</v>
      </c>
      <c r="T51" s="17">
        <v>252.02000000000004</v>
      </c>
      <c r="U51" s="17">
        <v>412.92152999999996</v>
      </c>
      <c r="V51" s="17">
        <v>334.26981000000001</v>
      </c>
      <c r="W51" s="17">
        <v>255.61808999999997</v>
      </c>
      <c r="X51" s="17">
        <v>176.96636999999998</v>
      </c>
      <c r="Y51" s="17">
        <v>98.31465</v>
      </c>
      <c r="Z51" s="17">
        <v>19.662929999999999</v>
      </c>
      <c r="AA51" s="17">
        <v>0</v>
      </c>
      <c r="AB51" s="17">
        <v>0</v>
      </c>
      <c r="AC51" s="17">
        <v>0</v>
      </c>
      <c r="AD51" s="17">
        <v>0</v>
      </c>
      <c r="AE51" s="17">
        <v>0</v>
      </c>
      <c r="AF51" s="17">
        <v>0</v>
      </c>
      <c r="AG51" s="17">
        <v>0</v>
      </c>
      <c r="AH51" s="17">
        <v>0</v>
      </c>
      <c r="AI51" s="17">
        <v>0</v>
      </c>
      <c r="AJ51" s="17">
        <v>0</v>
      </c>
      <c r="AK51" s="17">
        <v>0</v>
      </c>
      <c r="AL51" s="17">
        <v>0</v>
      </c>
      <c r="AM51" s="17">
        <v>0</v>
      </c>
      <c r="AN51" s="17">
        <v>0</v>
      </c>
      <c r="AO51" s="17">
        <v>0</v>
      </c>
      <c r="AP51" s="17">
        <v>0</v>
      </c>
      <c r="AQ51" s="17">
        <v>0</v>
      </c>
      <c r="AR51" s="17">
        <v>0</v>
      </c>
      <c r="AS51" s="17">
        <v>0</v>
      </c>
      <c r="AT51" s="17">
        <v>0</v>
      </c>
      <c r="AU51" s="17">
        <v>0</v>
      </c>
      <c r="AV51" s="17">
        <v>0</v>
      </c>
      <c r="AW51" s="17"/>
      <c r="AX51" s="17"/>
      <c r="AY51" s="19">
        <v>1297.7533799999999</v>
      </c>
      <c r="AZ51" s="82">
        <v>0</v>
      </c>
      <c r="BA51" s="18">
        <v>0</v>
      </c>
      <c r="BB51" s="19">
        <v>1297.7533799999999</v>
      </c>
      <c r="BD51" s="43"/>
    </row>
    <row r="52" spans="1:57" s="43" customFormat="1" hidden="1" outlineLevel="1" x14ac:dyDescent="0.25">
      <c r="B52" s="38" t="s">
        <v>74</v>
      </c>
      <c r="C52" s="39">
        <v>24</v>
      </c>
      <c r="D52" s="40" t="s">
        <v>171</v>
      </c>
      <c r="E52" s="7" t="s">
        <v>172</v>
      </c>
      <c r="F52" s="7" t="s">
        <v>173</v>
      </c>
      <c r="G52" s="7" t="s">
        <v>174</v>
      </c>
      <c r="H52" s="7" t="s">
        <v>175</v>
      </c>
      <c r="I52" s="7" t="s">
        <v>29</v>
      </c>
      <c r="J52" s="8">
        <v>2227434</v>
      </c>
      <c r="K52" s="9">
        <v>1831440</v>
      </c>
      <c r="L52" s="9"/>
      <c r="M52" s="9"/>
      <c r="N52" s="10"/>
      <c r="O52" s="10"/>
      <c r="P52" s="10"/>
      <c r="Q52" s="10" t="s">
        <v>30</v>
      </c>
      <c r="R52" s="11">
        <v>35220</v>
      </c>
      <c r="S52" s="11">
        <v>35220</v>
      </c>
      <c r="T52" s="11">
        <v>70440</v>
      </c>
      <c r="U52" s="11">
        <v>70440</v>
      </c>
      <c r="V52" s="11">
        <v>70440</v>
      </c>
      <c r="W52" s="11">
        <v>70440</v>
      </c>
      <c r="X52" s="11">
        <v>70440</v>
      </c>
      <c r="Y52" s="11">
        <v>70440</v>
      </c>
      <c r="Z52" s="11">
        <v>70440</v>
      </c>
      <c r="AA52" s="11">
        <v>70440</v>
      </c>
      <c r="AB52" s="11">
        <v>70440</v>
      </c>
      <c r="AC52" s="11">
        <v>70440</v>
      </c>
      <c r="AD52" s="11">
        <v>70440</v>
      </c>
      <c r="AE52" s="11">
        <v>70440</v>
      </c>
      <c r="AF52" s="11">
        <v>70440</v>
      </c>
      <c r="AG52" s="11">
        <v>70440</v>
      </c>
      <c r="AH52" s="11">
        <v>70440</v>
      </c>
      <c r="AI52" s="11">
        <v>70440</v>
      </c>
      <c r="AJ52" s="11">
        <v>70440</v>
      </c>
      <c r="AK52" s="11">
        <v>70440</v>
      </c>
      <c r="AL52" s="11">
        <v>70440</v>
      </c>
      <c r="AM52" s="11">
        <v>70440</v>
      </c>
      <c r="AN52" s="11">
        <v>70440</v>
      </c>
      <c r="AO52" s="11">
        <v>70440</v>
      </c>
      <c r="AP52" s="11">
        <v>70440</v>
      </c>
      <c r="AQ52" s="11">
        <v>70440</v>
      </c>
      <c r="AR52" s="11">
        <v>70440</v>
      </c>
      <c r="AS52" s="11">
        <v>70440</v>
      </c>
      <c r="AT52" s="11">
        <v>35220</v>
      </c>
      <c r="AU52" s="11">
        <v>0</v>
      </c>
      <c r="AV52" s="11">
        <v>0</v>
      </c>
      <c r="AW52" s="11"/>
      <c r="AX52" s="11"/>
      <c r="AY52" s="13">
        <v>1796220</v>
      </c>
      <c r="AZ52" s="82">
        <v>0</v>
      </c>
      <c r="BA52" s="12">
        <v>1303140</v>
      </c>
      <c r="BB52" s="13">
        <v>1796220</v>
      </c>
      <c r="BE52" s="44"/>
    </row>
    <row r="53" spans="1:57" hidden="1" outlineLevel="1" x14ac:dyDescent="0.25">
      <c r="B53" s="45" t="s">
        <v>74</v>
      </c>
      <c r="C53" s="46"/>
      <c r="D53" s="47" t="s">
        <v>176</v>
      </c>
      <c r="E53" s="14"/>
      <c r="F53" s="14"/>
      <c r="G53" s="14"/>
      <c r="H53" s="14"/>
      <c r="I53" s="14"/>
      <c r="J53" s="15"/>
      <c r="K53" s="15"/>
      <c r="L53" s="15" t="s">
        <v>177</v>
      </c>
      <c r="M53" s="15"/>
      <c r="N53" s="16">
        <v>4.1890000000000001</v>
      </c>
      <c r="O53" s="16">
        <v>4.1890000000000001</v>
      </c>
      <c r="P53" s="16">
        <v>0</v>
      </c>
      <c r="Q53" s="16" t="s">
        <v>33</v>
      </c>
      <c r="R53" s="17">
        <v>13112.92</v>
      </c>
      <c r="S53" s="17">
        <v>18414.689999999999</v>
      </c>
      <c r="T53" s="17">
        <v>31527.61</v>
      </c>
      <c r="U53" s="17">
        <v>75243.655800000008</v>
      </c>
      <c r="V53" s="17">
        <v>72292.924199999994</v>
      </c>
      <c r="W53" s="17">
        <v>69342.192599999995</v>
      </c>
      <c r="X53" s="17">
        <v>66391.460999999996</v>
      </c>
      <c r="Y53" s="17">
        <v>63440.729400000004</v>
      </c>
      <c r="Z53" s="17">
        <v>60489.997800000005</v>
      </c>
      <c r="AA53" s="17">
        <v>57539.266199999998</v>
      </c>
      <c r="AB53" s="17">
        <v>54588.534599999999</v>
      </c>
      <c r="AC53" s="17">
        <v>51637.803</v>
      </c>
      <c r="AD53" s="17">
        <v>48687.071399999993</v>
      </c>
      <c r="AE53" s="17">
        <v>45736.339800000002</v>
      </c>
      <c r="AF53" s="17">
        <v>42785.608200000002</v>
      </c>
      <c r="AG53" s="17">
        <v>39834.876600000003</v>
      </c>
      <c r="AH53" s="17">
        <v>36884.144999999997</v>
      </c>
      <c r="AI53" s="17">
        <v>33933.413399999998</v>
      </c>
      <c r="AJ53" s="17">
        <v>30982.681800000002</v>
      </c>
      <c r="AK53" s="17">
        <v>28031.950199999999</v>
      </c>
      <c r="AL53" s="17">
        <v>25081.2186</v>
      </c>
      <c r="AM53" s="17">
        <v>22130.487000000001</v>
      </c>
      <c r="AN53" s="17">
        <v>19179.755400000002</v>
      </c>
      <c r="AO53" s="17">
        <v>16229.023800000001</v>
      </c>
      <c r="AP53" s="17">
        <v>13278.2922</v>
      </c>
      <c r="AQ53" s="17">
        <v>10327.560600000001</v>
      </c>
      <c r="AR53" s="17">
        <v>7376.8290000000006</v>
      </c>
      <c r="AS53" s="17">
        <v>4426.0973999999997</v>
      </c>
      <c r="AT53" s="17">
        <v>1475.3658000000003</v>
      </c>
      <c r="AU53" s="17">
        <v>0</v>
      </c>
      <c r="AV53" s="17">
        <v>0</v>
      </c>
      <c r="AW53" s="17"/>
      <c r="AX53" s="17"/>
      <c r="AY53" s="19">
        <v>997347.28079999995</v>
      </c>
      <c r="AZ53" s="82">
        <v>0</v>
      </c>
      <c r="BA53" s="18">
        <v>532607.05380000023</v>
      </c>
      <c r="BB53" s="19">
        <v>997347.2808000003</v>
      </c>
      <c r="BD53" s="43"/>
    </row>
    <row r="54" spans="1:57" s="43" customFormat="1" hidden="1" outlineLevel="1" x14ac:dyDescent="0.25">
      <c r="B54" s="38" t="s">
        <v>23</v>
      </c>
      <c r="C54" s="39">
        <v>25</v>
      </c>
      <c r="D54" s="40" t="s">
        <v>178</v>
      </c>
      <c r="E54" s="7" t="s">
        <v>179</v>
      </c>
      <c r="F54" s="7" t="s">
        <v>180</v>
      </c>
      <c r="G54" s="7" t="s">
        <v>181</v>
      </c>
      <c r="H54" s="7" t="s">
        <v>182</v>
      </c>
      <c r="I54" s="7" t="s">
        <v>29</v>
      </c>
      <c r="J54" s="8">
        <v>531484</v>
      </c>
      <c r="K54" s="9">
        <v>412380</v>
      </c>
      <c r="L54" s="9"/>
      <c r="M54" s="9"/>
      <c r="N54" s="10"/>
      <c r="O54" s="10">
        <v>2.4700000000000002</v>
      </c>
      <c r="P54" s="10"/>
      <c r="Q54" s="10" t="s">
        <v>30</v>
      </c>
      <c r="R54" s="11">
        <v>18328</v>
      </c>
      <c r="S54" s="11">
        <v>18328</v>
      </c>
      <c r="T54" s="11">
        <v>36656</v>
      </c>
      <c r="U54" s="11">
        <v>36656</v>
      </c>
      <c r="V54" s="11">
        <v>36656</v>
      </c>
      <c r="W54" s="11">
        <v>36656</v>
      </c>
      <c r="X54" s="11">
        <v>36656</v>
      </c>
      <c r="Y54" s="11">
        <v>36656</v>
      </c>
      <c r="Z54" s="11">
        <v>36656</v>
      </c>
      <c r="AA54" s="11">
        <v>36656</v>
      </c>
      <c r="AB54" s="11">
        <v>36656</v>
      </c>
      <c r="AC54" s="11">
        <v>36656</v>
      </c>
      <c r="AD54" s="11">
        <v>36656</v>
      </c>
      <c r="AE54" s="11">
        <v>27492</v>
      </c>
      <c r="AF54" s="11">
        <v>0</v>
      </c>
      <c r="AG54" s="11">
        <v>0</v>
      </c>
      <c r="AH54" s="11">
        <v>0</v>
      </c>
      <c r="AI54" s="11">
        <v>0</v>
      </c>
      <c r="AJ54" s="11">
        <v>0</v>
      </c>
      <c r="AK54" s="11">
        <v>0</v>
      </c>
      <c r="AL54" s="11">
        <v>0</v>
      </c>
      <c r="AM54" s="11">
        <v>0</v>
      </c>
      <c r="AN54" s="11">
        <v>0</v>
      </c>
      <c r="AO54" s="11">
        <v>0</v>
      </c>
      <c r="AP54" s="11">
        <v>0</v>
      </c>
      <c r="AQ54" s="11">
        <v>0</v>
      </c>
      <c r="AR54" s="11">
        <v>0</v>
      </c>
      <c r="AS54" s="11">
        <v>0</v>
      </c>
      <c r="AT54" s="11">
        <v>0</v>
      </c>
      <c r="AU54" s="11">
        <v>0</v>
      </c>
      <c r="AV54" s="11">
        <v>0</v>
      </c>
      <c r="AW54" s="11"/>
      <c r="AX54" s="11"/>
      <c r="AY54" s="13">
        <v>394052</v>
      </c>
      <c r="AZ54" s="82">
        <v>0</v>
      </c>
      <c r="BA54" s="12">
        <v>137460</v>
      </c>
      <c r="BB54" s="13">
        <v>394052</v>
      </c>
      <c r="BE54" s="44"/>
    </row>
    <row r="55" spans="1:57" hidden="1" outlineLevel="1" x14ac:dyDescent="0.25">
      <c r="B55" s="45" t="s">
        <v>23</v>
      </c>
      <c r="C55" s="46"/>
      <c r="D55" s="47"/>
      <c r="E55" s="14"/>
      <c r="F55" s="14"/>
      <c r="G55" s="14"/>
      <c r="H55" s="14"/>
      <c r="I55" s="14"/>
      <c r="J55" s="15"/>
      <c r="K55" s="15"/>
      <c r="L55" s="15" t="s">
        <v>183</v>
      </c>
      <c r="M55" s="15"/>
      <c r="N55" s="16">
        <v>4.1500000000000004</v>
      </c>
      <c r="O55" s="21">
        <v>4.1500000000000004</v>
      </c>
      <c r="P55" s="16">
        <v>0</v>
      </c>
      <c r="Q55" s="16" t="s">
        <v>33</v>
      </c>
      <c r="R55" s="17">
        <v>7834.89</v>
      </c>
      <c r="S55" s="17">
        <v>2596.12</v>
      </c>
      <c r="T55" s="17">
        <v>10431.01</v>
      </c>
      <c r="U55" s="17">
        <v>16353.158000000001</v>
      </c>
      <c r="V55" s="17">
        <v>14831.934000000001</v>
      </c>
      <c r="W55" s="17">
        <v>13310.71</v>
      </c>
      <c r="X55" s="17">
        <v>11789.486000000001</v>
      </c>
      <c r="Y55" s="17">
        <v>10268.262000000001</v>
      </c>
      <c r="Z55" s="17">
        <v>8747.0380000000005</v>
      </c>
      <c r="AA55" s="17">
        <v>7225.8140000000003</v>
      </c>
      <c r="AB55" s="17">
        <v>5704.59</v>
      </c>
      <c r="AC55" s="17">
        <v>4183.366</v>
      </c>
      <c r="AD55" s="17">
        <v>2662.1420000000003</v>
      </c>
      <c r="AE55" s="17">
        <v>1140.9180000000001</v>
      </c>
      <c r="AF55" s="17">
        <v>0</v>
      </c>
      <c r="AG55" s="17">
        <v>0</v>
      </c>
      <c r="AH55" s="17">
        <v>0</v>
      </c>
      <c r="AI55" s="17">
        <v>0</v>
      </c>
      <c r="AJ55" s="17">
        <v>0</v>
      </c>
      <c r="AK55" s="17">
        <v>0</v>
      </c>
      <c r="AL55" s="17">
        <v>0</v>
      </c>
      <c r="AM55" s="17">
        <v>0</v>
      </c>
      <c r="AN55" s="17">
        <v>0</v>
      </c>
      <c r="AO55" s="17">
        <v>0</v>
      </c>
      <c r="AP55" s="17">
        <v>0</v>
      </c>
      <c r="AQ55" s="17">
        <v>0</v>
      </c>
      <c r="AR55" s="17">
        <v>0</v>
      </c>
      <c r="AS55" s="17">
        <v>0</v>
      </c>
      <c r="AT55" s="17">
        <v>0</v>
      </c>
      <c r="AU55" s="17">
        <v>0</v>
      </c>
      <c r="AV55" s="17">
        <v>0</v>
      </c>
      <c r="AW55" s="17"/>
      <c r="AX55" s="17"/>
      <c r="AY55" s="19">
        <v>96217.418000000005</v>
      </c>
      <c r="AZ55" s="82">
        <v>0</v>
      </c>
      <c r="BA55" s="18">
        <v>13691.016</v>
      </c>
      <c r="BB55" s="19">
        <v>96217.418000000005</v>
      </c>
      <c r="BD55" s="43"/>
    </row>
    <row r="56" spans="1:57" s="43" customFormat="1" hidden="1" outlineLevel="1" x14ac:dyDescent="0.25">
      <c r="B56" s="38" t="s">
        <v>74</v>
      </c>
      <c r="C56" s="39">
        <v>26</v>
      </c>
      <c r="D56" s="40" t="s">
        <v>184</v>
      </c>
      <c r="E56" s="7" t="s">
        <v>185</v>
      </c>
      <c r="F56" s="7" t="s">
        <v>186</v>
      </c>
      <c r="G56" s="7" t="s">
        <v>187</v>
      </c>
      <c r="H56" s="7" t="s">
        <v>188</v>
      </c>
      <c r="I56" s="7" t="s">
        <v>29</v>
      </c>
      <c r="J56" s="8">
        <v>583938.46</v>
      </c>
      <c r="K56" s="9">
        <v>520872</v>
      </c>
      <c r="L56" s="9"/>
      <c r="M56" s="9"/>
      <c r="N56" s="10"/>
      <c r="O56" s="10">
        <v>2.8109999999999999</v>
      </c>
      <c r="P56" s="10"/>
      <c r="Q56" s="10" t="s">
        <v>30</v>
      </c>
      <c r="R56" s="11">
        <v>15784</v>
      </c>
      <c r="S56" s="11">
        <v>15784</v>
      </c>
      <c r="T56" s="11">
        <v>31568</v>
      </c>
      <c r="U56" s="11">
        <v>31568</v>
      </c>
      <c r="V56" s="11">
        <v>31568</v>
      </c>
      <c r="W56" s="11">
        <v>31568</v>
      </c>
      <c r="X56" s="11">
        <v>31568</v>
      </c>
      <c r="Y56" s="11">
        <v>31568</v>
      </c>
      <c r="Z56" s="11">
        <v>31568</v>
      </c>
      <c r="AA56" s="11">
        <v>31568</v>
      </c>
      <c r="AB56" s="11">
        <v>31568</v>
      </c>
      <c r="AC56" s="11">
        <v>31568</v>
      </c>
      <c r="AD56" s="11">
        <v>31568</v>
      </c>
      <c r="AE56" s="11">
        <v>31568</v>
      </c>
      <c r="AF56" s="11">
        <v>31568</v>
      </c>
      <c r="AG56" s="11">
        <v>31568</v>
      </c>
      <c r="AH56" s="11">
        <v>31568</v>
      </c>
      <c r="AI56" s="11">
        <v>31568</v>
      </c>
      <c r="AJ56" s="11">
        <v>31568</v>
      </c>
      <c r="AK56" s="11">
        <v>0</v>
      </c>
      <c r="AL56" s="11">
        <v>0</v>
      </c>
      <c r="AM56" s="11">
        <v>0</v>
      </c>
      <c r="AN56" s="11">
        <v>0</v>
      </c>
      <c r="AO56" s="11">
        <v>0</v>
      </c>
      <c r="AP56" s="11">
        <v>0</v>
      </c>
      <c r="AQ56" s="11">
        <v>0</v>
      </c>
      <c r="AR56" s="11">
        <v>0</v>
      </c>
      <c r="AS56" s="11">
        <v>0</v>
      </c>
      <c r="AT56" s="11">
        <v>0</v>
      </c>
      <c r="AU56" s="11">
        <v>0</v>
      </c>
      <c r="AV56" s="11">
        <v>0</v>
      </c>
      <c r="AW56" s="11"/>
      <c r="AX56" s="11"/>
      <c r="AY56" s="13">
        <v>505088</v>
      </c>
      <c r="AZ56" s="82">
        <v>0</v>
      </c>
      <c r="BA56" s="12">
        <v>284112</v>
      </c>
      <c r="BB56" s="13">
        <v>505088</v>
      </c>
      <c r="BE56" s="44"/>
    </row>
    <row r="57" spans="1:57" hidden="1" outlineLevel="1" x14ac:dyDescent="0.25">
      <c r="B57" s="45" t="s">
        <v>74</v>
      </c>
      <c r="C57" s="46"/>
      <c r="D57" s="47"/>
      <c r="E57" s="14"/>
      <c r="F57" s="14"/>
      <c r="G57" s="14"/>
      <c r="H57" s="14"/>
      <c r="I57" s="14"/>
      <c r="J57" s="15"/>
      <c r="K57" s="15"/>
      <c r="L57" s="15" t="s">
        <v>189</v>
      </c>
      <c r="M57" s="15"/>
      <c r="N57" s="16">
        <v>4.1500000000000004</v>
      </c>
      <c r="O57" s="21">
        <v>4.1500000000000004</v>
      </c>
      <c r="P57" s="16">
        <v>0</v>
      </c>
      <c r="Q57" s="16" t="s">
        <v>33</v>
      </c>
      <c r="R57" s="17">
        <v>8612.48</v>
      </c>
      <c r="S57" s="17">
        <v>3735</v>
      </c>
      <c r="T57" s="17">
        <v>12347.48</v>
      </c>
      <c r="U57" s="17">
        <v>20961.152000000002</v>
      </c>
      <c r="V57" s="17">
        <v>19651.080000000002</v>
      </c>
      <c r="W57" s="17">
        <v>18341.008000000002</v>
      </c>
      <c r="X57" s="17">
        <v>17030.936000000002</v>
      </c>
      <c r="Y57" s="17">
        <v>15720.864000000001</v>
      </c>
      <c r="Z57" s="17">
        <v>14410.792000000001</v>
      </c>
      <c r="AA57" s="17">
        <v>13100.72</v>
      </c>
      <c r="AB57" s="17">
        <v>11790.648000000001</v>
      </c>
      <c r="AC57" s="17">
        <v>10480.576000000001</v>
      </c>
      <c r="AD57" s="17">
        <v>9170.5040000000008</v>
      </c>
      <c r="AE57" s="17">
        <v>7860.4320000000007</v>
      </c>
      <c r="AF57" s="17">
        <v>6550.36</v>
      </c>
      <c r="AG57" s="17">
        <v>5240.2880000000005</v>
      </c>
      <c r="AH57" s="17">
        <v>3930.2160000000003</v>
      </c>
      <c r="AI57" s="17">
        <v>2620.1440000000002</v>
      </c>
      <c r="AJ57" s="17">
        <v>1310.0720000000001</v>
      </c>
      <c r="AK57" s="17">
        <v>0</v>
      </c>
      <c r="AL57" s="17">
        <v>0</v>
      </c>
      <c r="AM57" s="17">
        <v>0</v>
      </c>
      <c r="AN57" s="17">
        <v>0</v>
      </c>
      <c r="AO57" s="17">
        <v>0</v>
      </c>
      <c r="AP57" s="17">
        <v>0</v>
      </c>
      <c r="AQ57" s="17">
        <v>0</v>
      </c>
      <c r="AR57" s="17">
        <v>0</v>
      </c>
      <c r="AS57" s="17">
        <v>0</v>
      </c>
      <c r="AT57" s="17">
        <v>0</v>
      </c>
      <c r="AU57" s="17">
        <v>0</v>
      </c>
      <c r="AV57" s="17">
        <v>0</v>
      </c>
      <c r="AW57" s="17"/>
      <c r="AX57" s="17"/>
      <c r="AY57" s="19">
        <v>178169.79200000002</v>
      </c>
      <c r="AZ57" s="82">
        <v>0</v>
      </c>
      <c r="BA57" s="18">
        <v>58953.240000000005</v>
      </c>
      <c r="BB57" s="19">
        <v>178169.79200000002</v>
      </c>
      <c r="BD57" s="43"/>
    </row>
    <row r="58" spans="1:57" s="43" customFormat="1" hidden="1" outlineLevel="1" x14ac:dyDescent="0.25">
      <c r="B58" s="38" t="s">
        <v>23</v>
      </c>
      <c r="C58" s="39">
        <v>27</v>
      </c>
      <c r="D58" s="40" t="s">
        <v>190</v>
      </c>
      <c r="E58" s="7" t="s">
        <v>191</v>
      </c>
      <c r="F58" s="7" t="s">
        <v>192</v>
      </c>
      <c r="G58" s="7" t="s">
        <v>193</v>
      </c>
      <c r="H58" s="7" t="s">
        <v>194</v>
      </c>
      <c r="I58" s="7" t="s">
        <v>29</v>
      </c>
      <c r="J58" s="8">
        <v>2556845.52</v>
      </c>
      <c r="K58" s="9">
        <v>2388377.52</v>
      </c>
      <c r="L58" s="9"/>
      <c r="M58" s="9"/>
      <c r="N58" s="10"/>
      <c r="O58" s="10"/>
      <c r="P58" s="10"/>
      <c r="Q58" s="10" t="s">
        <v>30</v>
      </c>
      <c r="R58" s="11">
        <v>48158</v>
      </c>
      <c r="S58" s="11">
        <v>48158</v>
      </c>
      <c r="T58" s="11">
        <v>109246</v>
      </c>
      <c r="U58" s="11">
        <v>96316</v>
      </c>
      <c r="V58" s="11">
        <v>96316</v>
      </c>
      <c r="W58" s="11">
        <v>96316</v>
      </c>
      <c r="X58" s="11">
        <v>96316</v>
      </c>
      <c r="Y58" s="11">
        <v>96316</v>
      </c>
      <c r="Z58" s="11">
        <v>96316</v>
      </c>
      <c r="AA58" s="11">
        <v>96316</v>
      </c>
      <c r="AB58" s="11">
        <v>96316</v>
      </c>
      <c r="AC58" s="11">
        <v>96316</v>
      </c>
      <c r="AD58" s="11">
        <v>96316</v>
      </c>
      <c r="AE58" s="11">
        <v>96316</v>
      </c>
      <c r="AF58" s="11">
        <v>96316</v>
      </c>
      <c r="AG58" s="11">
        <v>96316</v>
      </c>
      <c r="AH58" s="11">
        <v>96316</v>
      </c>
      <c r="AI58" s="11">
        <v>96316</v>
      </c>
      <c r="AJ58" s="11">
        <v>96316</v>
      </c>
      <c r="AK58" s="11">
        <v>96316</v>
      </c>
      <c r="AL58" s="11">
        <v>96316</v>
      </c>
      <c r="AM58" s="11">
        <v>96316</v>
      </c>
      <c r="AN58" s="11">
        <v>96316</v>
      </c>
      <c r="AO58" s="11">
        <v>96316</v>
      </c>
      <c r="AP58" s="11">
        <v>96316</v>
      </c>
      <c r="AQ58" s="11">
        <v>96316</v>
      </c>
      <c r="AR58" s="11">
        <v>96316</v>
      </c>
      <c r="AS58" s="11">
        <v>28635.52</v>
      </c>
      <c r="AT58" s="11">
        <v>0</v>
      </c>
      <c r="AU58" s="11">
        <v>0</v>
      </c>
      <c r="AV58" s="11">
        <v>0</v>
      </c>
      <c r="AW58" s="11"/>
      <c r="AX58" s="11"/>
      <c r="AY58" s="13">
        <v>2340219.52</v>
      </c>
      <c r="AZ58" s="82">
        <v>0</v>
      </c>
      <c r="BA58" s="12">
        <v>1666007.52</v>
      </c>
      <c r="BB58" s="13">
        <v>2340219.52</v>
      </c>
      <c r="BE58" s="44"/>
    </row>
    <row r="59" spans="1:57" hidden="1" outlineLevel="1" x14ac:dyDescent="0.25">
      <c r="B59" s="45" t="s">
        <v>23</v>
      </c>
      <c r="C59" s="46"/>
      <c r="D59" s="47"/>
      <c r="E59" s="14"/>
      <c r="F59" s="14"/>
      <c r="G59" s="14"/>
      <c r="H59" s="14"/>
      <c r="I59" s="14"/>
      <c r="J59" s="15"/>
      <c r="K59" s="15"/>
      <c r="L59" s="15" t="s">
        <v>195</v>
      </c>
      <c r="M59" s="15"/>
      <c r="N59" s="16">
        <v>6.0229999999999997</v>
      </c>
      <c r="O59" s="16">
        <v>6.0229999999999997</v>
      </c>
      <c r="P59" s="16">
        <v>0</v>
      </c>
      <c r="Q59" s="16" t="s">
        <v>33</v>
      </c>
      <c r="R59" s="17">
        <v>57579.95</v>
      </c>
      <c r="S59" s="17">
        <v>36717.86</v>
      </c>
      <c r="T59" s="17">
        <v>94297.81</v>
      </c>
      <c r="U59" s="17">
        <v>140951.42168959999</v>
      </c>
      <c r="V59" s="17">
        <v>135150.30900959999</v>
      </c>
      <c r="W59" s="17">
        <v>129349.19632959999</v>
      </c>
      <c r="X59" s="17">
        <v>123548.0836496</v>
      </c>
      <c r="Y59" s="17">
        <v>117746.97096959999</v>
      </c>
      <c r="Z59" s="17">
        <v>111945.8582896</v>
      </c>
      <c r="AA59" s="17">
        <v>106144.74560960001</v>
      </c>
      <c r="AB59" s="17">
        <v>100343.63292959999</v>
      </c>
      <c r="AC59" s="17">
        <v>94542.520249599998</v>
      </c>
      <c r="AD59" s="17">
        <v>88741.407569599993</v>
      </c>
      <c r="AE59" s="17">
        <v>82940.294889600002</v>
      </c>
      <c r="AF59" s="17">
        <v>77139.182209599996</v>
      </c>
      <c r="AG59" s="17">
        <v>71338.06952959999</v>
      </c>
      <c r="AH59" s="17">
        <v>65536.956849599999</v>
      </c>
      <c r="AI59" s="17">
        <v>59735.844169600001</v>
      </c>
      <c r="AJ59" s="17">
        <v>53934.731489600003</v>
      </c>
      <c r="AK59" s="17">
        <v>48133.618809599997</v>
      </c>
      <c r="AL59" s="17">
        <v>42332.506129599999</v>
      </c>
      <c r="AM59" s="17">
        <v>36531.3934496</v>
      </c>
      <c r="AN59" s="17">
        <v>30730.280769599998</v>
      </c>
      <c r="AO59" s="17">
        <v>24929.1680896</v>
      </c>
      <c r="AP59" s="17">
        <v>19128.055409599998</v>
      </c>
      <c r="AQ59" s="17">
        <v>13326.942729599999</v>
      </c>
      <c r="AR59" s="17">
        <v>7525.8300495999993</v>
      </c>
      <c r="AS59" s="17">
        <v>1724.7173695999998</v>
      </c>
      <c r="AT59" s="17">
        <v>0</v>
      </c>
      <c r="AU59" s="17">
        <v>0</v>
      </c>
      <c r="AV59" s="17">
        <v>0</v>
      </c>
      <c r="AW59" s="17"/>
      <c r="AX59" s="17"/>
      <c r="AY59" s="19">
        <v>1783451.7382399999</v>
      </c>
      <c r="AZ59" s="82">
        <v>0</v>
      </c>
      <c r="BA59" s="18">
        <v>918615.15269280004</v>
      </c>
      <c r="BB59" s="19">
        <v>1783451.7382399999</v>
      </c>
      <c r="BD59" s="43"/>
    </row>
    <row r="60" spans="1:57" s="43" customFormat="1" hidden="1" outlineLevel="1" x14ac:dyDescent="0.25">
      <c r="B60" s="38" t="s">
        <v>23</v>
      </c>
      <c r="C60" s="39">
        <v>28</v>
      </c>
      <c r="D60" s="40" t="s">
        <v>196</v>
      </c>
      <c r="E60" s="7" t="s">
        <v>197</v>
      </c>
      <c r="F60" s="7" t="s">
        <v>198</v>
      </c>
      <c r="G60" s="7" t="s">
        <v>199</v>
      </c>
      <c r="H60" s="7" t="s">
        <v>200</v>
      </c>
      <c r="I60" s="7" t="s">
        <v>29</v>
      </c>
      <c r="J60" s="8">
        <v>1410783</v>
      </c>
      <c r="K60" s="9">
        <v>1059408</v>
      </c>
      <c r="L60" s="9"/>
      <c r="M60" s="9"/>
      <c r="N60" s="10"/>
      <c r="O60" s="10">
        <v>1.589</v>
      </c>
      <c r="P60" s="10"/>
      <c r="Q60" s="10" t="s">
        <v>30</v>
      </c>
      <c r="R60" s="11">
        <v>44142</v>
      </c>
      <c r="S60" s="11">
        <v>44142</v>
      </c>
      <c r="T60" s="11">
        <v>88284</v>
      </c>
      <c r="U60" s="11">
        <v>88284</v>
      </c>
      <c r="V60" s="11">
        <v>88284</v>
      </c>
      <c r="W60" s="11">
        <v>88284</v>
      </c>
      <c r="X60" s="11">
        <v>88284</v>
      </c>
      <c r="Y60" s="11">
        <v>88284</v>
      </c>
      <c r="Z60" s="11">
        <v>88284</v>
      </c>
      <c r="AA60" s="11">
        <v>88284</v>
      </c>
      <c r="AB60" s="11">
        <v>88284</v>
      </c>
      <c r="AC60" s="11">
        <v>88284</v>
      </c>
      <c r="AD60" s="11">
        <v>88284</v>
      </c>
      <c r="AE60" s="11">
        <v>88284</v>
      </c>
      <c r="AF60" s="11">
        <v>44142</v>
      </c>
      <c r="AG60" s="11">
        <v>0</v>
      </c>
      <c r="AH60" s="11">
        <v>0</v>
      </c>
      <c r="AI60" s="11">
        <v>0</v>
      </c>
      <c r="AJ60" s="11">
        <v>0</v>
      </c>
      <c r="AK60" s="11">
        <v>0</v>
      </c>
      <c r="AL60" s="11">
        <v>0</v>
      </c>
      <c r="AM60" s="11">
        <v>0</v>
      </c>
      <c r="AN60" s="11">
        <v>0</v>
      </c>
      <c r="AO60" s="11">
        <v>0</v>
      </c>
      <c r="AP60" s="11">
        <v>0</v>
      </c>
      <c r="AQ60" s="11">
        <v>0</v>
      </c>
      <c r="AR60" s="11">
        <v>0</v>
      </c>
      <c r="AS60" s="11">
        <v>0</v>
      </c>
      <c r="AT60" s="11">
        <v>0</v>
      </c>
      <c r="AU60" s="11">
        <v>0</v>
      </c>
      <c r="AV60" s="11">
        <v>0</v>
      </c>
      <c r="AW60" s="11"/>
      <c r="AX60" s="11"/>
      <c r="AY60" s="13">
        <v>1015266</v>
      </c>
      <c r="AZ60" s="82">
        <v>0</v>
      </c>
      <c r="BA60" s="12">
        <v>397278</v>
      </c>
      <c r="BB60" s="13">
        <v>1015266</v>
      </c>
      <c r="BE60" s="44"/>
    </row>
    <row r="61" spans="1:57" hidden="1" outlineLevel="1" x14ac:dyDescent="0.25">
      <c r="B61" s="45" t="s">
        <v>23</v>
      </c>
      <c r="C61" s="46"/>
      <c r="D61" s="47"/>
      <c r="E61" s="14"/>
      <c r="F61" s="14"/>
      <c r="G61" s="14"/>
      <c r="H61" s="14"/>
      <c r="I61" s="14"/>
      <c r="J61" s="15"/>
      <c r="K61" s="15"/>
      <c r="L61" s="15" t="s">
        <v>201</v>
      </c>
      <c r="M61" s="15"/>
      <c r="N61" s="16">
        <v>5</v>
      </c>
      <c r="O61" s="21">
        <v>5</v>
      </c>
      <c r="P61" s="16">
        <v>0</v>
      </c>
      <c r="Q61" s="16" t="s">
        <v>33</v>
      </c>
      <c r="R61" s="17">
        <v>13264.55</v>
      </c>
      <c r="S61" s="17">
        <v>12703.22</v>
      </c>
      <c r="T61" s="17">
        <v>25967.769999999997</v>
      </c>
      <c r="U61" s="17">
        <v>50763.3</v>
      </c>
      <c r="V61" s="17">
        <v>46349.1</v>
      </c>
      <c r="W61" s="17">
        <v>41934.9</v>
      </c>
      <c r="X61" s="17">
        <v>37520.699999999997</v>
      </c>
      <c r="Y61" s="17">
        <v>33106.5</v>
      </c>
      <c r="Z61" s="17">
        <v>28692.3</v>
      </c>
      <c r="AA61" s="17">
        <v>24278.1</v>
      </c>
      <c r="AB61" s="17">
        <v>19863.900000000001</v>
      </c>
      <c r="AC61" s="17">
        <v>15449.7</v>
      </c>
      <c r="AD61" s="17">
        <v>11035.5</v>
      </c>
      <c r="AE61" s="17">
        <v>6621.3</v>
      </c>
      <c r="AF61" s="17">
        <v>2207.1</v>
      </c>
      <c r="AG61" s="17">
        <v>0</v>
      </c>
      <c r="AH61" s="17">
        <v>0</v>
      </c>
      <c r="AI61" s="17">
        <v>0</v>
      </c>
      <c r="AJ61" s="17">
        <v>0</v>
      </c>
      <c r="AK61" s="17">
        <v>0</v>
      </c>
      <c r="AL61" s="17">
        <v>0</v>
      </c>
      <c r="AM61" s="17">
        <v>0</v>
      </c>
      <c r="AN61" s="17">
        <v>0</v>
      </c>
      <c r="AO61" s="17">
        <v>0</v>
      </c>
      <c r="AP61" s="17">
        <v>0</v>
      </c>
      <c r="AQ61" s="17">
        <v>0</v>
      </c>
      <c r="AR61" s="17">
        <v>0</v>
      </c>
      <c r="AS61" s="17">
        <v>0</v>
      </c>
      <c r="AT61" s="17">
        <v>0</v>
      </c>
      <c r="AU61" s="17">
        <v>0</v>
      </c>
      <c r="AV61" s="17">
        <v>0</v>
      </c>
      <c r="AW61" s="17"/>
      <c r="AX61" s="17"/>
      <c r="AY61" s="19">
        <v>317822.39999999997</v>
      </c>
      <c r="AZ61" s="82">
        <v>0</v>
      </c>
      <c r="BA61" s="18">
        <v>55177.500000000007</v>
      </c>
      <c r="BB61" s="19">
        <v>317822.39999999997</v>
      </c>
      <c r="BD61" s="43"/>
    </row>
    <row r="62" spans="1:57" s="43" customFormat="1" hidden="1" outlineLevel="1" x14ac:dyDescent="0.25">
      <c r="A62" s="43" t="s">
        <v>40</v>
      </c>
      <c r="B62" s="38" t="s">
        <v>74</v>
      </c>
      <c r="C62" s="39">
        <v>29</v>
      </c>
      <c r="D62" s="40" t="s">
        <v>202</v>
      </c>
      <c r="E62" s="7" t="s">
        <v>203</v>
      </c>
      <c r="F62" s="7" t="s">
        <v>204</v>
      </c>
      <c r="G62" s="7" t="s">
        <v>205</v>
      </c>
      <c r="H62" s="7" t="s">
        <v>206</v>
      </c>
      <c r="I62" s="7" t="s">
        <v>29</v>
      </c>
      <c r="J62" s="8">
        <v>824810</v>
      </c>
      <c r="K62" s="9">
        <v>809979</v>
      </c>
      <c r="L62" s="9"/>
      <c r="M62" s="9"/>
      <c r="N62" s="10"/>
      <c r="O62" s="10">
        <v>3.4710000000000001</v>
      </c>
      <c r="P62" s="10"/>
      <c r="Q62" s="10" t="s">
        <v>30</v>
      </c>
      <c r="R62" s="11">
        <v>14831</v>
      </c>
      <c r="S62" s="11">
        <v>14862</v>
      </c>
      <c r="T62" s="11">
        <v>29693</v>
      </c>
      <c r="U62" s="11">
        <v>29724</v>
      </c>
      <c r="V62" s="11">
        <v>29724</v>
      </c>
      <c r="W62" s="11">
        <v>29724</v>
      </c>
      <c r="X62" s="11">
        <v>29724</v>
      </c>
      <c r="Y62" s="11">
        <v>29724</v>
      </c>
      <c r="Z62" s="11">
        <v>29724</v>
      </c>
      <c r="AA62" s="11">
        <v>29724</v>
      </c>
      <c r="AB62" s="11">
        <v>29724</v>
      </c>
      <c r="AC62" s="11">
        <v>29724</v>
      </c>
      <c r="AD62" s="11">
        <v>29724</v>
      </c>
      <c r="AE62" s="11">
        <v>29724</v>
      </c>
      <c r="AF62" s="11">
        <v>29724</v>
      </c>
      <c r="AG62" s="11">
        <v>29724</v>
      </c>
      <c r="AH62" s="11">
        <v>29724</v>
      </c>
      <c r="AI62" s="11">
        <v>29724</v>
      </c>
      <c r="AJ62" s="11">
        <v>29724</v>
      </c>
      <c r="AK62" s="11">
        <v>29724</v>
      </c>
      <c r="AL62" s="11">
        <v>29724</v>
      </c>
      <c r="AM62" s="11">
        <v>29724</v>
      </c>
      <c r="AN62" s="11">
        <v>29724</v>
      </c>
      <c r="AO62" s="11">
        <v>29724</v>
      </c>
      <c r="AP62" s="11">
        <v>29724</v>
      </c>
      <c r="AQ62" s="11">
        <v>29724</v>
      </c>
      <c r="AR62" s="11">
        <v>29724</v>
      </c>
      <c r="AS62" s="11">
        <v>29724</v>
      </c>
      <c r="AT62" s="11">
        <v>29724</v>
      </c>
      <c r="AU62" s="11">
        <v>22293</v>
      </c>
      <c r="AV62" s="11">
        <v>0</v>
      </c>
      <c r="AW62" s="11"/>
      <c r="AX62" s="11"/>
      <c r="AY62" s="13">
        <v>795117</v>
      </c>
      <c r="AZ62" s="82">
        <v>0</v>
      </c>
      <c r="BA62" s="12">
        <v>587049</v>
      </c>
      <c r="BB62" s="13">
        <v>795117</v>
      </c>
      <c r="BE62" s="44"/>
    </row>
    <row r="63" spans="1:57" hidden="1" outlineLevel="1" x14ac:dyDescent="0.25">
      <c r="A63" s="43" t="s">
        <v>40</v>
      </c>
      <c r="B63" s="45" t="s">
        <v>74</v>
      </c>
      <c r="C63" s="46"/>
      <c r="D63" s="47" t="s">
        <v>207</v>
      </c>
      <c r="E63" s="14"/>
      <c r="F63" s="14"/>
      <c r="G63" s="14"/>
      <c r="H63" s="14"/>
      <c r="I63" s="14"/>
      <c r="J63" s="15"/>
      <c r="K63" s="15"/>
      <c r="L63" s="15" t="s">
        <v>208</v>
      </c>
      <c r="M63" s="15"/>
      <c r="N63" s="16">
        <v>5.0999999999999996</v>
      </c>
      <c r="O63" s="21">
        <v>5.0999999999999996</v>
      </c>
      <c r="P63" s="16">
        <v>0</v>
      </c>
      <c r="Q63" s="16" t="s">
        <v>33</v>
      </c>
      <c r="R63" s="17">
        <v>21629.07</v>
      </c>
      <c r="S63" s="17">
        <v>7176.9</v>
      </c>
      <c r="T63" s="17">
        <v>28805.97</v>
      </c>
      <c r="U63" s="17">
        <v>40550.966999999997</v>
      </c>
      <c r="V63" s="17">
        <v>39035.042999999998</v>
      </c>
      <c r="W63" s="17">
        <v>37519.118999999999</v>
      </c>
      <c r="X63" s="17">
        <v>36003.194999999992</v>
      </c>
      <c r="Y63" s="17">
        <v>34487.270999999993</v>
      </c>
      <c r="Z63" s="17">
        <v>32971.346999999994</v>
      </c>
      <c r="AA63" s="17">
        <v>31455.422999999999</v>
      </c>
      <c r="AB63" s="17">
        <v>29939.499</v>
      </c>
      <c r="AC63" s="17">
        <v>28423.575000000001</v>
      </c>
      <c r="AD63" s="17">
        <v>26907.650999999998</v>
      </c>
      <c r="AE63" s="17">
        <v>25391.726999999999</v>
      </c>
      <c r="AF63" s="17">
        <v>23875.803</v>
      </c>
      <c r="AG63" s="17">
        <v>22359.879000000001</v>
      </c>
      <c r="AH63" s="17">
        <v>20843.954999999998</v>
      </c>
      <c r="AI63" s="17">
        <v>19328.030999999999</v>
      </c>
      <c r="AJ63" s="17">
        <v>17812.107</v>
      </c>
      <c r="AK63" s="17">
        <v>16296.182999999997</v>
      </c>
      <c r="AL63" s="17">
        <v>14780.258999999998</v>
      </c>
      <c r="AM63" s="17">
        <v>13264.334999999999</v>
      </c>
      <c r="AN63" s="17">
        <v>11748.410999999998</v>
      </c>
      <c r="AO63" s="17">
        <v>10232.486999999999</v>
      </c>
      <c r="AP63" s="17">
        <v>8716.5630000000001</v>
      </c>
      <c r="AQ63" s="17">
        <v>7200.6389999999992</v>
      </c>
      <c r="AR63" s="17">
        <v>5684.7150000000001</v>
      </c>
      <c r="AS63" s="17">
        <v>4168.7910000000002</v>
      </c>
      <c r="AT63" s="17">
        <v>2652.8669999999997</v>
      </c>
      <c r="AU63" s="17">
        <v>1136.943</v>
      </c>
      <c r="AV63" s="17">
        <v>0</v>
      </c>
      <c r="AW63" s="17"/>
      <c r="AX63" s="17"/>
      <c r="AY63" s="19">
        <v>562786.78500000003</v>
      </c>
      <c r="AZ63" s="82">
        <v>0</v>
      </c>
      <c r="BA63" s="18">
        <v>310764.42000000016</v>
      </c>
      <c r="BB63" s="19">
        <v>562786.78500000015</v>
      </c>
      <c r="BD63" s="43"/>
    </row>
    <row r="64" spans="1:57" s="43" customFormat="1" hidden="1" outlineLevel="1" x14ac:dyDescent="0.25">
      <c r="B64" s="38" t="s">
        <v>74</v>
      </c>
      <c r="C64" s="39">
        <v>30</v>
      </c>
      <c r="D64" s="40" t="s">
        <v>209</v>
      </c>
      <c r="E64" s="7" t="s">
        <v>210</v>
      </c>
      <c r="F64" s="7" t="s">
        <v>211</v>
      </c>
      <c r="G64" s="7" t="s">
        <v>205</v>
      </c>
      <c r="H64" s="7" t="s">
        <v>212</v>
      </c>
      <c r="I64" s="7" t="s">
        <v>29</v>
      </c>
      <c r="J64" s="8">
        <v>347420.04</v>
      </c>
      <c r="K64" s="9">
        <v>319308.03999999998</v>
      </c>
      <c r="L64" s="9"/>
      <c r="M64" s="9"/>
      <c r="N64" s="10"/>
      <c r="O64" s="10">
        <v>3.2429999999999999</v>
      </c>
      <c r="P64" s="10"/>
      <c r="Q64" s="10" t="s">
        <v>30</v>
      </c>
      <c r="R64" s="11">
        <v>9394</v>
      </c>
      <c r="S64" s="11">
        <v>9394</v>
      </c>
      <c r="T64" s="11">
        <v>18788</v>
      </c>
      <c r="U64" s="11">
        <v>18788</v>
      </c>
      <c r="V64" s="11">
        <v>18788</v>
      </c>
      <c r="W64" s="11">
        <v>18788</v>
      </c>
      <c r="X64" s="11">
        <v>18788</v>
      </c>
      <c r="Y64" s="11">
        <v>18788</v>
      </c>
      <c r="Z64" s="11">
        <v>18788</v>
      </c>
      <c r="AA64" s="11">
        <v>18788</v>
      </c>
      <c r="AB64" s="11">
        <v>18788</v>
      </c>
      <c r="AC64" s="11">
        <v>18788</v>
      </c>
      <c r="AD64" s="11">
        <v>18788</v>
      </c>
      <c r="AE64" s="11">
        <v>18788</v>
      </c>
      <c r="AF64" s="11">
        <v>18788</v>
      </c>
      <c r="AG64" s="11">
        <v>18788</v>
      </c>
      <c r="AH64" s="11">
        <v>18788</v>
      </c>
      <c r="AI64" s="11">
        <v>18788</v>
      </c>
      <c r="AJ64" s="11">
        <v>18788</v>
      </c>
      <c r="AK64" s="11">
        <v>9306.0400000000009</v>
      </c>
      <c r="AL64" s="11">
        <v>0</v>
      </c>
      <c r="AM64" s="11">
        <v>0</v>
      </c>
      <c r="AN64" s="11">
        <v>0</v>
      </c>
      <c r="AO64" s="11">
        <v>0</v>
      </c>
      <c r="AP64" s="11">
        <v>0</v>
      </c>
      <c r="AQ64" s="11">
        <v>0</v>
      </c>
      <c r="AR64" s="11">
        <v>0</v>
      </c>
      <c r="AS64" s="11">
        <v>0</v>
      </c>
      <c r="AT64" s="11">
        <v>0</v>
      </c>
      <c r="AU64" s="11">
        <v>0</v>
      </c>
      <c r="AV64" s="11">
        <v>0</v>
      </c>
      <c r="AW64" s="11"/>
      <c r="AX64" s="11"/>
      <c r="AY64" s="13">
        <v>309914.03999999998</v>
      </c>
      <c r="AZ64" s="82">
        <v>0</v>
      </c>
      <c r="BA64" s="12">
        <v>178398.04</v>
      </c>
      <c r="BB64" s="13">
        <v>309914.04000000004</v>
      </c>
      <c r="BE64" s="44"/>
    </row>
    <row r="65" spans="2:57" hidden="1" outlineLevel="1" x14ac:dyDescent="0.25">
      <c r="B65" s="45" t="s">
        <v>74</v>
      </c>
      <c r="C65" s="46"/>
      <c r="D65" s="47" t="s">
        <v>213</v>
      </c>
      <c r="E65" s="14"/>
      <c r="F65" s="14"/>
      <c r="G65" s="14"/>
      <c r="H65" s="14"/>
      <c r="I65" s="14"/>
      <c r="J65" s="15"/>
      <c r="K65" s="15"/>
      <c r="L65" s="15" t="s">
        <v>208</v>
      </c>
      <c r="M65" s="15"/>
      <c r="N65" s="16">
        <v>5</v>
      </c>
      <c r="O65" s="21">
        <v>5</v>
      </c>
      <c r="P65" s="16">
        <v>0</v>
      </c>
      <c r="Q65" s="16" t="s">
        <v>33</v>
      </c>
      <c r="R65" s="17">
        <v>8069.3099999999995</v>
      </c>
      <c r="S65" s="17">
        <v>2641.66</v>
      </c>
      <c r="T65" s="17">
        <v>10710.97</v>
      </c>
      <c r="U65" s="17">
        <v>15495.701999999999</v>
      </c>
      <c r="V65" s="17">
        <v>14556.302</v>
      </c>
      <c r="W65" s="17">
        <v>13616.902</v>
      </c>
      <c r="X65" s="17">
        <v>12677.502</v>
      </c>
      <c r="Y65" s="17">
        <v>11738.101999999999</v>
      </c>
      <c r="Z65" s="17">
        <v>10798.701999999999</v>
      </c>
      <c r="AA65" s="17">
        <v>9859.3020000000015</v>
      </c>
      <c r="AB65" s="17">
        <v>8919.902</v>
      </c>
      <c r="AC65" s="17">
        <v>7980.5020000000004</v>
      </c>
      <c r="AD65" s="17">
        <v>7041.1020000000008</v>
      </c>
      <c r="AE65" s="17">
        <v>6101.7020000000011</v>
      </c>
      <c r="AF65" s="17">
        <v>5162.3020000000006</v>
      </c>
      <c r="AG65" s="17">
        <v>4222.902000000001</v>
      </c>
      <c r="AH65" s="17">
        <v>3283.5020000000009</v>
      </c>
      <c r="AI65" s="17">
        <v>2344.1020000000003</v>
      </c>
      <c r="AJ65" s="17">
        <v>1404.7020000000002</v>
      </c>
      <c r="AK65" s="17">
        <v>465.30200000000002</v>
      </c>
      <c r="AL65" s="17">
        <v>0</v>
      </c>
      <c r="AM65" s="17">
        <v>0</v>
      </c>
      <c r="AN65" s="17">
        <v>0</v>
      </c>
      <c r="AO65" s="17">
        <v>0</v>
      </c>
      <c r="AP65" s="17">
        <v>0</v>
      </c>
      <c r="AQ65" s="17">
        <v>0</v>
      </c>
      <c r="AR65" s="17">
        <v>0</v>
      </c>
      <c r="AS65" s="17">
        <v>0</v>
      </c>
      <c r="AT65" s="17">
        <v>0</v>
      </c>
      <c r="AU65" s="17">
        <v>0</v>
      </c>
      <c r="AV65" s="17">
        <v>0</v>
      </c>
      <c r="AW65" s="17"/>
      <c r="AX65" s="17"/>
      <c r="AY65" s="19">
        <v>135668.53400000001</v>
      </c>
      <c r="AZ65" s="82">
        <v>0</v>
      </c>
      <c r="BA65" s="18">
        <v>46926.020000000004</v>
      </c>
      <c r="BB65" s="19">
        <v>135668.53400000001</v>
      </c>
      <c r="BD65" s="43"/>
    </row>
    <row r="66" spans="2:57" s="43" customFormat="1" hidden="1" outlineLevel="1" x14ac:dyDescent="0.25">
      <c r="B66" s="38" t="s">
        <v>23</v>
      </c>
      <c r="C66" s="39">
        <v>31</v>
      </c>
      <c r="D66" s="40" t="s">
        <v>214</v>
      </c>
      <c r="E66" s="7" t="s">
        <v>215</v>
      </c>
      <c r="F66" s="7" t="s">
        <v>216</v>
      </c>
      <c r="G66" s="7" t="s">
        <v>217</v>
      </c>
      <c r="H66" s="7" t="s">
        <v>218</v>
      </c>
      <c r="I66" s="7" t="s">
        <v>29</v>
      </c>
      <c r="J66" s="8">
        <v>53218</v>
      </c>
      <c r="K66" s="9">
        <v>25209</v>
      </c>
      <c r="L66" s="9"/>
      <c r="M66" s="9"/>
      <c r="N66" s="10"/>
      <c r="O66" s="10"/>
      <c r="P66" s="10"/>
      <c r="Q66" s="10" t="s">
        <v>30</v>
      </c>
      <c r="R66" s="11">
        <v>5602</v>
      </c>
      <c r="S66" s="11">
        <v>5602</v>
      </c>
      <c r="T66" s="11">
        <v>11204</v>
      </c>
      <c r="U66" s="11">
        <v>11204</v>
      </c>
      <c r="V66" s="11">
        <v>8403</v>
      </c>
      <c r="W66" s="11">
        <v>0</v>
      </c>
      <c r="X66" s="11">
        <v>0</v>
      </c>
      <c r="Y66" s="11">
        <v>0</v>
      </c>
      <c r="Z66" s="11">
        <v>0</v>
      </c>
      <c r="AA66" s="11">
        <v>0</v>
      </c>
      <c r="AB66" s="11">
        <v>0</v>
      </c>
      <c r="AC66" s="11">
        <v>0</v>
      </c>
      <c r="AD66" s="11">
        <v>0</v>
      </c>
      <c r="AE66" s="11">
        <v>0</v>
      </c>
      <c r="AF66" s="11">
        <v>0</v>
      </c>
      <c r="AG66" s="11">
        <v>0</v>
      </c>
      <c r="AH66" s="11">
        <v>0</v>
      </c>
      <c r="AI66" s="11">
        <v>0</v>
      </c>
      <c r="AJ66" s="11">
        <v>0</v>
      </c>
      <c r="AK66" s="11">
        <v>0</v>
      </c>
      <c r="AL66" s="11">
        <v>0</v>
      </c>
      <c r="AM66" s="11">
        <v>0</v>
      </c>
      <c r="AN66" s="11">
        <v>0</v>
      </c>
      <c r="AO66" s="11">
        <v>0</v>
      </c>
      <c r="AP66" s="11">
        <v>0</v>
      </c>
      <c r="AQ66" s="11">
        <v>0</v>
      </c>
      <c r="AR66" s="11">
        <v>0</v>
      </c>
      <c r="AS66" s="11">
        <v>0</v>
      </c>
      <c r="AT66" s="11">
        <v>0</v>
      </c>
      <c r="AU66" s="11">
        <v>0</v>
      </c>
      <c r="AV66" s="11">
        <v>0</v>
      </c>
      <c r="AW66" s="11"/>
      <c r="AX66" s="11"/>
      <c r="AY66" s="13">
        <v>19607</v>
      </c>
      <c r="AZ66" s="82">
        <v>0</v>
      </c>
      <c r="BA66" s="12">
        <v>0</v>
      </c>
      <c r="BB66" s="13">
        <v>19607</v>
      </c>
      <c r="BE66" s="44"/>
    </row>
    <row r="67" spans="2:57" hidden="1" outlineLevel="1" x14ac:dyDescent="0.25">
      <c r="B67" s="45" t="s">
        <v>23</v>
      </c>
      <c r="C67" s="46"/>
      <c r="D67" s="47"/>
      <c r="E67" s="14"/>
      <c r="F67" s="14"/>
      <c r="G67" s="14"/>
      <c r="H67" s="14"/>
      <c r="I67" s="14"/>
      <c r="J67" s="15"/>
      <c r="K67" s="15"/>
      <c r="L67" s="15">
        <v>0</v>
      </c>
      <c r="M67" s="15" t="s">
        <v>219</v>
      </c>
      <c r="N67" s="16">
        <v>0.25</v>
      </c>
      <c r="O67" s="16">
        <v>0.25</v>
      </c>
      <c r="P67" s="16">
        <v>0</v>
      </c>
      <c r="Q67" s="16" t="s">
        <v>33</v>
      </c>
      <c r="R67" s="17">
        <v>57.75</v>
      </c>
      <c r="S67" s="17">
        <v>15.89</v>
      </c>
      <c r="T67" s="17">
        <v>73.64</v>
      </c>
      <c r="U67" s="17">
        <v>49.017499999999998</v>
      </c>
      <c r="V67" s="17">
        <v>21.0075</v>
      </c>
      <c r="W67" s="17">
        <v>0</v>
      </c>
      <c r="X67" s="17">
        <v>0</v>
      </c>
      <c r="Y67" s="17">
        <v>0</v>
      </c>
      <c r="Z67" s="17">
        <v>0</v>
      </c>
      <c r="AA67" s="17">
        <v>0</v>
      </c>
      <c r="AB67" s="17">
        <v>0</v>
      </c>
      <c r="AC67" s="17">
        <v>0</v>
      </c>
      <c r="AD67" s="17">
        <v>0</v>
      </c>
      <c r="AE67" s="17">
        <v>0</v>
      </c>
      <c r="AF67" s="17">
        <v>0</v>
      </c>
      <c r="AG67" s="17">
        <v>0</v>
      </c>
      <c r="AH67" s="17">
        <v>0</v>
      </c>
      <c r="AI67" s="17">
        <v>0</v>
      </c>
      <c r="AJ67" s="17">
        <v>0</v>
      </c>
      <c r="AK67" s="17">
        <v>0</v>
      </c>
      <c r="AL67" s="17">
        <v>0</v>
      </c>
      <c r="AM67" s="17">
        <v>0</v>
      </c>
      <c r="AN67" s="17">
        <v>0</v>
      </c>
      <c r="AO67" s="17">
        <v>0</v>
      </c>
      <c r="AP67" s="17">
        <v>0</v>
      </c>
      <c r="AQ67" s="17">
        <v>0</v>
      </c>
      <c r="AR67" s="17">
        <v>0</v>
      </c>
      <c r="AS67" s="17">
        <v>0</v>
      </c>
      <c r="AT67" s="17">
        <v>0</v>
      </c>
      <c r="AU67" s="17">
        <v>0</v>
      </c>
      <c r="AV67" s="17">
        <v>0</v>
      </c>
      <c r="AW67" s="17"/>
      <c r="AX67" s="17"/>
      <c r="AY67" s="19">
        <v>70.025000000000006</v>
      </c>
      <c r="AZ67" s="82">
        <v>0</v>
      </c>
      <c r="BA67" s="18">
        <v>0</v>
      </c>
      <c r="BB67" s="19">
        <v>70.025000000000006</v>
      </c>
      <c r="BD67" s="43"/>
    </row>
    <row r="68" spans="2:57" s="43" customFormat="1" hidden="1" outlineLevel="1" x14ac:dyDescent="0.25">
      <c r="B68" s="38" t="s">
        <v>23</v>
      </c>
      <c r="C68" s="39">
        <v>32</v>
      </c>
      <c r="D68" s="40" t="s">
        <v>220</v>
      </c>
      <c r="E68" s="7" t="s">
        <v>221</v>
      </c>
      <c r="F68" s="7" t="s">
        <v>222</v>
      </c>
      <c r="G68" s="7" t="s">
        <v>217</v>
      </c>
      <c r="H68" s="7" t="s">
        <v>218</v>
      </c>
      <c r="I68" s="7" t="s">
        <v>29</v>
      </c>
      <c r="J68" s="8">
        <v>46991.33</v>
      </c>
      <c r="K68" s="9">
        <v>22264.33</v>
      </c>
      <c r="L68" s="9"/>
      <c r="M68" s="9"/>
      <c r="N68" s="10"/>
      <c r="O68" s="10"/>
      <c r="P68" s="10"/>
      <c r="Q68" s="10" t="s">
        <v>30</v>
      </c>
      <c r="R68" s="11">
        <v>4948</v>
      </c>
      <c r="S68" s="11">
        <v>4948</v>
      </c>
      <c r="T68" s="11">
        <v>9896</v>
      </c>
      <c r="U68" s="11">
        <v>9896</v>
      </c>
      <c r="V68" s="11">
        <v>7420.33</v>
      </c>
      <c r="W68" s="11">
        <v>0</v>
      </c>
      <c r="X68" s="11">
        <v>0</v>
      </c>
      <c r="Y68" s="11">
        <v>0</v>
      </c>
      <c r="Z68" s="11">
        <v>0</v>
      </c>
      <c r="AA68" s="11">
        <v>0</v>
      </c>
      <c r="AB68" s="11">
        <v>0</v>
      </c>
      <c r="AC68" s="11">
        <v>0</v>
      </c>
      <c r="AD68" s="11">
        <v>0</v>
      </c>
      <c r="AE68" s="11">
        <v>0</v>
      </c>
      <c r="AF68" s="11">
        <v>0</v>
      </c>
      <c r="AG68" s="11">
        <v>0</v>
      </c>
      <c r="AH68" s="11">
        <v>0</v>
      </c>
      <c r="AI68" s="11">
        <v>0</v>
      </c>
      <c r="AJ68" s="11">
        <v>0</v>
      </c>
      <c r="AK68" s="11">
        <v>0</v>
      </c>
      <c r="AL68" s="11">
        <v>0</v>
      </c>
      <c r="AM68" s="11">
        <v>0</v>
      </c>
      <c r="AN68" s="11">
        <v>0</v>
      </c>
      <c r="AO68" s="11">
        <v>0</v>
      </c>
      <c r="AP68" s="11">
        <v>0</v>
      </c>
      <c r="AQ68" s="11">
        <v>0</v>
      </c>
      <c r="AR68" s="11">
        <v>0</v>
      </c>
      <c r="AS68" s="11">
        <v>0</v>
      </c>
      <c r="AT68" s="11">
        <v>0</v>
      </c>
      <c r="AU68" s="11">
        <v>0</v>
      </c>
      <c r="AV68" s="11">
        <v>0</v>
      </c>
      <c r="AW68" s="11"/>
      <c r="AX68" s="11"/>
      <c r="AY68" s="13">
        <v>17316.330000000002</v>
      </c>
      <c r="AZ68" s="82">
        <v>0</v>
      </c>
      <c r="BA68" s="12">
        <v>0</v>
      </c>
      <c r="BB68" s="13">
        <v>17316.330000000002</v>
      </c>
      <c r="BE68" s="44"/>
    </row>
    <row r="69" spans="2:57" hidden="1" outlineLevel="1" x14ac:dyDescent="0.25">
      <c r="B69" s="45" t="s">
        <v>23</v>
      </c>
      <c r="C69" s="46"/>
      <c r="D69" s="47"/>
      <c r="E69" s="14"/>
      <c r="F69" s="14"/>
      <c r="G69" s="14"/>
      <c r="H69" s="14"/>
      <c r="I69" s="14"/>
      <c r="J69" s="15"/>
      <c r="K69" s="15"/>
      <c r="L69" s="15">
        <v>0</v>
      </c>
      <c r="M69" s="15" t="s">
        <v>219</v>
      </c>
      <c r="N69" s="16">
        <v>0.25</v>
      </c>
      <c r="O69" s="16">
        <v>0.25</v>
      </c>
      <c r="P69" s="16">
        <v>0</v>
      </c>
      <c r="Q69" s="16" t="s">
        <v>33</v>
      </c>
      <c r="R69" s="17">
        <v>51</v>
      </c>
      <c r="S69" s="17">
        <v>14.03</v>
      </c>
      <c r="T69" s="17">
        <v>65.03</v>
      </c>
      <c r="U69" s="17">
        <v>43.290825000000005</v>
      </c>
      <c r="V69" s="17">
        <v>18.550825</v>
      </c>
      <c r="W69" s="17">
        <v>0</v>
      </c>
      <c r="X69" s="17">
        <v>0</v>
      </c>
      <c r="Y69" s="17">
        <v>0</v>
      </c>
      <c r="Z69" s="17">
        <v>0</v>
      </c>
      <c r="AA69" s="17">
        <v>0</v>
      </c>
      <c r="AB69" s="17">
        <v>0</v>
      </c>
      <c r="AC69" s="17">
        <v>0</v>
      </c>
      <c r="AD69" s="17">
        <v>0</v>
      </c>
      <c r="AE69" s="17">
        <v>0</v>
      </c>
      <c r="AF69" s="17">
        <v>0</v>
      </c>
      <c r="AG69" s="17">
        <v>0</v>
      </c>
      <c r="AH69" s="17">
        <v>0</v>
      </c>
      <c r="AI69" s="17">
        <v>0</v>
      </c>
      <c r="AJ69" s="17">
        <v>0</v>
      </c>
      <c r="AK69" s="17">
        <v>0</v>
      </c>
      <c r="AL69" s="17">
        <v>0</v>
      </c>
      <c r="AM69" s="17">
        <v>0</v>
      </c>
      <c r="AN69" s="17">
        <v>0</v>
      </c>
      <c r="AO69" s="17">
        <v>0</v>
      </c>
      <c r="AP69" s="17">
        <v>0</v>
      </c>
      <c r="AQ69" s="17">
        <v>0</v>
      </c>
      <c r="AR69" s="17">
        <v>0</v>
      </c>
      <c r="AS69" s="17">
        <v>0</v>
      </c>
      <c r="AT69" s="17">
        <v>0</v>
      </c>
      <c r="AU69" s="17">
        <v>0</v>
      </c>
      <c r="AV69" s="17">
        <v>0</v>
      </c>
      <c r="AW69" s="17"/>
      <c r="AX69" s="17"/>
      <c r="AY69" s="19">
        <v>61.841650000000001</v>
      </c>
      <c r="AZ69" s="82">
        <v>0</v>
      </c>
      <c r="BA69" s="18">
        <v>0</v>
      </c>
      <c r="BB69" s="19">
        <v>61.841650000000001</v>
      </c>
      <c r="BD69" s="43"/>
    </row>
    <row r="70" spans="2:57" s="43" customFormat="1" hidden="1" outlineLevel="1" x14ac:dyDescent="0.25">
      <c r="B70" s="38" t="s">
        <v>74</v>
      </c>
      <c r="C70" s="39">
        <v>33</v>
      </c>
      <c r="D70" s="40" t="s">
        <v>223</v>
      </c>
      <c r="E70" s="7" t="s">
        <v>224</v>
      </c>
      <c r="F70" s="7" t="s">
        <v>225</v>
      </c>
      <c r="G70" s="7" t="s">
        <v>226</v>
      </c>
      <c r="H70" s="7" t="s">
        <v>227</v>
      </c>
      <c r="I70" s="7" t="s">
        <v>29</v>
      </c>
      <c r="J70" s="8">
        <v>9703992</v>
      </c>
      <c r="K70" s="9">
        <v>9485777.9199999999</v>
      </c>
      <c r="L70" s="9"/>
      <c r="M70" s="9"/>
      <c r="N70" s="10"/>
      <c r="O70" s="10">
        <v>4.1559999999999997</v>
      </c>
      <c r="P70" s="10"/>
      <c r="Q70" s="10" t="s">
        <v>30</v>
      </c>
      <c r="R70" s="11">
        <v>171645</v>
      </c>
      <c r="S70" s="11">
        <v>171754</v>
      </c>
      <c r="T70" s="11">
        <v>343399</v>
      </c>
      <c r="U70" s="11">
        <v>343508</v>
      </c>
      <c r="V70" s="11">
        <v>343508</v>
      </c>
      <c r="W70" s="11">
        <v>343508</v>
      </c>
      <c r="X70" s="11">
        <v>343508</v>
      </c>
      <c r="Y70" s="11">
        <v>343508</v>
      </c>
      <c r="Z70" s="11">
        <v>343508</v>
      </c>
      <c r="AA70" s="11">
        <v>343508</v>
      </c>
      <c r="AB70" s="11">
        <v>343508</v>
      </c>
      <c r="AC70" s="11">
        <v>343508</v>
      </c>
      <c r="AD70" s="11">
        <v>343508</v>
      </c>
      <c r="AE70" s="11">
        <v>343508</v>
      </c>
      <c r="AF70" s="11">
        <v>343508</v>
      </c>
      <c r="AG70" s="11">
        <v>343508</v>
      </c>
      <c r="AH70" s="11">
        <v>343508</v>
      </c>
      <c r="AI70" s="11">
        <v>343508</v>
      </c>
      <c r="AJ70" s="11">
        <v>343508</v>
      </c>
      <c r="AK70" s="11">
        <v>343508</v>
      </c>
      <c r="AL70" s="11">
        <v>343508</v>
      </c>
      <c r="AM70" s="11">
        <v>343508</v>
      </c>
      <c r="AN70" s="11">
        <v>343508</v>
      </c>
      <c r="AO70" s="11">
        <v>343508</v>
      </c>
      <c r="AP70" s="11">
        <v>343508</v>
      </c>
      <c r="AQ70" s="11">
        <v>343508</v>
      </c>
      <c r="AR70" s="11">
        <v>343508</v>
      </c>
      <c r="AS70" s="11">
        <v>343508</v>
      </c>
      <c r="AT70" s="11">
        <v>343508</v>
      </c>
      <c r="AU70" s="11">
        <v>343508</v>
      </c>
      <c r="AV70" s="11">
        <v>39307.919999999998</v>
      </c>
      <c r="AW70" s="11"/>
      <c r="AX70" s="11"/>
      <c r="AY70" s="13">
        <v>9314023.9199999999</v>
      </c>
      <c r="AZ70" s="82">
        <v>0</v>
      </c>
      <c r="BA70" s="12">
        <v>6909467.9199999999</v>
      </c>
      <c r="BB70" s="13">
        <v>9314023.9199999999</v>
      </c>
      <c r="BE70" s="44"/>
    </row>
    <row r="71" spans="2:57" hidden="1" outlineLevel="1" x14ac:dyDescent="0.25">
      <c r="B71" s="45" t="s">
        <v>74</v>
      </c>
      <c r="C71" s="46"/>
      <c r="D71" s="47"/>
      <c r="E71" s="14"/>
      <c r="F71" s="14"/>
      <c r="G71" s="14"/>
      <c r="H71" s="14"/>
      <c r="I71" s="14"/>
      <c r="J71" s="15"/>
      <c r="K71" s="15"/>
      <c r="L71" s="15" t="s">
        <v>228</v>
      </c>
      <c r="M71" s="15"/>
      <c r="N71" s="16">
        <v>4.75</v>
      </c>
      <c r="O71" s="21">
        <v>4.75</v>
      </c>
      <c r="P71" s="16">
        <v>0</v>
      </c>
      <c r="Q71" s="16" t="s">
        <v>33</v>
      </c>
      <c r="R71" s="17">
        <v>182887.93</v>
      </c>
      <c r="S71" s="17">
        <v>100638.34</v>
      </c>
      <c r="T71" s="17">
        <v>283526.27</v>
      </c>
      <c r="U71" s="17">
        <v>438300.13619999995</v>
      </c>
      <c r="V71" s="17">
        <v>426099.50619999995</v>
      </c>
      <c r="W71" s="17">
        <v>409782.8762</v>
      </c>
      <c r="X71" s="17">
        <v>393466.24619999999</v>
      </c>
      <c r="Y71" s="17">
        <v>377149.61619999999</v>
      </c>
      <c r="Z71" s="17">
        <v>360832.98619999998</v>
      </c>
      <c r="AA71" s="17">
        <v>344516.35619999998</v>
      </c>
      <c r="AB71" s="17">
        <v>328199.72620000003</v>
      </c>
      <c r="AC71" s="17">
        <v>311883.09620000003</v>
      </c>
      <c r="AD71" s="17">
        <v>295566.46620000002</v>
      </c>
      <c r="AE71" s="17">
        <v>279249.83620000002</v>
      </c>
      <c r="AF71" s="17">
        <v>262933.20620000002</v>
      </c>
      <c r="AG71" s="17">
        <v>246616.57620000001</v>
      </c>
      <c r="AH71" s="17">
        <v>230299.94620000001</v>
      </c>
      <c r="AI71" s="17">
        <v>213983.3162</v>
      </c>
      <c r="AJ71" s="17">
        <v>197666.6862</v>
      </c>
      <c r="AK71" s="17">
        <v>181350.05620000002</v>
      </c>
      <c r="AL71" s="17">
        <v>165033.42619999999</v>
      </c>
      <c r="AM71" s="17">
        <v>148716.79619999998</v>
      </c>
      <c r="AN71" s="17">
        <v>132400.16619999998</v>
      </c>
      <c r="AO71" s="17">
        <v>116083.53619999999</v>
      </c>
      <c r="AP71" s="17">
        <v>99766.906199999998</v>
      </c>
      <c r="AQ71" s="17">
        <v>83450.276199999993</v>
      </c>
      <c r="AR71" s="17">
        <v>67133.646199999988</v>
      </c>
      <c r="AS71" s="17">
        <v>50817.016199999991</v>
      </c>
      <c r="AT71" s="17">
        <v>34500.386200000001</v>
      </c>
      <c r="AU71" s="17">
        <v>18183.7562</v>
      </c>
      <c r="AV71" s="17">
        <v>1867.1261999999999</v>
      </c>
      <c r="AW71" s="17"/>
      <c r="AX71" s="17"/>
      <c r="AY71" s="19">
        <v>6215849.6736000003</v>
      </c>
      <c r="AZ71" s="82">
        <v>0</v>
      </c>
      <c r="BA71" s="18">
        <v>3465701.9502000008</v>
      </c>
      <c r="BB71" s="19">
        <v>6215849.6736000003</v>
      </c>
      <c r="BD71" s="43"/>
    </row>
    <row r="72" spans="2:57" s="43" customFormat="1" hidden="1" outlineLevel="1" x14ac:dyDescent="0.25">
      <c r="B72" s="38" t="s">
        <v>74</v>
      </c>
      <c r="C72" s="39">
        <v>34</v>
      </c>
      <c r="D72" s="40" t="s">
        <v>229</v>
      </c>
      <c r="E72" s="7" t="s">
        <v>230</v>
      </c>
      <c r="F72" s="7" t="s">
        <v>231</v>
      </c>
      <c r="G72" s="7" t="s">
        <v>226</v>
      </c>
      <c r="H72" s="7" t="s">
        <v>232</v>
      </c>
      <c r="I72" s="7" t="s">
        <v>29</v>
      </c>
      <c r="J72" s="8">
        <v>43430</v>
      </c>
      <c r="K72" s="9">
        <v>6572</v>
      </c>
      <c r="L72" s="9"/>
      <c r="M72" s="9"/>
      <c r="N72" s="10"/>
      <c r="O72" s="10"/>
      <c r="P72" s="10"/>
      <c r="Q72" s="10" t="s">
        <v>30</v>
      </c>
      <c r="R72" s="11">
        <v>424</v>
      </c>
      <c r="S72" s="11">
        <v>424</v>
      </c>
      <c r="T72" s="11">
        <v>848</v>
      </c>
      <c r="U72" s="11">
        <v>848</v>
      </c>
      <c r="V72" s="11">
        <v>848</v>
      </c>
      <c r="W72" s="11">
        <v>848</v>
      </c>
      <c r="X72" s="11">
        <v>848</v>
      </c>
      <c r="Y72" s="11">
        <v>848</v>
      </c>
      <c r="Z72" s="11">
        <v>848</v>
      </c>
      <c r="AA72" s="11">
        <v>848</v>
      </c>
      <c r="AB72" s="11">
        <v>212</v>
      </c>
      <c r="AC72" s="11">
        <v>0</v>
      </c>
      <c r="AD72" s="11">
        <v>0</v>
      </c>
      <c r="AE72" s="11">
        <v>0</v>
      </c>
      <c r="AF72" s="11">
        <v>0</v>
      </c>
      <c r="AG72" s="11">
        <v>0</v>
      </c>
      <c r="AH72" s="11">
        <v>0</v>
      </c>
      <c r="AI72" s="11">
        <v>0</v>
      </c>
      <c r="AJ72" s="11">
        <v>0</v>
      </c>
      <c r="AK72" s="11">
        <v>0</v>
      </c>
      <c r="AL72" s="11">
        <v>0</v>
      </c>
      <c r="AM72" s="11">
        <v>0</v>
      </c>
      <c r="AN72" s="11">
        <v>0</v>
      </c>
      <c r="AO72" s="11">
        <v>0</v>
      </c>
      <c r="AP72" s="11">
        <v>0</v>
      </c>
      <c r="AQ72" s="11">
        <v>0</v>
      </c>
      <c r="AR72" s="11">
        <v>0</v>
      </c>
      <c r="AS72" s="11">
        <v>0</v>
      </c>
      <c r="AT72" s="11">
        <v>0</v>
      </c>
      <c r="AU72" s="11">
        <v>0</v>
      </c>
      <c r="AV72" s="11">
        <v>0</v>
      </c>
      <c r="AW72" s="11"/>
      <c r="AX72" s="11"/>
      <c r="AY72" s="13">
        <v>6148</v>
      </c>
      <c r="AZ72" s="82">
        <v>0</v>
      </c>
      <c r="BA72" s="12">
        <v>212</v>
      </c>
      <c r="BB72" s="13">
        <v>6148</v>
      </c>
      <c r="BE72" s="44"/>
    </row>
    <row r="73" spans="2:57" hidden="1" outlineLevel="1" x14ac:dyDescent="0.25">
      <c r="B73" s="45" t="s">
        <v>74</v>
      </c>
      <c r="C73" s="46"/>
      <c r="D73" s="47"/>
      <c r="E73" s="14"/>
      <c r="F73" s="14"/>
      <c r="G73" s="14"/>
      <c r="H73" s="14"/>
      <c r="I73" s="14"/>
      <c r="J73" s="15"/>
      <c r="K73" s="15"/>
      <c r="L73" s="15">
        <v>0</v>
      </c>
      <c r="M73" s="15" t="s">
        <v>219</v>
      </c>
      <c r="N73" s="16">
        <v>0.25</v>
      </c>
      <c r="O73" s="16">
        <v>0.25</v>
      </c>
      <c r="P73" s="16">
        <v>0</v>
      </c>
      <c r="Q73" s="16" t="s">
        <v>33</v>
      </c>
      <c r="R73" s="17">
        <v>13.21</v>
      </c>
      <c r="S73" s="17">
        <v>4.1900000000000004</v>
      </c>
      <c r="T73" s="17">
        <v>17.400000000000002</v>
      </c>
      <c r="U73" s="17">
        <v>15.37</v>
      </c>
      <c r="V73" s="17">
        <v>13.25</v>
      </c>
      <c r="W73" s="17">
        <v>11.13</v>
      </c>
      <c r="X73" s="17">
        <v>9.01</v>
      </c>
      <c r="Y73" s="17">
        <v>6.89</v>
      </c>
      <c r="Z73" s="17">
        <v>4.7699999999999996</v>
      </c>
      <c r="AA73" s="17">
        <v>2.65</v>
      </c>
      <c r="AB73" s="17">
        <v>0.53</v>
      </c>
      <c r="AC73" s="17">
        <v>0</v>
      </c>
      <c r="AD73" s="17">
        <v>0</v>
      </c>
      <c r="AE73" s="17">
        <v>0</v>
      </c>
      <c r="AF73" s="17">
        <v>0</v>
      </c>
      <c r="AG73" s="17">
        <v>0</v>
      </c>
      <c r="AH73" s="17">
        <v>0</v>
      </c>
      <c r="AI73" s="17">
        <v>0</v>
      </c>
      <c r="AJ73" s="17">
        <v>0</v>
      </c>
      <c r="AK73" s="17">
        <v>0</v>
      </c>
      <c r="AL73" s="17">
        <v>0</v>
      </c>
      <c r="AM73" s="17">
        <v>0</v>
      </c>
      <c r="AN73" s="17">
        <v>0</v>
      </c>
      <c r="AO73" s="17">
        <v>0</v>
      </c>
      <c r="AP73" s="17">
        <v>0</v>
      </c>
      <c r="AQ73" s="17">
        <v>0</v>
      </c>
      <c r="AR73" s="17">
        <v>0</v>
      </c>
      <c r="AS73" s="17">
        <v>0</v>
      </c>
      <c r="AT73" s="17">
        <v>0</v>
      </c>
      <c r="AU73" s="17">
        <v>0</v>
      </c>
      <c r="AV73" s="17">
        <v>0</v>
      </c>
      <c r="AW73" s="17"/>
      <c r="AX73" s="17"/>
      <c r="AY73" s="19">
        <v>63.6</v>
      </c>
      <c r="AZ73" s="82">
        <v>0</v>
      </c>
      <c r="BA73" s="18">
        <v>0.53</v>
      </c>
      <c r="BB73" s="19">
        <v>63.6</v>
      </c>
      <c r="BD73" s="43"/>
    </row>
    <row r="74" spans="2:57" s="43" customFormat="1" hidden="1" outlineLevel="1" x14ac:dyDescent="0.25">
      <c r="B74" s="38" t="s">
        <v>74</v>
      </c>
      <c r="C74" s="39">
        <v>35</v>
      </c>
      <c r="D74" s="40" t="s">
        <v>233</v>
      </c>
      <c r="E74" s="7" t="s">
        <v>234</v>
      </c>
      <c r="F74" s="7" t="s">
        <v>235</v>
      </c>
      <c r="G74" s="7" t="s">
        <v>236</v>
      </c>
      <c r="H74" s="7" t="s">
        <v>237</v>
      </c>
      <c r="I74" s="7" t="s">
        <v>29</v>
      </c>
      <c r="J74" s="8">
        <v>400000</v>
      </c>
      <c r="K74" s="9">
        <v>379509</v>
      </c>
      <c r="L74" s="9"/>
      <c r="M74" s="9"/>
      <c r="N74" s="10"/>
      <c r="O74" s="10">
        <v>4.242</v>
      </c>
      <c r="P74" s="10"/>
      <c r="Q74" s="10" t="s">
        <v>30</v>
      </c>
      <c r="R74" s="11">
        <v>6838</v>
      </c>
      <c r="S74" s="11">
        <v>6838</v>
      </c>
      <c r="T74" s="11">
        <v>13676</v>
      </c>
      <c r="U74" s="11">
        <v>13676</v>
      </c>
      <c r="V74" s="11">
        <v>13676</v>
      </c>
      <c r="W74" s="11">
        <v>13676</v>
      </c>
      <c r="X74" s="11">
        <v>13676</v>
      </c>
      <c r="Y74" s="11">
        <v>13676</v>
      </c>
      <c r="Z74" s="11">
        <v>13676</v>
      </c>
      <c r="AA74" s="11">
        <v>13676</v>
      </c>
      <c r="AB74" s="11">
        <v>13676</v>
      </c>
      <c r="AC74" s="11">
        <v>13676</v>
      </c>
      <c r="AD74" s="11">
        <v>13676</v>
      </c>
      <c r="AE74" s="11">
        <v>13676</v>
      </c>
      <c r="AF74" s="11">
        <v>13676</v>
      </c>
      <c r="AG74" s="11">
        <v>13676</v>
      </c>
      <c r="AH74" s="11">
        <v>13676</v>
      </c>
      <c r="AI74" s="11">
        <v>13676</v>
      </c>
      <c r="AJ74" s="11">
        <v>13676</v>
      </c>
      <c r="AK74" s="11">
        <v>13676</v>
      </c>
      <c r="AL74" s="11">
        <v>13676</v>
      </c>
      <c r="AM74" s="11">
        <v>13676</v>
      </c>
      <c r="AN74" s="11">
        <v>13676</v>
      </c>
      <c r="AO74" s="11">
        <v>13676</v>
      </c>
      <c r="AP74" s="11">
        <v>13676</v>
      </c>
      <c r="AQ74" s="11">
        <v>13676</v>
      </c>
      <c r="AR74" s="11">
        <v>13676</v>
      </c>
      <c r="AS74" s="11">
        <v>13676</v>
      </c>
      <c r="AT74" s="11">
        <v>13676</v>
      </c>
      <c r="AU74" s="11">
        <v>13676</v>
      </c>
      <c r="AV74" s="11">
        <v>3419</v>
      </c>
      <c r="AW74" s="11"/>
      <c r="AX74" s="11"/>
      <c r="AY74" s="13">
        <v>372671</v>
      </c>
      <c r="AZ74" s="82">
        <v>0</v>
      </c>
      <c r="BA74" s="12">
        <v>276939</v>
      </c>
      <c r="BB74" s="13">
        <v>372671</v>
      </c>
      <c r="BE74" s="44"/>
    </row>
    <row r="75" spans="2:57" hidden="1" outlineLevel="1" x14ac:dyDescent="0.25">
      <c r="B75" s="45" t="s">
        <v>74</v>
      </c>
      <c r="C75" s="46"/>
      <c r="D75" s="47" t="s">
        <v>238</v>
      </c>
      <c r="E75" s="14"/>
      <c r="F75" s="14"/>
      <c r="G75" s="14"/>
      <c r="H75" s="14"/>
      <c r="I75" s="14"/>
      <c r="J75" s="15"/>
      <c r="K75" s="15"/>
      <c r="L75" s="15" t="s">
        <v>239</v>
      </c>
      <c r="M75" s="15"/>
      <c r="N75" s="16">
        <v>4.5999999999999996</v>
      </c>
      <c r="O75" s="21">
        <v>4.5999999999999996</v>
      </c>
      <c r="P75" s="16">
        <v>0</v>
      </c>
      <c r="Q75" s="16" t="s">
        <v>33</v>
      </c>
      <c r="R75" s="17">
        <v>6157.64</v>
      </c>
      <c r="S75" s="17">
        <v>4109.7</v>
      </c>
      <c r="T75" s="17">
        <v>10267.34</v>
      </c>
      <c r="U75" s="17">
        <v>17142.865999999998</v>
      </c>
      <c r="V75" s="17">
        <v>16513.769999999997</v>
      </c>
      <c r="W75" s="17">
        <v>15884.673999999999</v>
      </c>
      <c r="X75" s="17">
        <v>15255.577999999998</v>
      </c>
      <c r="Y75" s="17">
        <v>14626.482</v>
      </c>
      <c r="Z75" s="17">
        <v>13997.385999999999</v>
      </c>
      <c r="AA75" s="17">
        <v>13368.29</v>
      </c>
      <c r="AB75" s="17">
        <v>12739.194</v>
      </c>
      <c r="AC75" s="17">
        <v>12110.097999999998</v>
      </c>
      <c r="AD75" s="17">
        <v>11481.002</v>
      </c>
      <c r="AE75" s="17">
        <v>10851.905999999999</v>
      </c>
      <c r="AF75" s="17">
        <v>10222.81</v>
      </c>
      <c r="AG75" s="17">
        <v>9593.7139999999999</v>
      </c>
      <c r="AH75" s="17">
        <v>8964.6179999999986</v>
      </c>
      <c r="AI75" s="17">
        <v>8335.521999999999</v>
      </c>
      <c r="AJ75" s="17">
        <v>7706.4259999999995</v>
      </c>
      <c r="AK75" s="17">
        <v>7077.33</v>
      </c>
      <c r="AL75" s="17">
        <v>6448.2339999999995</v>
      </c>
      <c r="AM75" s="17">
        <v>5819.137999999999</v>
      </c>
      <c r="AN75" s="17">
        <v>5190.0419999999995</v>
      </c>
      <c r="AO75" s="17">
        <v>4560.9459999999999</v>
      </c>
      <c r="AP75" s="17">
        <v>3931.8499999999995</v>
      </c>
      <c r="AQ75" s="17">
        <v>3302.7539999999995</v>
      </c>
      <c r="AR75" s="17">
        <v>2673.6579999999999</v>
      </c>
      <c r="AS75" s="17">
        <v>2044.5619999999999</v>
      </c>
      <c r="AT75" s="17">
        <v>1415.4659999999997</v>
      </c>
      <c r="AU75" s="17">
        <v>786.37</v>
      </c>
      <c r="AV75" s="17">
        <v>157.274</v>
      </c>
      <c r="AW75" s="17"/>
      <c r="AX75" s="17"/>
      <c r="AY75" s="19">
        <v>242201.95999999993</v>
      </c>
      <c r="AZ75" s="82">
        <v>0</v>
      </c>
      <c r="BA75" s="18">
        <v>135412.91399999996</v>
      </c>
      <c r="BB75" s="19">
        <v>242201.95999999996</v>
      </c>
      <c r="BD75" s="43"/>
    </row>
    <row r="76" spans="2:57" s="43" customFormat="1" hidden="1" outlineLevel="1" x14ac:dyDescent="0.25">
      <c r="B76" s="38" t="s">
        <v>74</v>
      </c>
      <c r="C76" s="39">
        <v>36</v>
      </c>
      <c r="D76" s="40" t="s">
        <v>240</v>
      </c>
      <c r="E76" s="7" t="s">
        <v>241</v>
      </c>
      <c r="F76" s="7" t="s">
        <v>242</v>
      </c>
      <c r="G76" s="7" t="s">
        <v>243</v>
      </c>
      <c r="H76" s="7" t="s">
        <v>244</v>
      </c>
      <c r="I76" s="7" t="s">
        <v>29</v>
      </c>
      <c r="J76" s="8">
        <v>192902.34</v>
      </c>
      <c r="K76" s="9">
        <v>62660.34</v>
      </c>
      <c r="L76" s="9"/>
      <c r="M76" s="9"/>
      <c r="N76" s="10"/>
      <c r="O76" s="10"/>
      <c r="P76" s="10"/>
      <c r="Q76" s="10" t="s">
        <v>30</v>
      </c>
      <c r="R76" s="11">
        <v>43416</v>
      </c>
      <c r="S76" s="11">
        <v>43416</v>
      </c>
      <c r="T76" s="11">
        <v>86832</v>
      </c>
      <c r="U76" s="11">
        <v>19244.34</v>
      </c>
      <c r="V76" s="11">
        <v>0</v>
      </c>
      <c r="W76" s="11">
        <v>0</v>
      </c>
      <c r="X76" s="11">
        <v>0</v>
      </c>
      <c r="Y76" s="11">
        <v>0</v>
      </c>
      <c r="Z76" s="11">
        <v>0</v>
      </c>
      <c r="AA76" s="11">
        <v>0</v>
      </c>
      <c r="AB76" s="11">
        <v>0</v>
      </c>
      <c r="AC76" s="11">
        <v>0</v>
      </c>
      <c r="AD76" s="11">
        <v>0</v>
      </c>
      <c r="AE76" s="11">
        <v>0</v>
      </c>
      <c r="AF76" s="11">
        <v>0</v>
      </c>
      <c r="AG76" s="11">
        <v>0</v>
      </c>
      <c r="AH76" s="11">
        <v>0</v>
      </c>
      <c r="AI76" s="11">
        <v>0</v>
      </c>
      <c r="AJ76" s="11">
        <v>0</v>
      </c>
      <c r="AK76" s="11">
        <v>0</v>
      </c>
      <c r="AL76" s="11">
        <v>0</v>
      </c>
      <c r="AM76" s="11">
        <v>0</v>
      </c>
      <c r="AN76" s="11">
        <v>0</v>
      </c>
      <c r="AO76" s="11">
        <v>0</v>
      </c>
      <c r="AP76" s="11">
        <v>0</v>
      </c>
      <c r="AQ76" s="11">
        <v>0</v>
      </c>
      <c r="AR76" s="11">
        <v>0</v>
      </c>
      <c r="AS76" s="11">
        <v>0</v>
      </c>
      <c r="AT76" s="11">
        <v>0</v>
      </c>
      <c r="AU76" s="11">
        <v>0</v>
      </c>
      <c r="AV76" s="11">
        <v>0</v>
      </c>
      <c r="AW76" s="11"/>
      <c r="AX76" s="11"/>
      <c r="AY76" s="13">
        <v>19244.34</v>
      </c>
      <c r="AZ76" s="82">
        <v>0</v>
      </c>
      <c r="BA76" s="12">
        <v>0</v>
      </c>
      <c r="BB76" s="13">
        <v>19244.34</v>
      </c>
      <c r="BE76" s="44"/>
    </row>
    <row r="77" spans="2:57" hidden="1" outlineLevel="1" x14ac:dyDescent="0.25">
      <c r="B77" s="45" t="s">
        <v>74</v>
      </c>
      <c r="C77" s="46"/>
      <c r="D77" s="47" t="s">
        <v>245</v>
      </c>
      <c r="E77" s="14"/>
      <c r="F77" s="14"/>
      <c r="G77" s="14"/>
      <c r="H77" s="14"/>
      <c r="I77" s="14"/>
      <c r="J77" s="15"/>
      <c r="K77" s="15"/>
      <c r="L77" s="15">
        <v>0</v>
      </c>
      <c r="M77" s="15" t="s">
        <v>219</v>
      </c>
      <c r="N77" s="16">
        <v>0.25</v>
      </c>
      <c r="O77" s="16">
        <v>0.25</v>
      </c>
      <c r="P77" s="16">
        <v>0</v>
      </c>
      <c r="Q77" s="16" t="s">
        <v>33</v>
      </c>
      <c r="R77" s="17">
        <v>195.98</v>
      </c>
      <c r="S77" s="17">
        <v>38.380000000000003</v>
      </c>
      <c r="T77" s="17">
        <v>234.35999999999999</v>
      </c>
      <c r="U77" s="17">
        <v>48.110849999999999</v>
      </c>
      <c r="V77" s="17">
        <v>0</v>
      </c>
      <c r="W77" s="17">
        <v>0</v>
      </c>
      <c r="X77" s="17">
        <v>0</v>
      </c>
      <c r="Y77" s="17">
        <v>0</v>
      </c>
      <c r="Z77" s="17">
        <v>0</v>
      </c>
      <c r="AA77" s="17">
        <v>0</v>
      </c>
      <c r="AB77" s="17">
        <v>0</v>
      </c>
      <c r="AC77" s="17">
        <v>0</v>
      </c>
      <c r="AD77" s="17">
        <v>0</v>
      </c>
      <c r="AE77" s="17">
        <v>0</v>
      </c>
      <c r="AF77" s="17">
        <v>0</v>
      </c>
      <c r="AG77" s="17">
        <v>0</v>
      </c>
      <c r="AH77" s="17">
        <v>0</v>
      </c>
      <c r="AI77" s="17">
        <v>0</v>
      </c>
      <c r="AJ77" s="17">
        <v>0</v>
      </c>
      <c r="AK77" s="17">
        <v>0</v>
      </c>
      <c r="AL77" s="17">
        <v>0</v>
      </c>
      <c r="AM77" s="17">
        <v>0</v>
      </c>
      <c r="AN77" s="17">
        <v>0</v>
      </c>
      <c r="AO77" s="17">
        <v>0</v>
      </c>
      <c r="AP77" s="17">
        <v>0</v>
      </c>
      <c r="AQ77" s="17">
        <v>0</v>
      </c>
      <c r="AR77" s="17">
        <v>0</v>
      </c>
      <c r="AS77" s="17">
        <v>0</v>
      </c>
      <c r="AT77" s="17">
        <v>0</v>
      </c>
      <c r="AU77" s="17">
        <v>0</v>
      </c>
      <c r="AV77" s="17">
        <v>0</v>
      </c>
      <c r="AW77" s="17"/>
      <c r="AX77" s="17"/>
      <c r="AY77" s="19">
        <v>48.110849999999999</v>
      </c>
      <c r="AZ77" s="82">
        <v>0</v>
      </c>
      <c r="BA77" s="18">
        <v>0</v>
      </c>
      <c r="BB77" s="19">
        <v>48.110849999999999</v>
      </c>
      <c r="BD77" s="43"/>
    </row>
    <row r="78" spans="2:57" s="43" customFormat="1" hidden="1" outlineLevel="1" collapsed="1" x14ac:dyDescent="0.25">
      <c r="B78" s="38" t="s">
        <v>74</v>
      </c>
      <c r="C78" s="39">
        <v>37</v>
      </c>
      <c r="D78" s="40" t="s">
        <v>246</v>
      </c>
      <c r="E78" s="7" t="s">
        <v>247</v>
      </c>
      <c r="F78" s="7" t="s">
        <v>248</v>
      </c>
      <c r="G78" s="7" t="s">
        <v>249</v>
      </c>
      <c r="H78" s="7" t="s">
        <v>250</v>
      </c>
      <c r="I78" s="7" t="s">
        <v>29</v>
      </c>
      <c r="J78" s="8">
        <v>279650</v>
      </c>
      <c r="K78" s="9">
        <v>265401</v>
      </c>
      <c r="L78" s="9"/>
      <c r="M78" s="9"/>
      <c r="N78" s="10"/>
      <c r="O78" s="10"/>
      <c r="P78" s="10"/>
      <c r="Q78" s="10" t="s">
        <v>30</v>
      </c>
      <c r="R78" s="11">
        <v>4782</v>
      </c>
      <c r="S78" s="11">
        <v>4782</v>
      </c>
      <c r="T78" s="11">
        <v>9564</v>
      </c>
      <c r="U78" s="11">
        <v>9564</v>
      </c>
      <c r="V78" s="11">
        <v>9564</v>
      </c>
      <c r="W78" s="11">
        <v>9564</v>
      </c>
      <c r="X78" s="11">
        <v>9564</v>
      </c>
      <c r="Y78" s="11">
        <v>9564</v>
      </c>
      <c r="Z78" s="11">
        <v>9564</v>
      </c>
      <c r="AA78" s="11">
        <v>9564</v>
      </c>
      <c r="AB78" s="11">
        <v>9564</v>
      </c>
      <c r="AC78" s="11">
        <v>9564</v>
      </c>
      <c r="AD78" s="11">
        <v>9564</v>
      </c>
      <c r="AE78" s="11">
        <v>9564</v>
      </c>
      <c r="AF78" s="11">
        <v>9564</v>
      </c>
      <c r="AG78" s="11">
        <v>9564</v>
      </c>
      <c r="AH78" s="11">
        <v>9564</v>
      </c>
      <c r="AI78" s="11">
        <v>9564</v>
      </c>
      <c r="AJ78" s="11">
        <v>9564</v>
      </c>
      <c r="AK78" s="11">
        <v>9564</v>
      </c>
      <c r="AL78" s="11">
        <v>9564</v>
      </c>
      <c r="AM78" s="11">
        <v>9564</v>
      </c>
      <c r="AN78" s="11">
        <v>9564</v>
      </c>
      <c r="AO78" s="11">
        <v>9564</v>
      </c>
      <c r="AP78" s="11">
        <v>9564</v>
      </c>
      <c r="AQ78" s="11">
        <v>9564</v>
      </c>
      <c r="AR78" s="11">
        <v>9564</v>
      </c>
      <c r="AS78" s="11">
        <v>9564</v>
      </c>
      <c r="AT78" s="11">
        <v>9564</v>
      </c>
      <c r="AU78" s="11">
        <v>9564</v>
      </c>
      <c r="AV78" s="11">
        <v>2391</v>
      </c>
      <c r="AW78" s="11"/>
      <c r="AX78" s="11"/>
      <c r="AY78" s="13">
        <v>260619</v>
      </c>
      <c r="AZ78" s="82">
        <v>0</v>
      </c>
      <c r="BA78" s="12">
        <v>193671</v>
      </c>
      <c r="BB78" s="13">
        <v>260619</v>
      </c>
      <c r="BE78" s="44"/>
    </row>
    <row r="79" spans="2:57" hidden="1" outlineLevel="1" x14ac:dyDescent="0.25">
      <c r="B79" s="45" t="s">
        <v>74</v>
      </c>
      <c r="C79" s="46"/>
      <c r="D79" s="47"/>
      <c r="E79" s="14"/>
      <c r="F79" s="14"/>
      <c r="G79" s="14"/>
      <c r="H79" s="14"/>
      <c r="I79" s="14"/>
      <c r="J79" s="15"/>
      <c r="K79" s="15"/>
      <c r="L79" s="15" t="s">
        <v>251</v>
      </c>
      <c r="M79" s="15"/>
      <c r="N79" s="16">
        <v>4.2030000000000003</v>
      </c>
      <c r="O79" s="16">
        <v>4.2030000000000003</v>
      </c>
      <c r="P79" s="16">
        <v>0</v>
      </c>
      <c r="Q79" s="16" t="s">
        <v>33</v>
      </c>
      <c r="R79" s="17">
        <v>3429.71</v>
      </c>
      <c r="S79" s="17">
        <v>2847.6</v>
      </c>
      <c r="T79" s="17">
        <v>6277.3099999999995</v>
      </c>
      <c r="U79" s="17">
        <v>10953.816570000001</v>
      </c>
      <c r="V79" s="17">
        <v>10551.84165</v>
      </c>
      <c r="W79" s="17">
        <v>10149.866730000002</v>
      </c>
      <c r="X79" s="17">
        <v>9747.891810000001</v>
      </c>
      <c r="Y79" s="17">
        <v>9345.9168900000004</v>
      </c>
      <c r="Z79" s="17">
        <v>8943.9419699999999</v>
      </c>
      <c r="AA79" s="17">
        <v>8541.9670500000011</v>
      </c>
      <c r="AB79" s="17">
        <v>8139.9921300000015</v>
      </c>
      <c r="AC79" s="17">
        <v>7738.01721</v>
      </c>
      <c r="AD79" s="17">
        <v>7336.0422900000003</v>
      </c>
      <c r="AE79" s="17">
        <v>6934.0673700000007</v>
      </c>
      <c r="AF79" s="17">
        <v>6532.0924500000001</v>
      </c>
      <c r="AG79" s="17">
        <v>6130.1175300000004</v>
      </c>
      <c r="AH79" s="17">
        <v>5728.1426100000008</v>
      </c>
      <c r="AI79" s="17">
        <v>5326.1676900000011</v>
      </c>
      <c r="AJ79" s="17">
        <v>4924.1927700000006</v>
      </c>
      <c r="AK79" s="17">
        <v>4522.21785</v>
      </c>
      <c r="AL79" s="17">
        <v>4120.2429300000003</v>
      </c>
      <c r="AM79" s="17">
        <v>3718.2680100000002</v>
      </c>
      <c r="AN79" s="17">
        <v>3316.2930900000001</v>
      </c>
      <c r="AO79" s="17">
        <v>2914.3181700000005</v>
      </c>
      <c r="AP79" s="17">
        <v>2512.3432499999999</v>
      </c>
      <c r="AQ79" s="17">
        <v>2110.3683300000002</v>
      </c>
      <c r="AR79" s="17">
        <v>1708.3934100000001</v>
      </c>
      <c r="AS79" s="17">
        <v>1306.41849</v>
      </c>
      <c r="AT79" s="17">
        <v>904.44357000000002</v>
      </c>
      <c r="AU79" s="17">
        <v>502.46865000000003</v>
      </c>
      <c r="AV79" s="17">
        <v>100.49373000000001</v>
      </c>
      <c r="AW79" s="17"/>
      <c r="AX79" s="17"/>
      <c r="AY79" s="19">
        <v>154760.34419999999</v>
      </c>
      <c r="AZ79" s="82">
        <v>0</v>
      </c>
      <c r="BA79" s="18">
        <v>86525.101530000029</v>
      </c>
      <c r="BB79" s="19">
        <v>154760.34420000005</v>
      </c>
      <c r="BD79" s="43"/>
    </row>
    <row r="80" spans="2:57" s="43" customFormat="1" hidden="1" outlineLevel="1" x14ac:dyDescent="0.25">
      <c r="B80" s="38" t="s">
        <v>74</v>
      </c>
      <c r="C80" s="39">
        <v>38</v>
      </c>
      <c r="D80" s="40" t="s">
        <v>252</v>
      </c>
      <c r="E80" s="7" t="s">
        <v>253</v>
      </c>
      <c r="F80" s="7" t="s">
        <v>254</v>
      </c>
      <c r="G80" s="7" t="s">
        <v>255</v>
      </c>
      <c r="H80" s="7" t="s">
        <v>256</v>
      </c>
      <c r="I80" s="7" t="s">
        <v>29</v>
      </c>
      <c r="J80" s="8">
        <v>2075409</v>
      </c>
      <c r="K80" s="9">
        <v>1486222</v>
      </c>
      <c r="L80" s="9"/>
      <c r="M80" s="9"/>
      <c r="N80" s="10"/>
      <c r="O80" s="10"/>
      <c r="P80" s="10"/>
      <c r="Q80" s="10" t="s">
        <v>30</v>
      </c>
      <c r="R80" s="11">
        <v>75020</v>
      </c>
      <c r="S80" s="11">
        <v>75020</v>
      </c>
      <c r="T80" s="11">
        <v>150040</v>
      </c>
      <c r="U80" s="11">
        <v>128252</v>
      </c>
      <c r="V80" s="11">
        <v>123200</v>
      </c>
      <c r="W80" s="11">
        <v>121648</v>
      </c>
      <c r="X80" s="11">
        <v>117000</v>
      </c>
      <c r="Y80" s="11">
        <v>117000</v>
      </c>
      <c r="Z80" s="11">
        <v>117000</v>
      </c>
      <c r="AA80" s="11">
        <v>117000</v>
      </c>
      <c r="AB80" s="11">
        <v>110320</v>
      </c>
      <c r="AC80" s="11">
        <v>91212</v>
      </c>
      <c r="AD80" s="11">
        <v>82616</v>
      </c>
      <c r="AE80" s="11">
        <v>82616</v>
      </c>
      <c r="AF80" s="11">
        <v>82616</v>
      </c>
      <c r="AG80" s="11">
        <v>75860</v>
      </c>
      <c r="AH80" s="11">
        <v>36908</v>
      </c>
      <c r="AI80" s="11">
        <v>7954</v>
      </c>
      <c r="AJ80" s="11">
        <v>0</v>
      </c>
      <c r="AK80" s="11">
        <v>0</v>
      </c>
      <c r="AL80" s="11">
        <v>0</v>
      </c>
      <c r="AM80" s="11">
        <v>0</v>
      </c>
      <c r="AN80" s="11">
        <v>0</v>
      </c>
      <c r="AO80" s="11">
        <v>0</v>
      </c>
      <c r="AP80" s="11">
        <v>0</v>
      </c>
      <c r="AQ80" s="11">
        <v>0</v>
      </c>
      <c r="AR80" s="11">
        <v>0</v>
      </c>
      <c r="AS80" s="11">
        <v>0</v>
      </c>
      <c r="AT80" s="11">
        <v>0</v>
      </c>
      <c r="AU80" s="11">
        <v>0</v>
      </c>
      <c r="AV80" s="11">
        <v>0</v>
      </c>
      <c r="AW80" s="11"/>
      <c r="AX80" s="11"/>
      <c r="AY80" s="13">
        <v>1411202</v>
      </c>
      <c r="AZ80" s="82">
        <v>0</v>
      </c>
      <c r="BA80" s="12">
        <v>570102</v>
      </c>
      <c r="BB80" s="13">
        <v>1411202</v>
      </c>
      <c r="BE80" s="44"/>
    </row>
    <row r="81" spans="2:57" hidden="1" outlineLevel="1" x14ac:dyDescent="0.25">
      <c r="B81" s="45" t="s">
        <v>74</v>
      </c>
      <c r="C81" s="46"/>
      <c r="D81" s="47" t="s">
        <v>257</v>
      </c>
      <c r="E81" s="14"/>
      <c r="F81" s="14"/>
      <c r="G81" s="14"/>
      <c r="H81" s="14"/>
      <c r="I81" s="14"/>
      <c r="J81" s="15"/>
      <c r="K81" s="15"/>
      <c r="L81" s="15" t="s">
        <v>258</v>
      </c>
      <c r="M81" s="15"/>
      <c r="N81" s="16">
        <v>4.0750000000000002</v>
      </c>
      <c r="O81" s="16">
        <v>4.0750000000000002</v>
      </c>
      <c r="P81" s="16">
        <v>0</v>
      </c>
      <c r="Q81" s="16" t="s">
        <v>33</v>
      </c>
      <c r="R81" s="17">
        <v>13337.62</v>
      </c>
      <c r="S81" s="17">
        <v>14483.98</v>
      </c>
      <c r="T81" s="17">
        <v>27821.599999999999</v>
      </c>
      <c r="U81" s="17">
        <v>57506.481500000002</v>
      </c>
      <c r="V81" s="17">
        <v>52280.212500000001</v>
      </c>
      <c r="W81" s="17">
        <v>47259.8125</v>
      </c>
      <c r="X81" s="17">
        <v>42302.656500000005</v>
      </c>
      <c r="Y81" s="17">
        <v>37534.906500000005</v>
      </c>
      <c r="Z81" s="17">
        <v>32767.156500000005</v>
      </c>
      <c r="AA81" s="17">
        <v>27999.406499999997</v>
      </c>
      <c r="AB81" s="17">
        <v>23231.656499999997</v>
      </c>
      <c r="AC81" s="17">
        <v>18736.1165</v>
      </c>
      <c r="AD81" s="17">
        <v>15019.227500000001</v>
      </c>
      <c r="AE81" s="17">
        <v>11652.6255</v>
      </c>
      <c r="AF81" s="17">
        <v>8286.0235000000011</v>
      </c>
      <c r="AG81" s="17">
        <v>4919.4215000000004</v>
      </c>
      <c r="AH81" s="17">
        <v>1828.1264999999999</v>
      </c>
      <c r="AI81" s="17">
        <v>324.12550000000005</v>
      </c>
      <c r="AJ81" s="17">
        <v>0</v>
      </c>
      <c r="AK81" s="17">
        <v>0</v>
      </c>
      <c r="AL81" s="17">
        <v>0</v>
      </c>
      <c r="AM81" s="17">
        <v>0</v>
      </c>
      <c r="AN81" s="17">
        <v>0</v>
      </c>
      <c r="AO81" s="17">
        <v>0</v>
      </c>
      <c r="AP81" s="17">
        <v>0</v>
      </c>
      <c r="AQ81" s="17">
        <v>0</v>
      </c>
      <c r="AR81" s="17">
        <v>0</v>
      </c>
      <c r="AS81" s="17">
        <v>0</v>
      </c>
      <c r="AT81" s="17">
        <v>0</v>
      </c>
      <c r="AU81" s="17">
        <v>0</v>
      </c>
      <c r="AV81" s="17">
        <v>0</v>
      </c>
      <c r="AW81" s="17"/>
      <c r="AX81" s="17"/>
      <c r="AY81" s="19">
        <v>381647.95550000004</v>
      </c>
      <c r="AZ81" s="82">
        <v>0</v>
      </c>
      <c r="BA81" s="18">
        <v>83997.322999999989</v>
      </c>
      <c r="BB81" s="19">
        <v>381647.95549999998</v>
      </c>
      <c r="BD81" s="43"/>
    </row>
    <row r="82" spans="2:57" s="43" customFormat="1" hidden="1" outlineLevel="1" x14ac:dyDescent="0.25">
      <c r="B82" s="38" t="s">
        <v>74</v>
      </c>
      <c r="C82" s="39">
        <v>39</v>
      </c>
      <c r="D82" s="40" t="s">
        <v>259</v>
      </c>
      <c r="E82" s="7" t="s">
        <v>260</v>
      </c>
      <c r="F82" s="7" t="s">
        <v>261</v>
      </c>
      <c r="G82" s="7" t="s">
        <v>262</v>
      </c>
      <c r="H82" s="7" t="s">
        <v>263</v>
      </c>
      <c r="I82" s="7" t="s">
        <v>29</v>
      </c>
      <c r="J82" s="8">
        <v>617703</v>
      </c>
      <c r="K82" s="9">
        <v>586320</v>
      </c>
      <c r="L82" s="9"/>
      <c r="M82" s="9"/>
      <c r="N82" s="10"/>
      <c r="O82" s="10"/>
      <c r="P82" s="10"/>
      <c r="Q82" s="10" t="s">
        <v>30</v>
      </c>
      <c r="R82" s="11">
        <v>10470</v>
      </c>
      <c r="S82" s="11">
        <v>10470</v>
      </c>
      <c r="T82" s="11">
        <v>20940</v>
      </c>
      <c r="U82" s="11">
        <v>20940</v>
      </c>
      <c r="V82" s="11">
        <v>20940</v>
      </c>
      <c r="W82" s="11">
        <v>20940</v>
      </c>
      <c r="X82" s="11">
        <v>20940</v>
      </c>
      <c r="Y82" s="11">
        <v>20940</v>
      </c>
      <c r="Z82" s="11">
        <v>20940</v>
      </c>
      <c r="AA82" s="11">
        <v>20940</v>
      </c>
      <c r="AB82" s="11">
        <v>20940</v>
      </c>
      <c r="AC82" s="11">
        <v>20940</v>
      </c>
      <c r="AD82" s="11">
        <v>20940</v>
      </c>
      <c r="AE82" s="11">
        <v>20940</v>
      </c>
      <c r="AF82" s="11">
        <v>20940</v>
      </c>
      <c r="AG82" s="11">
        <v>20940</v>
      </c>
      <c r="AH82" s="11">
        <v>20940</v>
      </c>
      <c r="AI82" s="11">
        <v>20940</v>
      </c>
      <c r="AJ82" s="11">
        <v>20940</v>
      </c>
      <c r="AK82" s="11">
        <v>20940</v>
      </c>
      <c r="AL82" s="11">
        <v>20940</v>
      </c>
      <c r="AM82" s="11">
        <v>20940</v>
      </c>
      <c r="AN82" s="11">
        <v>20940</v>
      </c>
      <c r="AO82" s="11">
        <v>20940</v>
      </c>
      <c r="AP82" s="11">
        <v>20940</v>
      </c>
      <c r="AQ82" s="11">
        <v>20940</v>
      </c>
      <c r="AR82" s="11">
        <v>20940</v>
      </c>
      <c r="AS82" s="11">
        <v>20940</v>
      </c>
      <c r="AT82" s="11">
        <v>20940</v>
      </c>
      <c r="AU82" s="11">
        <v>20940</v>
      </c>
      <c r="AV82" s="11">
        <v>10470</v>
      </c>
      <c r="AW82" s="11"/>
      <c r="AX82" s="11"/>
      <c r="AY82" s="13">
        <v>575850</v>
      </c>
      <c r="AZ82" s="82">
        <v>0</v>
      </c>
      <c r="BA82" s="12">
        <v>429270</v>
      </c>
      <c r="BB82" s="13">
        <v>575850</v>
      </c>
      <c r="BE82" s="44"/>
    </row>
    <row r="83" spans="2:57" hidden="1" outlineLevel="1" x14ac:dyDescent="0.25">
      <c r="B83" s="45" t="s">
        <v>74</v>
      </c>
      <c r="C83" s="46"/>
      <c r="D83" s="47"/>
      <c r="E83" s="14"/>
      <c r="F83" s="14"/>
      <c r="G83" s="14"/>
      <c r="H83" s="14"/>
      <c r="I83" s="14"/>
      <c r="J83" s="15"/>
      <c r="K83" s="15"/>
      <c r="L83" s="15" t="s">
        <v>264</v>
      </c>
      <c r="M83" s="15"/>
      <c r="N83" s="16">
        <v>4.5049999999999999</v>
      </c>
      <c r="O83" s="16">
        <v>4.5049999999999999</v>
      </c>
      <c r="P83" s="16">
        <v>0</v>
      </c>
      <c r="Q83" s="16" t="s">
        <v>33</v>
      </c>
      <c r="R83" s="17">
        <v>7353.73</v>
      </c>
      <c r="S83" s="17">
        <v>6742.97</v>
      </c>
      <c r="T83" s="17">
        <v>14096.7</v>
      </c>
      <c r="U83" s="17">
        <v>25942.0425</v>
      </c>
      <c r="V83" s="17">
        <v>24998.695499999998</v>
      </c>
      <c r="W83" s="17">
        <v>24055.3485</v>
      </c>
      <c r="X83" s="17">
        <v>23112.001499999998</v>
      </c>
      <c r="Y83" s="17">
        <v>22168.654499999997</v>
      </c>
      <c r="Z83" s="17">
        <v>21225.307499999999</v>
      </c>
      <c r="AA83" s="17">
        <v>20281.960500000001</v>
      </c>
      <c r="AB83" s="17">
        <v>19338.613499999999</v>
      </c>
      <c r="AC83" s="17">
        <v>18395.266499999998</v>
      </c>
      <c r="AD83" s="17">
        <v>17451.9195</v>
      </c>
      <c r="AE83" s="17">
        <v>16508.572499999998</v>
      </c>
      <c r="AF83" s="17">
        <v>15565.2255</v>
      </c>
      <c r="AG83" s="17">
        <v>14621.878499999999</v>
      </c>
      <c r="AH83" s="17">
        <v>13678.531499999999</v>
      </c>
      <c r="AI83" s="17">
        <v>12735.184499999999</v>
      </c>
      <c r="AJ83" s="17">
        <v>11791.8375</v>
      </c>
      <c r="AK83" s="17">
        <v>10848.4905</v>
      </c>
      <c r="AL83" s="17">
        <v>9905.1435000000001</v>
      </c>
      <c r="AM83" s="17">
        <v>8961.7965000000004</v>
      </c>
      <c r="AN83" s="17">
        <v>8018.4494999999997</v>
      </c>
      <c r="AO83" s="17">
        <v>7075.1025</v>
      </c>
      <c r="AP83" s="17">
        <v>6131.7554999999993</v>
      </c>
      <c r="AQ83" s="17">
        <v>5188.4084999999995</v>
      </c>
      <c r="AR83" s="17">
        <v>4245.0614999999998</v>
      </c>
      <c r="AS83" s="17">
        <v>3301.7145</v>
      </c>
      <c r="AT83" s="17">
        <v>2358.3674999999998</v>
      </c>
      <c r="AU83" s="17">
        <v>1415.0204999999999</v>
      </c>
      <c r="AV83" s="17">
        <v>471.67349999999999</v>
      </c>
      <c r="AW83" s="17"/>
      <c r="AX83" s="17"/>
      <c r="AY83" s="19">
        <v>369792.02399999992</v>
      </c>
      <c r="AZ83" s="82">
        <v>0</v>
      </c>
      <c r="BA83" s="18">
        <v>208008.01350000003</v>
      </c>
      <c r="BB83" s="19">
        <v>369792.02399999998</v>
      </c>
      <c r="BD83" s="43"/>
    </row>
    <row r="84" spans="2:57" s="43" customFormat="1" hidden="1" outlineLevel="1" x14ac:dyDescent="0.25">
      <c r="B84" s="38" t="s">
        <v>74</v>
      </c>
      <c r="C84" s="39">
        <v>40</v>
      </c>
      <c r="D84" s="40" t="s">
        <v>265</v>
      </c>
      <c r="E84" s="7" t="s">
        <v>266</v>
      </c>
      <c r="F84" s="7" t="s">
        <v>267</v>
      </c>
      <c r="G84" s="7" t="s">
        <v>268</v>
      </c>
      <c r="H84" s="7" t="s">
        <v>269</v>
      </c>
      <c r="I84" s="7" t="s">
        <v>29</v>
      </c>
      <c r="J84" s="8">
        <v>131926.07</v>
      </c>
      <c r="K84" s="9">
        <v>121795.07</v>
      </c>
      <c r="L84" s="9"/>
      <c r="M84" s="9"/>
      <c r="N84" s="10"/>
      <c r="O84" s="10"/>
      <c r="P84" s="10"/>
      <c r="Q84" s="10" t="s">
        <v>30</v>
      </c>
      <c r="R84" s="11">
        <v>3386</v>
      </c>
      <c r="S84" s="11">
        <v>3386</v>
      </c>
      <c r="T84" s="11">
        <v>6772</v>
      </c>
      <c r="U84" s="11">
        <v>6772</v>
      </c>
      <c r="V84" s="11">
        <v>6772</v>
      </c>
      <c r="W84" s="11">
        <v>6772</v>
      </c>
      <c r="X84" s="11">
        <v>6772</v>
      </c>
      <c r="Y84" s="11">
        <v>6772</v>
      </c>
      <c r="Z84" s="11">
        <v>6772</v>
      </c>
      <c r="AA84" s="11">
        <v>6772</v>
      </c>
      <c r="AB84" s="11">
        <v>6772</v>
      </c>
      <c r="AC84" s="11">
        <v>6772</v>
      </c>
      <c r="AD84" s="11">
        <v>6772</v>
      </c>
      <c r="AE84" s="11">
        <v>6772</v>
      </c>
      <c r="AF84" s="11">
        <v>6772</v>
      </c>
      <c r="AG84" s="11">
        <v>6772</v>
      </c>
      <c r="AH84" s="11">
        <v>6772</v>
      </c>
      <c r="AI84" s="11">
        <v>6772</v>
      </c>
      <c r="AJ84" s="11">
        <v>6772</v>
      </c>
      <c r="AK84" s="11">
        <v>6772</v>
      </c>
      <c r="AL84" s="11">
        <v>3285.0699999999997</v>
      </c>
      <c r="AM84" s="11">
        <v>0</v>
      </c>
      <c r="AN84" s="11">
        <v>0</v>
      </c>
      <c r="AO84" s="11">
        <v>0</v>
      </c>
      <c r="AP84" s="11">
        <v>0</v>
      </c>
      <c r="AQ84" s="11">
        <v>0</v>
      </c>
      <c r="AR84" s="11">
        <v>0</v>
      </c>
      <c r="AS84" s="11">
        <v>0</v>
      </c>
      <c r="AT84" s="11">
        <v>0</v>
      </c>
      <c r="AU84" s="11">
        <v>0</v>
      </c>
      <c r="AV84" s="11">
        <v>0</v>
      </c>
      <c r="AW84" s="11"/>
      <c r="AX84" s="11"/>
      <c r="AY84" s="13">
        <v>118409.07</v>
      </c>
      <c r="AZ84" s="82">
        <v>0</v>
      </c>
      <c r="BA84" s="12">
        <v>71005.070000000007</v>
      </c>
      <c r="BB84" s="13">
        <v>118409.07</v>
      </c>
      <c r="BE84" s="44"/>
    </row>
    <row r="85" spans="2:57" hidden="1" outlineLevel="1" x14ac:dyDescent="0.25">
      <c r="B85" s="45" t="s">
        <v>74</v>
      </c>
      <c r="C85" s="46"/>
      <c r="D85" s="47"/>
      <c r="E85" s="14"/>
      <c r="F85" s="14"/>
      <c r="G85" s="14"/>
      <c r="H85" s="14"/>
      <c r="I85" s="14"/>
      <c r="J85" s="15"/>
      <c r="K85" s="15"/>
      <c r="L85" s="15" t="s">
        <v>270</v>
      </c>
      <c r="M85" s="15"/>
      <c r="N85" s="16">
        <v>4.41</v>
      </c>
      <c r="O85" s="16">
        <v>4.41</v>
      </c>
      <c r="P85" s="16">
        <v>0</v>
      </c>
      <c r="Q85" s="16" t="s">
        <v>33</v>
      </c>
      <c r="R85" s="17">
        <v>1202.1199999999999</v>
      </c>
      <c r="S85" s="17">
        <v>1370.35</v>
      </c>
      <c r="T85" s="17">
        <v>2572.4699999999998</v>
      </c>
      <c r="U85" s="17">
        <v>5221.8399870000003</v>
      </c>
      <c r="V85" s="17">
        <v>4923.1947870000004</v>
      </c>
      <c r="W85" s="17">
        <v>4624.5495870000004</v>
      </c>
      <c r="X85" s="17">
        <v>4325.9043870000005</v>
      </c>
      <c r="Y85" s="17">
        <v>4027.2591870000006</v>
      </c>
      <c r="Z85" s="17">
        <v>3728.6139870000002</v>
      </c>
      <c r="AA85" s="17">
        <v>3429.9687870000007</v>
      </c>
      <c r="AB85" s="17">
        <v>3131.3235870000003</v>
      </c>
      <c r="AC85" s="17">
        <v>2832.6783870000004</v>
      </c>
      <c r="AD85" s="17">
        <v>2534.033187</v>
      </c>
      <c r="AE85" s="17">
        <v>2235.3879870000001</v>
      </c>
      <c r="AF85" s="17">
        <v>1936.7427869999999</v>
      </c>
      <c r="AG85" s="17">
        <v>1638.097587</v>
      </c>
      <c r="AH85" s="17">
        <v>1339.4523870000003</v>
      </c>
      <c r="AI85" s="17">
        <v>1040.8071869999999</v>
      </c>
      <c r="AJ85" s="17">
        <v>742.16198700000007</v>
      </c>
      <c r="AK85" s="17">
        <v>443.51678699999997</v>
      </c>
      <c r="AL85" s="17">
        <v>144.87158700000001</v>
      </c>
      <c r="AM85" s="17">
        <v>0</v>
      </c>
      <c r="AN85" s="17">
        <v>0</v>
      </c>
      <c r="AO85" s="17">
        <v>0</v>
      </c>
      <c r="AP85" s="17">
        <v>0</v>
      </c>
      <c r="AQ85" s="17">
        <v>0</v>
      </c>
      <c r="AR85" s="17">
        <v>0</v>
      </c>
      <c r="AS85" s="17">
        <v>0</v>
      </c>
      <c r="AT85" s="17">
        <v>0</v>
      </c>
      <c r="AU85" s="17">
        <v>0</v>
      </c>
      <c r="AV85" s="17">
        <v>0</v>
      </c>
      <c r="AW85" s="17"/>
      <c r="AX85" s="17"/>
      <c r="AY85" s="19">
        <v>48300.404166000008</v>
      </c>
      <c r="AZ85" s="82">
        <v>0</v>
      </c>
      <c r="BA85" s="18">
        <v>18019.073456999999</v>
      </c>
      <c r="BB85" s="19">
        <v>48300.404166000008</v>
      </c>
      <c r="BD85" s="43"/>
    </row>
    <row r="86" spans="2:57" s="43" customFormat="1" hidden="1" outlineLevel="1" x14ac:dyDescent="0.25">
      <c r="B86" s="38" t="s">
        <v>74</v>
      </c>
      <c r="C86" s="39">
        <v>41</v>
      </c>
      <c r="D86" s="40" t="s">
        <v>271</v>
      </c>
      <c r="E86" s="7" t="s">
        <v>272</v>
      </c>
      <c r="F86" s="7" t="s">
        <v>273</v>
      </c>
      <c r="G86" s="7" t="s">
        <v>268</v>
      </c>
      <c r="H86" s="7" t="s">
        <v>269</v>
      </c>
      <c r="I86" s="7" t="s">
        <v>29</v>
      </c>
      <c r="J86" s="8">
        <v>145332</v>
      </c>
      <c r="K86" s="9">
        <v>134208</v>
      </c>
      <c r="L86" s="9"/>
      <c r="M86" s="9"/>
      <c r="N86" s="10"/>
      <c r="O86" s="10"/>
      <c r="P86" s="10"/>
      <c r="Q86" s="10" t="s">
        <v>30</v>
      </c>
      <c r="R86" s="11">
        <v>3728</v>
      </c>
      <c r="S86" s="11">
        <v>3728</v>
      </c>
      <c r="T86" s="11">
        <v>7456</v>
      </c>
      <c r="U86" s="11">
        <v>7456</v>
      </c>
      <c r="V86" s="11">
        <v>7456</v>
      </c>
      <c r="W86" s="11">
        <v>7456</v>
      </c>
      <c r="X86" s="11">
        <v>7456</v>
      </c>
      <c r="Y86" s="11">
        <v>7456</v>
      </c>
      <c r="Z86" s="11">
        <v>7456</v>
      </c>
      <c r="AA86" s="11">
        <v>7456</v>
      </c>
      <c r="AB86" s="11">
        <v>7456</v>
      </c>
      <c r="AC86" s="11">
        <v>7456</v>
      </c>
      <c r="AD86" s="11">
        <v>7456</v>
      </c>
      <c r="AE86" s="11">
        <v>7456</v>
      </c>
      <c r="AF86" s="11">
        <v>7456</v>
      </c>
      <c r="AG86" s="11">
        <v>7456</v>
      </c>
      <c r="AH86" s="11">
        <v>7456</v>
      </c>
      <c r="AI86" s="11">
        <v>7456</v>
      </c>
      <c r="AJ86" s="11">
        <v>7456</v>
      </c>
      <c r="AK86" s="11">
        <v>7456</v>
      </c>
      <c r="AL86" s="11">
        <v>3728</v>
      </c>
      <c r="AM86" s="11">
        <v>0</v>
      </c>
      <c r="AN86" s="11">
        <v>0</v>
      </c>
      <c r="AO86" s="11">
        <v>0</v>
      </c>
      <c r="AP86" s="11">
        <v>0</v>
      </c>
      <c r="AQ86" s="11">
        <v>0</v>
      </c>
      <c r="AR86" s="11">
        <v>0</v>
      </c>
      <c r="AS86" s="11">
        <v>0</v>
      </c>
      <c r="AT86" s="11">
        <v>0</v>
      </c>
      <c r="AU86" s="11">
        <v>0</v>
      </c>
      <c r="AV86" s="11">
        <v>0</v>
      </c>
      <c r="AW86" s="11"/>
      <c r="AX86" s="11"/>
      <c r="AY86" s="13">
        <v>130480</v>
      </c>
      <c r="AZ86" s="82">
        <v>0</v>
      </c>
      <c r="BA86" s="12">
        <v>78288</v>
      </c>
      <c r="BB86" s="13">
        <v>130480</v>
      </c>
      <c r="BE86" s="44"/>
    </row>
    <row r="87" spans="2:57" hidden="1" outlineLevel="1" x14ac:dyDescent="0.25">
      <c r="B87" s="45" t="s">
        <v>74</v>
      </c>
      <c r="C87" s="46"/>
      <c r="D87" s="47" t="s">
        <v>274</v>
      </c>
      <c r="E87" s="14"/>
      <c r="F87" s="14"/>
      <c r="G87" s="14"/>
      <c r="H87" s="14"/>
      <c r="I87" s="14"/>
      <c r="J87" s="15"/>
      <c r="K87" s="15"/>
      <c r="L87" s="15" t="s">
        <v>270</v>
      </c>
      <c r="M87" s="15"/>
      <c r="N87" s="16">
        <v>4.41</v>
      </c>
      <c r="O87" s="16">
        <v>4.41</v>
      </c>
      <c r="P87" s="16">
        <v>0</v>
      </c>
      <c r="Q87" s="16" t="s">
        <v>33</v>
      </c>
      <c r="R87" s="17">
        <v>1324.6100000000001</v>
      </c>
      <c r="S87" s="17">
        <v>1510.01</v>
      </c>
      <c r="T87" s="17">
        <v>2834.62</v>
      </c>
      <c r="U87" s="17">
        <v>5754.1680000000006</v>
      </c>
      <c r="V87" s="17">
        <v>5425.3584000000001</v>
      </c>
      <c r="W87" s="17">
        <v>5096.5488000000005</v>
      </c>
      <c r="X87" s="17">
        <v>4767.7392</v>
      </c>
      <c r="Y87" s="17">
        <v>4438.9296000000004</v>
      </c>
      <c r="Z87" s="17">
        <v>4110.12</v>
      </c>
      <c r="AA87" s="17">
        <v>3781.3104000000003</v>
      </c>
      <c r="AB87" s="17">
        <v>3452.5008000000003</v>
      </c>
      <c r="AC87" s="17">
        <v>3123.6911999999998</v>
      </c>
      <c r="AD87" s="17">
        <v>2794.8816000000002</v>
      </c>
      <c r="AE87" s="17">
        <v>2466.0720000000001</v>
      </c>
      <c r="AF87" s="17">
        <v>2137.2624000000001</v>
      </c>
      <c r="AG87" s="17">
        <v>1808.4528</v>
      </c>
      <c r="AH87" s="17">
        <v>1479.6432</v>
      </c>
      <c r="AI87" s="17">
        <v>1150.8335999999999</v>
      </c>
      <c r="AJ87" s="17">
        <v>822.02400000000011</v>
      </c>
      <c r="AK87" s="17">
        <v>493.21440000000001</v>
      </c>
      <c r="AL87" s="17">
        <v>164.40479999999999</v>
      </c>
      <c r="AM87" s="17">
        <v>0</v>
      </c>
      <c r="AN87" s="17">
        <v>0</v>
      </c>
      <c r="AO87" s="17">
        <v>0</v>
      </c>
      <c r="AP87" s="17">
        <v>0</v>
      </c>
      <c r="AQ87" s="17">
        <v>0</v>
      </c>
      <c r="AR87" s="17">
        <v>0</v>
      </c>
      <c r="AS87" s="17">
        <v>0</v>
      </c>
      <c r="AT87" s="17">
        <v>0</v>
      </c>
      <c r="AU87" s="17">
        <v>0</v>
      </c>
      <c r="AV87" s="17">
        <v>0</v>
      </c>
      <c r="AW87" s="17"/>
      <c r="AX87" s="17"/>
      <c r="AY87" s="19">
        <v>53267.155199999994</v>
      </c>
      <c r="AZ87" s="82">
        <v>0</v>
      </c>
      <c r="BA87" s="18">
        <v>19892.980800000001</v>
      </c>
      <c r="BB87" s="19">
        <v>53267.155200000008</v>
      </c>
      <c r="BD87" s="43"/>
    </row>
    <row r="88" spans="2:57" s="43" customFormat="1" hidden="1" outlineLevel="1" x14ac:dyDescent="0.25">
      <c r="B88" s="38" t="s">
        <v>23</v>
      </c>
      <c r="C88" s="39">
        <v>42</v>
      </c>
      <c r="D88" s="40" t="s">
        <v>275</v>
      </c>
      <c r="E88" s="7" t="s">
        <v>276</v>
      </c>
      <c r="F88" s="7" t="s">
        <v>277</v>
      </c>
      <c r="G88" s="7" t="s">
        <v>278</v>
      </c>
      <c r="H88" s="7" t="s">
        <v>279</v>
      </c>
      <c r="I88" s="7" t="s">
        <v>29</v>
      </c>
      <c r="J88" s="8">
        <v>141294</v>
      </c>
      <c r="K88" s="9">
        <v>96681</v>
      </c>
      <c r="L88" s="9"/>
      <c r="M88" s="9"/>
      <c r="N88" s="10"/>
      <c r="O88" s="10"/>
      <c r="P88" s="10"/>
      <c r="Q88" s="10" t="s">
        <v>30</v>
      </c>
      <c r="R88" s="11">
        <v>14874</v>
      </c>
      <c r="S88" s="11">
        <v>14874</v>
      </c>
      <c r="T88" s="11">
        <v>29748</v>
      </c>
      <c r="U88" s="11">
        <v>29748</v>
      </c>
      <c r="V88" s="11">
        <v>29748</v>
      </c>
      <c r="W88" s="11">
        <v>22311</v>
      </c>
      <c r="X88" s="11">
        <v>0</v>
      </c>
      <c r="Y88" s="11">
        <v>0</v>
      </c>
      <c r="Z88" s="11">
        <v>0</v>
      </c>
      <c r="AA88" s="11">
        <v>0</v>
      </c>
      <c r="AB88" s="11">
        <v>0</v>
      </c>
      <c r="AC88" s="11">
        <v>0</v>
      </c>
      <c r="AD88" s="11">
        <v>0</v>
      </c>
      <c r="AE88" s="11">
        <v>0</v>
      </c>
      <c r="AF88" s="11">
        <v>0</v>
      </c>
      <c r="AG88" s="11">
        <v>0</v>
      </c>
      <c r="AH88" s="11">
        <v>0</v>
      </c>
      <c r="AI88" s="11">
        <v>0</v>
      </c>
      <c r="AJ88" s="11">
        <v>0</v>
      </c>
      <c r="AK88" s="11">
        <v>0</v>
      </c>
      <c r="AL88" s="11">
        <v>0</v>
      </c>
      <c r="AM88" s="11">
        <v>0</v>
      </c>
      <c r="AN88" s="11">
        <v>0</v>
      </c>
      <c r="AO88" s="11">
        <v>0</v>
      </c>
      <c r="AP88" s="11">
        <v>0</v>
      </c>
      <c r="AQ88" s="11">
        <v>0</v>
      </c>
      <c r="AR88" s="11">
        <v>0</v>
      </c>
      <c r="AS88" s="11">
        <v>0</v>
      </c>
      <c r="AT88" s="11">
        <v>0</v>
      </c>
      <c r="AU88" s="11">
        <v>0</v>
      </c>
      <c r="AV88" s="11">
        <v>0</v>
      </c>
      <c r="AW88" s="11"/>
      <c r="AX88" s="11"/>
      <c r="AY88" s="13">
        <v>81807</v>
      </c>
      <c r="AZ88" s="82">
        <v>0</v>
      </c>
      <c r="BA88" s="12">
        <v>0</v>
      </c>
      <c r="BB88" s="13">
        <v>81807</v>
      </c>
      <c r="BE88" s="44"/>
    </row>
    <row r="89" spans="2:57" hidden="1" outlineLevel="1" x14ac:dyDescent="0.25">
      <c r="B89" s="45" t="s">
        <v>23</v>
      </c>
      <c r="C89" s="46"/>
      <c r="D89" s="47"/>
      <c r="E89" s="14"/>
      <c r="F89" s="14"/>
      <c r="G89" s="14"/>
      <c r="H89" s="14"/>
      <c r="I89" s="14"/>
      <c r="J89" s="15"/>
      <c r="K89" s="15"/>
      <c r="L89" s="15">
        <v>0</v>
      </c>
      <c r="M89" s="15" t="s">
        <v>219</v>
      </c>
      <c r="N89" s="16">
        <v>0.25</v>
      </c>
      <c r="O89" s="16">
        <v>0.25</v>
      </c>
      <c r="P89" s="16">
        <v>0</v>
      </c>
      <c r="Q89" s="16" t="s">
        <v>33</v>
      </c>
      <c r="R89" s="17">
        <v>209.75</v>
      </c>
      <c r="S89" s="17">
        <v>61.2</v>
      </c>
      <c r="T89" s="17">
        <v>270.95</v>
      </c>
      <c r="U89" s="17">
        <v>204.51750000000001</v>
      </c>
      <c r="V89" s="17">
        <v>130.14750000000001</v>
      </c>
      <c r="W89" s="17">
        <v>55.777500000000003</v>
      </c>
      <c r="X89" s="17">
        <v>0</v>
      </c>
      <c r="Y89" s="17">
        <v>0</v>
      </c>
      <c r="Z89" s="17">
        <v>0</v>
      </c>
      <c r="AA89" s="17">
        <v>0</v>
      </c>
      <c r="AB89" s="17">
        <v>0</v>
      </c>
      <c r="AC89" s="17">
        <v>0</v>
      </c>
      <c r="AD89" s="17">
        <v>0</v>
      </c>
      <c r="AE89" s="17">
        <v>0</v>
      </c>
      <c r="AF89" s="17">
        <v>0</v>
      </c>
      <c r="AG89" s="17">
        <v>0</v>
      </c>
      <c r="AH89" s="17">
        <v>0</v>
      </c>
      <c r="AI89" s="17">
        <v>0</v>
      </c>
      <c r="AJ89" s="17">
        <v>0</v>
      </c>
      <c r="AK89" s="17">
        <v>0</v>
      </c>
      <c r="AL89" s="17">
        <v>0</v>
      </c>
      <c r="AM89" s="17">
        <v>0</v>
      </c>
      <c r="AN89" s="17">
        <v>0</v>
      </c>
      <c r="AO89" s="17">
        <v>0</v>
      </c>
      <c r="AP89" s="17">
        <v>0</v>
      </c>
      <c r="AQ89" s="17">
        <v>0</v>
      </c>
      <c r="AR89" s="17">
        <v>0</v>
      </c>
      <c r="AS89" s="17">
        <v>0</v>
      </c>
      <c r="AT89" s="17">
        <v>0</v>
      </c>
      <c r="AU89" s="17">
        <v>0</v>
      </c>
      <c r="AV89" s="17">
        <v>0</v>
      </c>
      <c r="AW89" s="17"/>
      <c r="AX89" s="17"/>
      <c r="AY89" s="19">
        <v>390.4425</v>
      </c>
      <c r="AZ89" s="82">
        <v>0</v>
      </c>
      <c r="BA89" s="18">
        <v>0</v>
      </c>
      <c r="BB89" s="19">
        <v>390.4425</v>
      </c>
      <c r="BD89" s="43"/>
    </row>
    <row r="90" spans="2:57" s="43" customFormat="1" hidden="1" outlineLevel="1" x14ac:dyDescent="0.25">
      <c r="B90" s="38" t="s">
        <v>23</v>
      </c>
      <c r="C90" s="39">
        <v>43</v>
      </c>
      <c r="D90" s="40" t="s">
        <v>280</v>
      </c>
      <c r="E90" s="7" t="s">
        <v>281</v>
      </c>
      <c r="F90" s="7" t="s">
        <v>282</v>
      </c>
      <c r="G90" s="7" t="s">
        <v>283</v>
      </c>
      <c r="H90" s="7" t="s">
        <v>284</v>
      </c>
      <c r="I90" s="7" t="s">
        <v>29</v>
      </c>
      <c r="J90" s="8">
        <v>186392</v>
      </c>
      <c r="K90" s="9">
        <v>164720</v>
      </c>
      <c r="L90" s="9"/>
      <c r="M90" s="9"/>
      <c r="N90" s="10"/>
      <c r="O90" s="10">
        <v>3.4460000000000002</v>
      </c>
      <c r="P90" s="10"/>
      <c r="Q90" s="10" t="s">
        <v>30</v>
      </c>
      <c r="R90" s="11">
        <v>8680</v>
      </c>
      <c r="S90" s="11">
        <v>8680</v>
      </c>
      <c r="T90" s="11">
        <v>17360</v>
      </c>
      <c r="U90" s="11">
        <v>17360</v>
      </c>
      <c r="V90" s="11">
        <v>15080</v>
      </c>
      <c r="W90" s="11">
        <v>8240</v>
      </c>
      <c r="X90" s="11">
        <v>8240</v>
      </c>
      <c r="Y90" s="11">
        <v>8240</v>
      </c>
      <c r="Z90" s="11">
        <v>8240</v>
      </c>
      <c r="AA90" s="11">
        <v>8240</v>
      </c>
      <c r="AB90" s="11">
        <v>8240</v>
      </c>
      <c r="AC90" s="11">
        <v>8240</v>
      </c>
      <c r="AD90" s="11">
        <v>8240</v>
      </c>
      <c r="AE90" s="11">
        <v>8240</v>
      </c>
      <c r="AF90" s="11">
        <v>8240</v>
      </c>
      <c r="AG90" s="11">
        <v>8240</v>
      </c>
      <c r="AH90" s="11">
        <v>8240</v>
      </c>
      <c r="AI90" s="11">
        <v>8240</v>
      </c>
      <c r="AJ90" s="11">
        <v>8240</v>
      </c>
      <c r="AK90" s="11">
        <v>8240</v>
      </c>
      <c r="AL90" s="11">
        <v>0</v>
      </c>
      <c r="AM90" s="11">
        <v>0</v>
      </c>
      <c r="AN90" s="11">
        <v>0</v>
      </c>
      <c r="AO90" s="11">
        <v>0</v>
      </c>
      <c r="AP90" s="11">
        <v>0</v>
      </c>
      <c r="AQ90" s="11">
        <v>0</v>
      </c>
      <c r="AR90" s="11">
        <v>0</v>
      </c>
      <c r="AS90" s="11">
        <v>0</v>
      </c>
      <c r="AT90" s="11">
        <v>0</v>
      </c>
      <c r="AU90" s="11">
        <v>0</v>
      </c>
      <c r="AV90" s="11">
        <v>0</v>
      </c>
      <c r="AW90" s="11"/>
      <c r="AX90" s="11"/>
      <c r="AY90" s="13">
        <v>156040</v>
      </c>
      <c r="AZ90" s="82">
        <v>0</v>
      </c>
      <c r="BA90" s="12">
        <v>82400</v>
      </c>
      <c r="BB90" s="13">
        <v>156040</v>
      </c>
      <c r="BE90" s="44"/>
    </row>
    <row r="91" spans="2:57" hidden="1" outlineLevel="1" x14ac:dyDescent="0.25">
      <c r="B91" s="45" t="s">
        <v>23</v>
      </c>
      <c r="C91" s="46"/>
      <c r="D91" s="47" t="s">
        <v>285</v>
      </c>
      <c r="E91" s="14"/>
      <c r="F91" s="14"/>
      <c r="G91" s="14"/>
      <c r="H91" s="14"/>
      <c r="I91" s="14"/>
      <c r="J91" s="15"/>
      <c r="K91" s="15"/>
      <c r="L91" s="15" t="s">
        <v>286</v>
      </c>
      <c r="M91" s="15"/>
      <c r="N91" s="16">
        <v>4.5999999999999996</v>
      </c>
      <c r="O91" s="21">
        <v>4.5999999999999996</v>
      </c>
      <c r="P91" s="16">
        <v>0</v>
      </c>
      <c r="Q91" s="16" t="s">
        <v>33</v>
      </c>
      <c r="R91" s="17">
        <v>3538.87</v>
      </c>
      <c r="S91" s="17">
        <v>1446.03</v>
      </c>
      <c r="T91" s="17">
        <v>4984.8999999999996</v>
      </c>
      <c r="U91" s="17">
        <v>7177.84</v>
      </c>
      <c r="V91" s="17">
        <v>6379.28</v>
      </c>
      <c r="W91" s="17">
        <v>5685.6</v>
      </c>
      <c r="X91" s="17">
        <v>5306.56</v>
      </c>
      <c r="Y91" s="17">
        <v>4927.5199999999995</v>
      </c>
      <c r="Z91" s="17">
        <v>4548.4799999999996</v>
      </c>
      <c r="AA91" s="17">
        <v>4169.4399999999996</v>
      </c>
      <c r="AB91" s="17">
        <v>3790.3999999999996</v>
      </c>
      <c r="AC91" s="17">
        <v>3411.36</v>
      </c>
      <c r="AD91" s="17">
        <v>3032.32</v>
      </c>
      <c r="AE91" s="17">
        <v>2653.28</v>
      </c>
      <c r="AF91" s="17">
        <v>2274.2399999999998</v>
      </c>
      <c r="AG91" s="17">
        <v>1895.1999999999998</v>
      </c>
      <c r="AH91" s="17">
        <v>1516.16</v>
      </c>
      <c r="AI91" s="17">
        <v>1137.1199999999999</v>
      </c>
      <c r="AJ91" s="17">
        <v>758.08</v>
      </c>
      <c r="AK91" s="17">
        <v>379.04</v>
      </c>
      <c r="AL91" s="17">
        <v>0</v>
      </c>
      <c r="AM91" s="17">
        <v>0</v>
      </c>
      <c r="AN91" s="17">
        <v>0</v>
      </c>
      <c r="AO91" s="17">
        <v>0</v>
      </c>
      <c r="AP91" s="17">
        <v>0</v>
      </c>
      <c r="AQ91" s="17">
        <v>0</v>
      </c>
      <c r="AR91" s="17">
        <v>0</v>
      </c>
      <c r="AS91" s="17">
        <v>0</v>
      </c>
      <c r="AT91" s="17">
        <v>0</v>
      </c>
      <c r="AU91" s="17">
        <v>0</v>
      </c>
      <c r="AV91" s="17">
        <v>0</v>
      </c>
      <c r="AW91" s="17"/>
      <c r="AX91" s="17"/>
      <c r="AY91" s="19">
        <v>59041.920000000006</v>
      </c>
      <c r="AZ91" s="82">
        <v>0</v>
      </c>
      <c r="BA91" s="18">
        <v>20847.2</v>
      </c>
      <c r="BB91" s="19">
        <v>59041.919999999998</v>
      </c>
      <c r="BD91" s="43"/>
    </row>
    <row r="92" spans="2:57" s="43" customFormat="1" hidden="1" outlineLevel="1" x14ac:dyDescent="0.25">
      <c r="B92" s="38" t="s">
        <v>23</v>
      </c>
      <c r="C92" s="39">
        <v>44</v>
      </c>
      <c r="D92" s="40" t="s">
        <v>287</v>
      </c>
      <c r="E92" s="7" t="s">
        <v>288</v>
      </c>
      <c r="F92" s="7" t="s">
        <v>289</v>
      </c>
      <c r="G92" s="7" t="s">
        <v>283</v>
      </c>
      <c r="H92" s="7" t="s">
        <v>290</v>
      </c>
      <c r="I92" s="7" t="s">
        <v>29</v>
      </c>
      <c r="J92" s="8">
        <v>697002</v>
      </c>
      <c r="K92" s="9">
        <v>623662</v>
      </c>
      <c r="L92" s="9"/>
      <c r="M92" s="9"/>
      <c r="N92" s="10"/>
      <c r="O92" s="10">
        <v>3.302</v>
      </c>
      <c r="P92" s="10"/>
      <c r="Q92" s="10" t="s">
        <v>30</v>
      </c>
      <c r="R92" s="11">
        <v>36686</v>
      </c>
      <c r="S92" s="11">
        <v>36686</v>
      </c>
      <c r="T92" s="11">
        <v>73372</v>
      </c>
      <c r="U92" s="11">
        <v>73372</v>
      </c>
      <c r="V92" s="11">
        <v>73372</v>
      </c>
      <c r="W92" s="11">
        <v>73372</v>
      </c>
      <c r="X92" s="11">
        <v>73372</v>
      </c>
      <c r="Y92" s="11">
        <v>73372</v>
      </c>
      <c r="Z92" s="11">
        <v>73372</v>
      </c>
      <c r="AA92" s="11">
        <v>73372</v>
      </c>
      <c r="AB92" s="11">
        <v>73372</v>
      </c>
      <c r="AC92" s="11">
        <v>0</v>
      </c>
      <c r="AD92" s="11">
        <v>0</v>
      </c>
      <c r="AE92" s="11">
        <v>0</v>
      </c>
      <c r="AF92" s="11">
        <v>0</v>
      </c>
      <c r="AG92" s="11">
        <v>0</v>
      </c>
      <c r="AH92" s="11">
        <v>0</v>
      </c>
      <c r="AI92" s="11">
        <v>0</v>
      </c>
      <c r="AJ92" s="11">
        <v>0</v>
      </c>
      <c r="AK92" s="11">
        <v>0</v>
      </c>
      <c r="AL92" s="11">
        <v>0</v>
      </c>
      <c r="AM92" s="11">
        <v>0</v>
      </c>
      <c r="AN92" s="11">
        <v>0</v>
      </c>
      <c r="AO92" s="11">
        <v>0</v>
      </c>
      <c r="AP92" s="11">
        <v>0</v>
      </c>
      <c r="AQ92" s="11">
        <v>0</v>
      </c>
      <c r="AR92" s="11">
        <v>0</v>
      </c>
      <c r="AS92" s="11">
        <v>0</v>
      </c>
      <c r="AT92" s="11">
        <v>0</v>
      </c>
      <c r="AU92" s="11">
        <v>0</v>
      </c>
      <c r="AV92" s="11">
        <v>0</v>
      </c>
      <c r="AW92" s="11"/>
      <c r="AX92" s="11"/>
      <c r="AY92" s="13">
        <v>586976</v>
      </c>
      <c r="AZ92" s="82">
        <v>0</v>
      </c>
      <c r="BA92" s="12">
        <v>73372</v>
      </c>
      <c r="BB92" s="13">
        <v>586976</v>
      </c>
      <c r="BE92" s="44"/>
    </row>
    <row r="93" spans="2:57" hidden="1" outlineLevel="1" x14ac:dyDescent="0.25">
      <c r="B93" s="45" t="s">
        <v>23</v>
      </c>
      <c r="C93" s="46"/>
      <c r="D93" s="47"/>
      <c r="E93" s="14"/>
      <c r="F93" s="14"/>
      <c r="G93" s="14"/>
      <c r="H93" s="14"/>
      <c r="I93" s="14"/>
      <c r="J93" s="15"/>
      <c r="K93" s="15"/>
      <c r="L93" s="15" t="s">
        <v>286</v>
      </c>
      <c r="M93" s="15"/>
      <c r="N93" s="16">
        <v>4.4000000000000004</v>
      </c>
      <c r="O93" s="21">
        <v>4.4000000000000004</v>
      </c>
      <c r="P93" s="16">
        <v>0</v>
      </c>
      <c r="Q93" s="16" t="s">
        <v>33</v>
      </c>
      <c r="R93" s="17">
        <v>12683.64</v>
      </c>
      <c r="S93" s="17">
        <v>5244.23</v>
      </c>
      <c r="T93" s="17">
        <v>17927.87</v>
      </c>
      <c r="U93" s="17">
        <v>25826.944000000003</v>
      </c>
      <c r="V93" s="17">
        <v>22598.576000000001</v>
      </c>
      <c r="W93" s="17">
        <v>19370.207999999999</v>
      </c>
      <c r="X93" s="17">
        <v>16141.840000000002</v>
      </c>
      <c r="Y93" s="17">
        <v>12913.472000000002</v>
      </c>
      <c r="Z93" s="17">
        <v>9685.1039999999994</v>
      </c>
      <c r="AA93" s="17">
        <v>6456.7360000000008</v>
      </c>
      <c r="AB93" s="17">
        <v>3228.3680000000004</v>
      </c>
      <c r="AC93" s="17">
        <v>0</v>
      </c>
      <c r="AD93" s="17">
        <v>0</v>
      </c>
      <c r="AE93" s="17">
        <v>0</v>
      </c>
      <c r="AF93" s="17">
        <v>0</v>
      </c>
      <c r="AG93" s="17">
        <v>0</v>
      </c>
      <c r="AH93" s="17">
        <v>0</v>
      </c>
      <c r="AI93" s="17">
        <v>0</v>
      </c>
      <c r="AJ93" s="17">
        <v>0</v>
      </c>
      <c r="AK93" s="17">
        <v>0</v>
      </c>
      <c r="AL93" s="17">
        <v>0</v>
      </c>
      <c r="AM93" s="17">
        <v>0</v>
      </c>
      <c r="AN93" s="17">
        <v>0</v>
      </c>
      <c r="AO93" s="17">
        <v>0</v>
      </c>
      <c r="AP93" s="17">
        <v>0</v>
      </c>
      <c r="AQ93" s="17">
        <v>0</v>
      </c>
      <c r="AR93" s="17">
        <v>0</v>
      </c>
      <c r="AS93" s="17">
        <v>0</v>
      </c>
      <c r="AT93" s="17">
        <v>0</v>
      </c>
      <c r="AU93" s="17">
        <v>0</v>
      </c>
      <c r="AV93" s="17">
        <v>0</v>
      </c>
      <c r="AW93" s="17"/>
      <c r="AX93" s="17"/>
      <c r="AY93" s="19">
        <v>116221.24800000001</v>
      </c>
      <c r="AZ93" s="82">
        <v>0</v>
      </c>
      <c r="BA93" s="18">
        <v>3228.3680000000004</v>
      </c>
      <c r="BB93" s="19">
        <v>116221.24800000001</v>
      </c>
      <c r="BD93" s="43"/>
    </row>
    <row r="94" spans="2:57" s="43" customFormat="1" hidden="1" outlineLevel="1" x14ac:dyDescent="0.25">
      <c r="B94" s="38" t="s">
        <v>23</v>
      </c>
      <c r="C94" s="39">
        <v>45</v>
      </c>
      <c r="D94" s="40" t="s">
        <v>291</v>
      </c>
      <c r="E94" s="7" t="s">
        <v>292</v>
      </c>
      <c r="F94" s="7" t="s">
        <v>293</v>
      </c>
      <c r="G94" s="7" t="s">
        <v>283</v>
      </c>
      <c r="H94" s="7" t="s">
        <v>290</v>
      </c>
      <c r="I94" s="7" t="s">
        <v>29</v>
      </c>
      <c r="J94" s="8">
        <v>559121.98</v>
      </c>
      <c r="K94" s="9">
        <v>471865.86</v>
      </c>
      <c r="L94" s="9"/>
      <c r="M94" s="9"/>
      <c r="N94" s="10"/>
      <c r="O94" s="10">
        <v>3.302</v>
      </c>
      <c r="P94" s="10"/>
      <c r="Q94" s="10" t="s">
        <v>30</v>
      </c>
      <c r="R94" s="11">
        <v>29058</v>
      </c>
      <c r="S94" s="11">
        <v>29058</v>
      </c>
      <c r="T94" s="11">
        <v>58116</v>
      </c>
      <c r="U94" s="11">
        <v>58116</v>
      </c>
      <c r="V94" s="11">
        <v>58116</v>
      </c>
      <c r="W94" s="11">
        <v>58116</v>
      </c>
      <c r="X94" s="11">
        <v>58116</v>
      </c>
      <c r="Y94" s="11">
        <v>58116</v>
      </c>
      <c r="Z94" s="11">
        <v>58116</v>
      </c>
      <c r="AA94" s="11">
        <v>58116</v>
      </c>
      <c r="AB94" s="11">
        <v>35995.86</v>
      </c>
      <c r="AC94" s="11">
        <v>0</v>
      </c>
      <c r="AD94" s="11">
        <v>0</v>
      </c>
      <c r="AE94" s="11">
        <v>0</v>
      </c>
      <c r="AF94" s="11">
        <v>0</v>
      </c>
      <c r="AG94" s="11">
        <v>0</v>
      </c>
      <c r="AH94" s="11">
        <v>0</v>
      </c>
      <c r="AI94" s="11">
        <v>0</v>
      </c>
      <c r="AJ94" s="11">
        <v>0</v>
      </c>
      <c r="AK94" s="11">
        <v>0</v>
      </c>
      <c r="AL94" s="11">
        <v>0</v>
      </c>
      <c r="AM94" s="11">
        <v>0</v>
      </c>
      <c r="AN94" s="11">
        <v>0</v>
      </c>
      <c r="AO94" s="11">
        <v>0</v>
      </c>
      <c r="AP94" s="11">
        <v>0</v>
      </c>
      <c r="AQ94" s="11">
        <v>0</v>
      </c>
      <c r="AR94" s="11">
        <v>0</v>
      </c>
      <c r="AS94" s="11">
        <v>0</v>
      </c>
      <c r="AT94" s="11">
        <v>0</v>
      </c>
      <c r="AU94" s="11">
        <v>0</v>
      </c>
      <c r="AV94" s="11">
        <v>0</v>
      </c>
      <c r="AW94" s="11"/>
      <c r="AX94" s="11"/>
      <c r="AY94" s="13">
        <v>442807.86</v>
      </c>
      <c r="AZ94" s="82">
        <v>0</v>
      </c>
      <c r="BA94" s="12">
        <v>35995.86</v>
      </c>
      <c r="BB94" s="13">
        <v>442807.86</v>
      </c>
      <c r="BE94" s="44"/>
    </row>
    <row r="95" spans="2:57" hidden="1" outlineLevel="1" x14ac:dyDescent="0.25">
      <c r="B95" s="45" t="s">
        <v>23</v>
      </c>
      <c r="C95" s="46"/>
      <c r="D95" s="47"/>
      <c r="E95" s="14"/>
      <c r="F95" s="14"/>
      <c r="G95" s="14"/>
      <c r="H95" s="14"/>
      <c r="I95" s="14"/>
      <c r="J95" s="15"/>
      <c r="K95" s="15"/>
      <c r="L95" s="15" t="s">
        <v>286</v>
      </c>
      <c r="M95" s="15"/>
      <c r="N95" s="16">
        <v>4.4000000000000004</v>
      </c>
      <c r="O95" s="21">
        <v>4.4000000000000004</v>
      </c>
      <c r="P95" s="16">
        <v>0</v>
      </c>
      <c r="Q95" s="16" t="s">
        <v>33</v>
      </c>
      <c r="R95" s="17">
        <v>9717.24</v>
      </c>
      <c r="S95" s="17">
        <v>3967.16</v>
      </c>
      <c r="T95" s="17">
        <v>13684.4</v>
      </c>
      <c r="U95" s="17">
        <v>19483.545839999999</v>
      </c>
      <c r="V95" s="17">
        <v>16926.44184</v>
      </c>
      <c r="W95" s="17">
        <v>14369.33784</v>
      </c>
      <c r="X95" s="17">
        <v>11812.233840000001</v>
      </c>
      <c r="Y95" s="17">
        <v>9255.1298400000014</v>
      </c>
      <c r="Z95" s="17">
        <v>6698.0258400000002</v>
      </c>
      <c r="AA95" s="17">
        <v>4140.92184</v>
      </c>
      <c r="AB95" s="17">
        <v>1583.8178400000002</v>
      </c>
      <c r="AC95" s="17">
        <v>0</v>
      </c>
      <c r="AD95" s="17">
        <v>0</v>
      </c>
      <c r="AE95" s="17">
        <v>0</v>
      </c>
      <c r="AF95" s="17">
        <v>0</v>
      </c>
      <c r="AG95" s="17">
        <v>0</v>
      </c>
      <c r="AH95" s="17">
        <v>0</v>
      </c>
      <c r="AI95" s="17">
        <v>0</v>
      </c>
      <c r="AJ95" s="17">
        <v>0</v>
      </c>
      <c r="AK95" s="17">
        <v>0</v>
      </c>
      <c r="AL95" s="17">
        <v>0</v>
      </c>
      <c r="AM95" s="17">
        <v>0</v>
      </c>
      <c r="AN95" s="17">
        <v>0</v>
      </c>
      <c r="AO95" s="17">
        <v>0</v>
      </c>
      <c r="AP95" s="17">
        <v>0</v>
      </c>
      <c r="AQ95" s="17">
        <v>0</v>
      </c>
      <c r="AR95" s="17">
        <v>0</v>
      </c>
      <c r="AS95" s="17">
        <v>0</v>
      </c>
      <c r="AT95" s="17">
        <v>0</v>
      </c>
      <c r="AU95" s="17">
        <v>0</v>
      </c>
      <c r="AV95" s="17">
        <v>0</v>
      </c>
      <c r="AW95" s="17"/>
      <c r="AX95" s="17"/>
      <c r="AY95" s="19">
        <v>84269.454719999994</v>
      </c>
      <c r="AZ95" s="82">
        <v>0</v>
      </c>
      <c r="BA95" s="18">
        <v>1583.8178400000002</v>
      </c>
      <c r="BB95" s="19">
        <v>84269.454719999994</v>
      </c>
      <c r="BD95" s="43"/>
    </row>
    <row r="96" spans="2:57" s="43" customFormat="1" hidden="1" outlineLevel="1" x14ac:dyDescent="0.25">
      <c r="B96" s="38" t="s">
        <v>74</v>
      </c>
      <c r="C96" s="39">
        <v>46</v>
      </c>
      <c r="D96" s="40" t="s">
        <v>294</v>
      </c>
      <c r="E96" s="7" t="s">
        <v>295</v>
      </c>
      <c r="F96" s="7" t="s">
        <v>296</v>
      </c>
      <c r="G96" s="7" t="s">
        <v>297</v>
      </c>
      <c r="H96" s="7" t="s">
        <v>298</v>
      </c>
      <c r="I96" s="7" t="s">
        <v>29</v>
      </c>
      <c r="J96" s="8">
        <v>247902</v>
      </c>
      <c r="K96" s="9">
        <v>216916</v>
      </c>
      <c r="L96" s="9"/>
      <c r="M96" s="9"/>
      <c r="N96" s="10"/>
      <c r="O96" s="10">
        <v>3.6269999999999998</v>
      </c>
      <c r="P96" s="10"/>
      <c r="Q96" s="10" t="s">
        <v>30</v>
      </c>
      <c r="R96" s="11">
        <v>30988</v>
      </c>
      <c r="S96" s="11">
        <v>30988</v>
      </c>
      <c r="T96" s="11">
        <v>61976</v>
      </c>
      <c r="U96" s="11">
        <v>61976</v>
      </c>
      <c r="V96" s="11">
        <v>61976</v>
      </c>
      <c r="W96" s="11">
        <v>61976</v>
      </c>
      <c r="X96" s="11">
        <v>0</v>
      </c>
      <c r="Y96" s="11">
        <v>0</v>
      </c>
      <c r="Z96" s="11">
        <v>0</v>
      </c>
      <c r="AA96" s="11">
        <v>0</v>
      </c>
      <c r="AB96" s="11">
        <v>0</v>
      </c>
      <c r="AC96" s="11">
        <v>0</v>
      </c>
      <c r="AD96" s="11">
        <v>0</v>
      </c>
      <c r="AE96" s="11">
        <v>0</v>
      </c>
      <c r="AF96" s="11">
        <v>0</v>
      </c>
      <c r="AG96" s="11">
        <v>0</v>
      </c>
      <c r="AH96" s="11">
        <v>0</v>
      </c>
      <c r="AI96" s="11">
        <v>0</v>
      </c>
      <c r="AJ96" s="11">
        <v>0</v>
      </c>
      <c r="AK96" s="11">
        <v>0</v>
      </c>
      <c r="AL96" s="11">
        <v>0</v>
      </c>
      <c r="AM96" s="11">
        <v>0</v>
      </c>
      <c r="AN96" s="11">
        <v>0</v>
      </c>
      <c r="AO96" s="11">
        <v>0</v>
      </c>
      <c r="AP96" s="11">
        <v>0</v>
      </c>
      <c r="AQ96" s="11">
        <v>0</v>
      </c>
      <c r="AR96" s="11">
        <v>0</v>
      </c>
      <c r="AS96" s="11">
        <v>0</v>
      </c>
      <c r="AT96" s="11">
        <v>0</v>
      </c>
      <c r="AU96" s="11">
        <v>0</v>
      </c>
      <c r="AV96" s="11">
        <v>0</v>
      </c>
      <c r="AW96" s="11"/>
      <c r="AX96" s="11"/>
      <c r="AY96" s="13">
        <v>185928</v>
      </c>
      <c r="AZ96" s="82">
        <v>0</v>
      </c>
      <c r="BA96" s="12">
        <v>0</v>
      </c>
      <c r="BB96" s="13">
        <v>185928</v>
      </c>
      <c r="BE96" s="44"/>
    </row>
    <row r="97" spans="2:57" hidden="1" outlineLevel="1" x14ac:dyDescent="0.25">
      <c r="B97" s="45" t="s">
        <v>74</v>
      </c>
      <c r="C97" s="46"/>
      <c r="D97" s="47" t="s">
        <v>299</v>
      </c>
      <c r="E97" s="14"/>
      <c r="F97" s="14"/>
      <c r="G97" s="14"/>
      <c r="H97" s="14"/>
      <c r="I97" s="14"/>
      <c r="J97" s="15"/>
      <c r="K97" s="15"/>
      <c r="L97" s="15" t="s">
        <v>300</v>
      </c>
      <c r="M97" s="15"/>
      <c r="N97" s="16">
        <v>4.0999999999999996</v>
      </c>
      <c r="O97" s="21">
        <v>4.0999999999999996</v>
      </c>
      <c r="P97" s="16">
        <v>0</v>
      </c>
      <c r="Q97" s="16" t="s">
        <v>33</v>
      </c>
      <c r="R97" s="17">
        <v>4671.8600000000006</v>
      </c>
      <c r="S97" s="17">
        <v>1993.43</v>
      </c>
      <c r="T97" s="17">
        <v>6665.2900000000009</v>
      </c>
      <c r="U97" s="17">
        <v>7623.0479999999989</v>
      </c>
      <c r="V97" s="17">
        <v>5336.22</v>
      </c>
      <c r="W97" s="17">
        <v>2449.1499999999996</v>
      </c>
      <c r="X97" s="17">
        <v>160.5</v>
      </c>
      <c r="Y97" s="17">
        <v>0</v>
      </c>
      <c r="Z97" s="17">
        <v>0</v>
      </c>
      <c r="AA97" s="17">
        <v>0</v>
      </c>
      <c r="AB97" s="17">
        <v>0</v>
      </c>
      <c r="AC97" s="17">
        <v>0</v>
      </c>
      <c r="AD97" s="17">
        <v>0</v>
      </c>
      <c r="AE97" s="17">
        <v>0</v>
      </c>
      <c r="AF97" s="17">
        <v>0</v>
      </c>
      <c r="AG97" s="17">
        <v>0</v>
      </c>
      <c r="AH97" s="17">
        <v>0</v>
      </c>
      <c r="AI97" s="17">
        <v>0</v>
      </c>
      <c r="AJ97" s="17">
        <v>0</v>
      </c>
      <c r="AK97" s="17">
        <v>0</v>
      </c>
      <c r="AL97" s="17">
        <v>0</v>
      </c>
      <c r="AM97" s="17">
        <v>0</v>
      </c>
      <c r="AN97" s="17">
        <v>0</v>
      </c>
      <c r="AO97" s="17">
        <v>0</v>
      </c>
      <c r="AP97" s="17">
        <v>0</v>
      </c>
      <c r="AQ97" s="17">
        <v>0</v>
      </c>
      <c r="AR97" s="17">
        <v>0</v>
      </c>
      <c r="AS97" s="17">
        <v>0</v>
      </c>
      <c r="AT97" s="17">
        <v>0</v>
      </c>
      <c r="AU97" s="17">
        <v>0</v>
      </c>
      <c r="AV97" s="17">
        <v>0</v>
      </c>
      <c r="AW97" s="17"/>
      <c r="AX97" s="17"/>
      <c r="AY97" s="19">
        <v>15568.918</v>
      </c>
      <c r="AZ97" s="82">
        <v>0</v>
      </c>
      <c r="BA97" s="18">
        <v>0</v>
      </c>
      <c r="BB97" s="19">
        <v>15568.918</v>
      </c>
      <c r="BD97" s="43"/>
    </row>
    <row r="98" spans="2:57" s="43" customFormat="1" hidden="1" outlineLevel="1" x14ac:dyDescent="0.25">
      <c r="B98" s="38" t="s">
        <v>74</v>
      </c>
      <c r="C98" s="39">
        <v>47</v>
      </c>
      <c r="D98" s="40" t="s">
        <v>301</v>
      </c>
      <c r="E98" s="7" t="s">
        <v>302</v>
      </c>
      <c r="F98" s="7" t="s">
        <v>303</v>
      </c>
      <c r="G98" s="7" t="s">
        <v>304</v>
      </c>
      <c r="H98" s="7" t="s">
        <v>305</v>
      </c>
      <c r="I98" s="7" t="s">
        <v>29</v>
      </c>
      <c r="J98" s="8">
        <v>178121</v>
      </c>
      <c r="K98" s="9">
        <v>99533.52</v>
      </c>
      <c r="L98" s="9"/>
      <c r="M98" s="9"/>
      <c r="N98" s="10"/>
      <c r="O98" s="10"/>
      <c r="P98" s="10"/>
      <c r="Q98" s="10" t="s">
        <v>30</v>
      </c>
      <c r="R98" s="11">
        <v>78588</v>
      </c>
      <c r="S98" s="11">
        <v>6250</v>
      </c>
      <c r="T98" s="11">
        <v>84838</v>
      </c>
      <c r="U98" s="11">
        <v>12500</v>
      </c>
      <c r="V98" s="11">
        <v>12500</v>
      </c>
      <c r="W98" s="11">
        <v>12500</v>
      </c>
      <c r="X98" s="11">
        <v>12500</v>
      </c>
      <c r="Y98" s="11">
        <v>12500</v>
      </c>
      <c r="Z98" s="11">
        <v>12500</v>
      </c>
      <c r="AA98" s="11">
        <v>12500</v>
      </c>
      <c r="AB98" s="11">
        <v>5783.52</v>
      </c>
      <c r="AC98" s="11">
        <v>0</v>
      </c>
      <c r="AD98" s="11">
        <v>0</v>
      </c>
      <c r="AE98" s="11">
        <v>0</v>
      </c>
      <c r="AF98" s="11">
        <v>0</v>
      </c>
      <c r="AG98" s="11">
        <v>0</v>
      </c>
      <c r="AH98" s="11">
        <v>0</v>
      </c>
      <c r="AI98" s="11">
        <v>0</v>
      </c>
      <c r="AJ98" s="11">
        <v>0</v>
      </c>
      <c r="AK98" s="11">
        <v>0</v>
      </c>
      <c r="AL98" s="11">
        <v>0</v>
      </c>
      <c r="AM98" s="11">
        <v>0</v>
      </c>
      <c r="AN98" s="11">
        <v>0</v>
      </c>
      <c r="AO98" s="11">
        <v>0</v>
      </c>
      <c r="AP98" s="11">
        <v>0</v>
      </c>
      <c r="AQ98" s="11">
        <v>0</v>
      </c>
      <c r="AR98" s="11">
        <v>0</v>
      </c>
      <c r="AS98" s="11">
        <v>0</v>
      </c>
      <c r="AT98" s="11">
        <v>0</v>
      </c>
      <c r="AU98" s="11">
        <v>0</v>
      </c>
      <c r="AV98" s="11">
        <v>0</v>
      </c>
      <c r="AW98" s="11"/>
      <c r="AX98" s="11"/>
      <c r="AY98" s="13">
        <v>93283.520000000004</v>
      </c>
      <c r="AZ98" s="82">
        <v>0</v>
      </c>
      <c r="BA98" s="12">
        <v>5783.52</v>
      </c>
      <c r="BB98" s="13">
        <v>93283.520000000004</v>
      </c>
      <c r="BE98" s="44"/>
    </row>
    <row r="99" spans="2:57" hidden="1" outlineLevel="1" x14ac:dyDescent="0.25">
      <c r="B99" s="45" t="s">
        <v>74</v>
      </c>
      <c r="C99" s="46"/>
      <c r="D99" s="47" t="s">
        <v>306</v>
      </c>
      <c r="E99" s="14"/>
      <c r="F99" s="14"/>
      <c r="G99" s="14"/>
      <c r="H99" s="14"/>
      <c r="I99" s="14"/>
      <c r="J99" s="15"/>
      <c r="K99" s="15"/>
      <c r="L99" s="15" t="s">
        <v>307</v>
      </c>
      <c r="M99" s="15"/>
      <c r="N99" s="16">
        <v>3.9020000000000001</v>
      </c>
      <c r="O99" s="16">
        <v>3.9020000000000001</v>
      </c>
      <c r="P99" s="16">
        <v>0</v>
      </c>
      <c r="Q99" s="16" t="s">
        <v>33</v>
      </c>
      <c r="R99" s="17">
        <v>1807.31</v>
      </c>
      <c r="S99" s="17">
        <v>988.8</v>
      </c>
      <c r="T99" s="17">
        <v>2796.1099999999997</v>
      </c>
      <c r="U99" s="17">
        <v>3639.9229504000004</v>
      </c>
      <c r="V99" s="17">
        <v>3152.1729504000004</v>
      </c>
      <c r="W99" s="17">
        <v>2664.4229504</v>
      </c>
      <c r="X99" s="17">
        <v>2176.6729504000004</v>
      </c>
      <c r="Y99" s="17">
        <v>1688.9229504000002</v>
      </c>
      <c r="Z99" s="17">
        <v>1201.1729504000002</v>
      </c>
      <c r="AA99" s="17">
        <v>713.42295039999999</v>
      </c>
      <c r="AB99" s="17">
        <v>225.67295040000002</v>
      </c>
      <c r="AC99" s="17">
        <v>0</v>
      </c>
      <c r="AD99" s="17">
        <v>0</v>
      </c>
      <c r="AE99" s="17">
        <v>0</v>
      </c>
      <c r="AF99" s="17">
        <v>0</v>
      </c>
      <c r="AG99" s="17">
        <v>0</v>
      </c>
      <c r="AH99" s="17">
        <v>0</v>
      </c>
      <c r="AI99" s="17">
        <v>0</v>
      </c>
      <c r="AJ99" s="17">
        <v>0</v>
      </c>
      <c r="AK99" s="17">
        <v>0</v>
      </c>
      <c r="AL99" s="17">
        <v>0</v>
      </c>
      <c r="AM99" s="17">
        <v>0</v>
      </c>
      <c r="AN99" s="17">
        <v>0</v>
      </c>
      <c r="AO99" s="17">
        <v>0</v>
      </c>
      <c r="AP99" s="17">
        <v>0</v>
      </c>
      <c r="AQ99" s="17">
        <v>0</v>
      </c>
      <c r="AR99" s="17">
        <v>0</v>
      </c>
      <c r="AS99" s="17">
        <v>0</v>
      </c>
      <c r="AT99" s="17">
        <v>0</v>
      </c>
      <c r="AU99" s="17">
        <v>0</v>
      </c>
      <c r="AV99" s="17">
        <v>0</v>
      </c>
      <c r="AW99" s="17"/>
      <c r="AX99" s="17"/>
      <c r="AY99" s="19">
        <v>15462.3836032</v>
      </c>
      <c r="AZ99" s="82">
        <v>0</v>
      </c>
      <c r="BA99" s="18">
        <v>225.67295040000002</v>
      </c>
      <c r="BB99" s="19">
        <v>15462.3836032</v>
      </c>
      <c r="BD99" s="43"/>
    </row>
    <row r="100" spans="2:57" s="43" customFormat="1" hidden="1" outlineLevel="1" x14ac:dyDescent="0.25">
      <c r="B100" s="38" t="s">
        <v>23</v>
      </c>
      <c r="C100" s="39">
        <v>48</v>
      </c>
      <c r="D100" s="40" t="s">
        <v>308</v>
      </c>
      <c r="E100" s="7" t="s">
        <v>309</v>
      </c>
      <c r="F100" s="7" t="s">
        <v>310</v>
      </c>
      <c r="G100" s="7" t="s">
        <v>311</v>
      </c>
      <c r="H100" s="7" t="s">
        <v>312</v>
      </c>
      <c r="I100" s="7" t="s">
        <v>29</v>
      </c>
      <c r="J100" s="8">
        <v>1230506</v>
      </c>
      <c r="K100" s="9">
        <v>873506.23</v>
      </c>
      <c r="L100" s="9"/>
      <c r="M100" s="9"/>
      <c r="N100" s="10"/>
      <c r="O100" s="10"/>
      <c r="P100" s="10"/>
      <c r="Q100" s="10" t="s">
        <v>30</v>
      </c>
      <c r="R100" s="11">
        <v>21578</v>
      </c>
      <c r="S100" s="11">
        <v>43176</v>
      </c>
      <c r="T100" s="11">
        <v>64754</v>
      </c>
      <c r="U100" s="11">
        <v>86352</v>
      </c>
      <c r="V100" s="11">
        <v>86352</v>
      </c>
      <c r="W100" s="11">
        <v>86352</v>
      </c>
      <c r="X100" s="11">
        <v>86352</v>
      </c>
      <c r="Y100" s="11">
        <v>86352</v>
      </c>
      <c r="Z100" s="11">
        <v>86352</v>
      </c>
      <c r="AA100" s="11">
        <v>86352</v>
      </c>
      <c r="AB100" s="11">
        <v>86352</v>
      </c>
      <c r="AC100" s="11">
        <v>86352</v>
      </c>
      <c r="AD100" s="11">
        <v>53162.229999999996</v>
      </c>
      <c r="AE100" s="11">
        <v>0</v>
      </c>
      <c r="AF100" s="11">
        <v>0</v>
      </c>
      <c r="AG100" s="11">
        <v>0</v>
      </c>
      <c r="AH100" s="11">
        <v>0</v>
      </c>
      <c r="AI100" s="11">
        <v>0</v>
      </c>
      <c r="AJ100" s="11">
        <v>0</v>
      </c>
      <c r="AK100" s="11">
        <v>0</v>
      </c>
      <c r="AL100" s="11">
        <v>0</v>
      </c>
      <c r="AM100" s="11">
        <v>0</v>
      </c>
      <c r="AN100" s="11">
        <v>0</v>
      </c>
      <c r="AO100" s="11">
        <v>0</v>
      </c>
      <c r="AP100" s="11">
        <v>0</v>
      </c>
      <c r="AQ100" s="11">
        <v>0</v>
      </c>
      <c r="AR100" s="11">
        <v>0</v>
      </c>
      <c r="AS100" s="11">
        <v>0</v>
      </c>
      <c r="AT100" s="11">
        <v>0</v>
      </c>
      <c r="AU100" s="11">
        <v>0</v>
      </c>
      <c r="AV100" s="11">
        <v>0</v>
      </c>
      <c r="AW100" s="11"/>
      <c r="AX100" s="11"/>
      <c r="AY100" s="13">
        <v>830330.23</v>
      </c>
      <c r="AZ100" s="82">
        <v>0</v>
      </c>
      <c r="BA100" s="12">
        <v>225866.22999999998</v>
      </c>
      <c r="BB100" s="13">
        <v>830330.23</v>
      </c>
      <c r="BE100" s="44"/>
    </row>
    <row r="101" spans="2:57" hidden="1" outlineLevel="1" x14ac:dyDescent="0.25">
      <c r="B101" s="45" t="s">
        <v>23</v>
      </c>
      <c r="C101" s="46"/>
      <c r="D101" s="47" t="s">
        <v>313</v>
      </c>
      <c r="E101" s="14"/>
      <c r="F101" s="14"/>
      <c r="G101" s="14"/>
      <c r="H101" s="14"/>
      <c r="I101" s="14"/>
      <c r="J101" s="15"/>
      <c r="K101" s="15"/>
      <c r="L101" s="15" t="s">
        <v>314</v>
      </c>
      <c r="M101" s="15"/>
      <c r="N101" s="16">
        <v>5.0529999999999999</v>
      </c>
      <c r="O101" s="16">
        <v>5.0529999999999999</v>
      </c>
      <c r="P101" s="16">
        <v>0</v>
      </c>
      <c r="Q101" s="16" t="s">
        <v>33</v>
      </c>
      <c r="R101" s="17">
        <v>11211.34</v>
      </c>
      <c r="S101" s="17">
        <v>11246.45</v>
      </c>
      <c r="T101" s="17">
        <v>22457.79</v>
      </c>
      <c r="U101" s="17">
        <v>41956.586521899997</v>
      </c>
      <c r="V101" s="17">
        <v>37593.219961900002</v>
      </c>
      <c r="W101" s="17">
        <v>33229.8534019</v>
      </c>
      <c r="X101" s="17">
        <v>28866.486841899998</v>
      </c>
      <c r="Y101" s="17">
        <v>24503.120281899999</v>
      </c>
      <c r="Z101" s="17">
        <v>20139.753721899997</v>
      </c>
      <c r="AA101" s="17">
        <v>15776.387161899998</v>
      </c>
      <c r="AB101" s="17">
        <v>11413.020601899998</v>
      </c>
      <c r="AC101" s="17">
        <v>7049.6540418999994</v>
      </c>
      <c r="AD101" s="17">
        <v>2686.2874818999994</v>
      </c>
      <c r="AE101" s="17">
        <v>0</v>
      </c>
      <c r="AF101" s="17">
        <v>0</v>
      </c>
      <c r="AG101" s="17">
        <v>0</v>
      </c>
      <c r="AH101" s="17">
        <v>0</v>
      </c>
      <c r="AI101" s="17">
        <v>0</v>
      </c>
      <c r="AJ101" s="17">
        <v>0</v>
      </c>
      <c r="AK101" s="17">
        <v>0</v>
      </c>
      <c r="AL101" s="17">
        <v>0</v>
      </c>
      <c r="AM101" s="17">
        <v>0</v>
      </c>
      <c r="AN101" s="17">
        <v>0</v>
      </c>
      <c r="AO101" s="17">
        <v>0</v>
      </c>
      <c r="AP101" s="17">
        <v>0</v>
      </c>
      <c r="AQ101" s="17">
        <v>0</v>
      </c>
      <c r="AR101" s="17">
        <v>0</v>
      </c>
      <c r="AS101" s="17">
        <v>0</v>
      </c>
      <c r="AT101" s="17">
        <v>0</v>
      </c>
      <c r="AU101" s="17">
        <v>0</v>
      </c>
      <c r="AV101" s="17">
        <v>0</v>
      </c>
      <c r="AW101" s="17"/>
      <c r="AX101" s="17"/>
      <c r="AY101" s="19">
        <v>223214.37001900002</v>
      </c>
      <c r="AZ101" s="82">
        <v>0</v>
      </c>
      <c r="BA101" s="18">
        <v>21148.962125699996</v>
      </c>
      <c r="BB101" s="19">
        <v>223214.37001899999</v>
      </c>
      <c r="BD101" s="43"/>
    </row>
    <row r="102" spans="2:57" s="43" customFormat="1" hidden="1" outlineLevel="1" x14ac:dyDescent="0.25">
      <c r="B102" s="38" t="s">
        <v>23</v>
      </c>
      <c r="C102" s="39">
        <v>49</v>
      </c>
      <c r="D102" s="40" t="s">
        <v>315</v>
      </c>
      <c r="E102" s="7" t="s">
        <v>316</v>
      </c>
      <c r="F102" s="7" t="s">
        <v>317</v>
      </c>
      <c r="G102" s="7" t="s">
        <v>318</v>
      </c>
      <c r="H102" s="7" t="s">
        <v>319</v>
      </c>
      <c r="I102" s="7" t="s">
        <v>29</v>
      </c>
      <c r="J102" s="8">
        <v>156436.10999999999</v>
      </c>
      <c r="K102" s="9">
        <v>137903.10999999999</v>
      </c>
      <c r="L102" s="9"/>
      <c r="M102" s="9"/>
      <c r="N102" s="10"/>
      <c r="O102" s="10"/>
      <c r="P102" s="10"/>
      <c r="Q102" s="10" t="s">
        <v>30</v>
      </c>
      <c r="R102" s="11">
        <v>18533</v>
      </c>
      <c r="S102" s="11">
        <v>18538</v>
      </c>
      <c r="T102" s="11">
        <v>37071</v>
      </c>
      <c r="U102" s="11">
        <v>37076</v>
      </c>
      <c r="V102" s="11">
        <v>37076</v>
      </c>
      <c r="W102" s="11">
        <v>37076</v>
      </c>
      <c r="X102" s="11">
        <v>8137.11</v>
      </c>
      <c r="Y102" s="11">
        <v>0</v>
      </c>
      <c r="Z102" s="11">
        <v>0</v>
      </c>
      <c r="AA102" s="11">
        <v>0</v>
      </c>
      <c r="AB102" s="11">
        <v>0</v>
      </c>
      <c r="AC102" s="11">
        <v>0</v>
      </c>
      <c r="AD102" s="11">
        <v>0</v>
      </c>
      <c r="AE102" s="11">
        <v>0</v>
      </c>
      <c r="AF102" s="11">
        <v>0</v>
      </c>
      <c r="AG102" s="11">
        <v>0</v>
      </c>
      <c r="AH102" s="11">
        <v>0</v>
      </c>
      <c r="AI102" s="11">
        <v>0</v>
      </c>
      <c r="AJ102" s="11">
        <v>0</v>
      </c>
      <c r="AK102" s="11">
        <v>0</v>
      </c>
      <c r="AL102" s="11">
        <v>0</v>
      </c>
      <c r="AM102" s="11">
        <v>0</v>
      </c>
      <c r="AN102" s="11">
        <v>0</v>
      </c>
      <c r="AO102" s="11">
        <v>0</v>
      </c>
      <c r="AP102" s="11">
        <v>0</v>
      </c>
      <c r="AQ102" s="11">
        <v>0</v>
      </c>
      <c r="AR102" s="11">
        <v>0</v>
      </c>
      <c r="AS102" s="11">
        <v>0</v>
      </c>
      <c r="AT102" s="11">
        <v>0</v>
      </c>
      <c r="AU102" s="11">
        <v>0</v>
      </c>
      <c r="AV102" s="11">
        <v>0</v>
      </c>
      <c r="AW102" s="11"/>
      <c r="AX102" s="11"/>
      <c r="AY102" s="13">
        <v>119365.11</v>
      </c>
      <c r="AZ102" s="82">
        <v>0</v>
      </c>
      <c r="BA102" s="12">
        <v>0</v>
      </c>
      <c r="BB102" s="13">
        <v>119365.11</v>
      </c>
      <c r="BE102" s="44"/>
    </row>
    <row r="103" spans="2:57" hidden="1" outlineLevel="1" x14ac:dyDescent="0.25">
      <c r="B103" s="45" t="s">
        <v>23</v>
      </c>
      <c r="C103" s="46"/>
      <c r="D103" s="47"/>
      <c r="E103" s="14"/>
      <c r="F103" s="14"/>
      <c r="G103" s="14"/>
      <c r="H103" s="14"/>
      <c r="I103" s="14"/>
      <c r="J103" s="15"/>
      <c r="K103" s="15"/>
      <c r="L103" s="15" t="s">
        <v>320</v>
      </c>
      <c r="M103" s="15"/>
      <c r="N103" s="16">
        <v>5.0449999999999999</v>
      </c>
      <c r="O103" s="16">
        <v>5.0449999999999999</v>
      </c>
      <c r="P103" s="16">
        <v>0</v>
      </c>
      <c r="Q103" s="16" t="s">
        <v>33</v>
      </c>
      <c r="R103" s="17">
        <v>1897.61</v>
      </c>
      <c r="S103" s="17">
        <v>1727.08</v>
      </c>
      <c r="T103" s="17">
        <v>3624.6899999999996</v>
      </c>
      <c r="U103" s="17">
        <v>6021.9697994999997</v>
      </c>
      <c r="V103" s="17">
        <v>4151.4855994999998</v>
      </c>
      <c r="W103" s="17">
        <v>2281.0013994999999</v>
      </c>
      <c r="X103" s="17">
        <v>410.5171995</v>
      </c>
      <c r="Y103" s="17">
        <v>0</v>
      </c>
      <c r="Z103" s="17">
        <v>0</v>
      </c>
      <c r="AA103" s="17">
        <v>0</v>
      </c>
      <c r="AB103" s="17">
        <v>0</v>
      </c>
      <c r="AC103" s="17">
        <v>0</v>
      </c>
      <c r="AD103" s="17">
        <v>0</v>
      </c>
      <c r="AE103" s="17">
        <v>0</v>
      </c>
      <c r="AF103" s="17">
        <v>0</v>
      </c>
      <c r="AG103" s="17">
        <v>0</v>
      </c>
      <c r="AH103" s="17">
        <v>0</v>
      </c>
      <c r="AI103" s="17">
        <v>0</v>
      </c>
      <c r="AJ103" s="17">
        <v>0</v>
      </c>
      <c r="AK103" s="17">
        <v>0</v>
      </c>
      <c r="AL103" s="17">
        <v>0</v>
      </c>
      <c r="AM103" s="17">
        <v>0</v>
      </c>
      <c r="AN103" s="17">
        <v>0</v>
      </c>
      <c r="AO103" s="17">
        <v>0</v>
      </c>
      <c r="AP103" s="17">
        <v>0</v>
      </c>
      <c r="AQ103" s="17">
        <v>0</v>
      </c>
      <c r="AR103" s="17">
        <v>0</v>
      </c>
      <c r="AS103" s="17">
        <v>0</v>
      </c>
      <c r="AT103" s="17">
        <v>0</v>
      </c>
      <c r="AU103" s="17">
        <v>0</v>
      </c>
      <c r="AV103" s="17">
        <v>0</v>
      </c>
      <c r="AW103" s="17"/>
      <c r="AX103" s="17"/>
      <c r="AY103" s="19">
        <v>12864.973997999999</v>
      </c>
      <c r="AZ103" s="82">
        <v>0</v>
      </c>
      <c r="BA103" s="18">
        <v>0</v>
      </c>
      <c r="BB103" s="19">
        <v>12864.973997999999</v>
      </c>
      <c r="BD103" s="43"/>
    </row>
    <row r="104" spans="2:57" s="43" customFormat="1" hidden="1" outlineLevel="1" x14ac:dyDescent="0.25">
      <c r="B104" s="38" t="s">
        <v>23</v>
      </c>
      <c r="C104" s="39">
        <v>50</v>
      </c>
      <c r="D104" s="40" t="s">
        <v>321</v>
      </c>
      <c r="E104" s="7" t="s">
        <v>322</v>
      </c>
      <c r="F104" s="7" t="s">
        <v>323</v>
      </c>
      <c r="G104" s="7" t="s">
        <v>324</v>
      </c>
      <c r="H104" s="7" t="s">
        <v>325</v>
      </c>
      <c r="I104" s="7" t="s">
        <v>29</v>
      </c>
      <c r="J104" s="8">
        <v>90861.19</v>
      </c>
      <c r="K104" s="9">
        <v>80676.19</v>
      </c>
      <c r="L104" s="9"/>
      <c r="M104" s="9"/>
      <c r="N104" s="10"/>
      <c r="O104" s="10">
        <v>2.1520000000000001</v>
      </c>
      <c r="P104" s="10"/>
      <c r="Q104" s="10" t="s">
        <v>30</v>
      </c>
      <c r="R104" s="11">
        <v>10185</v>
      </c>
      <c r="S104" s="11">
        <v>10190</v>
      </c>
      <c r="T104" s="11">
        <v>20375</v>
      </c>
      <c r="U104" s="11">
        <v>20380</v>
      </c>
      <c r="V104" s="11">
        <v>20380</v>
      </c>
      <c r="W104" s="11">
        <v>20380</v>
      </c>
      <c r="X104" s="11">
        <v>9346.1899999999987</v>
      </c>
      <c r="Y104" s="11">
        <v>0</v>
      </c>
      <c r="Z104" s="11">
        <v>0</v>
      </c>
      <c r="AA104" s="11">
        <v>0</v>
      </c>
      <c r="AB104" s="11">
        <v>0</v>
      </c>
      <c r="AC104" s="11">
        <v>0</v>
      </c>
      <c r="AD104" s="11">
        <v>0</v>
      </c>
      <c r="AE104" s="11">
        <v>0</v>
      </c>
      <c r="AF104" s="11">
        <v>0</v>
      </c>
      <c r="AG104" s="11">
        <v>0</v>
      </c>
      <c r="AH104" s="11">
        <v>0</v>
      </c>
      <c r="AI104" s="11">
        <v>0</v>
      </c>
      <c r="AJ104" s="11">
        <v>0</v>
      </c>
      <c r="AK104" s="11">
        <v>0</v>
      </c>
      <c r="AL104" s="11">
        <v>0</v>
      </c>
      <c r="AM104" s="11">
        <v>0</v>
      </c>
      <c r="AN104" s="11">
        <v>0</v>
      </c>
      <c r="AO104" s="11">
        <v>0</v>
      </c>
      <c r="AP104" s="11">
        <v>0</v>
      </c>
      <c r="AQ104" s="11">
        <v>0</v>
      </c>
      <c r="AR104" s="11">
        <v>0</v>
      </c>
      <c r="AS104" s="11">
        <v>0</v>
      </c>
      <c r="AT104" s="11">
        <v>0</v>
      </c>
      <c r="AU104" s="11">
        <v>0</v>
      </c>
      <c r="AV104" s="11">
        <v>0</v>
      </c>
      <c r="AW104" s="11"/>
      <c r="AX104" s="11"/>
      <c r="AY104" s="13">
        <v>70486.19</v>
      </c>
      <c r="AZ104" s="82">
        <v>0</v>
      </c>
      <c r="BA104" s="12">
        <v>0</v>
      </c>
      <c r="BB104" s="13">
        <v>70486.19</v>
      </c>
      <c r="BE104" s="44"/>
    </row>
    <row r="105" spans="2:57" hidden="1" outlineLevel="1" x14ac:dyDescent="0.25">
      <c r="B105" s="45" t="s">
        <v>23</v>
      </c>
      <c r="C105" s="46"/>
      <c r="D105" s="47"/>
      <c r="E105" s="14"/>
      <c r="F105" s="14"/>
      <c r="G105" s="14"/>
      <c r="H105" s="14"/>
      <c r="I105" s="14"/>
      <c r="J105" s="15"/>
      <c r="K105" s="15"/>
      <c r="L105" s="15" t="s">
        <v>326</v>
      </c>
      <c r="M105" s="15"/>
      <c r="N105" s="16">
        <v>5.2210000000000001</v>
      </c>
      <c r="O105" s="21">
        <v>5.2210000000000001</v>
      </c>
      <c r="P105" s="16">
        <v>0</v>
      </c>
      <c r="Q105" s="16" t="s">
        <v>33</v>
      </c>
      <c r="R105" s="17">
        <v>1431.26</v>
      </c>
      <c r="S105" s="17">
        <v>937.63</v>
      </c>
      <c r="T105" s="17">
        <v>2368.89</v>
      </c>
      <c r="U105" s="17">
        <v>3680.0839799000005</v>
      </c>
      <c r="V105" s="17">
        <v>2616.0441799</v>
      </c>
      <c r="W105" s="17">
        <v>1552.0043799</v>
      </c>
      <c r="X105" s="17">
        <v>487.96457989999993</v>
      </c>
      <c r="Y105" s="17">
        <v>0</v>
      </c>
      <c r="Z105" s="17">
        <v>0</v>
      </c>
      <c r="AA105" s="17">
        <v>0</v>
      </c>
      <c r="AB105" s="17">
        <v>0</v>
      </c>
      <c r="AC105" s="17">
        <v>0</v>
      </c>
      <c r="AD105" s="17">
        <v>0</v>
      </c>
      <c r="AE105" s="17">
        <v>0</v>
      </c>
      <c r="AF105" s="17">
        <v>0</v>
      </c>
      <c r="AG105" s="17">
        <v>0</v>
      </c>
      <c r="AH105" s="17">
        <v>0</v>
      </c>
      <c r="AI105" s="17">
        <v>0</v>
      </c>
      <c r="AJ105" s="17">
        <v>0</v>
      </c>
      <c r="AK105" s="17">
        <v>0</v>
      </c>
      <c r="AL105" s="17">
        <v>0</v>
      </c>
      <c r="AM105" s="17">
        <v>0</v>
      </c>
      <c r="AN105" s="17">
        <v>0</v>
      </c>
      <c r="AO105" s="17">
        <v>0</v>
      </c>
      <c r="AP105" s="17">
        <v>0</v>
      </c>
      <c r="AQ105" s="17">
        <v>0</v>
      </c>
      <c r="AR105" s="17">
        <v>0</v>
      </c>
      <c r="AS105" s="17">
        <v>0</v>
      </c>
      <c r="AT105" s="17">
        <v>0</v>
      </c>
      <c r="AU105" s="17">
        <v>0</v>
      </c>
      <c r="AV105" s="17">
        <v>0</v>
      </c>
      <c r="AW105" s="17"/>
      <c r="AX105" s="17"/>
      <c r="AY105" s="19">
        <v>8336.0971195999991</v>
      </c>
      <c r="AZ105" s="82">
        <v>0</v>
      </c>
      <c r="BA105" s="18">
        <v>0</v>
      </c>
      <c r="BB105" s="19">
        <v>8336.0971195999991</v>
      </c>
      <c r="BD105" s="43"/>
    </row>
    <row r="106" spans="2:57" s="43" customFormat="1" hidden="1" outlineLevel="1" x14ac:dyDescent="0.25">
      <c r="B106" s="38" t="s">
        <v>23</v>
      </c>
      <c r="C106" s="39">
        <v>51</v>
      </c>
      <c r="D106" s="40" t="s">
        <v>327</v>
      </c>
      <c r="E106" s="7" t="s">
        <v>328</v>
      </c>
      <c r="F106" s="7" t="s">
        <v>329</v>
      </c>
      <c r="G106" s="7" t="s">
        <v>330</v>
      </c>
      <c r="H106" s="7" t="s">
        <v>331</v>
      </c>
      <c r="I106" s="7" t="s">
        <v>29</v>
      </c>
      <c r="J106" s="8">
        <v>496340</v>
      </c>
      <c r="K106" s="9">
        <v>491872</v>
      </c>
      <c r="L106" s="9"/>
      <c r="M106" s="9"/>
      <c r="N106" s="10"/>
      <c r="O106" s="10"/>
      <c r="P106" s="10"/>
      <c r="Q106" s="10" t="s">
        <v>30</v>
      </c>
      <c r="R106" s="11">
        <v>4468</v>
      </c>
      <c r="S106" s="11">
        <v>22347</v>
      </c>
      <c r="T106" s="11">
        <v>26815</v>
      </c>
      <c r="U106" s="11">
        <v>53660</v>
      </c>
      <c r="V106" s="11">
        <v>53660</v>
      </c>
      <c r="W106" s="11">
        <v>53660</v>
      </c>
      <c r="X106" s="11">
        <v>53660</v>
      </c>
      <c r="Y106" s="11">
        <v>53660</v>
      </c>
      <c r="Z106" s="11">
        <v>53660</v>
      </c>
      <c r="AA106" s="11">
        <v>53660</v>
      </c>
      <c r="AB106" s="11">
        <v>53660</v>
      </c>
      <c r="AC106" s="11">
        <v>40245</v>
      </c>
      <c r="AD106" s="11">
        <v>0</v>
      </c>
      <c r="AE106" s="11">
        <v>0</v>
      </c>
      <c r="AF106" s="11">
        <v>0</v>
      </c>
      <c r="AG106" s="11">
        <v>0</v>
      </c>
      <c r="AH106" s="11">
        <v>0</v>
      </c>
      <c r="AI106" s="11">
        <v>0</v>
      </c>
      <c r="AJ106" s="11">
        <v>0</v>
      </c>
      <c r="AK106" s="11">
        <v>0</v>
      </c>
      <c r="AL106" s="11">
        <v>0</v>
      </c>
      <c r="AM106" s="11">
        <v>0</v>
      </c>
      <c r="AN106" s="11">
        <v>0</v>
      </c>
      <c r="AO106" s="11">
        <v>0</v>
      </c>
      <c r="AP106" s="11">
        <v>0</v>
      </c>
      <c r="AQ106" s="11">
        <v>0</v>
      </c>
      <c r="AR106" s="11">
        <v>0</v>
      </c>
      <c r="AS106" s="11">
        <v>0</v>
      </c>
      <c r="AT106" s="11">
        <v>0</v>
      </c>
      <c r="AU106" s="11">
        <v>0</v>
      </c>
      <c r="AV106" s="11">
        <v>0</v>
      </c>
      <c r="AW106" s="11"/>
      <c r="AX106" s="11"/>
      <c r="AY106" s="13">
        <v>469525</v>
      </c>
      <c r="AZ106" s="82">
        <v>0</v>
      </c>
      <c r="BA106" s="12">
        <v>93905</v>
      </c>
      <c r="BB106" s="13">
        <v>469525</v>
      </c>
      <c r="BE106" s="44"/>
    </row>
    <row r="107" spans="2:57" hidden="1" outlineLevel="1" x14ac:dyDescent="0.25">
      <c r="B107" s="45" t="s">
        <v>23</v>
      </c>
      <c r="C107" s="46"/>
      <c r="D107" s="47" t="s">
        <v>332</v>
      </c>
      <c r="E107" s="14"/>
      <c r="F107" s="14"/>
      <c r="G107" s="14"/>
      <c r="H107" s="14"/>
      <c r="I107" s="14"/>
      <c r="J107" s="15"/>
      <c r="K107" s="15"/>
      <c r="L107" s="15" t="s">
        <v>333</v>
      </c>
      <c r="M107" s="15"/>
      <c r="N107" s="16">
        <v>5.5309999999999997</v>
      </c>
      <c r="O107" s="16">
        <v>5.5309999999999997</v>
      </c>
      <c r="P107" s="16">
        <v>0</v>
      </c>
      <c r="Q107" s="16" t="s">
        <v>33</v>
      </c>
      <c r="R107" s="17">
        <v>8391.08</v>
      </c>
      <c r="S107" s="17">
        <v>5533.52</v>
      </c>
      <c r="T107" s="17">
        <v>13924.6</v>
      </c>
      <c r="U107" s="29">
        <v>23969.427749999999</v>
      </c>
      <c r="V107" s="17">
        <v>23001.493149999998</v>
      </c>
      <c r="W107" s="17">
        <v>20033.558550000002</v>
      </c>
      <c r="X107" s="17">
        <v>17065.623950000001</v>
      </c>
      <c r="Y107" s="17">
        <v>14097.689349999999</v>
      </c>
      <c r="Z107" s="17">
        <v>11129.754749999998</v>
      </c>
      <c r="AA107" s="17">
        <v>8161.8201499999986</v>
      </c>
      <c r="AB107" s="17">
        <v>5193.88555</v>
      </c>
      <c r="AC107" s="17">
        <v>2225.9509499999999</v>
      </c>
      <c r="AD107" s="17">
        <v>0</v>
      </c>
      <c r="AE107" s="17">
        <v>0</v>
      </c>
      <c r="AF107" s="17">
        <v>0</v>
      </c>
      <c r="AG107" s="17">
        <v>0</v>
      </c>
      <c r="AH107" s="17">
        <v>0</v>
      </c>
      <c r="AI107" s="17">
        <v>0</v>
      </c>
      <c r="AJ107" s="17">
        <v>0</v>
      </c>
      <c r="AK107" s="17">
        <v>0</v>
      </c>
      <c r="AL107" s="17">
        <v>0</v>
      </c>
      <c r="AM107" s="17">
        <v>0</v>
      </c>
      <c r="AN107" s="17">
        <v>0</v>
      </c>
      <c r="AO107" s="17">
        <v>0</v>
      </c>
      <c r="AP107" s="17">
        <v>0</v>
      </c>
      <c r="AQ107" s="17">
        <v>0</v>
      </c>
      <c r="AR107" s="17">
        <v>0</v>
      </c>
      <c r="AS107" s="17">
        <v>0</v>
      </c>
      <c r="AT107" s="17">
        <v>0</v>
      </c>
      <c r="AU107" s="17">
        <v>0</v>
      </c>
      <c r="AV107" s="17">
        <v>0</v>
      </c>
      <c r="AW107" s="17"/>
      <c r="AX107" s="17"/>
      <c r="AY107" s="19">
        <v>124879.20414999999</v>
      </c>
      <c r="AZ107" s="82">
        <v>0</v>
      </c>
      <c r="BA107" s="18">
        <v>7419.8364999999994</v>
      </c>
      <c r="BB107" s="19">
        <v>124879.20414999999</v>
      </c>
      <c r="BD107" s="43"/>
    </row>
    <row r="108" spans="2:57" s="43" customFormat="1" hidden="1" outlineLevel="1" x14ac:dyDescent="0.25">
      <c r="B108" s="38" t="s">
        <v>74</v>
      </c>
      <c r="C108" s="39">
        <v>52</v>
      </c>
      <c r="D108" s="40" t="s">
        <v>334</v>
      </c>
      <c r="E108" s="7" t="s">
        <v>335</v>
      </c>
      <c r="F108" s="7" t="s">
        <v>336</v>
      </c>
      <c r="G108" s="7" t="s">
        <v>337</v>
      </c>
      <c r="H108" s="7" t="s">
        <v>338</v>
      </c>
      <c r="I108" s="7" t="s">
        <v>29</v>
      </c>
      <c r="J108" s="8">
        <v>6469</v>
      </c>
      <c r="K108" s="9">
        <v>5800</v>
      </c>
      <c r="L108" s="9"/>
      <c r="M108" s="9"/>
      <c r="N108" s="10"/>
      <c r="O108" s="10">
        <v>2.403</v>
      </c>
      <c r="P108" s="10"/>
      <c r="Q108" s="10" t="s">
        <v>30</v>
      </c>
      <c r="R108" s="11">
        <v>464</v>
      </c>
      <c r="S108" s="11">
        <v>464</v>
      </c>
      <c r="T108" s="11">
        <v>928</v>
      </c>
      <c r="U108" s="30">
        <v>928</v>
      </c>
      <c r="V108" s="11">
        <v>928</v>
      </c>
      <c r="W108" s="11">
        <v>928</v>
      </c>
      <c r="X108" s="11">
        <v>928</v>
      </c>
      <c r="Y108" s="11">
        <v>928</v>
      </c>
      <c r="Z108" s="11">
        <v>696</v>
      </c>
      <c r="AA108" s="11">
        <v>0</v>
      </c>
      <c r="AB108" s="11">
        <v>0</v>
      </c>
      <c r="AC108" s="11">
        <v>0</v>
      </c>
      <c r="AD108" s="11">
        <v>0</v>
      </c>
      <c r="AE108" s="11">
        <v>0</v>
      </c>
      <c r="AF108" s="11">
        <v>0</v>
      </c>
      <c r="AG108" s="11">
        <v>0</v>
      </c>
      <c r="AH108" s="11">
        <v>0</v>
      </c>
      <c r="AI108" s="11">
        <v>0</v>
      </c>
      <c r="AJ108" s="11">
        <v>0</v>
      </c>
      <c r="AK108" s="11">
        <v>0</v>
      </c>
      <c r="AL108" s="11">
        <v>0</v>
      </c>
      <c r="AM108" s="11">
        <v>0</v>
      </c>
      <c r="AN108" s="11">
        <v>0</v>
      </c>
      <c r="AO108" s="11">
        <v>0</v>
      </c>
      <c r="AP108" s="11">
        <v>0</v>
      </c>
      <c r="AQ108" s="11">
        <v>0</v>
      </c>
      <c r="AR108" s="11">
        <v>0</v>
      </c>
      <c r="AS108" s="11">
        <v>0</v>
      </c>
      <c r="AT108" s="11">
        <v>0</v>
      </c>
      <c r="AU108" s="11">
        <v>0</v>
      </c>
      <c r="AV108" s="11">
        <v>0</v>
      </c>
      <c r="AW108" s="11"/>
      <c r="AX108" s="11"/>
      <c r="AY108" s="13">
        <v>5336</v>
      </c>
      <c r="AZ108" s="82">
        <v>0</v>
      </c>
      <c r="BA108" s="12">
        <v>0</v>
      </c>
      <c r="BB108" s="13">
        <v>5336</v>
      </c>
      <c r="BE108" s="44"/>
    </row>
    <row r="109" spans="2:57" hidden="1" outlineLevel="1" x14ac:dyDescent="0.25">
      <c r="B109" s="45" t="s">
        <v>74</v>
      </c>
      <c r="C109" s="46"/>
      <c r="D109" s="47" t="s">
        <v>339</v>
      </c>
      <c r="E109" s="14"/>
      <c r="F109" s="14"/>
      <c r="G109" s="14"/>
      <c r="H109" s="14"/>
      <c r="I109" s="14"/>
      <c r="J109" s="15"/>
      <c r="K109" s="15"/>
      <c r="L109" s="15" t="s">
        <v>340</v>
      </c>
      <c r="M109" s="15"/>
      <c r="N109" s="16">
        <v>5.4349999999999996</v>
      </c>
      <c r="O109" s="21">
        <v>5.4349999999999996</v>
      </c>
      <c r="P109" s="16">
        <v>0</v>
      </c>
      <c r="Q109" s="16" t="s">
        <v>33</v>
      </c>
      <c r="R109" s="17">
        <v>113.34</v>
      </c>
      <c r="S109" s="17">
        <v>61.61</v>
      </c>
      <c r="T109" s="17">
        <v>174.95</v>
      </c>
      <c r="U109" s="29">
        <v>290.01159999999999</v>
      </c>
      <c r="V109" s="17">
        <v>239.57479999999998</v>
      </c>
      <c r="W109" s="17">
        <v>189.13800000000001</v>
      </c>
      <c r="X109" s="17">
        <v>138.7012</v>
      </c>
      <c r="Y109" s="17">
        <v>88.264399999999981</v>
      </c>
      <c r="Z109" s="17">
        <v>37.827599999999997</v>
      </c>
      <c r="AA109" s="17">
        <v>0</v>
      </c>
      <c r="AB109" s="17">
        <v>0</v>
      </c>
      <c r="AC109" s="17">
        <v>0</v>
      </c>
      <c r="AD109" s="17">
        <v>0</v>
      </c>
      <c r="AE109" s="17">
        <v>0</v>
      </c>
      <c r="AF109" s="17">
        <v>0</v>
      </c>
      <c r="AG109" s="17">
        <v>0</v>
      </c>
      <c r="AH109" s="17">
        <v>0</v>
      </c>
      <c r="AI109" s="17">
        <v>0</v>
      </c>
      <c r="AJ109" s="17">
        <v>0</v>
      </c>
      <c r="AK109" s="17">
        <v>0</v>
      </c>
      <c r="AL109" s="17">
        <v>0</v>
      </c>
      <c r="AM109" s="17">
        <v>0</v>
      </c>
      <c r="AN109" s="17">
        <v>0</v>
      </c>
      <c r="AO109" s="17">
        <v>0</v>
      </c>
      <c r="AP109" s="17">
        <v>0</v>
      </c>
      <c r="AQ109" s="17">
        <v>0</v>
      </c>
      <c r="AR109" s="17">
        <v>0</v>
      </c>
      <c r="AS109" s="17">
        <v>0</v>
      </c>
      <c r="AT109" s="17">
        <v>0</v>
      </c>
      <c r="AU109" s="17">
        <v>0</v>
      </c>
      <c r="AV109" s="17">
        <v>0</v>
      </c>
      <c r="AW109" s="17"/>
      <c r="AX109" s="17"/>
      <c r="AY109" s="19">
        <v>983.5175999999999</v>
      </c>
      <c r="AZ109" s="82">
        <v>0</v>
      </c>
      <c r="BA109" s="18">
        <v>0</v>
      </c>
      <c r="BB109" s="19">
        <v>983.5175999999999</v>
      </c>
      <c r="BD109" s="43"/>
    </row>
    <row r="110" spans="2:57" s="43" customFormat="1" hidden="1" outlineLevel="1" x14ac:dyDescent="0.25">
      <c r="B110" s="38" t="s">
        <v>74</v>
      </c>
      <c r="C110" s="39">
        <v>53</v>
      </c>
      <c r="D110" s="40" t="s">
        <v>341</v>
      </c>
      <c r="E110" s="7" t="s">
        <v>342</v>
      </c>
      <c r="F110" s="7" t="s">
        <v>343</v>
      </c>
      <c r="G110" s="7" t="s">
        <v>344</v>
      </c>
      <c r="H110" s="7" t="s">
        <v>345</v>
      </c>
      <c r="I110" s="7" t="s">
        <v>29</v>
      </c>
      <c r="J110" s="8">
        <v>503660</v>
      </c>
      <c r="K110" s="9">
        <v>503660</v>
      </c>
      <c r="L110" s="9"/>
      <c r="M110" s="9"/>
      <c r="N110" s="10"/>
      <c r="O110" s="10"/>
      <c r="P110" s="10"/>
      <c r="Q110" s="10" t="s">
        <v>30</v>
      </c>
      <c r="R110" s="11"/>
      <c r="S110" s="11">
        <v>8788</v>
      </c>
      <c r="T110" s="11">
        <v>8788</v>
      </c>
      <c r="U110" s="30">
        <v>35348</v>
      </c>
      <c r="V110" s="11">
        <v>35348</v>
      </c>
      <c r="W110" s="11">
        <v>35348</v>
      </c>
      <c r="X110" s="11">
        <v>35348</v>
      </c>
      <c r="Y110" s="11">
        <v>35348</v>
      </c>
      <c r="Z110" s="11">
        <v>35348</v>
      </c>
      <c r="AA110" s="11">
        <v>35348</v>
      </c>
      <c r="AB110" s="11">
        <v>35348</v>
      </c>
      <c r="AC110" s="11">
        <v>35348</v>
      </c>
      <c r="AD110" s="11">
        <v>35348</v>
      </c>
      <c r="AE110" s="11">
        <v>35348</v>
      </c>
      <c r="AF110" s="11">
        <v>35348</v>
      </c>
      <c r="AG110" s="11">
        <v>35348</v>
      </c>
      <c r="AH110" s="11">
        <v>35348</v>
      </c>
      <c r="AI110" s="11">
        <v>0</v>
      </c>
      <c r="AJ110" s="11">
        <v>0</v>
      </c>
      <c r="AK110" s="11">
        <v>0</v>
      </c>
      <c r="AL110" s="11">
        <v>0</v>
      </c>
      <c r="AM110" s="11">
        <v>0</v>
      </c>
      <c r="AN110" s="11">
        <v>0</v>
      </c>
      <c r="AO110" s="11">
        <v>0</v>
      </c>
      <c r="AP110" s="11">
        <v>0</v>
      </c>
      <c r="AQ110" s="11">
        <v>0</v>
      </c>
      <c r="AR110" s="11">
        <v>0</v>
      </c>
      <c r="AS110" s="11">
        <v>0</v>
      </c>
      <c r="AT110" s="11">
        <v>0</v>
      </c>
      <c r="AU110" s="11">
        <v>0</v>
      </c>
      <c r="AV110" s="11">
        <v>0</v>
      </c>
      <c r="AW110" s="11"/>
      <c r="AX110" s="11"/>
      <c r="AY110" s="13">
        <v>494872</v>
      </c>
      <c r="AZ110" s="82">
        <v>0</v>
      </c>
      <c r="BA110" s="12">
        <v>247436</v>
      </c>
      <c r="BB110" s="13">
        <v>494872</v>
      </c>
      <c r="BE110" s="44"/>
    </row>
    <row r="111" spans="2:57" hidden="1" outlineLevel="1" x14ac:dyDescent="0.25">
      <c r="B111" s="45" t="s">
        <v>74</v>
      </c>
      <c r="C111" s="46"/>
      <c r="D111" s="47" t="s">
        <v>346</v>
      </c>
      <c r="E111" s="14"/>
      <c r="F111" s="14"/>
      <c r="G111" s="14"/>
      <c r="H111" s="14"/>
      <c r="I111" s="14"/>
      <c r="J111" s="15"/>
      <c r="K111" s="15"/>
      <c r="L111" s="15">
        <v>0</v>
      </c>
      <c r="M111" s="15" t="s">
        <v>219</v>
      </c>
      <c r="N111" s="16">
        <v>4.6120000000000001</v>
      </c>
      <c r="O111" s="16">
        <v>4.6120000000000001</v>
      </c>
      <c r="P111" s="16">
        <v>0</v>
      </c>
      <c r="Q111" s="16" t="s">
        <v>33</v>
      </c>
      <c r="R111" s="17">
        <v>13106.650000000001</v>
      </c>
      <c r="S111" s="17">
        <v>5936.25</v>
      </c>
      <c r="T111" s="17">
        <v>19042.900000000001</v>
      </c>
      <c r="U111" s="29">
        <v>21823.496639999998</v>
      </c>
      <c r="V111" s="17">
        <v>21193.246880000002</v>
      </c>
      <c r="W111" s="17">
        <v>19562.99712</v>
      </c>
      <c r="X111" s="17">
        <v>17932.747360000001</v>
      </c>
      <c r="Y111" s="17">
        <v>16302.497600000001</v>
      </c>
      <c r="Z111" s="17">
        <v>14672.24784</v>
      </c>
      <c r="AA111" s="17">
        <v>13041.998079999999</v>
      </c>
      <c r="AB111" s="17">
        <v>11411.748319999999</v>
      </c>
      <c r="AC111" s="17">
        <v>9781.49856</v>
      </c>
      <c r="AD111" s="17">
        <v>8151.2488000000003</v>
      </c>
      <c r="AE111" s="17">
        <v>6520.9990399999997</v>
      </c>
      <c r="AF111" s="17">
        <v>4890.74928</v>
      </c>
      <c r="AG111" s="17">
        <v>3260.4995199999998</v>
      </c>
      <c r="AH111" s="17">
        <v>1630.2497599999999</v>
      </c>
      <c r="AI111" s="17">
        <v>0</v>
      </c>
      <c r="AJ111" s="17">
        <v>0</v>
      </c>
      <c r="AK111" s="17">
        <v>0</v>
      </c>
      <c r="AL111" s="17">
        <v>0</v>
      </c>
      <c r="AM111" s="17">
        <v>0</v>
      </c>
      <c r="AN111" s="17">
        <v>0</v>
      </c>
      <c r="AO111" s="17">
        <v>0</v>
      </c>
      <c r="AP111" s="17">
        <v>0</v>
      </c>
      <c r="AQ111" s="17">
        <v>0</v>
      </c>
      <c r="AR111" s="17">
        <v>0</v>
      </c>
      <c r="AS111" s="17">
        <v>0</v>
      </c>
      <c r="AT111" s="17">
        <v>0</v>
      </c>
      <c r="AU111" s="17">
        <v>0</v>
      </c>
      <c r="AV111" s="17">
        <v>0</v>
      </c>
      <c r="AW111" s="17"/>
      <c r="AX111" s="17"/>
      <c r="AY111" s="19">
        <v>170176.22480000003</v>
      </c>
      <c r="AZ111" s="82">
        <v>0</v>
      </c>
      <c r="BA111" s="18">
        <v>45646.993280000002</v>
      </c>
      <c r="BB111" s="19">
        <v>170176.22480000003</v>
      </c>
      <c r="BD111" s="43"/>
    </row>
    <row r="112" spans="2:57" s="43" customFormat="1" hidden="1" outlineLevel="1" x14ac:dyDescent="0.25">
      <c r="B112" s="38" t="s">
        <v>74</v>
      </c>
      <c r="C112" s="39">
        <v>54</v>
      </c>
      <c r="D112" s="40" t="s">
        <v>341</v>
      </c>
      <c r="E112" s="7" t="s">
        <v>347</v>
      </c>
      <c r="F112" s="7" t="s">
        <v>348</v>
      </c>
      <c r="G112" s="7" t="s">
        <v>344</v>
      </c>
      <c r="H112" s="7" t="s">
        <v>349</v>
      </c>
      <c r="I112" s="7" t="s">
        <v>29</v>
      </c>
      <c r="J112" s="8">
        <v>300000</v>
      </c>
      <c r="K112" s="9">
        <v>300000</v>
      </c>
      <c r="L112" s="9"/>
      <c r="M112" s="9"/>
      <c r="N112" s="10"/>
      <c r="O112" s="10"/>
      <c r="P112" s="10"/>
      <c r="Q112" s="10" t="s">
        <v>30</v>
      </c>
      <c r="R112" s="11"/>
      <c r="S112" s="11">
        <v>8076</v>
      </c>
      <c r="T112" s="11">
        <v>8076</v>
      </c>
      <c r="U112" s="30">
        <v>32436</v>
      </c>
      <c r="V112" s="11">
        <v>32436</v>
      </c>
      <c r="W112" s="11">
        <v>32436</v>
      </c>
      <c r="X112" s="11">
        <v>32436</v>
      </c>
      <c r="Y112" s="11">
        <v>32436</v>
      </c>
      <c r="Z112" s="11">
        <v>32436</v>
      </c>
      <c r="AA112" s="11">
        <v>32436</v>
      </c>
      <c r="AB112" s="11">
        <v>32436</v>
      </c>
      <c r="AC112" s="11">
        <v>32436</v>
      </c>
      <c r="AD112" s="11">
        <v>0</v>
      </c>
      <c r="AE112" s="11">
        <v>0</v>
      </c>
      <c r="AF112" s="11">
        <v>0</v>
      </c>
      <c r="AG112" s="11">
        <v>0</v>
      </c>
      <c r="AH112" s="11">
        <v>0</v>
      </c>
      <c r="AI112" s="11">
        <v>0</v>
      </c>
      <c r="AJ112" s="11">
        <v>0</v>
      </c>
      <c r="AK112" s="11">
        <v>0</v>
      </c>
      <c r="AL112" s="11">
        <v>0</v>
      </c>
      <c r="AM112" s="11">
        <v>0</v>
      </c>
      <c r="AN112" s="11">
        <v>0</v>
      </c>
      <c r="AO112" s="11">
        <v>0</v>
      </c>
      <c r="AP112" s="11">
        <v>0</v>
      </c>
      <c r="AQ112" s="11">
        <v>0</v>
      </c>
      <c r="AR112" s="11">
        <v>0</v>
      </c>
      <c r="AS112" s="11">
        <v>0</v>
      </c>
      <c r="AT112" s="11">
        <v>0</v>
      </c>
      <c r="AU112" s="11">
        <v>0</v>
      </c>
      <c r="AV112" s="11">
        <v>0</v>
      </c>
      <c r="AW112" s="11"/>
      <c r="AX112" s="11"/>
      <c r="AY112" s="13">
        <v>291924</v>
      </c>
      <c r="AZ112" s="82">
        <v>0</v>
      </c>
      <c r="BA112" s="12">
        <v>64872</v>
      </c>
      <c r="BB112" s="13">
        <v>291924</v>
      </c>
      <c r="BE112" s="44"/>
    </row>
    <row r="113" spans="2:57" hidden="1" outlineLevel="1" x14ac:dyDescent="0.25">
      <c r="B113" s="45" t="s">
        <v>74</v>
      </c>
      <c r="C113" s="46"/>
      <c r="D113" s="47" t="s">
        <v>350</v>
      </c>
      <c r="E113" s="14"/>
      <c r="F113" s="14"/>
      <c r="G113" s="14"/>
      <c r="H113" s="14"/>
      <c r="I113" s="14"/>
      <c r="J113" s="15"/>
      <c r="K113" s="15"/>
      <c r="L113" s="15">
        <v>0</v>
      </c>
      <c r="M113" s="15" t="s">
        <v>219</v>
      </c>
      <c r="N113" s="16">
        <v>4.3979999999999997</v>
      </c>
      <c r="O113" s="16">
        <v>4.3979999999999997</v>
      </c>
      <c r="P113" s="16">
        <v>0</v>
      </c>
      <c r="Q113" s="16" t="s">
        <v>33</v>
      </c>
      <c r="R113" s="17">
        <v>7541.8600000000006</v>
      </c>
      <c r="S113" s="17">
        <v>3371.8</v>
      </c>
      <c r="T113" s="17">
        <v>10913.66</v>
      </c>
      <c r="U113" s="29">
        <v>12838.817519999999</v>
      </c>
      <c r="V113" s="17">
        <v>11412.282239999999</v>
      </c>
      <c r="W113" s="17">
        <v>9985.7469599999986</v>
      </c>
      <c r="X113" s="17">
        <v>8559.2116800000003</v>
      </c>
      <c r="Y113" s="17">
        <v>7132.6763999999994</v>
      </c>
      <c r="Z113" s="17">
        <v>5706.1411199999993</v>
      </c>
      <c r="AA113" s="17">
        <v>4279.6058400000002</v>
      </c>
      <c r="AB113" s="17">
        <v>2853.0705599999997</v>
      </c>
      <c r="AC113" s="17">
        <v>1426.5352799999998</v>
      </c>
      <c r="AD113" s="17">
        <v>0</v>
      </c>
      <c r="AE113" s="17">
        <v>0</v>
      </c>
      <c r="AF113" s="17">
        <v>0</v>
      </c>
      <c r="AG113" s="17">
        <v>0</v>
      </c>
      <c r="AH113" s="17">
        <v>0</v>
      </c>
      <c r="AI113" s="17">
        <v>0</v>
      </c>
      <c r="AJ113" s="17">
        <v>0</v>
      </c>
      <c r="AK113" s="17">
        <v>0</v>
      </c>
      <c r="AL113" s="17">
        <v>0</v>
      </c>
      <c r="AM113" s="17">
        <v>0</v>
      </c>
      <c r="AN113" s="17">
        <v>0</v>
      </c>
      <c r="AO113" s="17">
        <v>0</v>
      </c>
      <c r="AP113" s="17">
        <v>0</v>
      </c>
      <c r="AQ113" s="17">
        <v>0</v>
      </c>
      <c r="AR113" s="17">
        <v>0</v>
      </c>
      <c r="AS113" s="17">
        <v>0</v>
      </c>
      <c r="AT113" s="17">
        <v>0</v>
      </c>
      <c r="AU113" s="17">
        <v>0</v>
      </c>
      <c r="AV113" s="17">
        <v>0</v>
      </c>
      <c r="AW113" s="17"/>
      <c r="AX113" s="17"/>
      <c r="AY113" s="19">
        <v>64194.087599999992</v>
      </c>
      <c r="AZ113" s="82">
        <v>0</v>
      </c>
      <c r="BA113" s="18">
        <v>4279.6058399999993</v>
      </c>
      <c r="BB113" s="19">
        <v>64194.087599999992</v>
      </c>
      <c r="BD113" s="43"/>
    </row>
    <row r="114" spans="2:57" s="43" customFormat="1" hidden="1" outlineLevel="1" x14ac:dyDescent="0.25">
      <c r="B114" s="38" t="s">
        <v>23</v>
      </c>
      <c r="C114" s="39">
        <v>55</v>
      </c>
      <c r="D114" s="40" t="s">
        <v>351</v>
      </c>
      <c r="E114" s="7" t="s">
        <v>352</v>
      </c>
      <c r="F114" s="7" t="s">
        <v>353</v>
      </c>
      <c r="G114" s="7" t="s">
        <v>354</v>
      </c>
      <c r="H114" s="7" t="s">
        <v>355</v>
      </c>
      <c r="I114" s="7" t="s">
        <v>29</v>
      </c>
      <c r="J114" s="8">
        <v>292889</v>
      </c>
      <c r="K114" s="9">
        <v>126903.87</v>
      </c>
      <c r="L114" s="9"/>
      <c r="M114" s="9"/>
      <c r="N114" s="10"/>
      <c r="O114" s="10"/>
      <c r="P114" s="10"/>
      <c r="Q114" s="10" t="s">
        <v>30</v>
      </c>
      <c r="R114" s="11">
        <v>1681</v>
      </c>
      <c r="S114" s="11">
        <v>8408</v>
      </c>
      <c r="T114" s="11">
        <v>10089</v>
      </c>
      <c r="U114" s="30">
        <v>20200</v>
      </c>
      <c r="V114" s="11">
        <v>20200</v>
      </c>
      <c r="W114" s="11">
        <v>20200</v>
      </c>
      <c r="X114" s="11">
        <v>20200</v>
      </c>
      <c r="Y114" s="11">
        <v>20200</v>
      </c>
      <c r="Z114" s="11">
        <v>20200</v>
      </c>
      <c r="AA114" s="11">
        <v>20200</v>
      </c>
      <c r="AB114" s="11">
        <v>20200</v>
      </c>
      <c r="AC114" s="11">
        <v>20200</v>
      </c>
      <c r="AD114" s="11">
        <v>20200</v>
      </c>
      <c r="AE114" s="11">
        <v>20200</v>
      </c>
      <c r="AF114" s="11">
        <v>20200</v>
      </c>
      <c r="AG114" s="11">
        <v>20200</v>
      </c>
      <c r="AH114" s="11">
        <v>20200</v>
      </c>
      <c r="AI114" s="11">
        <v>0</v>
      </c>
      <c r="AJ114" s="11">
        <v>0</v>
      </c>
      <c r="AK114" s="11">
        <v>0</v>
      </c>
      <c r="AL114" s="11">
        <v>0</v>
      </c>
      <c r="AM114" s="11">
        <v>0</v>
      </c>
      <c r="AN114" s="11">
        <v>0</v>
      </c>
      <c r="AO114" s="11">
        <v>0</v>
      </c>
      <c r="AP114" s="11">
        <v>0</v>
      </c>
      <c r="AQ114" s="11">
        <v>0</v>
      </c>
      <c r="AR114" s="11">
        <v>0</v>
      </c>
      <c r="AS114" s="11">
        <v>0</v>
      </c>
      <c r="AT114" s="11">
        <v>0</v>
      </c>
      <c r="AU114" s="11">
        <v>0</v>
      </c>
      <c r="AV114" s="11">
        <v>0</v>
      </c>
      <c r="AW114" s="11"/>
      <c r="AX114" s="11"/>
      <c r="AY114" s="13">
        <v>282800</v>
      </c>
      <c r="AZ114" s="82">
        <v>0</v>
      </c>
      <c r="BA114" s="12">
        <v>141400</v>
      </c>
      <c r="BB114" s="13">
        <v>282800</v>
      </c>
      <c r="BE114" s="44"/>
    </row>
    <row r="115" spans="2:57" hidden="1" outlineLevel="1" x14ac:dyDescent="0.25">
      <c r="B115" s="45" t="s">
        <v>23</v>
      </c>
      <c r="C115" s="46"/>
      <c r="D115" s="47" t="s">
        <v>356</v>
      </c>
      <c r="E115" s="14"/>
      <c r="F115" s="14"/>
      <c r="G115" s="14"/>
      <c r="H115" s="14"/>
      <c r="I115" s="14"/>
      <c r="J115" s="15"/>
      <c r="K115" s="15"/>
      <c r="L115" s="15">
        <v>0</v>
      </c>
      <c r="M115" s="15" t="s">
        <v>219</v>
      </c>
      <c r="N115" s="16">
        <v>4.6100000000000003</v>
      </c>
      <c r="O115" s="16">
        <v>4.6100000000000003</v>
      </c>
      <c r="P115" s="16">
        <v>0</v>
      </c>
      <c r="Q115" s="16" t="s">
        <v>33</v>
      </c>
      <c r="R115" s="17">
        <v>85.43</v>
      </c>
      <c r="S115" s="17">
        <v>438.67</v>
      </c>
      <c r="T115" s="17">
        <v>524.1</v>
      </c>
      <c r="U115" s="29">
        <v>13037.08</v>
      </c>
      <c r="V115" s="17">
        <v>12105.86</v>
      </c>
      <c r="W115" s="17">
        <v>11174.64</v>
      </c>
      <c r="X115" s="17">
        <v>10243.420000000002</v>
      </c>
      <c r="Y115" s="17">
        <v>9312.2000000000007</v>
      </c>
      <c r="Z115" s="17">
        <v>8380.98</v>
      </c>
      <c r="AA115" s="17">
        <v>7449.76</v>
      </c>
      <c r="AB115" s="17">
        <v>6518.54</v>
      </c>
      <c r="AC115" s="17">
        <v>5587.32</v>
      </c>
      <c r="AD115" s="17">
        <v>4656.1000000000004</v>
      </c>
      <c r="AE115" s="17">
        <v>3724.88</v>
      </c>
      <c r="AF115" s="17">
        <v>2793.66</v>
      </c>
      <c r="AG115" s="17">
        <v>1862.44</v>
      </c>
      <c r="AH115" s="17">
        <v>931.22</v>
      </c>
      <c r="AI115" s="17">
        <v>0</v>
      </c>
      <c r="AJ115" s="17">
        <v>0</v>
      </c>
      <c r="AK115" s="17">
        <v>0</v>
      </c>
      <c r="AL115" s="17">
        <v>0</v>
      </c>
      <c r="AM115" s="17">
        <v>0</v>
      </c>
      <c r="AN115" s="17">
        <v>0</v>
      </c>
      <c r="AO115" s="17">
        <v>0</v>
      </c>
      <c r="AP115" s="17">
        <v>0</v>
      </c>
      <c r="AQ115" s="17">
        <v>0</v>
      </c>
      <c r="AR115" s="17">
        <v>0</v>
      </c>
      <c r="AS115" s="17">
        <v>0</v>
      </c>
      <c r="AT115" s="17">
        <v>0</v>
      </c>
      <c r="AU115" s="17">
        <v>0</v>
      </c>
      <c r="AV115" s="17">
        <v>0</v>
      </c>
      <c r="AW115" s="17"/>
      <c r="AX115" s="17"/>
      <c r="AY115" s="19">
        <v>97778.1</v>
      </c>
      <c r="AZ115" s="82">
        <v>0</v>
      </c>
      <c r="BA115" s="18">
        <v>26074.16</v>
      </c>
      <c r="BB115" s="19">
        <v>97778.099999999991</v>
      </c>
      <c r="BD115" s="43"/>
    </row>
    <row r="116" spans="2:57" collapsed="1" x14ac:dyDescent="0.25">
      <c r="C116" s="118">
        <v>56</v>
      </c>
      <c r="D116" s="31" t="s">
        <v>357</v>
      </c>
      <c r="E116" s="31" t="s">
        <v>358</v>
      </c>
      <c r="F116" s="31" t="s">
        <v>359</v>
      </c>
      <c r="G116" s="31" t="s">
        <v>360</v>
      </c>
      <c r="H116" s="31" t="s">
        <v>258</v>
      </c>
      <c r="I116" s="31"/>
      <c r="J116" s="32">
        <v>37335</v>
      </c>
      <c r="K116" s="32"/>
      <c r="L116" s="32"/>
      <c r="M116" s="32"/>
      <c r="N116" s="33"/>
      <c r="O116" s="33"/>
      <c r="P116" s="33"/>
      <c r="Q116" s="10" t="s">
        <v>30</v>
      </c>
      <c r="R116" s="35"/>
      <c r="S116" s="35"/>
      <c r="T116" s="35"/>
      <c r="U116" s="34">
        <v>37335</v>
      </c>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13">
        <v>37335</v>
      </c>
      <c r="AZ116" s="82"/>
      <c r="BA116" s="12">
        <v>0</v>
      </c>
      <c r="BB116" s="13">
        <v>37335</v>
      </c>
      <c r="BD116" s="43"/>
    </row>
    <row r="117" spans="2:57" x14ac:dyDescent="0.25">
      <c r="C117" s="118"/>
      <c r="D117" s="31" t="s">
        <v>361</v>
      </c>
      <c r="E117" s="31"/>
      <c r="F117" s="31"/>
      <c r="G117" s="31"/>
      <c r="H117" s="31"/>
      <c r="I117" s="31"/>
      <c r="J117" s="32"/>
      <c r="K117" s="32"/>
      <c r="L117" s="32"/>
      <c r="M117" s="32"/>
      <c r="N117" s="33"/>
      <c r="O117" s="33"/>
      <c r="P117" s="33"/>
      <c r="Q117" s="16" t="s">
        <v>33</v>
      </c>
      <c r="R117" s="35"/>
      <c r="S117" s="35"/>
      <c r="T117" s="35"/>
      <c r="U117" s="36">
        <v>841.58</v>
      </c>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19">
        <v>841.58</v>
      </c>
      <c r="AZ117" s="82"/>
      <c r="BA117" s="18">
        <v>0</v>
      </c>
      <c r="BB117" s="19">
        <v>841.58</v>
      </c>
      <c r="BD117" s="43"/>
    </row>
    <row r="118" spans="2:57" s="43" customFormat="1" x14ac:dyDescent="0.25">
      <c r="B118" s="38" t="s">
        <v>74</v>
      </c>
      <c r="C118" s="39">
        <v>57</v>
      </c>
      <c r="D118" s="7" t="s">
        <v>362</v>
      </c>
      <c r="E118" s="7" t="s">
        <v>363</v>
      </c>
      <c r="F118" s="7" t="s">
        <v>364</v>
      </c>
      <c r="G118" s="7" t="s">
        <v>365</v>
      </c>
      <c r="H118" s="7" t="s">
        <v>256</v>
      </c>
      <c r="I118" s="7" t="s">
        <v>29</v>
      </c>
      <c r="J118" s="8">
        <v>495501</v>
      </c>
      <c r="K118" s="37">
        <v>296400.88</v>
      </c>
      <c r="L118" s="9"/>
      <c r="M118" s="9"/>
      <c r="N118" s="10"/>
      <c r="O118" s="10"/>
      <c r="P118" s="10"/>
      <c r="Q118" s="10" t="s">
        <v>30</v>
      </c>
      <c r="R118" s="11"/>
      <c r="S118" s="11">
        <v>0</v>
      </c>
      <c r="T118" s="11">
        <v>0</v>
      </c>
      <c r="U118" s="30">
        <v>26079</v>
      </c>
      <c r="V118" s="11">
        <v>34772</v>
      </c>
      <c r="W118" s="11">
        <v>34772</v>
      </c>
      <c r="X118" s="11">
        <v>34772</v>
      </c>
      <c r="Y118" s="11">
        <v>34772</v>
      </c>
      <c r="Z118" s="11">
        <v>34772</v>
      </c>
      <c r="AA118" s="11">
        <v>34772</v>
      </c>
      <c r="AB118" s="11">
        <v>34772</v>
      </c>
      <c r="AC118" s="11">
        <v>34772</v>
      </c>
      <c r="AD118" s="11">
        <v>34772</v>
      </c>
      <c r="AE118" s="11">
        <v>34772</v>
      </c>
      <c r="AF118" s="11">
        <v>34772</v>
      </c>
      <c r="AG118" s="11">
        <v>34772</v>
      </c>
      <c r="AH118" s="11">
        <v>34772</v>
      </c>
      <c r="AI118" s="11">
        <v>17386</v>
      </c>
      <c r="AJ118" s="11">
        <v>0</v>
      </c>
      <c r="AK118" s="11">
        <v>0</v>
      </c>
      <c r="AL118" s="11">
        <v>0</v>
      </c>
      <c r="AM118" s="11">
        <v>0</v>
      </c>
      <c r="AN118" s="11">
        <v>0</v>
      </c>
      <c r="AO118" s="11">
        <v>0</v>
      </c>
      <c r="AP118" s="11">
        <v>0</v>
      </c>
      <c r="AQ118" s="11">
        <v>0</v>
      </c>
      <c r="AR118" s="11">
        <v>0</v>
      </c>
      <c r="AS118" s="11">
        <v>0</v>
      </c>
      <c r="AT118" s="11">
        <v>0</v>
      </c>
      <c r="AU118" s="11">
        <v>0</v>
      </c>
      <c r="AV118" s="11">
        <v>0</v>
      </c>
      <c r="AW118" s="11"/>
      <c r="AX118" s="11"/>
      <c r="AY118" s="13">
        <v>495501</v>
      </c>
      <c r="AZ118" s="82">
        <v>0</v>
      </c>
      <c r="BA118" s="12">
        <v>260790</v>
      </c>
      <c r="BB118" s="13">
        <v>495501</v>
      </c>
      <c r="BE118" s="44"/>
    </row>
    <row r="119" spans="2:57" x14ac:dyDescent="0.25">
      <c r="B119" s="45" t="s">
        <v>74</v>
      </c>
      <c r="C119" s="94"/>
      <c r="D119" s="14" t="s">
        <v>366</v>
      </c>
      <c r="E119" s="14"/>
      <c r="F119" s="14"/>
      <c r="G119" s="14"/>
      <c r="H119" s="14"/>
      <c r="I119" s="14"/>
      <c r="J119" s="15"/>
      <c r="K119" s="20"/>
      <c r="L119" s="15" t="s">
        <v>367</v>
      </c>
      <c r="M119" s="15"/>
      <c r="N119" s="16">
        <v>5.524</v>
      </c>
      <c r="O119" s="16">
        <v>5.524</v>
      </c>
      <c r="P119" s="16">
        <v>0</v>
      </c>
      <c r="Q119" s="16" t="s">
        <v>33</v>
      </c>
      <c r="R119" s="17">
        <v>20.170000000000002</v>
      </c>
      <c r="S119" s="17">
        <v>2283.11</v>
      </c>
      <c r="T119" s="17">
        <v>2303.2800000000002</v>
      </c>
      <c r="U119" s="29">
        <v>25371.475240000003</v>
      </c>
      <c r="V119" s="17">
        <v>25930.871279999999</v>
      </c>
      <c r="W119" s="17">
        <v>24010.066000000003</v>
      </c>
      <c r="X119" s="17">
        <v>22089.260720000002</v>
      </c>
      <c r="Y119" s="17">
        <v>20168.455440000002</v>
      </c>
      <c r="Z119" s="17">
        <v>18247.650160000001</v>
      </c>
      <c r="AA119" s="17">
        <v>16326.844879999999</v>
      </c>
      <c r="AB119" s="17">
        <v>14406.0396</v>
      </c>
      <c r="AC119" s="17">
        <v>12485.23432</v>
      </c>
      <c r="AD119" s="17">
        <v>10564.429040000001</v>
      </c>
      <c r="AE119" s="17">
        <v>8643.6237600000004</v>
      </c>
      <c r="AF119" s="17">
        <v>6722.8184799999999</v>
      </c>
      <c r="AG119" s="17">
        <v>4802.0132000000003</v>
      </c>
      <c r="AH119" s="17">
        <v>2881.2079200000003</v>
      </c>
      <c r="AI119" s="17">
        <v>960.40263999999991</v>
      </c>
      <c r="AJ119" s="17">
        <v>0</v>
      </c>
      <c r="AK119" s="17">
        <v>0</v>
      </c>
      <c r="AL119" s="17">
        <v>0</v>
      </c>
      <c r="AM119" s="17">
        <v>0</v>
      </c>
      <c r="AN119" s="17">
        <v>0</v>
      </c>
      <c r="AO119" s="17">
        <v>0</v>
      </c>
      <c r="AP119" s="17">
        <v>0</v>
      </c>
      <c r="AQ119" s="17">
        <v>0</v>
      </c>
      <c r="AR119" s="17">
        <v>0</v>
      </c>
      <c r="AS119" s="17">
        <v>0</v>
      </c>
      <c r="AT119" s="17">
        <v>0</v>
      </c>
      <c r="AU119" s="17">
        <v>0</v>
      </c>
      <c r="AV119" s="17">
        <v>0</v>
      </c>
      <c r="AW119" s="17"/>
      <c r="AX119" s="17"/>
      <c r="AY119" s="19">
        <v>213610.3926799999</v>
      </c>
      <c r="AZ119" s="82">
        <v>0</v>
      </c>
      <c r="BA119" s="18">
        <v>61465.768960000009</v>
      </c>
      <c r="BB119" s="19">
        <v>213610.39268000002</v>
      </c>
      <c r="BD119" s="43"/>
    </row>
    <row r="120" spans="2:57" s="43" customFormat="1" x14ac:dyDescent="0.25">
      <c r="B120" s="38" t="s">
        <v>74</v>
      </c>
      <c r="C120" s="39">
        <v>58</v>
      </c>
      <c r="D120" s="7" t="s">
        <v>368</v>
      </c>
      <c r="E120" s="7" t="s">
        <v>369</v>
      </c>
      <c r="F120" s="7" t="s">
        <v>370</v>
      </c>
      <c r="G120" s="7" t="s">
        <v>371</v>
      </c>
      <c r="H120" s="7" t="s">
        <v>372</v>
      </c>
      <c r="I120" s="7" t="s">
        <v>29</v>
      </c>
      <c r="J120" s="8">
        <v>167687</v>
      </c>
      <c r="K120" s="37">
        <v>167687</v>
      </c>
      <c r="L120" s="9"/>
      <c r="M120" s="9"/>
      <c r="N120" s="10"/>
      <c r="O120" s="10"/>
      <c r="P120" s="10"/>
      <c r="Q120" s="10" t="s">
        <v>30</v>
      </c>
      <c r="R120" s="11"/>
      <c r="S120" s="11">
        <v>133641</v>
      </c>
      <c r="T120" s="11">
        <v>133641</v>
      </c>
      <c r="U120" s="30">
        <v>167687</v>
      </c>
      <c r="V120" s="11">
        <v>0</v>
      </c>
      <c r="W120" s="11">
        <v>0</v>
      </c>
      <c r="X120" s="11">
        <v>0</v>
      </c>
      <c r="Y120" s="11">
        <v>0</v>
      </c>
      <c r="Z120" s="11">
        <v>0</v>
      </c>
      <c r="AA120" s="11">
        <v>0</v>
      </c>
      <c r="AB120" s="11">
        <v>0</v>
      </c>
      <c r="AC120" s="11">
        <v>0</v>
      </c>
      <c r="AD120" s="11">
        <v>0</v>
      </c>
      <c r="AE120" s="11">
        <v>0</v>
      </c>
      <c r="AF120" s="11">
        <v>0</v>
      </c>
      <c r="AG120" s="11">
        <v>0</v>
      </c>
      <c r="AH120" s="11">
        <v>0</v>
      </c>
      <c r="AI120" s="11">
        <v>0</v>
      </c>
      <c r="AJ120" s="11">
        <v>0</v>
      </c>
      <c r="AK120" s="11">
        <v>0</v>
      </c>
      <c r="AL120" s="11">
        <v>0</v>
      </c>
      <c r="AM120" s="11">
        <v>0</v>
      </c>
      <c r="AN120" s="11">
        <v>0</v>
      </c>
      <c r="AO120" s="11">
        <v>0</v>
      </c>
      <c r="AP120" s="11">
        <v>0</v>
      </c>
      <c r="AQ120" s="11">
        <v>0</v>
      </c>
      <c r="AR120" s="11">
        <v>0</v>
      </c>
      <c r="AS120" s="11">
        <v>0</v>
      </c>
      <c r="AT120" s="11">
        <v>0</v>
      </c>
      <c r="AU120" s="11">
        <v>0</v>
      </c>
      <c r="AV120" s="11">
        <v>0</v>
      </c>
      <c r="AW120" s="11"/>
      <c r="AX120" s="11"/>
      <c r="AY120" s="13">
        <v>167687</v>
      </c>
      <c r="AZ120" s="82">
        <v>0</v>
      </c>
      <c r="BA120" s="12">
        <v>0</v>
      </c>
      <c r="BB120" s="13">
        <v>167687</v>
      </c>
      <c r="BE120" s="44"/>
    </row>
    <row r="121" spans="2:57" x14ac:dyDescent="0.25">
      <c r="B121" s="45" t="s">
        <v>74</v>
      </c>
      <c r="C121" s="94"/>
      <c r="D121" s="14" t="s">
        <v>373</v>
      </c>
      <c r="E121" s="14"/>
      <c r="F121" s="14"/>
      <c r="G121" s="14"/>
      <c r="H121" s="14"/>
      <c r="I121" s="14"/>
      <c r="J121" s="15"/>
      <c r="K121" s="15"/>
      <c r="L121" s="15" t="s">
        <v>307</v>
      </c>
      <c r="M121" s="15"/>
      <c r="N121" s="16">
        <v>4.718</v>
      </c>
      <c r="O121" s="16">
        <v>4.718</v>
      </c>
      <c r="P121" s="16">
        <v>0</v>
      </c>
      <c r="Q121" s="16" t="s">
        <v>33</v>
      </c>
      <c r="R121" s="17"/>
      <c r="S121" s="17">
        <v>313.27</v>
      </c>
      <c r="T121" s="17">
        <v>413.27</v>
      </c>
      <c r="U121" s="29">
        <v>7911.4726599999995</v>
      </c>
      <c r="V121" s="17">
        <v>0</v>
      </c>
      <c r="W121" s="17">
        <v>0</v>
      </c>
      <c r="X121" s="17">
        <v>0</v>
      </c>
      <c r="Y121" s="17">
        <v>0</v>
      </c>
      <c r="Z121" s="17">
        <v>0</v>
      </c>
      <c r="AA121" s="17">
        <v>0</v>
      </c>
      <c r="AB121" s="17">
        <v>0</v>
      </c>
      <c r="AC121" s="17">
        <v>0</v>
      </c>
      <c r="AD121" s="17">
        <v>0</v>
      </c>
      <c r="AE121" s="17">
        <v>0</v>
      </c>
      <c r="AF121" s="17">
        <v>0</v>
      </c>
      <c r="AG121" s="17">
        <v>0</v>
      </c>
      <c r="AH121" s="17">
        <v>0</v>
      </c>
      <c r="AI121" s="17">
        <v>0</v>
      </c>
      <c r="AJ121" s="17">
        <v>0</v>
      </c>
      <c r="AK121" s="17">
        <v>0</v>
      </c>
      <c r="AL121" s="17">
        <v>0</v>
      </c>
      <c r="AM121" s="17">
        <v>0</v>
      </c>
      <c r="AN121" s="17">
        <v>0</v>
      </c>
      <c r="AO121" s="17">
        <v>0</v>
      </c>
      <c r="AP121" s="17">
        <v>0</v>
      </c>
      <c r="AQ121" s="17">
        <v>0</v>
      </c>
      <c r="AR121" s="17">
        <v>0</v>
      </c>
      <c r="AS121" s="17">
        <v>0</v>
      </c>
      <c r="AT121" s="17">
        <v>0</v>
      </c>
      <c r="AU121" s="17">
        <v>0</v>
      </c>
      <c r="AV121" s="17">
        <v>0</v>
      </c>
      <c r="AW121" s="17"/>
      <c r="AX121" s="17"/>
      <c r="AY121" s="19">
        <v>7911.4726599999995</v>
      </c>
      <c r="AZ121" s="82">
        <v>0</v>
      </c>
      <c r="BA121" s="18">
        <v>0</v>
      </c>
      <c r="BB121" s="19">
        <v>7911.4726599999995</v>
      </c>
      <c r="BD121" s="43"/>
    </row>
    <row r="122" spans="2:57" s="43" customFormat="1" x14ac:dyDescent="0.25">
      <c r="B122" s="38" t="s">
        <v>23</v>
      </c>
      <c r="C122" s="39">
        <v>59</v>
      </c>
      <c r="D122" s="7" t="s">
        <v>374</v>
      </c>
      <c r="E122" s="7" t="s">
        <v>375</v>
      </c>
      <c r="F122" s="7" t="s">
        <v>376</v>
      </c>
      <c r="G122" s="41">
        <v>45159</v>
      </c>
      <c r="H122" s="7" t="s">
        <v>377</v>
      </c>
      <c r="I122" s="7" t="s">
        <v>29</v>
      </c>
      <c r="J122" s="8">
        <v>287500</v>
      </c>
      <c r="K122" s="9">
        <v>0</v>
      </c>
      <c r="L122" s="9"/>
      <c r="M122" s="9"/>
      <c r="N122" s="10"/>
      <c r="O122" s="10"/>
      <c r="P122" s="10"/>
      <c r="Q122" s="10" t="s">
        <v>30</v>
      </c>
      <c r="R122" s="42"/>
      <c r="S122" s="11"/>
      <c r="T122" s="11"/>
      <c r="U122" s="30">
        <v>15542</v>
      </c>
      <c r="V122" s="11">
        <v>31084</v>
      </c>
      <c r="W122" s="11">
        <v>31084</v>
      </c>
      <c r="X122" s="11">
        <v>31084</v>
      </c>
      <c r="Y122" s="11">
        <v>31084</v>
      </c>
      <c r="Z122" s="11">
        <v>31084</v>
      </c>
      <c r="AA122" s="11">
        <v>31084</v>
      </c>
      <c r="AB122" s="11">
        <v>31084</v>
      </c>
      <c r="AC122" s="11">
        <v>31084</v>
      </c>
      <c r="AD122" s="11">
        <v>23286</v>
      </c>
      <c r="AE122" s="11"/>
      <c r="AF122" s="11"/>
      <c r="AG122" s="11"/>
      <c r="AH122" s="11"/>
      <c r="AI122" s="11"/>
      <c r="AJ122" s="11"/>
      <c r="AK122" s="11"/>
      <c r="AL122" s="11"/>
      <c r="AM122" s="11"/>
      <c r="AN122" s="11"/>
      <c r="AO122" s="11"/>
      <c r="AP122" s="11"/>
      <c r="AQ122" s="11"/>
      <c r="AR122" s="11"/>
      <c r="AS122" s="11"/>
      <c r="AT122" s="11"/>
      <c r="AU122" s="11"/>
      <c r="AV122" s="11"/>
      <c r="AW122" s="11"/>
      <c r="AX122" s="11"/>
      <c r="AY122" s="13">
        <v>287500</v>
      </c>
      <c r="AZ122" s="82">
        <v>0</v>
      </c>
      <c r="BA122" s="12">
        <v>85454</v>
      </c>
      <c r="BB122" s="13">
        <v>287500</v>
      </c>
      <c r="BE122" s="44"/>
    </row>
    <row r="123" spans="2:57" x14ac:dyDescent="0.25">
      <c r="B123" s="45" t="s">
        <v>23</v>
      </c>
      <c r="C123" s="94"/>
      <c r="D123" s="14" t="s">
        <v>378</v>
      </c>
      <c r="E123" s="14"/>
      <c r="F123" s="14"/>
      <c r="G123" s="14"/>
      <c r="H123" s="14"/>
      <c r="I123" s="14"/>
      <c r="J123" s="15"/>
      <c r="K123" s="15"/>
      <c r="L123" s="15"/>
      <c r="M123" s="15"/>
      <c r="N123" s="16">
        <v>5.2960000000000003</v>
      </c>
      <c r="O123" s="16">
        <v>5.2960000000000003</v>
      </c>
      <c r="P123" s="16">
        <v>0</v>
      </c>
      <c r="Q123" s="16" t="s">
        <v>33</v>
      </c>
      <c r="R123" s="48"/>
      <c r="S123" s="17"/>
      <c r="T123" s="17"/>
      <c r="U123" s="29">
        <v>15226</v>
      </c>
      <c r="V123" s="17">
        <v>14402.89568</v>
      </c>
      <c r="W123" s="17">
        <v>12756.687040000001</v>
      </c>
      <c r="X123" s="17">
        <v>11110.4784</v>
      </c>
      <c r="Y123" s="17">
        <v>9464.269760000001</v>
      </c>
      <c r="Z123" s="17">
        <v>7818.0611200000012</v>
      </c>
      <c r="AA123" s="17">
        <v>6171.8524800000005</v>
      </c>
      <c r="AB123" s="17">
        <v>4525.6438400000006</v>
      </c>
      <c r="AC123" s="17">
        <v>2879.4352000000003</v>
      </c>
      <c r="AD123" s="17">
        <v>1233.2265600000001</v>
      </c>
      <c r="AE123" s="17"/>
      <c r="AF123" s="17"/>
      <c r="AG123" s="17"/>
      <c r="AH123" s="17"/>
      <c r="AI123" s="17"/>
      <c r="AJ123" s="17"/>
      <c r="AK123" s="17"/>
      <c r="AL123" s="17"/>
      <c r="AM123" s="17"/>
      <c r="AN123" s="17"/>
      <c r="AO123" s="17"/>
      <c r="AP123" s="17"/>
      <c r="AQ123" s="17"/>
      <c r="AR123" s="17"/>
      <c r="AS123" s="17"/>
      <c r="AT123" s="17"/>
      <c r="AU123" s="17"/>
      <c r="AV123" s="17"/>
      <c r="AW123" s="17"/>
      <c r="AX123" s="17"/>
      <c r="AY123" s="19">
        <v>85588.550080000015</v>
      </c>
      <c r="AZ123" s="82">
        <v>0</v>
      </c>
      <c r="BA123" s="18">
        <v>8638.3055999999997</v>
      </c>
      <c r="BB123" s="19">
        <v>85588.550080000015</v>
      </c>
      <c r="BD123" s="43"/>
    </row>
    <row r="124" spans="2:57" s="43" customFormat="1" x14ac:dyDescent="0.25">
      <c r="B124" s="38" t="s">
        <v>23</v>
      </c>
      <c r="C124" s="39">
        <v>60</v>
      </c>
      <c r="D124" s="7" t="s">
        <v>379</v>
      </c>
      <c r="E124" s="7" t="s">
        <v>380</v>
      </c>
      <c r="F124" s="7" t="s">
        <v>381</v>
      </c>
      <c r="G124" s="41">
        <v>45215</v>
      </c>
      <c r="H124" s="41">
        <v>49572</v>
      </c>
      <c r="I124" s="7" t="s">
        <v>29</v>
      </c>
      <c r="J124" s="8">
        <v>353750</v>
      </c>
      <c r="K124" s="9">
        <v>353750</v>
      </c>
      <c r="L124" s="9"/>
      <c r="M124" s="9"/>
      <c r="N124" s="10"/>
      <c r="O124" s="10"/>
      <c r="P124" s="10"/>
      <c r="Q124" s="10" t="s">
        <v>30</v>
      </c>
      <c r="R124" s="42"/>
      <c r="S124" s="11"/>
      <c r="T124" s="11"/>
      <c r="U124" s="30">
        <v>30108</v>
      </c>
      <c r="V124" s="11">
        <v>30108</v>
      </c>
      <c r="W124" s="11">
        <v>30108</v>
      </c>
      <c r="X124" s="11">
        <v>30108</v>
      </c>
      <c r="Y124" s="11">
        <v>30108</v>
      </c>
      <c r="Z124" s="11">
        <v>30108</v>
      </c>
      <c r="AA124" s="11">
        <v>30108</v>
      </c>
      <c r="AB124" s="11">
        <v>30108</v>
      </c>
      <c r="AC124" s="11">
        <v>30108</v>
      </c>
      <c r="AD124" s="11">
        <v>30108</v>
      </c>
      <c r="AE124" s="11">
        <v>30108</v>
      </c>
      <c r="AF124" s="11">
        <v>22562</v>
      </c>
      <c r="AG124" s="11"/>
      <c r="AH124" s="11"/>
      <c r="AI124" s="11"/>
      <c r="AJ124" s="11"/>
      <c r="AK124" s="11"/>
      <c r="AL124" s="11"/>
      <c r="AM124" s="11"/>
      <c r="AN124" s="11"/>
      <c r="AO124" s="11"/>
      <c r="AP124" s="11"/>
      <c r="AQ124" s="11"/>
      <c r="AR124" s="11"/>
      <c r="AS124" s="11"/>
      <c r="AT124" s="11"/>
      <c r="AU124" s="11"/>
      <c r="AV124" s="11"/>
      <c r="AW124" s="11"/>
      <c r="AX124" s="11"/>
      <c r="AY124" s="13">
        <v>353750</v>
      </c>
      <c r="AZ124" s="82">
        <v>0</v>
      </c>
      <c r="BA124" s="12">
        <v>142994</v>
      </c>
      <c r="BB124" s="13">
        <v>353750</v>
      </c>
      <c r="BE124" s="44"/>
    </row>
    <row r="125" spans="2:57" x14ac:dyDescent="0.25">
      <c r="B125" s="45" t="s">
        <v>23</v>
      </c>
      <c r="C125" s="46"/>
      <c r="D125" s="14" t="s">
        <v>382</v>
      </c>
      <c r="E125" s="14"/>
      <c r="F125" s="14"/>
      <c r="G125" s="14"/>
      <c r="H125" s="14"/>
      <c r="I125" s="14"/>
      <c r="J125" s="15"/>
      <c r="K125" s="15"/>
      <c r="L125" s="15"/>
      <c r="M125" s="15"/>
      <c r="N125" s="16">
        <v>4.5910000000000002</v>
      </c>
      <c r="O125" s="16">
        <v>4.5910000000000002</v>
      </c>
      <c r="P125" s="16"/>
      <c r="Q125" s="16" t="s">
        <v>33</v>
      </c>
      <c r="R125" s="48"/>
      <c r="S125" s="17"/>
      <c r="T125" s="17"/>
      <c r="U125" s="29">
        <v>14349.6625</v>
      </c>
      <c r="V125" s="17">
        <v>14858.40422</v>
      </c>
      <c r="W125" s="17">
        <v>13476.14594</v>
      </c>
      <c r="X125" s="17">
        <v>12093.88766</v>
      </c>
      <c r="Y125" s="17">
        <v>10711.62938</v>
      </c>
      <c r="Z125" s="17">
        <v>9329.3711000000003</v>
      </c>
      <c r="AA125" s="17">
        <v>7947.1128200000003</v>
      </c>
      <c r="AB125" s="17">
        <v>6564.8545400000003</v>
      </c>
      <c r="AC125" s="17">
        <v>5182.5962600000003</v>
      </c>
      <c r="AD125" s="17">
        <v>3800.3379800000002</v>
      </c>
      <c r="AE125" s="17">
        <v>2418.0797000000002</v>
      </c>
      <c r="AF125" s="17">
        <v>1035.82142</v>
      </c>
      <c r="AG125" s="17"/>
      <c r="AH125" s="17"/>
      <c r="AI125" s="17"/>
      <c r="AJ125" s="17"/>
      <c r="AK125" s="17"/>
      <c r="AL125" s="17"/>
      <c r="AM125" s="17"/>
      <c r="AN125" s="17"/>
      <c r="AO125" s="17"/>
      <c r="AP125" s="17"/>
      <c r="AQ125" s="17"/>
      <c r="AR125" s="17"/>
      <c r="AS125" s="17"/>
      <c r="AT125" s="17"/>
      <c r="AU125" s="17"/>
      <c r="AV125" s="17"/>
      <c r="AW125" s="17"/>
      <c r="AX125" s="17"/>
      <c r="AY125" s="19">
        <v>101767.90351999999</v>
      </c>
      <c r="AZ125" s="82">
        <v>0</v>
      </c>
      <c r="BA125" s="18">
        <v>19001.689900000001</v>
      </c>
      <c r="BB125" s="19">
        <v>101767.90351999999</v>
      </c>
      <c r="BD125" s="43"/>
    </row>
    <row r="126" spans="2:57" x14ac:dyDescent="0.25">
      <c r="B126" s="38" t="s">
        <v>74</v>
      </c>
      <c r="C126" s="39">
        <v>61</v>
      </c>
      <c r="D126" s="7" t="s">
        <v>383</v>
      </c>
      <c r="E126" s="7" t="s">
        <v>384</v>
      </c>
      <c r="F126" s="7"/>
      <c r="G126" s="7">
        <v>2024</v>
      </c>
      <c r="H126" s="7">
        <v>2029</v>
      </c>
      <c r="I126" s="7" t="s">
        <v>29</v>
      </c>
      <c r="J126" s="8">
        <v>196584</v>
      </c>
      <c r="K126" s="8"/>
      <c r="L126" s="8"/>
      <c r="M126" s="8"/>
      <c r="N126" s="93"/>
      <c r="O126" s="93"/>
      <c r="P126" s="93"/>
      <c r="Q126" s="10" t="s">
        <v>30</v>
      </c>
      <c r="R126" s="42"/>
      <c r="S126" s="11"/>
      <c r="T126" s="11"/>
      <c r="U126" s="11"/>
      <c r="V126" s="11"/>
      <c r="W126" s="11">
        <v>39316.800000000003</v>
      </c>
      <c r="X126" s="11">
        <v>39316.800000000003</v>
      </c>
      <c r="Y126" s="11">
        <v>39316.800000000003</v>
      </c>
      <c r="Z126" s="11">
        <v>39316.800000000003</v>
      </c>
      <c r="AA126" s="11">
        <v>39316.800000000003</v>
      </c>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3">
        <v>196584</v>
      </c>
      <c r="AZ126" s="82">
        <v>0</v>
      </c>
      <c r="BA126" s="12">
        <v>0</v>
      </c>
      <c r="BB126" s="13">
        <v>196584</v>
      </c>
      <c r="BD126" s="43"/>
      <c r="BE126" s="44"/>
    </row>
    <row r="127" spans="2:57" x14ac:dyDescent="0.25">
      <c r="B127" s="45" t="s">
        <v>74</v>
      </c>
      <c r="C127" s="94"/>
      <c r="D127" s="14" t="s">
        <v>385</v>
      </c>
      <c r="E127" s="14"/>
      <c r="F127" s="14"/>
      <c r="G127" s="14"/>
      <c r="H127" s="14"/>
      <c r="I127" s="14"/>
      <c r="J127" s="15"/>
      <c r="K127" s="15"/>
      <c r="L127" s="15"/>
      <c r="M127" s="15"/>
      <c r="N127" s="16">
        <v>4.4470000000000001</v>
      </c>
      <c r="O127" s="16">
        <v>4.4470000000000001</v>
      </c>
      <c r="P127" s="16">
        <v>0</v>
      </c>
      <c r="Q127" s="16" t="s">
        <v>33</v>
      </c>
      <c r="R127" s="48"/>
      <c r="S127" s="17"/>
      <c r="T127" s="17"/>
      <c r="U127" s="17"/>
      <c r="V127" s="17">
        <v>8742.0904800000008</v>
      </c>
      <c r="W127" s="17">
        <v>8742.0904800000008</v>
      </c>
      <c r="X127" s="17">
        <v>6993.6723840000004</v>
      </c>
      <c r="Y127" s="17">
        <v>5245.2542880000001</v>
      </c>
      <c r="Z127" s="17">
        <v>3496.8361920000002</v>
      </c>
      <c r="AA127" s="17">
        <v>1748.4180960000001</v>
      </c>
      <c r="AB127" s="17"/>
      <c r="AC127" s="17"/>
      <c r="AD127" s="17"/>
      <c r="AE127" s="17"/>
      <c r="AF127" s="17"/>
      <c r="AG127" s="17"/>
      <c r="AH127" s="17"/>
      <c r="AI127" s="17"/>
      <c r="AJ127" s="17"/>
      <c r="AK127" s="17"/>
      <c r="AL127" s="17"/>
      <c r="AM127" s="17"/>
      <c r="AN127" s="17"/>
      <c r="AO127" s="17"/>
      <c r="AP127" s="17"/>
      <c r="AQ127" s="17"/>
      <c r="AR127" s="17"/>
      <c r="AS127" s="17"/>
      <c r="AT127" s="17"/>
      <c r="AU127" s="17"/>
      <c r="AV127" s="17"/>
      <c r="AW127" s="17"/>
      <c r="AX127" s="17"/>
      <c r="AY127" s="19">
        <v>34968.361920000003</v>
      </c>
      <c r="AZ127" s="82">
        <v>0</v>
      </c>
      <c r="BA127" s="18">
        <v>0</v>
      </c>
      <c r="BB127" s="19">
        <v>34968.361920000003</v>
      </c>
      <c r="BD127" s="43"/>
    </row>
    <row r="128" spans="2:57" x14ac:dyDescent="0.25">
      <c r="B128" s="38" t="s">
        <v>74</v>
      </c>
      <c r="C128" s="39">
        <v>62</v>
      </c>
      <c r="D128" s="7" t="s">
        <v>386</v>
      </c>
      <c r="E128" s="7" t="s">
        <v>384</v>
      </c>
      <c r="F128" s="7"/>
      <c r="G128" s="7">
        <v>2024</v>
      </c>
      <c r="H128" s="7">
        <v>2039</v>
      </c>
      <c r="I128" s="7" t="s">
        <v>29</v>
      </c>
      <c r="J128" s="8">
        <v>787514</v>
      </c>
      <c r="K128" s="8"/>
      <c r="L128" s="8"/>
      <c r="M128" s="8"/>
      <c r="N128" s="93"/>
      <c r="O128" s="93"/>
      <c r="P128" s="93"/>
      <c r="Q128" s="10" t="s">
        <v>30</v>
      </c>
      <c r="R128" s="42"/>
      <c r="S128" s="11"/>
      <c r="T128" s="11"/>
      <c r="U128" s="11"/>
      <c r="V128" s="11"/>
      <c r="W128" s="11"/>
      <c r="X128" s="11">
        <v>52500.933333333334</v>
      </c>
      <c r="Y128" s="11">
        <v>52500.933333333334</v>
      </c>
      <c r="Z128" s="11">
        <v>52500.933333333334</v>
      </c>
      <c r="AA128" s="11">
        <v>52500.933333333334</v>
      </c>
      <c r="AB128" s="11">
        <v>52500.933333333334</v>
      </c>
      <c r="AC128" s="11">
        <v>52500.933333333334</v>
      </c>
      <c r="AD128" s="11">
        <v>52500.933333333334</v>
      </c>
      <c r="AE128" s="11">
        <v>52500.933333333334</v>
      </c>
      <c r="AF128" s="11">
        <v>52500.933333333334</v>
      </c>
      <c r="AG128" s="11">
        <v>52500.933333333334</v>
      </c>
      <c r="AH128" s="11">
        <v>52500.933333333334</v>
      </c>
      <c r="AI128" s="11">
        <v>52500.933333333334</v>
      </c>
      <c r="AJ128" s="11">
        <v>52500.933333333334</v>
      </c>
      <c r="AK128" s="11">
        <v>52500.933333333334</v>
      </c>
      <c r="AL128" s="11">
        <v>52500.933333333334</v>
      </c>
      <c r="AM128" s="11"/>
      <c r="AN128" s="11"/>
      <c r="AO128" s="11"/>
      <c r="AP128" s="11"/>
      <c r="AQ128" s="11"/>
      <c r="AR128" s="11"/>
      <c r="AS128" s="11"/>
      <c r="AT128" s="11"/>
      <c r="AU128" s="11"/>
      <c r="AV128" s="11"/>
      <c r="AW128" s="11"/>
      <c r="AX128" s="11"/>
      <c r="AY128" s="13">
        <v>787514.00000000012</v>
      </c>
      <c r="AZ128" s="82">
        <v>0</v>
      </c>
      <c r="BA128" s="12">
        <v>577510.26666666672</v>
      </c>
      <c r="BB128" s="13">
        <v>787514</v>
      </c>
      <c r="BD128" s="43"/>
      <c r="BE128" s="44"/>
    </row>
    <row r="129" spans="2:58" x14ac:dyDescent="0.25">
      <c r="B129" s="45" t="s">
        <v>74</v>
      </c>
      <c r="C129" s="94"/>
      <c r="D129" s="14"/>
      <c r="E129" s="14"/>
      <c r="F129" s="14"/>
      <c r="G129" s="14"/>
      <c r="H129" s="14"/>
      <c r="I129" s="14"/>
      <c r="J129" s="14"/>
      <c r="K129" s="15"/>
      <c r="L129" s="15"/>
      <c r="M129" s="15"/>
      <c r="N129" s="16">
        <v>4.944</v>
      </c>
      <c r="O129" s="16">
        <v>4.944</v>
      </c>
      <c r="P129" s="16">
        <v>0</v>
      </c>
      <c r="Q129" s="16" t="s">
        <v>33</v>
      </c>
      <c r="R129" s="48"/>
      <c r="S129" s="17"/>
      <c r="T129" s="17"/>
      <c r="U129" s="17"/>
      <c r="V129" s="17">
        <v>38934.692160000006</v>
      </c>
      <c r="W129" s="17">
        <v>38934.692160000006</v>
      </c>
      <c r="X129" s="17">
        <v>38934.692160000006</v>
      </c>
      <c r="Y129" s="17">
        <v>36339.046016000008</v>
      </c>
      <c r="Z129" s="17">
        <v>33743.399872000002</v>
      </c>
      <c r="AA129" s="17">
        <v>31147.753728000003</v>
      </c>
      <c r="AB129" s="17">
        <v>28552.107584000001</v>
      </c>
      <c r="AC129" s="17">
        <v>25956.461440000003</v>
      </c>
      <c r="AD129" s="17">
        <v>23360.815296000004</v>
      </c>
      <c r="AE129" s="17">
        <v>20765.169152000002</v>
      </c>
      <c r="AF129" s="17">
        <v>18169.523008000004</v>
      </c>
      <c r="AG129" s="17">
        <v>15573.876864000002</v>
      </c>
      <c r="AH129" s="17">
        <v>12978.230720000001</v>
      </c>
      <c r="AI129" s="17">
        <v>10382.584575999999</v>
      </c>
      <c r="AJ129" s="17">
        <v>7786.938431999999</v>
      </c>
      <c r="AK129" s="17">
        <v>5191.2922879999996</v>
      </c>
      <c r="AL129" s="17">
        <v>2595.6461439999998</v>
      </c>
      <c r="AM129" s="17"/>
      <c r="AN129" s="17"/>
      <c r="AO129" s="17"/>
      <c r="AP129" s="17"/>
      <c r="AQ129" s="17"/>
      <c r="AR129" s="17"/>
      <c r="AS129" s="17"/>
      <c r="AT129" s="17"/>
      <c r="AU129" s="17"/>
      <c r="AV129" s="17"/>
      <c r="AW129" s="17"/>
      <c r="AX129" s="17"/>
      <c r="AY129" s="19">
        <v>389346.9216</v>
      </c>
      <c r="AZ129" s="82">
        <v>0</v>
      </c>
      <c r="BA129" s="18">
        <v>171312.64550399999</v>
      </c>
      <c r="BB129" s="19">
        <v>389346.9216</v>
      </c>
      <c r="BD129" s="43"/>
    </row>
    <row r="130" spans="2:58" x14ac:dyDescent="0.25">
      <c r="B130" s="38" t="s">
        <v>23</v>
      </c>
      <c r="C130" s="39">
        <v>63</v>
      </c>
      <c r="D130" s="7" t="s">
        <v>387</v>
      </c>
      <c r="E130" s="7" t="s">
        <v>384</v>
      </c>
      <c r="F130" s="7"/>
      <c r="G130" s="7">
        <v>2024</v>
      </c>
      <c r="H130" s="7">
        <v>2029</v>
      </c>
      <c r="I130" s="7" t="s">
        <v>29</v>
      </c>
      <c r="J130" s="95">
        <v>123379.93</v>
      </c>
      <c r="K130" s="95"/>
      <c r="L130" s="95"/>
      <c r="M130" s="95"/>
      <c r="N130" s="96"/>
      <c r="O130" s="96"/>
      <c r="P130" s="96"/>
      <c r="Q130" s="97" t="s">
        <v>30</v>
      </c>
      <c r="R130" s="98"/>
      <c r="S130" s="99"/>
      <c r="T130" s="99"/>
      <c r="U130" s="99"/>
      <c r="V130" s="99">
        <v>23133.736874999999</v>
      </c>
      <c r="W130" s="99">
        <v>30844.982499999998</v>
      </c>
      <c r="X130" s="99">
        <v>30844.982499999998</v>
      </c>
      <c r="Y130" s="99">
        <v>30844.982499999998</v>
      </c>
      <c r="Z130" s="99">
        <v>7711.2456249999996</v>
      </c>
      <c r="AA130" s="99"/>
      <c r="AB130" s="99"/>
      <c r="AC130" s="99"/>
      <c r="AD130" s="99"/>
      <c r="AE130" s="99"/>
      <c r="AF130" s="99"/>
      <c r="AG130" s="99"/>
      <c r="AH130" s="99"/>
      <c r="AI130" s="99"/>
      <c r="AJ130" s="99"/>
      <c r="AK130" s="99"/>
      <c r="AL130" s="99"/>
      <c r="AM130" s="99"/>
      <c r="AN130" s="99"/>
      <c r="AO130" s="99"/>
      <c r="AP130" s="99"/>
      <c r="AQ130" s="99"/>
      <c r="AR130" s="99"/>
      <c r="AS130" s="99"/>
      <c r="AT130" s="99"/>
      <c r="AU130" s="99"/>
      <c r="AV130" s="99"/>
      <c r="AW130" s="99"/>
      <c r="AX130" s="99"/>
      <c r="AY130" s="99">
        <v>123379.93</v>
      </c>
      <c r="AZ130" s="82">
        <v>0</v>
      </c>
      <c r="BA130" s="100">
        <v>0</v>
      </c>
      <c r="BB130" s="99">
        <v>123379.93</v>
      </c>
      <c r="BD130" s="43"/>
      <c r="BE130" s="44"/>
    </row>
    <row r="131" spans="2:58" x14ac:dyDescent="0.25">
      <c r="B131" s="45" t="s">
        <v>23</v>
      </c>
      <c r="C131" s="94"/>
      <c r="D131" s="14"/>
      <c r="E131" s="14"/>
      <c r="F131" s="14"/>
      <c r="G131" s="14"/>
      <c r="H131" s="14"/>
      <c r="I131" s="14"/>
      <c r="J131" s="20"/>
      <c r="K131" s="20"/>
      <c r="L131" s="20"/>
      <c r="M131" s="20"/>
      <c r="N131" s="101">
        <v>4.4470000000000001</v>
      </c>
      <c r="O131" s="101">
        <v>4.4470000000000001</v>
      </c>
      <c r="P131" s="101">
        <v>0</v>
      </c>
      <c r="Q131" s="101" t="s">
        <v>33</v>
      </c>
      <c r="R131" s="102"/>
      <c r="S131" s="103"/>
      <c r="T131" s="103"/>
      <c r="U131" s="103">
        <v>4115.029115325</v>
      </c>
      <c r="V131" s="103">
        <v>5486.7054871</v>
      </c>
      <c r="W131" s="103">
        <v>4457.94820826875</v>
      </c>
      <c r="X131" s="103">
        <v>3086.27183649375</v>
      </c>
      <c r="Y131" s="103">
        <v>1714.5954647187498</v>
      </c>
      <c r="Z131" s="103">
        <v>342.91909294375</v>
      </c>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c r="AU131" s="103"/>
      <c r="AV131" s="103"/>
      <c r="AW131" s="103"/>
      <c r="AX131" s="103"/>
      <c r="AY131" s="103">
        <v>19203.46920485</v>
      </c>
      <c r="AZ131" s="82">
        <v>0</v>
      </c>
      <c r="BA131" s="104">
        <v>0</v>
      </c>
      <c r="BB131" s="103">
        <v>19203.46920485</v>
      </c>
      <c r="BD131" s="43"/>
    </row>
    <row r="132" spans="2:58" x14ac:dyDescent="0.25">
      <c r="B132" s="38"/>
      <c r="C132" s="39">
        <v>64</v>
      </c>
      <c r="D132" s="7" t="s">
        <v>388</v>
      </c>
      <c r="E132" s="7" t="s">
        <v>384</v>
      </c>
      <c r="F132" s="7"/>
      <c r="G132" s="7">
        <v>2024</v>
      </c>
      <c r="H132" s="7">
        <v>2034</v>
      </c>
      <c r="I132" s="7" t="s">
        <v>29</v>
      </c>
      <c r="J132" s="8">
        <v>783000</v>
      </c>
      <c r="K132" s="8"/>
      <c r="L132" s="8"/>
      <c r="M132" s="8"/>
      <c r="N132" s="93"/>
      <c r="O132" s="93"/>
      <c r="P132" s="93"/>
      <c r="Q132" s="10" t="s">
        <v>30</v>
      </c>
      <c r="R132" s="42"/>
      <c r="S132" s="11"/>
      <c r="T132" s="11"/>
      <c r="U132" s="11"/>
      <c r="V132" s="11">
        <v>39150</v>
      </c>
      <c r="W132" s="11">
        <v>78300</v>
      </c>
      <c r="X132" s="11">
        <v>78300</v>
      </c>
      <c r="Y132" s="11">
        <v>78300</v>
      </c>
      <c r="Z132" s="11">
        <v>78300</v>
      </c>
      <c r="AA132" s="11">
        <v>78300</v>
      </c>
      <c r="AB132" s="11">
        <v>78300</v>
      </c>
      <c r="AC132" s="11">
        <v>78300</v>
      </c>
      <c r="AD132" s="11">
        <v>78300</v>
      </c>
      <c r="AE132" s="11">
        <v>78300</v>
      </c>
      <c r="AF132" s="11">
        <v>39150</v>
      </c>
      <c r="AG132" s="11"/>
      <c r="AH132" s="11"/>
      <c r="AI132" s="11"/>
      <c r="AJ132" s="11"/>
      <c r="AK132" s="11"/>
      <c r="AL132" s="11"/>
      <c r="AM132" s="11"/>
      <c r="AN132" s="11"/>
      <c r="AO132" s="11"/>
      <c r="AP132" s="11"/>
      <c r="AQ132" s="11"/>
      <c r="AR132" s="11"/>
      <c r="AS132" s="11"/>
      <c r="AT132" s="11"/>
      <c r="AU132" s="11"/>
      <c r="AV132" s="11"/>
      <c r="AW132" s="11"/>
      <c r="AX132" s="11"/>
      <c r="AY132" s="13">
        <v>783000</v>
      </c>
      <c r="AZ132" s="82"/>
      <c r="BA132" s="12">
        <v>352350</v>
      </c>
      <c r="BB132" s="13">
        <v>783000</v>
      </c>
      <c r="BD132" s="43"/>
      <c r="BE132" s="44"/>
    </row>
    <row r="133" spans="2:58" x14ac:dyDescent="0.25">
      <c r="B133" s="45"/>
      <c r="C133" s="94"/>
      <c r="D133" s="14" t="s">
        <v>389</v>
      </c>
      <c r="E133" s="14"/>
      <c r="F133" s="14"/>
      <c r="G133" s="14"/>
      <c r="H133" s="14"/>
      <c r="I133" s="14"/>
      <c r="J133" s="15"/>
      <c r="K133" s="15"/>
      <c r="L133" s="15"/>
      <c r="M133" s="15"/>
      <c r="N133" s="16">
        <v>4.4470000000000001</v>
      </c>
      <c r="O133" s="16">
        <v>4.4470000000000001</v>
      </c>
      <c r="P133" s="16">
        <v>0</v>
      </c>
      <c r="Q133" s="16" t="s">
        <v>33</v>
      </c>
      <c r="R133" s="48"/>
      <c r="S133" s="17"/>
      <c r="T133" s="17"/>
      <c r="U133" s="17"/>
      <c r="V133" s="17">
        <v>34820.01</v>
      </c>
      <c r="W133" s="17">
        <v>33079.0095</v>
      </c>
      <c r="X133" s="17">
        <v>29597.0085</v>
      </c>
      <c r="Y133" s="17">
        <v>26115.0075</v>
      </c>
      <c r="Z133" s="17">
        <v>22633.0065</v>
      </c>
      <c r="AA133" s="17">
        <v>19151.005499999999</v>
      </c>
      <c r="AB133" s="17">
        <v>15669.004499999999</v>
      </c>
      <c r="AC133" s="17">
        <v>12187.003500000001</v>
      </c>
      <c r="AD133" s="17">
        <v>8705.0025000000005</v>
      </c>
      <c r="AE133" s="17">
        <v>5223.0015000000003</v>
      </c>
      <c r="AF133" s="17">
        <v>1741.0004999999999</v>
      </c>
      <c r="AG133" s="17"/>
      <c r="AH133" s="17"/>
      <c r="AI133" s="17"/>
      <c r="AJ133" s="17"/>
      <c r="AK133" s="17"/>
      <c r="AL133" s="17"/>
      <c r="AM133" s="17"/>
      <c r="AN133" s="17"/>
      <c r="AO133" s="17"/>
      <c r="AP133" s="17"/>
      <c r="AQ133" s="17"/>
      <c r="AR133" s="17"/>
      <c r="AS133" s="17"/>
      <c r="AT133" s="17"/>
      <c r="AU133" s="17"/>
      <c r="AV133" s="17"/>
      <c r="AW133" s="17"/>
      <c r="AX133" s="17"/>
      <c r="AY133" s="19">
        <v>208920.06</v>
      </c>
      <c r="AZ133" s="82"/>
      <c r="BA133" s="18">
        <v>43525.012500000004</v>
      </c>
      <c r="BB133" s="19">
        <v>208920.06</v>
      </c>
      <c r="BD133" s="43"/>
    </row>
    <row r="134" spans="2:58" x14ac:dyDescent="0.25">
      <c r="B134" s="38" t="s">
        <v>23</v>
      </c>
      <c r="C134" s="39">
        <v>65</v>
      </c>
      <c r="D134" s="7" t="s">
        <v>390</v>
      </c>
      <c r="E134" s="7" t="s">
        <v>384</v>
      </c>
      <c r="F134" s="7"/>
      <c r="G134" s="7">
        <v>2025</v>
      </c>
      <c r="H134" s="7">
        <v>2045</v>
      </c>
      <c r="I134" s="7" t="s">
        <v>29</v>
      </c>
      <c r="J134" s="8">
        <v>5690000</v>
      </c>
      <c r="K134" s="8"/>
      <c r="L134" s="8"/>
      <c r="M134" s="8"/>
      <c r="N134" s="93"/>
      <c r="O134" s="93"/>
      <c r="P134" s="93"/>
      <c r="Q134" s="10" t="s">
        <v>30</v>
      </c>
      <c r="R134" s="42"/>
      <c r="S134" s="11"/>
      <c r="T134" s="11"/>
      <c r="U134" s="11"/>
      <c r="V134" s="11"/>
      <c r="W134" s="11"/>
      <c r="X134" s="11">
        <v>158055.55555555556</v>
      </c>
      <c r="Y134" s="11">
        <v>316111.11111111112</v>
      </c>
      <c r="Z134" s="11">
        <v>316111.11111111112</v>
      </c>
      <c r="AA134" s="11">
        <v>316111.11111111112</v>
      </c>
      <c r="AB134" s="11">
        <v>316111.11111111112</v>
      </c>
      <c r="AC134" s="11">
        <v>316111.11111111112</v>
      </c>
      <c r="AD134" s="11">
        <v>316111.11111111112</v>
      </c>
      <c r="AE134" s="11">
        <v>316111.11111111112</v>
      </c>
      <c r="AF134" s="11">
        <v>316111.11111111112</v>
      </c>
      <c r="AG134" s="11">
        <v>316111.11111111112</v>
      </c>
      <c r="AH134" s="11">
        <v>316111.11111111112</v>
      </c>
      <c r="AI134" s="11">
        <v>316111.11111111112</v>
      </c>
      <c r="AJ134" s="11">
        <v>316111.11111111112</v>
      </c>
      <c r="AK134" s="11">
        <v>316111.11111111112</v>
      </c>
      <c r="AL134" s="11">
        <v>316111.11111111112</v>
      </c>
      <c r="AM134" s="11">
        <v>316111.11111111112</v>
      </c>
      <c r="AN134" s="11">
        <v>316111.11111111112</v>
      </c>
      <c r="AO134" s="11">
        <v>474166.66666666669</v>
      </c>
      <c r="AP134" s="11"/>
      <c r="AQ134" s="11"/>
      <c r="AR134" s="11"/>
      <c r="AS134" s="11"/>
      <c r="AT134" s="11"/>
      <c r="AU134" s="11"/>
      <c r="AV134" s="11"/>
      <c r="AW134" s="11"/>
      <c r="AX134" s="11"/>
      <c r="AY134" s="13">
        <v>5689999.9999999991</v>
      </c>
      <c r="AZ134" s="82">
        <v>0</v>
      </c>
      <c r="BA134" s="12">
        <v>4583611.1111111101</v>
      </c>
      <c r="BB134" s="13">
        <v>5689999.9999999991</v>
      </c>
      <c r="BD134" s="43"/>
      <c r="BE134" s="44"/>
    </row>
    <row r="135" spans="2:58" x14ac:dyDescent="0.25">
      <c r="B135" s="45" t="s">
        <v>23</v>
      </c>
      <c r="C135" s="94"/>
      <c r="D135" s="14"/>
      <c r="E135" s="14"/>
      <c r="F135" s="14"/>
      <c r="G135" s="14"/>
      <c r="H135" s="14"/>
      <c r="I135" s="14"/>
      <c r="J135" s="15"/>
      <c r="K135" s="15"/>
      <c r="L135" s="15"/>
      <c r="M135" s="15" t="s">
        <v>219</v>
      </c>
      <c r="N135" s="16">
        <v>5.1029999999999998</v>
      </c>
      <c r="O135" s="16">
        <v>5.1029999999999998</v>
      </c>
      <c r="P135" s="16">
        <v>0</v>
      </c>
      <c r="Q135" s="16" t="s">
        <v>33</v>
      </c>
      <c r="R135" s="48"/>
      <c r="S135" s="17"/>
      <c r="T135" s="17"/>
      <c r="U135" s="17"/>
      <c r="V135" s="17">
        <v>72590.174999999988</v>
      </c>
      <c r="W135" s="17">
        <v>290360.69999999995</v>
      </c>
      <c r="X135" s="17">
        <v>290360.69999999995</v>
      </c>
      <c r="Y135" s="17">
        <v>282295.12499999994</v>
      </c>
      <c r="Z135" s="17">
        <v>266163.97499999998</v>
      </c>
      <c r="AA135" s="17">
        <v>250032.82499999995</v>
      </c>
      <c r="AB135" s="17">
        <v>233901.67499999993</v>
      </c>
      <c r="AC135" s="17">
        <v>217770.52499999994</v>
      </c>
      <c r="AD135" s="17">
        <v>201639.37499999997</v>
      </c>
      <c r="AE135" s="17">
        <v>185508.22499999998</v>
      </c>
      <c r="AF135" s="17">
        <v>169377.07499999995</v>
      </c>
      <c r="AG135" s="17">
        <v>153245.92499999996</v>
      </c>
      <c r="AH135" s="17">
        <v>137114.77499999999</v>
      </c>
      <c r="AI135" s="17">
        <v>120983.62499999999</v>
      </c>
      <c r="AJ135" s="17">
        <v>104852.47500000001</v>
      </c>
      <c r="AK135" s="17">
        <v>88721.324999999997</v>
      </c>
      <c r="AL135" s="17">
        <v>72590.175000000003</v>
      </c>
      <c r="AM135" s="17">
        <v>56459.025000000001</v>
      </c>
      <c r="AN135" s="17">
        <v>40327.874999999993</v>
      </c>
      <c r="AO135" s="17">
        <v>24196.724999999999</v>
      </c>
      <c r="AP135" s="17"/>
      <c r="AQ135" s="17"/>
      <c r="AR135" s="17"/>
      <c r="AS135" s="17"/>
      <c r="AT135" s="17"/>
      <c r="AU135" s="17"/>
      <c r="AV135" s="17"/>
      <c r="AW135" s="17"/>
      <c r="AX135" s="17"/>
      <c r="AY135" s="19">
        <v>3258492.3</v>
      </c>
      <c r="AZ135" s="105">
        <v>0</v>
      </c>
      <c r="BA135" s="18">
        <v>1806688.7999999998</v>
      </c>
      <c r="BB135" s="19">
        <v>3258492.3</v>
      </c>
      <c r="BD135" s="43"/>
    </row>
    <row r="136" spans="2:58" x14ac:dyDescent="0.25">
      <c r="J136" s="49"/>
      <c r="K136" s="49"/>
      <c r="L136" s="49"/>
      <c r="M136" s="49"/>
      <c r="N136" s="50"/>
      <c r="O136" s="50"/>
      <c r="P136" s="50"/>
      <c r="Q136" s="51"/>
      <c r="R136" s="50"/>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59">
        <v>0</v>
      </c>
      <c r="BA136" s="49"/>
      <c r="BB136" s="49"/>
      <c r="BD136" s="43"/>
    </row>
    <row r="137" spans="2:58" hidden="1" outlineLevel="1" x14ac:dyDescent="0.25">
      <c r="J137" s="52">
        <v>74771824.960000008</v>
      </c>
      <c r="K137" s="49"/>
      <c r="L137" s="49"/>
      <c r="M137" s="49"/>
      <c r="N137" s="50"/>
      <c r="O137" s="50"/>
      <c r="P137" s="50"/>
      <c r="Q137" s="50"/>
      <c r="R137" s="50"/>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59"/>
      <c r="BA137" s="49"/>
      <c r="BB137" s="49"/>
      <c r="BD137" s="43"/>
    </row>
    <row r="138" spans="2:58" s="43" customFormat="1" collapsed="1" x14ac:dyDescent="0.25">
      <c r="I138" s="68" t="s">
        <v>391</v>
      </c>
      <c r="K138" s="52">
        <v>51982169.109999999</v>
      </c>
      <c r="L138" s="44"/>
      <c r="M138" s="44"/>
      <c r="N138" s="106">
        <v>4.1256249999999994</v>
      </c>
      <c r="O138" s="107"/>
      <c r="P138" s="107"/>
      <c r="Q138" s="53" t="s">
        <v>30</v>
      </c>
      <c r="R138" s="54">
        <v>1769625.7999999998</v>
      </c>
      <c r="S138" s="54">
        <v>1894078.67</v>
      </c>
      <c r="T138" s="54">
        <v>3676634.4699999997</v>
      </c>
      <c r="U138" s="54">
        <v>3657198.1799999997</v>
      </c>
      <c r="V138" s="54">
        <v>3470406.2268750002</v>
      </c>
      <c r="W138" s="54">
        <v>3501375.9424999999</v>
      </c>
      <c r="X138" s="54">
        <v>3553544.7313888883</v>
      </c>
      <c r="Y138" s="54">
        <v>3672824.986944444</v>
      </c>
      <c r="Z138" s="54">
        <v>3591914.2500694441</v>
      </c>
      <c r="AA138" s="54">
        <v>3555140.0044444441</v>
      </c>
      <c r="AB138" s="54">
        <v>3468820.864444444</v>
      </c>
      <c r="AC138" s="54">
        <v>2810193.7544444441</v>
      </c>
      <c r="AD138" s="54">
        <v>2606474.0244444441</v>
      </c>
      <c r="AE138" s="54">
        <v>2249393.8044444444</v>
      </c>
      <c r="AF138" s="54">
        <v>2111387.8044444444</v>
      </c>
      <c r="AG138" s="54">
        <v>1943128.7544444446</v>
      </c>
      <c r="AH138" s="54">
        <v>1832316.0444444446</v>
      </c>
      <c r="AI138" s="54">
        <v>1697912.0444444446</v>
      </c>
      <c r="AJ138" s="54">
        <v>1625784.0444444446</v>
      </c>
      <c r="AK138" s="54">
        <v>1584734.0844444446</v>
      </c>
      <c r="AL138" s="54">
        <v>1559973.1144444444</v>
      </c>
      <c r="AM138" s="54">
        <v>1500459.111111111</v>
      </c>
      <c r="AN138" s="54">
        <v>1500459.111111111</v>
      </c>
      <c r="AO138" s="54">
        <v>1658514.6666666667</v>
      </c>
      <c r="AP138" s="54">
        <v>1184348</v>
      </c>
      <c r="AQ138" s="54">
        <v>1184348</v>
      </c>
      <c r="AR138" s="54">
        <v>1184348</v>
      </c>
      <c r="AS138" s="54">
        <v>867315.83000000007</v>
      </c>
      <c r="AT138" s="54">
        <v>452632</v>
      </c>
      <c r="AU138" s="54">
        <v>409981</v>
      </c>
      <c r="AV138" s="54">
        <v>55587.92</v>
      </c>
      <c r="AW138" s="54">
        <v>0</v>
      </c>
      <c r="AX138" s="54">
        <v>0</v>
      </c>
      <c r="AY138" s="54">
        <v>58490516.299999982</v>
      </c>
      <c r="AZ138" s="59">
        <v>0</v>
      </c>
      <c r="BA138" s="54">
        <v>33488111.977777787</v>
      </c>
      <c r="BB138" s="54">
        <v>58490516.300000004</v>
      </c>
      <c r="BE138" s="44"/>
    </row>
    <row r="139" spans="2:58" x14ac:dyDescent="0.25">
      <c r="K139" s="59"/>
      <c r="L139" s="59"/>
      <c r="M139" s="59"/>
      <c r="Q139" s="55" t="s">
        <v>33</v>
      </c>
      <c r="R139" s="56">
        <v>732215.53999999992</v>
      </c>
      <c r="S139" s="56">
        <v>491159.75</v>
      </c>
      <c r="T139" s="56">
        <v>1223475.29</v>
      </c>
      <c r="U139" s="56">
        <v>2229301.8123342255</v>
      </c>
      <c r="V139" s="56">
        <v>2241215.281467</v>
      </c>
      <c r="W139" s="56">
        <v>2309396.5809391686</v>
      </c>
      <c r="X139" s="56">
        <v>2157928.8765873937</v>
      </c>
      <c r="Y139" s="56">
        <v>2001374.7068122185</v>
      </c>
      <c r="Z139" s="56">
        <v>1838623.1889164443</v>
      </c>
      <c r="AA139" s="56">
        <v>1679261.8073895001</v>
      </c>
      <c r="AB139" s="56">
        <v>1521400.6104854997</v>
      </c>
      <c r="AC139" s="56">
        <v>1367592.2846271002</v>
      </c>
      <c r="AD139" s="56">
        <v>1241038.8427090994</v>
      </c>
      <c r="AE139" s="56">
        <v>1124042.1449494001</v>
      </c>
      <c r="AF139" s="56">
        <v>1022033.0116166001</v>
      </c>
      <c r="AG139" s="56">
        <v>926221.77864379983</v>
      </c>
      <c r="AH139" s="56">
        <v>837831.63125500013</v>
      </c>
      <c r="AI139" s="56">
        <v>753822.72227100015</v>
      </c>
      <c r="AJ139" s="56">
        <v>675771.50826699985</v>
      </c>
      <c r="AK139" s="56">
        <v>600907.595203</v>
      </c>
      <c r="AL139" s="56">
        <v>527827.85213899997</v>
      </c>
      <c r="AM139" s="56">
        <v>455910.62948799995</v>
      </c>
      <c r="AN139" s="56">
        <v>386898.32936799998</v>
      </c>
      <c r="AO139" s="56">
        <v>317886.02924799989</v>
      </c>
      <c r="AP139" s="56">
        <v>240808.15412799999</v>
      </c>
      <c r="AQ139" s="56">
        <v>187927.00400799996</v>
      </c>
      <c r="AR139" s="56">
        <v>135045.85388799998</v>
      </c>
      <c r="AS139" s="56">
        <v>82164.703767999992</v>
      </c>
      <c r="AT139" s="56">
        <v>43306.896070000003</v>
      </c>
      <c r="AU139" s="56">
        <v>22024.558349999996</v>
      </c>
      <c r="AV139" s="56">
        <v>2596.5674300000001</v>
      </c>
      <c r="AW139" s="56">
        <v>0</v>
      </c>
      <c r="AX139" s="56">
        <v>0</v>
      </c>
      <c r="AY139" s="56">
        <v>26930160.962358441</v>
      </c>
      <c r="AZ139" s="59">
        <v>0</v>
      </c>
      <c r="BA139" s="56">
        <v>12473058.707912501</v>
      </c>
      <c r="BB139" s="56">
        <v>26930160.962358452</v>
      </c>
      <c r="BD139" s="43"/>
      <c r="BE139" s="44"/>
    </row>
    <row r="140" spans="2:58" s="43" customFormat="1" x14ac:dyDescent="0.25">
      <c r="Q140" s="53" t="s">
        <v>392</v>
      </c>
      <c r="R140" s="57">
        <v>2501841.34</v>
      </c>
      <c r="S140" s="57">
        <v>2385238.42</v>
      </c>
      <c r="T140" s="57">
        <v>4900109.76</v>
      </c>
      <c r="U140" s="57">
        <v>5886499.9923342252</v>
      </c>
      <c r="V140" s="57">
        <v>5711621.5083419997</v>
      </c>
      <c r="W140" s="57">
        <v>5810772.5234391689</v>
      </c>
      <c r="X140" s="57">
        <v>5711473.607976282</v>
      </c>
      <c r="Y140" s="57">
        <v>5674199.6937566623</v>
      </c>
      <c r="Z140" s="57">
        <v>5430537.4389858879</v>
      </c>
      <c r="AA140" s="57">
        <v>5234401.8118339442</v>
      </c>
      <c r="AB140" s="57">
        <v>4990221.4749299437</v>
      </c>
      <c r="AC140" s="57">
        <v>4177786.0390715441</v>
      </c>
      <c r="AD140" s="57">
        <v>3847512.8671535435</v>
      </c>
      <c r="AE140" s="57">
        <v>3373435.9493938442</v>
      </c>
      <c r="AF140" s="57">
        <v>3133420.8160610446</v>
      </c>
      <c r="AG140" s="57">
        <v>2869350.5330882445</v>
      </c>
      <c r="AH140" s="57">
        <v>2670147.6756994445</v>
      </c>
      <c r="AI140" s="57">
        <v>2451734.7667154446</v>
      </c>
      <c r="AJ140" s="57">
        <v>2301555.5527114444</v>
      </c>
      <c r="AK140" s="57">
        <v>2185641.6796474447</v>
      </c>
      <c r="AL140" s="57">
        <v>2087800.9665834443</v>
      </c>
      <c r="AM140" s="57">
        <v>1956369.740599111</v>
      </c>
      <c r="AN140" s="57">
        <v>1887357.4404791109</v>
      </c>
      <c r="AO140" s="57">
        <v>1976400.6959146666</v>
      </c>
      <c r="AP140" s="57">
        <v>1425156.1541279999</v>
      </c>
      <c r="AQ140" s="57">
        <v>1372275.004008</v>
      </c>
      <c r="AR140" s="57">
        <v>1319393.8538879999</v>
      </c>
      <c r="AS140" s="57">
        <v>949480.53376800008</v>
      </c>
      <c r="AT140" s="57">
        <v>495938.89607000002</v>
      </c>
      <c r="AU140" s="57">
        <v>432005.55835000001</v>
      </c>
      <c r="AV140" s="57">
        <v>58184.487430000001</v>
      </c>
      <c r="AW140" s="57">
        <v>0</v>
      </c>
      <c r="AX140" s="57">
        <v>0</v>
      </c>
      <c r="AY140" s="57">
        <v>85420677.262358457</v>
      </c>
      <c r="AZ140" s="59">
        <v>0</v>
      </c>
      <c r="BA140" s="57">
        <v>45961170.685690269</v>
      </c>
      <c r="BB140" s="57">
        <v>85420677.262358442</v>
      </c>
      <c r="BE140" s="44"/>
      <c r="BF140" s="44">
        <v>85420677.262358367</v>
      </c>
    </row>
    <row r="141" spans="2:58" x14ac:dyDescent="0.25">
      <c r="K141" s="108"/>
      <c r="U141" s="59"/>
      <c r="V141" s="59"/>
      <c r="W141" s="59"/>
      <c r="X141" s="59"/>
      <c r="Y141" s="59"/>
      <c r="Z141" s="59"/>
      <c r="AA141" s="59"/>
      <c r="BB141" s="59"/>
      <c r="BF141" s="59"/>
    </row>
    <row r="142" spans="2:58" x14ac:dyDescent="0.25">
      <c r="I142" s="58"/>
      <c r="J142" s="58"/>
      <c r="K142" s="109"/>
      <c r="S142" s="59"/>
      <c r="T142" s="59"/>
      <c r="U142" s="59"/>
      <c r="V142" s="59"/>
      <c r="W142" s="59"/>
      <c r="X142" s="59"/>
      <c r="Y142" s="59"/>
      <c r="Z142" s="59"/>
      <c r="AA142" s="59"/>
      <c r="AB142" s="59"/>
      <c r="AC142" s="59"/>
      <c r="AD142" s="59"/>
      <c r="AE142" s="59"/>
      <c r="AF142" s="59"/>
      <c r="AG142" s="59"/>
      <c r="AH142" s="59"/>
      <c r="AI142" s="59"/>
      <c r="AJ142" s="59"/>
      <c r="AK142" s="59"/>
      <c r="AL142" s="59"/>
      <c r="AM142" s="59"/>
      <c r="AN142" s="59"/>
      <c r="AO142" s="59"/>
      <c r="AP142" s="59"/>
      <c r="AQ142" s="59"/>
      <c r="AR142" s="59"/>
      <c r="AS142" s="59"/>
      <c r="AT142" s="59"/>
      <c r="AU142" s="59"/>
      <c r="AV142" s="59"/>
      <c r="AW142" s="59"/>
      <c r="AX142" s="59"/>
      <c r="AY142" s="59"/>
      <c r="AZ142" s="59"/>
      <c r="BA142" s="59"/>
      <c r="BB142" s="59"/>
    </row>
    <row r="143" spans="2:58" ht="15.75" x14ac:dyDescent="0.25">
      <c r="C143" s="2" t="s">
        <v>393</v>
      </c>
      <c r="J143" s="59"/>
    </row>
    <row r="144" spans="2:58" ht="60" x14ac:dyDescent="0.25">
      <c r="C144" s="80" t="s">
        <v>3</v>
      </c>
      <c r="D144" s="5" t="s">
        <v>394</v>
      </c>
      <c r="E144" s="5" t="s">
        <v>395</v>
      </c>
      <c r="F144" s="5" t="s">
        <v>396</v>
      </c>
      <c r="G144" s="5" t="s">
        <v>7</v>
      </c>
      <c r="H144" s="5" t="s">
        <v>8</v>
      </c>
      <c r="I144" s="5" t="s">
        <v>9</v>
      </c>
      <c r="J144" s="5" t="s">
        <v>397</v>
      </c>
      <c r="K144" s="5" t="s">
        <v>11</v>
      </c>
      <c r="L144" s="5" t="s">
        <v>12</v>
      </c>
      <c r="M144" s="5" t="s">
        <v>13</v>
      </c>
      <c r="N144" s="5" t="s">
        <v>14</v>
      </c>
      <c r="O144" s="5" t="s">
        <v>15</v>
      </c>
      <c r="P144" s="5" t="s">
        <v>16</v>
      </c>
      <c r="Q144" s="6" t="s">
        <v>17</v>
      </c>
      <c r="R144" s="6"/>
      <c r="S144" s="6"/>
      <c r="T144" s="5">
        <v>2023</v>
      </c>
      <c r="U144" s="80">
        <v>2024</v>
      </c>
      <c r="V144" s="80">
        <v>2025</v>
      </c>
      <c r="W144" s="80">
        <v>2026</v>
      </c>
      <c r="X144" s="80">
        <v>2027</v>
      </c>
      <c r="Y144" s="80">
        <v>2028</v>
      </c>
      <c r="Z144" s="80">
        <v>2029</v>
      </c>
      <c r="AA144" s="80">
        <v>2030</v>
      </c>
      <c r="AB144" s="80">
        <v>2031</v>
      </c>
      <c r="AC144" s="80">
        <v>2032</v>
      </c>
      <c r="AD144" s="80">
        <v>2033</v>
      </c>
      <c r="AE144" s="80">
        <v>2034</v>
      </c>
      <c r="AF144" s="80">
        <v>2035</v>
      </c>
      <c r="AG144" s="80">
        <v>2036</v>
      </c>
      <c r="AH144" s="80">
        <v>2037</v>
      </c>
      <c r="AI144" s="80">
        <v>2038</v>
      </c>
      <c r="AJ144" s="80">
        <v>2039</v>
      </c>
      <c r="AK144" s="80">
        <v>2040</v>
      </c>
      <c r="AL144" s="80">
        <v>2041</v>
      </c>
      <c r="AM144" s="80">
        <v>2042</v>
      </c>
      <c r="AN144" s="80">
        <v>2043</v>
      </c>
      <c r="AO144" s="80">
        <v>2044</v>
      </c>
      <c r="AP144" s="80">
        <v>2045</v>
      </c>
      <c r="AQ144" s="80">
        <v>2046</v>
      </c>
      <c r="AR144" s="80">
        <v>2047</v>
      </c>
      <c r="AS144" s="80">
        <v>2048</v>
      </c>
      <c r="AT144" s="80">
        <v>2049</v>
      </c>
      <c r="AU144" s="80">
        <v>2050</v>
      </c>
      <c r="AV144" s="80">
        <v>2051</v>
      </c>
      <c r="AW144" s="80">
        <v>2052</v>
      </c>
      <c r="AX144" s="80">
        <v>2053</v>
      </c>
      <c r="AY144" s="5" t="s">
        <v>20</v>
      </c>
      <c r="BA144" s="79" t="s">
        <v>21</v>
      </c>
      <c r="BB144" s="5" t="s">
        <v>22</v>
      </c>
    </row>
    <row r="145" spans="2:58" s="43" customFormat="1" x14ac:dyDescent="0.25">
      <c r="B145" s="38"/>
      <c r="C145" s="40">
        <v>1</v>
      </c>
      <c r="D145" s="40" t="s">
        <v>398</v>
      </c>
      <c r="E145" s="40"/>
      <c r="F145" s="40"/>
      <c r="G145" s="40">
        <v>3.2017000000000002</v>
      </c>
      <c r="H145" s="40">
        <v>3.2031999999999998</v>
      </c>
      <c r="I145" s="40" t="s">
        <v>29</v>
      </c>
      <c r="J145" s="9">
        <v>129553</v>
      </c>
      <c r="K145" s="9"/>
      <c r="L145" s="9"/>
      <c r="M145" s="9"/>
      <c r="N145" s="10"/>
      <c r="O145" s="10"/>
      <c r="P145" s="10"/>
      <c r="Q145" s="10" t="s">
        <v>30</v>
      </c>
      <c r="R145" s="10"/>
      <c r="S145" s="10"/>
      <c r="T145" s="11">
        <v>8936</v>
      </c>
      <c r="U145" s="11">
        <v>8936</v>
      </c>
      <c r="V145" s="11">
        <v>8936</v>
      </c>
      <c r="W145" s="11">
        <v>8936</v>
      </c>
      <c r="X145" s="11">
        <v>8936</v>
      </c>
      <c r="Y145" s="11">
        <v>8936</v>
      </c>
      <c r="Z145" s="11">
        <v>8936</v>
      </c>
      <c r="AA145" s="11">
        <v>8936</v>
      </c>
      <c r="AB145" s="11">
        <v>8936</v>
      </c>
      <c r="AC145" s="11">
        <v>2234</v>
      </c>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3">
        <v>73722</v>
      </c>
      <c r="AZ145" s="60"/>
      <c r="BA145" s="12">
        <v>11170</v>
      </c>
      <c r="BB145" s="13">
        <v>73722</v>
      </c>
    </row>
    <row r="146" spans="2:58" x14ac:dyDescent="0.25">
      <c r="B146" s="45"/>
      <c r="C146" s="14"/>
      <c r="D146" s="14"/>
      <c r="E146" s="14"/>
      <c r="F146" s="14"/>
      <c r="G146" s="14"/>
      <c r="H146" s="14"/>
      <c r="I146" s="14"/>
      <c r="J146" s="15"/>
      <c r="K146" s="15"/>
      <c r="L146" s="15"/>
      <c r="M146" s="15"/>
      <c r="N146" s="16">
        <v>3.0089999999999999</v>
      </c>
      <c r="O146" s="16">
        <v>2.7589999999999999</v>
      </c>
      <c r="P146" s="16">
        <v>0.25</v>
      </c>
      <c r="Q146" s="16" t="s">
        <v>33</v>
      </c>
      <c r="R146" s="16"/>
      <c r="S146" s="16"/>
      <c r="T146" s="17">
        <v>2756.0634599999998</v>
      </c>
      <c r="U146" s="17">
        <v>2218.2949800000001</v>
      </c>
      <c r="V146" s="17">
        <v>1949.41074</v>
      </c>
      <c r="W146" s="17">
        <v>1680.5264999999999</v>
      </c>
      <c r="X146" s="17">
        <v>1411.6422599999999</v>
      </c>
      <c r="Y146" s="17">
        <v>1142.75802</v>
      </c>
      <c r="Z146" s="17">
        <v>873.87378000000001</v>
      </c>
      <c r="AA146" s="17">
        <v>604.98954000000003</v>
      </c>
      <c r="AB146" s="17">
        <v>336.1053</v>
      </c>
      <c r="AC146" s="17">
        <v>67.221059999999994</v>
      </c>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9">
        <v>10284.822179999999</v>
      </c>
      <c r="AZ146" s="31"/>
      <c r="BA146" s="18">
        <v>403.32636000000002</v>
      </c>
      <c r="BB146" s="19">
        <v>10284.822179999999</v>
      </c>
    </row>
    <row r="147" spans="2:58" s="43" customFormat="1" x14ac:dyDescent="0.25">
      <c r="B147" s="38"/>
      <c r="C147" s="40">
        <v>2</v>
      </c>
      <c r="D147" s="40" t="s">
        <v>399</v>
      </c>
      <c r="E147" s="40"/>
      <c r="F147" s="40"/>
      <c r="G147" s="110">
        <v>43832</v>
      </c>
      <c r="H147" s="110">
        <v>45656</v>
      </c>
      <c r="I147" s="40" t="s">
        <v>29</v>
      </c>
      <c r="J147" s="9">
        <v>44681</v>
      </c>
      <c r="K147" s="9"/>
      <c r="L147" s="9"/>
      <c r="M147" s="9"/>
      <c r="N147" s="10"/>
      <c r="O147" s="10"/>
      <c r="P147" s="10"/>
      <c r="Q147" s="10" t="s">
        <v>30</v>
      </c>
      <c r="R147" s="10"/>
      <c r="S147" s="10"/>
      <c r="T147" s="11">
        <v>5976</v>
      </c>
      <c r="U147" s="11">
        <v>5976</v>
      </c>
      <c r="V147" s="11">
        <v>446.95</v>
      </c>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3">
        <v>6422.95</v>
      </c>
      <c r="AZ147" s="60"/>
      <c r="BA147" s="12">
        <v>0</v>
      </c>
      <c r="BB147" s="13">
        <v>6422.95</v>
      </c>
    </row>
    <row r="148" spans="2:58" x14ac:dyDescent="0.25">
      <c r="B148" s="45"/>
      <c r="C148" s="14"/>
      <c r="D148" s="14" t="s">
        <v>400</v>
      </c>
      <c r="E148" s="14"/>
      <c r="F148" s="14"/>
      <c r="G148" s="14"/>
      <c r="H148" s="14"/>
      <c r="I148" s="14"/>
      <c r="J148" s="15"/>
      <c r="K148" s="15"/>
      <c r="L148" s="15"/>
      <c r="M148" s="15"/>
      <c r="N148" s="16">
        <v>0.85599999999999998</v>
      </c>
      <c r="O148" s="16">
        <v>0.35599999999999998</v>
      </c>
      <c r="P148" s="16">
        <v>0.5</v>
      </c>
      <c r="Q148" s="16" t="s">
        <v>33</v>
      </c>
      <c r="R148" s="16"/>
      <c r="S148" s="16"/>
      <c r="T148" s="17"/>
      <c r="U148" s="17"/>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7"/>
      <c r="AR148" s="17"/>
      <c r="AS148" s="17"/>
      <c r="AT148" s="17"/>
      <c r="AU148" s="17"/>
      <c r="AV148" s="17"/>
      <c r="AW148" s="17"/>
      <c r="AX148" s="17"/>
      <c r="AY148" s="19">
        <v>0</v>
      </c>
      <c r="AZ148" s="31"/>
      <c r="BA148" s="18">
        <v>0</v>
      </c>
      <c r="BB148" s="19">
        <v>0</v>
      </c>
    </row>
    <row r="149" spans="2:58" s="43" customFormat="1" x14ac:dyDescent="0.25">
      <c r="B149" s="38"/>
      <c r="C149" s="40">
        <v>3</v>
      </c>
      <c r="D149" s="40" t="s">
        <v>401</v>
      </c>
      <c r="E149" s="40"/>
      <c r="F149" s="40"/>
      <c r="G149" s="110">
        <v>44151</v>
      </c>
      <c r="H149" s="110">
        <v>45981</v>
      </c>
      <c r="I149" s="40" t="s">
        <v>29</v>
      </c>
      <c r="J149" s="9">
        <v>82111</v>
      </c>
      <c r="K149" s="9"/>
      <c r="L149" s="9"/>
      <c r="M149" s="9"/>
      <c r="N149" s="10"/>
      <c r="O149" s="10"/>
      <c r="P149" s="10"/>
      <c r="Q149" s="10" t="s">
        <v>30</v>
      </c>
      <c r="R149" s="10"/>
      <c r="S149" s="10"/>
      <c r="T149" s="11">
        <v>15204.36</v>
      </c>
      <c r="U149" s="11">
        <v>15204.36</v>
      </c>
      <c r="V149" s="11">
        <v>13937.16</v>
      </c>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3">
        <v>29141.52</v>
      </c>
      <c r="AZ149" s="60"/>
      <c r="BA149" s="12">
        <v>0</v>
      </c>
      <c r="BB149" s="13">
        <v>29141.52</v>
      </c>
    </row>
    <row r="150" spans="2:58" x14ac:dyDescent="0.25">
      <c r="B150" s="45"/>
      <c r="C150" s="14"/>
      <c r="D150" s="14" t="s">
        <v>400</v>
      </c>
      <c r="E150" s="14"/>
      <c r="F150" s="14"/>
      <c r="G150" s="14"/>
      <c r="H150" s="14"/>
      <c r="I150" s="14"/>
      <c r="J150" s="15"/>
      <c r="K150" s="15"/>
      <c r="L150" s="15"/>
      <c r="M150" s="15"/>
      <c r="N150" s="16">
        <v>0.85599999999999998</v>
      </c>
      <c r="O150" s="16">
        <v>0.35599999999999998</v>
      </c>
      <c r="P150" s="16">
        <v>0.5</v>
      </c>
      <c r="Q150" s="16" t="s">
        <v>33</v>
      </c>
      <c r="R150" s="16"/>
      <c r="S150" s="16"/>
      <c r="T150" s="17"/>
      <c r="U150" s="17"/>
      <c r="V150" s="17"/>
      <c r="W150" s="17"/>
      <c r="X150" s="17"/>
      <c r="Y150" s="17"/>
      <c r="Z150" s="17"/>
      <c r="AA150" s="17"/>
      <c r="AB150" s="17"/>
      <c r="AC150" s="17"/>
      <c r="AD150" s="17"/>
      <c r="AE150" s="17"/>
      <c r="AF150" s="17"/>
      <c r="AG150" s="17"/>
      <c r="AH150" s="17"/>
      <c r="AI150" s="17"/>
      <c r="AJ150" s="17"/>
      <c r="AK150" s="17"/>
      <c r="AL150" s="17"/>
      <c r="AM150" s="17"/>
      <c r="AN150" s="17"/>
      <c r="AO150" s="17"/>
      <c r="AP150" s="17"/>
      <c r="AQ150" s="17"/>
      <c r="AR150" s="17"/>
      <c r="AS150" s="17"/>
      <c r="AT150" s="17"/>
      <c r="AU150" s="17"/>
      <c r="AV150" s="17"/>
      <c r="AW150" s="17"/>
      <c r="AX150" s="17"/>
      <c r="AY150" s="19">
        <v>0</v>
      </c>
      <c r="AZ150" s="31"/>
      <c r="BA150" s="18">
        <v>0</v>
      </c>
      <c r="BB150" s="19">
        <v>0</v>
      </c>
    </row>
    <row r="151" spans="2:58" s="43" customFormat="1" x14ac:dyDescent="0.25">
      <c r="B151" s="38"/>
      <c r="C151" s="40">
        <v>4</v>
      </c>
      <c r="D151" s="40" t="s">
        <v>402</v>
      </c>
      <c r="E151" s="40"/>
      <c r="F151" s="40"/>
      <c r="G151" s="110">
        <v>44313</v>
      </c>
      <c r="H151" s="110">
        <v>45774</v>
      </c>
      <c r="I151" s="40" t="s">
        <v>29</v>
      </c>
      <c r="J151" s="9">
        <v>33649.81</v>
      </c>
      <c r="K151" s="9"/>
      <c r="L151" s="9"/>
      <c r="M151" s="9"/>
      <c r="N151" s="10"/>
      <c r="O151" s="10"/>
      <c r="P151" s="10"/>
      <c r="Q151" s="10" t="s">
        <v>30</v>
      </c>
      <c r="R151" s="10"/>
      <c r="S151" s="10"/>
      <c r="T151" s="11">
        <v>8424</v>
      </c>
      <c r="U151" s="11">
        <v>8424</v>
      </c>
      <c r="V151" s="11">
        <v>2808</v>
      </c>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3">
        <v>11232</v>
      </c>
      <c r="AZ151" s="60"/>
      <c r="BA151" s="12">
        <v>0</v>
      </c>
      <c r="BB151" s="13">
        <v>11232</v>
      </c>
    </row>
    <row r="152" spans="2:58" ht="13.9" customHeight="1" x14ac:dyDescent="0.25">
      <c r="B152" s="45"/>
      <c r="C152" s="14"/>
      <c r="D152" s="14" t="s">
        <v>400</v>
      </c>
      <c r="E152" s="14"/>
      <c r="F152" s="14"/>
      <c r="G152" s="14"/>
      <c r="H152" s="14"/>
      <c r="I152" s="14"/>
      <c r="J152" s="15"/>
      <c r="K152" s="15"/>
      <c r="L152" s="15"/>
      <c r="M152" s="15"/>
      <c r="N152" s="16">
        <v>0.85599999999999998</v>
      </c>
      <c r="O152" s="16">
        <v>0.35599999999999998</v>
      </c>
      <c r="P152" s="16">
        <v>0.5</v>
      </c>
      <c r="Q152" s="16" t="s">
        <v>33</v>
      </c>
      <c r="R152" s="16"/>
      <c r="S152" s="16"/>
      <c r="T152" s="17"/>
      <c r="U152" s="17"/>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U152" s="17"/>
      <c r="AV152" s="17"/>
      <c r="AW152" s="17"/>
      <c r="AX152" s="17"/>
      <c r="AY152" s="19">
        <v>0</v>
      </c>
      <c r="AZ152" s="31"/>
      <c r="BA152" s="18">
        <v>0</v>
      </c>
      <c r="BB152" s="19">
        <v>0</v>
      </c>
    </row>
    <row r="153" spans="2:58" s="43" customFormat="1" x14ac:dyDescent="0.25">
      <c r="B153" s="38"/>
      <c r="C153" s="40">
        <v>5</v>
      </c>
      <c r="D153" s="40" t="s">
        <v>398</v>
      </c>
      <c r="E153" s="40"/>
      <c r="F153" s="40"/>
      <c r="G153" s="110">
        <v>44655</v>
      </c>
      <c r="H153" s="110">
        <v>55598</v>
      </c>
      <c r="I153" s="40" t="s">
        <v>29</v>
      </c>
      <c r="J153" s="9">
        <v>2209678</v>
      </c>
      <c r="K153" s="9"/>
      <c r="L153" s="9"/>
      <c r="M153" s="9"/>
      <c r="N153" s="10"/>
      <c r="O153" s="10"/>
      <c r="P153" s="10"/>
      <c r="Q153" s="10" t="s">
        <v>30</v>
      </c>
      <c r="R153" s="10"/>
      <c r="S153" s="10"/>
      <c r="T153" s="11">
        <v>0</v>
      </c>
      <c r="U153" s="11"/>
      <c r="V153" s="11">
        <v>67990</v>
      </c>
      <c r="W153" s="11">
        <v>81588</v>
      </c>
      <c r="X153" s="11">
        <v>81588</v>
      </c>
      <c r="Y153" s="11">
        <v>81588</v>
      </c>
      <c r="Z153" s="11">
        <v>81588</v>
      </c>
      <c r="AA153" s="11">
        <v>81588</v>
      </c>
      <c r="AB153" s="11">
        <v>81588</v>
      </c>
      <c r="AC153" s="11">
        <v>81588</v>
      </c>
      <c r="AD153" s="11">
        <v>81588</v>
      </c>
      <c r="AE153" s="11">
        <v>81588</v>
      </c>
      <c r="AF153" s="11">
        <v>81588</v>
      </c>
      <c r="AG153" s="11">
        <v>81588</v>
      </c>
      <c r="AH153" s="11">
        <v>81588</v>
      </c>
      <c r="AI153" s="11">
        <v>81588</v>
      </c>
      <c r="AJ153" s="11">
        <v>81588</v>
      </c>
      <c r="AK153" s="11">
        <v>81588</v>
      </c>
      <c r="AL153" s="11">
        <v>81588</v>
      </c>
      <c r="AM153" s="11">
        <v>81588</v>
      </c>
      <c r="AN153" s="11">
        <v>81588</v>
      </c>
      <c r="AO153" s="11">
        <v>81588</v>
      </c>
      <c r="AP153" s="11">
        <v>81588</v>
      </c>
      <c r="AQ153" s="11">
        <v>81588</v>
      </c>
      <c r="AR153" s="11">
        <v>81588</v>
      </c>
      <c r="AS153" s="11">
        <v>81588</v>
      </c>
      <c r="AT153" s="11">
        <v>81588</v>
      </c>
      <c r="AU153" s="11">
        <v>81588</v>
      </c>
      <c r="AV153" s="11">
        <v>81588</v>
      </c>
      <c r="AW153" s="11">
        <v>81588</v>
      </c>
      <c r="AX153" s="11">
        <v>20400</v>
      </c>
      <c r="AY153" s="13">
        <v>2291266</v>
      </c>
      <c r="AZ153" s="60"/>
      <c r="BA153" s="12">
        <v>1815336</v>
      </c>
      <c r="BB153" s="13">
        <v>2291266</v>
      </c>
    </row>
    <row r="154" spans="2:58" x14ac:dyDescent="0.25">
      <c r="B154" s="45"/>
      <c r="C154" s="14"/>
      <c r="D154" s="14"/>
      <c r="E154" s="14"/>
      <c r="F154" s="14"/>
      <c r="G154" s="14"/>
      <c r="H154" s="14"/>
      <c r="I154" s="14"/>
      <c r="J154" s="15"/>
      <c r="K154" s="15"/>
      <c r="L154" s="15"/>
      <c r="M154" s="15"/>
      <c r="N154" s="16">
        <v>3.008</v>
      </c>
      <c r="O154" s="16">
        <v>2.758</v>
      </c>
      <c r="P154" s="16">
        <v>0.25</v>
      </c>
      <c r="Q154" s="16" t="s">
        <v>33</v>
      </c>
      <c r="R154" s="16"/>
      <c r="S154" s="16"/>
      <c r="T154" s="17">
        <v>46207.281279999996</v>
      </c>
      <c r="U154" s="17">
        <v>68921.281279999996</v>
      </c>
      <c r="V154" s="17">
        <v>68921.281279999996</v>
      </c>
      <c r="W154" s="17">
        <v>66876.142079999991</v>
      </c>
      <c r="X154" s="17">
        <v>64421.975039999998</v>
      </c>
      <c r="Y154" s="17">
        <v>61967.807999999997</v>
      </c>
      <c r="Z154" s="17">
        <v>59513.640959999997</v>
      </c>
      <c r="AA154" s="17">
        <v>57059.473919999997</v>
      </c>
      <c r="AB154" s="17">
        <v>54605.306880000004</v>
      </c>
      <c r="AC154" s="17">
        <v>52151.139840000003</v>
      </c>
      <c r="AD154" s="17">
        <v>49696.972800000003</v>
      </c>
      <c r="AE154" s="17">
        <v>47242.805760000003</v>
      </c>
      <c r="AF154" s="17">
        <v>44788.638720000003</v>
      </c>
      <c r="AG154" s="17">
        <v>42334.471679999995</v>
      </c>
      <c r="AH154" s="17">
        <v>39880.304640000002</v>
      </c>
      <c r="AI154" s="17">
        <v>37426.137599999995</v>
      </c>
      <c r="AJ154" s="17">
        <v>34971.970560000002</v>
      </c>
      <c r="AK154" s="17">
        <v>32517.803520000001</v>
      </c>
      <c r="AL154" s="17">
        <v>30063.636480000001</v>
      </c>
      <c r="AM154" s="17">
        <v>27609.469440000001</v>
      </c>
      <c r="AN154" s="17">
        <v>25155.3024</v>
      </c>
      <c r="AO154" s="17">
        <v>22701.13536</v>
      </c>
      <c r="AP154" s="17">
        <v>20246.96832</v>
      </c>
      <c r="AQ154" s="17">
        <v>17792.80128</v>
      </c>
      <c r="AR154" s="17">
        <v>15338.634240000001</v>
      </c>
      <c r="AS154" s="17">
        <v>12884.467199999999</v>
      </c>
      <c r="AT154" s="17">
        <v>10430.300159999999</v>
      </c>
      <c r="AU154" s="17">
        <v>7976.1331200000004</v>
      </c>
      <c r="AV154" s="17">
        <v>5521.9660800000001</v>
      </c>
      <c r="AW154" s="17">
        <v>3067.7990399999999</v>
      </c>
      <c r="AX154" s="17">
        <v>613.63199999999995</v>
      </c>
      <c r="AY154" s="19">
        <v>1082699.39968</v>
      </c>
      <c r="AZ154" s="82"/>
      <c r="BA154" s="18">
        <v>635017.79712</v>
      </c>
      <c r="BB154" s="19">
        <v>1082699.39968</v>
      </c>
    </row>
    <row r="155" spans="2:58" s="43" customFormat="1" x14ac:dyDescent="0.25">
      <c r="B155" s="38"/>
      <c r="C155" s="40">
        <v>6</v>
      </c>
      <c r="D155" s="40" t="s">
        <v>403</v>
      </c>
      <c r="E155" s="40"/>
      <c r="F155" s="40"/>
      <c r="G155" s="110">
        <v>45112</v>
      </c>
      <c r="H155" s="110">
        <v>46965</v>
      </c>
      <c r="I155" s="40" t="s">
        <v>29</v>
      </c>
      <c r="J155" s="9">
        <v>134432.07999999999</v>
      </c>
      <c r="K155" s="9"/>
      <c r="L155" s="9"/>
      <c r="M155" s="9"/>
      <c r="N155" s="10"/>
      <c r="O155" s="10"/>
      <c r="P155" s="10"/>
      <c r="Q155" s="10" t="s">
        <v>30</v>
      </c>
      <c r="R155" s="10"/>
      <c r="S155" s="10"/>
      <c r="T155" s="11">
        <v>27121</v>
      </c>
      <c r="U155" s="11">
        <v>24300</v>
      </c>
      <c r="V155" s="11">
        <v>24300</v>
      </c>
      <c r="W155" s="11">
        <v>24300</v>
      </c>
      <c r="X155" s="11">
        <v>24300</v>
      </c>
      <c r="Y155" s="11">
        <v>10125</v>
      </c>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3">
        <v>107325</v>
      </c>
      <c r="AZ155" s="60"/>
      <c r="BA155" s="12">
        <v>0</v>
      </c>
      <c r="BB155" s="13">
        <v>107325</v>
      </c>
    </row>
    <row r="156" spans="2:58" x14ac:dyDescent="0.25">
      <c r="B156" s="45"/>
      <c r="C156" s="14"/>
      <c r="D156" s="14"/>
      <c r="E156" s="14"/>
      <c r="F156" s="14"/>
      <c r="G156" s="14"/>
      <c r="H156" s="14"/>
      <c r="I156" s="14"/>
      <c r="J156" s="15"/>
      <c r="K156" s="15"/>
      <c r="L156" s="15"/>
      <c r="M156" s="15"/>
      <c r="N156" s="16">
        <v>3.008</v>
      </c>
      <c r="O156" s="16">
        <v>2.758</v>
      </c>
      <c r="P156" s="16">
        <v>0.25</v>
      </c>
      <c r="Q156" s="16" t="s">
        <v>33</v>
      </c>
      <c r="R156" s="16"/>
      <c r="S156" s="16"/>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9">
        <v>0</v>
      </c>
      <c r="AZ156" s="31"/>
      <c r="BA156" s="18">
        <v>0</v>
      </c>
      <c r="BB156" s="19">
        <v>0</v>
      </c>
    </row>
    <row r="157" spans="2:58" s="43" customFormat="1" x14ac:dyDescent="0.25">
      <c r="B157" s="38"/>
      <c r="C157" s="40">
        <v>7</v>
      </c>
      <c r="D157" s="7" t="s">
        <v>398</v>
      </c>
      <c r="E157" s="40"/>
      <c r="F157" s="40"/>
      <c r="G157" s="41" t="s">
        <v>384</v>
      </c>
      <c r="H157" s="41">
        <v>49572</v>
      </c>
      <c r="I157" s="7" t="s">
        <v>29</v>
      </c>
      <c r="J157" s="8">
        <v>801681</v>
      </c>
      <c r="K157" s="9"/>
      <c r="L157" s="9"/>
      <c r="M157" s="9"/>
      <c r="N157" s="10"/>
      <c r="O157" s="10"/>
      <c r="P157" s="10"/>
      <c r="Q157" s="10" t="s">
        <v>30</v>
      </c>
      <c r="R157" s="10"/>
      <c r="S157" s="10"/>
      <c r="T157" s="11"/>
      <c r="U157" s="11"/>
      <c r="V157" s="11"/>
      <c r="W157" s="11"/>
      <c r="X157" s="11">
        <v>80168.100000000006</v>
      </c>
      <c r="Y157" s="11">
        <v>80168.100000000006</v>
      </c>
      <c r="Z157" s="11">
        <v>80168.100000000006</v>
      </c>
      <c r="AA157" s="11">
        <v>80168.100000000006</v>
      </c>
      <c r="AB157" s="11">
        <v>80168.100000000006</v>
      </c>
      <c r="AC157" s="11">
        <v>80168.100000000006</v>
      </c>
      <c r="AD157" s="11">
        <v>80168.100000000006</v>
      </c>
      <c r="AE157" s="11">
        <v>80168.100000000006</v>
      </c>
      <c r="AF157" s="11">
        <v>80168.100000000006</v>
      </c>
      <c r="AG157" s="11">
        <v>80168.100000000006</v>
      </c>
      <c r="AH157" s="11"/>
      <c r="AI157" s="11"/>
      <c r="AJ157" s="11"/>
      <c r="AK157" s="11"/>
      <c r="AL157" s="11"/>
      <c r="AM157" s="11"/>
      <c r="AN157" s="11"/>
      <c r="AO157" s="11"/>
      <c r="AP157" s="11"/>
      <c r="AQ157" s="11"/>
      <c r="AR157" s="11"/>
      <c r="AS157" s="11"/>
      <c r="AT157" s="11"/>
      <c r="AU157" s="11"/>
      <c r="AV157" s="11"/>
      <c r="AW157" s="11"/>
      <c r="AX157" s="11"/>
      <c r="AY157" s="13">
        <v>801680.99999999988</v>
      </c>
      <c r="AZ157" s="60"/>
      <c r="BA157" s="12">
        <v>481008.6</v>
      </c>
      <c r="BB157" s="13">
        <v>801681</v>
      </c>
    </row>
    <row r="158" spans="2:58" x14ac:dyDescent="0.25">
      <c r="B158" s="45"/>
      <c r="C158" s="14"/>
      <c r="D158" s="14" t="s">
        <v>404</v>
      </c>
      <c r="E158" s="14"/>
      <c r="F158" s="14"/>
      <c r="G158" s="14"/>
      <c r="H158" s="14"/>
      <c r="I158" s="14"/>
      <c r="J158" s="15"/>
      <c r="K158" s="15"/>
      <c r="L158" s="15"/>
      <c r="M158" s="15"/>
      <c r="N158" s="16">
        <v>4.915</v>
      </c>
      <c r="O158" s="16">
        <v>4.665</v>
      </c>
      <c r="P158" s="16">
        <v>0.25</v>
      </c>
      <c r="Q158" s="16" t="s">
        <v>33</v>
      </c>
      <c r="R158" s="16"/>
      <c r="S158" s="16"/>
      <c r="T158" s="17"/>
      <c r="U158" s="17">
        <v>39402.621149999992</v>
      </c>
      <c r="V158" s="17">
        <v>39402.621149999992</v>
      </c>
      <c r="W158" s="17">
        <v>39402.621149999992</v>
      </c>
      <c r="X158" s="17">
        <v>39402.621149999992</v>
      </c>
      <c r="Y158" s="17">
        <v>35462.359034999994</v>
      </c>
      <c r="Z158" s="17">
        <v>31522.096919999996</v>
      </c>
      <c r="AA158" s="17">
        <v>27581.834804999995</v>
      </c>
      <c r="AB158" s="17">
        <v>23641.572689999997</v>
      </c>
      <c r="AC158" s="17">
        <v>19701.310575</v>
      </c>
      <c r="AD158" s="17">
        <v>15761.048460000002</v>
      </c>
      <c r="AE158" s="17">
        <v>11820.786345000002</v>
      </c>
      <c r="AF158" s="17">
        <v>7880.5242300000009</v>
      </c>
      <c r="AG158" s="17">
        <v>3940.2621150000004</v>
      </c>
      <c r="AH158" s="17">
        <v>0</v>
      </c>
      <c r="AI158" s="17">
        <v>0</v>
      </c>
      <c r="AJ158" s="17">
        <v>0</v>
      </c>
      <c r="AK158" s="17">
        <v>0</v>
      </c>
      <c r="AL158" s="17">
        <v>0</v>
      </c>
      <c r="AM158" s="17">
        <v>0</v>
      </c>
      <c r="AN158" s="17">
        <v>0</v>
      </c>
      <c r="AO158" s="17">
        <v>0</v>
      </c>
      <c r="AP158" s="17">
        <v>0</v>
      </c>
      <c r="AQ158" s="17">
        <v>0</v>
      </c>
      <c r="AR158" s="17">
        <v>0</v>
      </c>
      <c r="AS158" s="17">
        <v>0</v>
      </c>
      <c r="AT158" s="17">
        <v>0</v>
      </c>
      <c r="AU158" s="17">
        <v>0</v>
      </c>
      <c r="AV158" s="17">
        <v>0</v>
      </c>
      <c r="AW158" s="17">
        <v>0</v>
      </c>
      <c r="AX158" s="17">
        <v>0</v>
      </c>
      <c r="AY158" s="19">
        <v>334922.279775</v>
      </c>
      <c r="AZ158" s="82"/>
      <c r="BA158" s="18">
        <v>82745.504415000003</v>
      </c>
      <c r="BB158" s="19">
        <v>334922.27977499994</v>
      </c>
    </row>
    <row r="159" spans="2:58" s="43" customFormat="1" x14ac:dyDescent="0.25">
      <c r="C159" s="60"/>
      <c r="D159" s="60"/>
      <c r="E159" s="60"/>
      <c r="F159" s="60"/>
      <c r="G159" s="60"/>
      <c r="H159" s="60"/>
      <c r="I159" s="60"/>
      <c r="J159" s="60"/>
      <c r="K159" s="60"/>
      <c r="L159" s="60"/>
      <c r="M159" s="60"/>
      <c r="N159" s="60"/>
      <c r="O159" s="60"/>
      <c r="P159" s="60"/>
      <c r="Q159" s="61" t="s">
        <v>405</v>
      </c>
      <c r="R159" s="61"/>
      <c r="S159" s="60"/>
      <c r="T159" s="62">
        <v>114624.70473999999</v>
      </c>
      <c r="U159" s="62">
        <v>173382.55740999998</v>
      </c>
      <c r="V159" s="62">
        <v>228691.42316999999</v>
      </c>
      <c r="W159" s="62">
        <v>222783.28972999999</v>
      </c>
      <c r="X159" s="62">
        <v>300228.33844999998</v>
      </c>
      <c r="Y159" s="62">
        <v>279390.02505499998</v>
      </c>
      <c r="Z159" s="62">
        <v>262601.71165999997</v>
      </c>
      <c r="AA159" s="62">
        <v>255938.398265</v>
      </c>
      <c r="AB159" s="62">
        <v>249275.08486999999</v>
      </c>
      <c r="AC159" s="62">
        <v>235909.77147500002</v>
      </c>
      <c r="AD159" s="62">
        <v>227214.12125999999</v>
      </c>
      <c r="AE159" s="62">
        <v>220819.69210499999</v>
      </c>
      <c r="AF159" s="62">
        <v>214425.26295000003</v>
      </c>
      <c r="AG159" s="62">
        <v>208030.83379499998</v>
      </c>
      <c r="AH159" s="62">
        <v>121468.30464</v>
      </c>
      <c r="AI159" s="62">
        <v>119014.13759999999</v>
      </c>
      <c r="AJ159" s="62">
        <v>116559.97056</v>
      </c>
      <c r="AK159" s="62">
        <v>114105.80352</v>
      </c>
      <c r="AL159" s="62">
        <v>111651.63648</v>
      </c>
      <c r="AM159" s="62">
        <v>109197.46944</v>
      </c>
      <c r="AN159" s="62">
        <v>106743.3024</v>
      </c>
      <c r="AO159" s="62">
        <v>104289.13536</v>
      </c>
      <c r="AP159" s="62">
        <v>101834.96832</v>
      </c>
      <c r="AQ159" s="62">
        <v>99380.80128</v>
      </c>
      <c r="AR159" s="62">
        <v>96926.634239999999</v>
      </c>
      <c r="AS159" s="62">
        <v>94472.467199999999</v>
      </c>
      <c r="AT159" s="62">
        <v>92018.300159999999</v>
      </c>
      <c r="AU159" s="62">
        <v>89564.133119999999</v>
      </c>
      <c r="AV159" s="62">
        <v>87109.966079999998</v>
      </c>
      <c r="AW159" s="62">
        <v>84655.799039999998</v>
      </c>
      <c r="AX159" s="62">
        <v>21013.632000000001</v>
      </c>
      <c r="AY159" s="63">
        <v>4748696.9716349989</v>
      </c>
      <c r="AZ159" s="60"/>
      <c r="BA159" s="64">
        <v>3025681.227895</v>
      </c>
      <c r="BB159" s="64">
        <v>4748696.9716349998</v>
      </c>
      <c r="BF159" s="44">
        <v>4748696.9716349998</v>
      </c>
    </row>
    <row r="160" spans="2:58" x14ac:dyDescent="0.25">
      <c r="BF160" s="59">
        <v>0</v>
      </c>
    </row>
    <row r="162" spans="6:54" ht="30" x14ac:dyDescent="0.25">
      <c r="R162" s="5"/>
      <c r="S162" s="5"/>
      <c r="T162" s="5">
        <v>2023</v>
      </c>
      <c r="U162" s="80">
        <v>2024</v>
      </c>
      <c r="V162" s="80">
        <v>2025</v>
      </c>
      <c r="W162" s="80">
        <v>2026</v>
      </c>
      <c r="X162" s="80">
        <v>2027</v>
      </c>
      <c r="Y162" s="80">
        <v>2028</v>
      </c>
      <c r="Z162" s="80">
        <v>2029</v>
      </c>
      <c r="AA162" s="80">
        <v>2030</v>
      </c>
      <c r="AB162" s="80">
        <v>2031</v>
      </c>
      <c r="AC162" s="80">
        <v>2032</v>
      </c>
      <c r="AD162" s="80">
        <v>2033</v>
      </c>
      <c r="AE162" s="80">
        <v>2034</v>
      </c>
      <c r="AF162" s="80">
        <v>2035</v>
      </c>
      <c r="AG162" s="80">
        <v>2036</v>
      </c>
      <c r="AH162" s="80">
        <v>2037</v>
      </c>
      <c r="AI162" s="80">
        <v>2038</v>
      </c>
      <c r="AJ162" s="80">
        <v>2039</v>
      </c>
      <c r="AK162" s="80">
        <v>2040</v>
      </c>
      <c r="AL162" s="80">
        <v>2041</v>
      </c>
      <c r="AM162" s="80">
        <v>2042</v>
      </c>
      <c r="AN162" s="80">
        <v>2043</v>
      </c>
      <c r="AO162" s="80">
        <v>2044</v>
      </c>
      <c r="AP162" s="80">
        <v>2045</v>
      </c>
      <c r="AQ162" s="80">
        <v>2046</v>
      </c>
      <c r="AR162" s="80">
        <v>2047</v>
      </c>
      <c r="AS162" s="80">
        <v>2048</v>
      </c>
      <c r="AT162" s="80">
        <v>2049</v>
      </c>
      <c r="AU162" s="80">
        <v>2050</v>
      </c>
      <c r="AV162" s="80">
        <v>2051</v>
      </c>
      <c r="AW162" s="80">
        <v>2052</v>
      </c>
      <c r="AX162" s="80">
        <v>2053</v>
      </c>
      <c r="AY162" s="5" t="s">
        <v>20</v>
      </c>
      <c r="BA162" s="80" t="s">
        <v>21</v>
      </c>
      <c r="BB162" s="5" t="s">
        <v>22</v>
      </c>
    </row>
    <row r="163" spans="6:54" x14ac:dyDescent="0.25">
      <c r="Q163" s="65" t="s">
        <v>406</v>
      </c>
      <c r="R163" s="66"/>
      <c r="S163" s="66"/>
      <c r="T163" s="66">
        <v>3676634.4699999997</v>
      </c>
      <c r="U163" s="66">
        <v>3657198.1799999997</v>
      </c>
      <c r="V163" s="66">
        <v>3470406.2268750002</v>
      </c>
      <c r="W163" s="66">
        <v>3501375.9424999999</v>
      </c>
      <c r="X163" s="66">
        <v>3553544.7313888883</v>
      </c>
      <c r="Y163" s="66">
        <v>3672824.986944444</v>
      </c>
      <c r="Z163" s="66">
        <v>3591914.2500694441</v>
      </c>
      <c r="AA163" s="66">
        <v>3555140.0044444441</v>
      </c>
      <c r="AB163" s="66">
        <v>3468820.864444444</v>
      </c>
      <c r="AC163" s="66">
        <v>2810193.7544444441</v>
      </c>
      <c r="AD163" s="66">
        <v>2606474.0244444441</v>
      </c>
      <c r="AE163" s="66">
        <v>2249393.8044444444</v>
      </c>
      <c r="AF163" s="66">
        <v>2111387.8044444444</v>
      </c>
      <c r="AG163" s="66">
        <v>1943128.7544444446</v>
      </c>
      <c r="AH163" s="66">
        <v>1832316.0444444446</v>
      </c>
      <c r="AI163" s="66">
        <v>1697912.0444444446</v>
      </c>
      <c r="AJ163" s="66">
        <v>1625784.0444444446</v>
      </c>
      <c r="AK163" s="66">
        <v>1584734.0844444446</v>
      </c>
      <c r="AL163" s="66">
        <v>1559973.1144444444</v>
      </c>
      <c r="AM163" s="66">
        <v>1500459.111111111</v>
      </c>
      <c r="AN163" s="66">
        <v>1500459.111111111</v>
      </c>
      <c r="AO163" s="66">
        <v>1658514.6666666667</v>
      </c>
      <c r="AP163" s="66">
        <v>1184348</v>
      </c>
      <c r="AQ163" s="66">
        <v>1184348</v>
      </c>
      <c r="AR163" s="66">
        <v>1184348</v>
      </c>
      <c r="AS163" s="66">
        <v>867315.83000000007</v>
      </c>
      <c r="AT163" s="66">
        <v>452632</v>
      </c>
      <c r="AU163" s="66">
        <v>409981</v>
      </c>
      <c r="AV163" s="66">
        <v>55587.92</v>
      </c>
      <c r="AW163" s="66">
        <v>0</v>
      </c>
      <c r="AX163" s="66">
        <v>0</v>
      </c>
      <c r="AY163" s="67">
        <v>58490516.299999982</v>
      </c>
      <c r="BA163" s="35">
        <v>33488111.977777787</v>
      </c>
      <c r="BB163" s="13">
        <v>58490516.300000004</v>
      </c>
    </row>
    <row r="164" spans="6:54" x14ac:dyDescent="0.25">
      <c r="Q164" s="65" t="s">
        <v>407</v>
      </c>
      <c r="R164" s="66"/>
      <c r="S164" s="66"/>
      <c r="T164" s="66">
        <v>1223475.29</v>
      </c>
      <c r="U164" s="66">
        <v>2229301.8123342255</v>
      </c>
      <c r="V164" s="66">
        <v>2241215.281467</v>
      </c>
      <c r="W164" s="66">
        <v>2309396.5809391686</v>
      </c>
      <c r="X164" s="66">
        <v>2157928.8765873937</v>
      </c>
      <c r="Y164" s="66">
        <v>2001374.7068122185</v>
      </c>
      <c r="Z164" s="66">
        <v>1838623.1889164443</v>
      </c>
      <c r="AA164" s="66">
        <v>1679261.8073895001</v>
      </c>
      <c r="AB164" s="66">
        <v>1521400.6104854997</v>
      </c>
      <c r="AC164" s="66">
        <v>1367592.2846271002</v>
      </c>
      <c r="AD164" s="66">
        <v>1241038.8427090994</v>
      </c>
      <c r="AE164" s="66">
        <v>1124042.1449494001</v>
      </c>
      <c r="AF164" s="66">
        <v>1022033.0116166001</v>
      </c>
      <c r="AG164" s="66">
        <v>926221.77864379983</v>
      </c>
      <c r="AH164" s="66">
        <v>837831.63125500013</v>
      </c>
      <c r="AI164" s="66">
        <v>753822.72227100015</v>
      </c>
      <c r="AJ164" s="66">
        <v>675771.50826699985</v>
      </c>
      <c r="AK164" s="66">
        <v>600907.595203</v>
      </c>
      <c r="AL164" s="66">
        <v>527827.85213899997</v>
      </c>
      <c r="AM164" s="66">
        <v>455910.62948799995</v>
      </c>
      <c r="AN164" s="66">
        <v>386898.32936799998</v>
      </c>
      <c r="AO164" s="66">
        <v>317886.02924799989</v>
      </c>
      <c r="AP164" s="66">
        <v>240808.15412799999</v>
      </c>
      <c r="AQ164" s="66">
        <v>187927.00400799996</v>
      </c>
      <c r="AR164" s="66">
        <v>135045.85388799998</v>
      </c>
      <c r="AS164" s="66">
        <v>82164.703767999992</v>
      </c>
      <c r="AT164" s="66">
        <v>43306.896070000003</v>
      </c>
      <c r="AU164" s="66">
        <v>22024.558349999996</v>
      </c>
      <c r="AV164" s="66">
        <v>2596.5674300000001</v>
      </c>
      <c r="AW164" s="66">
        <v>0</v>
      </c>
      <c r="AX164" s="66">
        <v>0</v>
      </c>
      <c r="AY164" s="67">
        <v>26930160.962358441</v>
      </c>
      <c r="BA164" s="35">
        <v>12473058.707912501</v>
      </c>
      <c r="BB164" s="67">
        <v>26930160.962358452</v>
      </c>
    </row>
    <row r="165" spans="6:54" x14ac:dyDescent="0.25">
      <c r="Q165" s="65" t="s">
        <v>408</v>
      </c>
      <c r="R165" s="66"/>
      <c r="S165" s="66"/>
      <c r="T165" s="66">
        <v>114624.70473999999</v>
      </c>
      <c r="U165" s="66">
        <v>173382.55740999998</v>
      </c>
      <c r="V165" s="66">
        <v>228691.42316999999</v>
      </c>
      <c r="W165" s="66">
        <v>222783.28972999999</v>
      </c>
      <c r="X165" s="66">
        <v>300228.33844999998</v>
      </c>
      <c r="Y165" s="66">
        <v>279390.02505499998</v>
      </c>
      <c r="Z165" s="66">
        <v>262601.71165999997</v>
      </c>
      <c r="AA165" s="66">
        <v>255938.398265</v>
      </c>
      <c r="AB165" s="66">
        <v>249275.08486999999</v>
      </c>
      <c r="AC165" s="66">
        <v>235909.77147500002</v>
      </c>
      <c r="AD165" s="66">
        <v>227214.12125999999</v>
      </c>
      <c r="AE165" s="66">
        <v>220819.69210499999</v>
      </c>
      <c r="AF165" s="66">
        <v>214425.26295000003</v>
      </c>
      <c r="AG165" s="66">
        <v>208030.83379499998</v>
      </c>
      <c r="AH165" s="66">
        <v>121468.30464</v>
      </c>
      <c r="AI165" s="66">
        <v>119014.13759999999</v>
      </c>
      <c r="AJ165" s="66">
        <v>116559.97056</v>
      </c>
      <c r="AK165" s="66">
        <v>114105.80352</v>
      </c>
      <c r="AL165" s="66">
        <v>111651.63648</v>
      </c>
      <c r="AM165" s="66">
        <v>109197.46944</v>
      </c>
      <c r="AN165" s="66">
        <v>106743.3024</v>
      </c>
      <c r="AO165" s="66">
        <v>104289.13536</v>
      </c>
      <c r="AP165" s="66">
        <v>101834.96832</v>
      </c>
      <c r="AQ165" s="66">
        <v>99380.80128</v>
      </c>
      <c r="AR165" s="66">
        <v>96926.634239999999</v>
      </c>
      <c r="AS165" s="66">
        <v>94472.467199999999</v>
      </c>
      <c r="AT165" s="66">
        <v>92018.300159999999</v>
      </c>
      <c r="AU165" s="66">
        <v>89564.133119999999</v>
      </c>
      <c r="AV165" s="66">
        <v>87109.966079999998</v>
      </c>
      <c r="AW165" s="66">
        <v>84655.799039999998</v>
      </c>
      <c r="AX165" s="66">
        <v>21013.632000000001</v>
      </c>
      <c r="AY165" s="67">
        <v>4748696.9716349989</v>
      </c>
      <c r="BA165" s="17">
        <v>3025681.227895</v>
      </c>
      <c r="BB165" s="67">
        <v>4748696.9716349998</v>
      </c>
    </row>
    <row r="166" spans="6:54" s="43" customFormat="1" x14ac:dyDescent="0.25">
      <c r="Q166" s="68" t="s">
        <v>409</v>
      </c>
      <c r="R166" s="69"/>
      <c r="S166" s="69"/>
      <c r="T166" s="69">
        <v>5014734.4647399997</v>
      </c>
      <c r="U166" s="69">
        <v>6059882.5497442251</v>
      </c>
      <c r="V166" s="69">
        <v>5940312.931512</v>
      </c>
      <c r="W166" s="69">
        <v>6033555.8131691692</v>
      </c>
      <c r="X166" s="69">
        <v>6011701.9464262817</v>
      </c>
      <c r="Y166" s="69">
        <v>5953589.7188116619</v>
      </c>
      <c r="Z166" s="69">
        <v>5693139.1506458875</v>
      </c>
      <c r="AA166" s="69">
        <v>5490340.2100989446</v>
      </c>
      <c r="AB166" s="69">
        <v>5239496.5597999441</v>
      </c>
      <c r="AC166" s="69">
        <v>4413695.8105465444</v>
      </c>
      <c r="AD166" s="69">
        <v>4074726.9884135434</v>
      </c>
      <c r="AE166" s="69">
        <v>3594255.6414988441</v>
      </c>
      <c r="AF166" s="69">
        <v>3347846.0790110445</v>
      </c>
      <c r="AG166" s="69">
        <v>3077381.3668832444</v>
      </c>
      <c r="AH166" s="69">
        <v>2791615.9803394447</v>
      </c>
      <c r="AI166" s="69">
        <v>2570748.9043154446</v>
      </c>
      <c r="AJ166" s="69">
        <v>2418115.5232714443</v>
      </c>
      <c r="AK166" s="69">
        <v>2299747.4831674448</v>
      </c>
      <c r="AL166" s="69">
        <v>2199452.6030634441</v>
      </c>
      <c r="AM166" s="69">
        <v>2065567.2100391109</v>
      </c>
      <c r="AN166" s="69">
        <v>1994100.7428791109</v>
      </c>
      <c r="AO166" s="69">
        <v>2080689.8312746666</v>
      </c>
      <c r="AP166" s="69">
        <v>1526991.1224479999</v>
      </c>
      <c r="AQ166" s="69">
        <v>1471655.805288</v>
      </c>
      <c r="AR166" s="69">
        <v>1416320.4881279999</v>
      </c>
      <c r="AS166" s="69">
        <v>1043953.000968</v>
      </c>
      <c r="AT166" s="69">
        <v>587957.19623</v>
      </c>
      <c r="AU166" s="69">
        <v>521569.69147000002</v>
      </c>
      <c r="AV166" s="69">
        <v>145294.45350999999</v>
      </c>
      <c r="AW166" s="69">
        <v>84655.799039999998</v>
      </c>
      <c r="AX166" s="69">
        <v>21013.632000000001</v>
      </c>
      <c r="AY166" s="69">
        <v>90169374.233993441</v>
      </c>
      <c r="BA166" s="69">
        <v>48986851.913585283</v>
      </c>
      <c r="BB166" s="69">
        <v>90169374.233993456</v>
      </c>
    </row>
    <row r="168" spans="6:54" s="43" customFormat="1" x14ac:dyDescent="0.25">
      <c r="Q168" s="68" t="s">
        <v>410</v>
      </c>
      <c r="R168" s="119"/>
      <c r="S168" s="119"/>
      <c r="T168" s="119">
        <v>0.14501607059033167</v>
      </c>
      <c r="U168" s="119">
        <v>0.17523965860640839</v>
      </c>
      <c r="V168" s="119">
        <v>0.1717819448790032</v>
      </c>
      <c r="W168" s="119">
        <v>0.17447834214659871</v>
      </c>
      <c r="X168" s="119">
        <v>0.1738463721181672</v>
      </c>
      <c r="Y168" s="119">
        <v>0.17216588295943364</v>
      </c>
      <c r="Z168" s="119">
        <v>0.1646341745022884</v>
      </c>
      <c r="AA168" s="119">
        <v>0.15876963557509621</v>
      </c>
      <c r="AB168" s="119">
        <v>0.15151573992924125</v>
      </c>
      <c r="AC168" s="119">
        <v>0.12763523726468218</v>
      </c>
      <c r="AD168" s="119">
        <v>0.1178329382628128</v>
      </c>
      <c r="AE168" s="119">
        <v>0.10393866983230553</v>
      </c>
      <c r="AF168" s="119">
        <v>9.6812999119506152E-2</v>
      </c>
      <c r="AG168" s="119">
        <v>8.8991701688525951E-2</v>
      </c>
      <c r="AH168" s="119">
        <v>8.0727939417823621E-2</v>
      </c>
      <c r="AI168" s="119">
        <v>7.4340906223347755E-2</v>
      </c>
      <c r="AJ168" s="119">
        <v>6.9927054739176431E-2</v>
      </c>
      <c r="AK168" s="119">
        <v>6.6504088243132697E-2</v>
      </c>
      <c r="AL168" s="119">
        <v>6.3603761313506382E-2</v>
      </c>
      <c r="AM168" s="119">
        <v>5.9732064069644909E-2</v>
      </c>
      <c r="AN168" s="119">
        <v>5.7665397066758349E-2</v>
      </c>
      <c r="AO168" s="119">
        <v>6.0169379968228569E-2</v>
      </c>
      <c r="AP168" s="119">
        <v>4.4157522987652333E-2</v>
      </c>
      <c r="AQ168" s="119">
        <v>4.2557336514004424E-2</v>
      </c>
      <c r="AR168" s="119">
        <v>4.0957150040356508E-2</v>
      </c>
      <c r="AS168" s="119">
        <v>3.0189028580840965E-2</v>
      </c>
      <c r="AT168" s="119">
        <v>1.7002543778158716E-2</v>
      </c>
      <c r="AU168" s="119">
        <v>1.5082750189029711E-2</v>
      </c>
      <c r="AV168" s="119">
        <v>4.2016244079799443E-3</v>
      </c>
      <c r="AW168" s="119">
        <v>2.4480760478515331E-3</v>
      </c>
      <c r="AX168" s="119">
        <v>6.076721235985219E-4</v>
      </c>
      <c r="BA168" s="70"/>
      <c r="BB168" s="70"/>
    </row>
    <row r="169" spans="6:54" x14ac:dyDescent="0.25">
      <c r="J169" s="71" t="s">
        <v>411</v>
      </c>
      <c r="Q169" s="111">
        <v>34580543</v>
      </c>
      <c r="R169" s="112"/>
      <c r="S169" s="112"/>
      <c r="T169" s="113"/>
      <c r="V169" s="114"/>
      <c r="W169" s="114"/>
      <c r="X169" s="114"/>
      <c r="Y169" s="114"/>
      <c r="Z169" s="114"/>
    </row>
    <row r="170" spans="6:54" x14ac:dyDescent="0.25">
      <c r="R170" s="72"/>
      <c r="U170" s="115"/>
    </row>
    <row r="171" spans="6:54" x14ac:dyDescent="0.25">
      <c r="F171" s="116"/>
      <c r="J171" s="73"/>
      <c r="K171" s="117"/>
      <c r="L171" s="117"/>
      <c r="M171" s="117"/>
      <c r="N171" s="117"/>
      <c r="O171" s="117"/>
      <c r="P171" s="117"/>
      <c r="Q171" s="117"/>
      <c r="U171" s="59">
        <v>3657198</v>
      </c>
      <c r="V171" s="59"/>
      <c r="W171" s="59"/>
      <c r="X171" s="59"/>
    </row>
    <row r="172" spans="6:54" x14ac:dyDescent="0.25">
      <c r="U172" s="59">
        <v>-0.17999999970197678</v>
      </c>
    </row>
  </sheetData>
  <pageMargins left="0.25" right="0.25" top="0.75" bottom="0.75" header="0.3" footer="0.3"/>
  <pageSetup paperSize="9" scale="48"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2024.gada budzeta plans_apvieno</vt:lpstr>
      <vt:lpstr>Saistibas_25042024</vt:lpstr>
      <vt:lpstr>'2024.gada budzeta plans_apvieno'!Print_Area</vt:lpstr>
      <vt:lpstr>'2024.gada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Jevgēnija Sviridenkova</cp:lastModifiedBy>
  <dcterms:created xsi:type="dcterms:W3CDTF">2024-04-18T10:55:45Z</dcterms:created>
  <dcterms:modified xsi:type="dcterms:W3CDTF">2024-04-19T07:56:25Z</dcterms:modified>
</cp:coreProperties>
</file>