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intija.Tenisa\Nextcloud\Domes lēmui un protokoli\2024\03_MARTS\28.03.2024\Dokumentu PROJEKTI\"/>
    </mc:Choice>
  </mc:AlternateContent>
  <xr:revisionPtr revIDLastSave="0" documentId="8_{375B3644-2D71-4729-9905-FD5A2A07BE89}" xr6:coauthVersionLast="47" xr6:coauthVersionMax="47" xr10:uidLastSave="{00000000-0000-0000-0000-000000000000}"/>
  <bookViews>
    <workbookView xWindow="-108" yWindow="-108" windowWidth="23256" windowHeight="12456" activeTab="4" xr2:uid="{3175D1D7-B2A0-4596-A07C-5E61807801BB}"/>
  </bookViews>
  <sheets>
    <sheet name="Pielikums Nr.1 - baseins (2)" sheetId="5" r:id="rId1"/>
    <sheet name="Baseins2024" sheetId="1" r:id="rId2"/>
    <sheet name="Aktu_zale" sheetId="6" r:id="rId3"/>
    <sheet name="Multihalle" sheetId="7" r:id="rId4"/>
    <sheet name="Tāme" sheetId="2" r:id="rId5"/>
    <sheet name="Sheet1" sheetId="4" r:id="rId6"/>
  </sheets>
  <definedNames>
    <definedName name="_xlnm._FilterDatabase" localSheetId="5" hidden="1">Sheet1!$A$1:$IV$18</definedName>
    <definedName name="_xlnm.Print_Area" localSheetId="2">Aktu_zale!$A$1:$Q$60</definedName>
    <definedName name="_xlnm.Print_Area" localSheetId="1">Baseins2024!$A$1:$Q$60</definedName>
    <definedName name="_xlnm.Print_Area" localSheetId="3">Multihalle!$A$1:$Q$60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7" l="1"/>
  <c r="C80" i="7"/>
  <c r="C77" i="7"/>
  <c r="B57" i="7"/>
  <c r="C87" i="7"/>
  <c r="C75" i="7"/>
  <c r="B32" i="7"/>
  <c r="C86" i="7"/>
  <c r="C84" i="7"/>
  <c r="C83" i="7"/>
  <c r="C81" i="7"/>
  <c r="C76" i="7" l="1"/>
  <c r="C74" i="7"/>
  <c r="C73" i="7"/>
  <c r="C71" i="7"/>
  <c r="C70" i="7"/>
  <c r="C69" i="7"/>
  <c r="C67" i="7"/>
  <c r="C66" i="7"/>
  <c r="C65" i="7"/>
  <c r="C64" i="7"/>
  <c r="B29" i="7"/>
  <c r="B29" i="6"/>
  <c r="B57" i="6" l="1"/>
  <c r="C85" i="7" l="1"/>
  <c r="B59" i="7"/>
  <c r="A32" i="7"/>
  <c r="A8" i="7"/>
  <c r="D99" i="6"/>
  <c r="D101" i="6" s="1"/>
  <c r="C87" i="6" s="1"/>
  <c r="C86" i="6"/>
  <c r="C85" i="6"/>
  <c r="C84" i="6"/>
  <c r="C83" i="6"/>
  <c r="C81" i="6"/>
  <c r="C80" i="6"/>
  <c r="C77" i="6"/>
  <c r="C76" i="6"/>
  <c r="C75" i="6"/>
  <c r="C74" i="6"/>
  <c r="C72" i="6"/>
  <c r="C71" i="6"/>
  <c r="C70" i="6"/>
  <c r="C66" i="6"/>
  <c r="C65" i="6"/>
  <c r="C64" i="6"/>
  <c r="C78" i="6" s="1"/>
  <c r="B21" i="6" s="1"/>
  <c r="A13" i="6" s="1"/>
  <c r="B59" i="6"/>
  <c r="B39" i="6"/>
  <c r="B35" i="6"/>
  <c r="B32" i="6"/>
  <c r="A32" i="6"/>
  <c r="A8" i="6"/>
  <c r="C40" i="5"/>
  <c r="D35" i="5"/>
  <c r="H33" i="6" l="1"/>
  <c r="H33" i="7"/>
  <c r="C78" i="7"/>
  <c r="B21" i="7" s="1"/>
  <c r="C88" i="6"/>
  <c r="B55" i="6" s="1"/>
  <c r="A49" i="6" s="1"/>
  <c r="B10" i="6" s="1"/>
  <c r="C88" i="7"/>
  <c r="B55" i="7" s="1"/>
  <c r="B3" i="6"/>
  <c r="L3" i="6" s="1"/>
  <c r="N3" i="6" s="1"/>
  <c r="C28" i="5"/>
  <c r="C27" i="5"/>
  <c r="C20" i="5"/>
  <c r="C26" i="5"/>
  <c r="C25" i="5"/>
  <c r="C23" i="5"/>
  <c r="C22" i="5"/>
  <c r="C21" i="5"/>
  <c r="A49" i="7" l="1"/>
  <c r="B10" i="7" s="1"/>
  <c r="A13" i="7"/>
  <c r="O3" i="6"/>
  <c r="P3" i="6" s="1"/>
  <c r="L4" i="6"/>
  <c r="N4" i="6" s="1"/>
  <c r="C24" i="5"/>
  <c r="B3" i="7" l="1"/>
  <c r="O4" i="6"/>
  <c r="P4" i="6"/>
  <c r="C19" i="5"/>
  <c r="C18" i="5" s="1"/>
  <c r="C16" i="5"/>
  <c r="C17" i="5" s="1"/>
  <c r="D31" i="4"/>
  <c r="C13" i="5" s="1"/>
  <c r="C12" i="5" s="1"/>
  <c r="C11" i="5"/>
  <c r="C6" i="5"/>
  <c r="C5" i="5"/>
  <c r="D22" i="4"/>
  <c r="C10" i="5" s="1"/>
  <c r="D21" i="4"/>
  <c r="L3" i="7" l="1"/>
  <c r="N3" i="7" s="1"/>
  <c r="C9" i="5"/>
  <c r="C15" i="5"/>
  <c r="C29" i="5" s="1"/>
  <c r="C4" i="5"/>
  <c r="O3" i="7" l="1"/>
  <c r="P3" i="7" s="1"/>
  <c r="P4" i="7" s="1"/>
  <c r="L4" i="7"/>
  <c r="N4" i="7" s="1"/>
  <c r="C8" i="5"/>
  <c r="C14" i="5" s="1"/>
  <c r="C30" i="5" s="1"/>
  <c r="C31" i="5" s="1"/>
  <c r="O4" i="7" l="1"/>
  <c r="C36" i="5"/>
  <c r="C38" i="5" s="1"/>
  <c r="C34" i="5"/>
  <c r="D36" i="5" l="1"/>
  <c r="D38" i="5"/>
  <c r="C37" i="5"/>
  <c r="C39" i="5" s="1"/>
  <c r="D40" i="5" l="1"/>
  <c r="D37" i="5"/>
  <c r="D39" i="5"/>
  <c r="B57" i="1" l="1"/>
  <c r="C80" i="1"/>
  <c r="C77" i="1"/>
  <c r="B39" i="1" l="1"/>
  <c r="A32" i="1" l="1"/>
  <c r="B29" i="1" l="1"/>
  <c r="D99" i="1"/>
  <c r="D101" i="1" s="1"/>
  <c r="C87" i="1" s="1"/>
  <c r="B59" i="1"/>
  <c r="C86" i="1"/>
  <c r="C85" i="1"/>
  <c r="C84" i="1"/>
  <c r="C83" i="1"/>
  <c r="C81" i="1"/>
  <c r="B32" i="1"/>
  <c r="C70" i="1"/>
  <c r="C88" i="1" l="1"/>
  <c r="H33" i="1"/>
  <c r="B35" i="1" l="1"/>
  <c r="C75" i="1"/>
  <c r="C65" i="1"/>
  <c r="C66" i="1"/>
  <c r="C64" i="1"/>
  <c r="C76" i="1"/>
  <c r="C74" i="1"/>
  <c r="C72" i="1"/>
  <c r="C71" i="1"/>
  <c r="B55" i="1"/>
  <c r="A49" i="1" s="1"/>
  <c r="A8" i="1"/>
  <c r="C78" i="1" l="1"/>
  <c r="B21" i="1" s="1"/>
  <c r="A13" i="1" s="1"/>
  <c r="B10" i="1"/>
  <c r="B3" i="1" l="1"/>
  <c r="L3" i="1" s="1"/>
  <c r="N3" i="1" s="1"/>
  <c r="O3" i="1" s="1"/>
  <c r="P3" i="1" s="1"/>
  <c r="C41" i="5" s="1"/>
  <c r="D41" i="5" s="1"/>
  <c r="C43" i="5" s="1"/>
  <c r="C44" i="5" s="1"/>
  <c r="L4" i="1" l="1"/>
  <c r="N4" i="1" s="1"/>
  <c r="P4" i="1"/>
  <c r="O4" i="1"/>
</calcChain>
</file>

<file path=xl/sharedStrings.xml><?xml version="1.0" encoding="utf-8"?>
<sst xmlns="http://schemas.openxmlformats.org/spreadsheetml/2006/main" count="644" uniqueCount="398">
  <si>
    <t>Nomas maksas noteikšanas metodika, ja nekustamo īpašumu iznomā publiskai personai, tās iestādei vai kapitālsabiedrībai publiskas funkcijas veikšanai</t>
  </si>
  <si>
    <t>Mēnesī</t>
  </si>
  <si>
    <t>NM =</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</si>
  <si>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</si>
  <si>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</si>
  <si>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</si>
  <si>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</si>
  <si>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</si>
  <si>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</si>
  <si>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</si>
  <si>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</si>
  <si>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</si>
  <si>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Tizm</t>
  </si>
  <si>
    <t>tā nekustamā īpašuma tiešās izmaksas gadā, kurā atrodas nomas objekts. Aprēķina saskaņā</t>
  </si>
  <si>
    <t>57. Tā nekustamā īpašuma tiešās izmaksas gadā, kurā atrodas iznomājamais objekts, aprēķina, izmantojot šādu formulu:</t>
  </si>
  <si>
    <t>Tizm – attiecīgā nekustamā īpašuma tiešās izmaksas gadā;</t>
  </si>
  <si>
    <t>A</t>
  </si>
  <si>
    <t xml:space="preserve">attiecīgā nekustamā īpašuma apsaimniekošanas pamata pakalpojumu (iekārtu, tai skaitā liftu, un inženiertīklu tehniskā apkope un remonts, ugunsdrošības sistēmu un inventāra </t>
  </si>
  <si>
    <t xml:space="preserve">uzturēšana un remonts, tehniskās apsardzes signalizācijas un videonovērošanas sistēmu apkalpošana un remonts, būves konstruktīvo elementu apsekošana un remonts, teritorijas </t>
  </si>
  <si>
    <t xml:space="preserve">uzkopšana) un apsaimniekošanas papildu pakalpojumu (fiziskā apsardze, telpu uzkopšana, piekļuves kontroles sistēmu apkalpošana, automātiski paceļamo barjeru un vārtu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</si>
  <si>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</si>
  <si>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</si>
  <si>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</si>
  <si>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</si>
  <si>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P</t>
  </si>
  <si>
    <t>to pamatlīdzekļu plānotās uzturēšanas izmaksas, tai skaitā nolietojuma summa gadā, kurus izmanto vai plānots izmantot</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</si>
  <si>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</si>
  <si>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</si>
  <si>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</si>
  <si>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Zn ( ja iznomātājs zemi nomā)</t>
  </si>
  <si>
    <t>zemes vienības nomas maksa gadā, ja iznomājamais objekts atrodas uz citam īpašniekam piederošas zemes vienības;</t>
  </si>
  <si>
    <t>C</t>
  </si>
  <si>
    <t>pēc pušu vienošanās papildus var iekļaut citas izmaksas.</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</si>
  <si>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</si>
  <si>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</si>
  <si>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</si>
  <si>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</si>
  <si>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</si>
  <si>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</si>
  <si>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</si>
  <si>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</si>
  <si>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</si>
  <si>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</si>
  <si>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</si>
  <si>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</si>
  <si>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</si>
  <si>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</si>
  <si>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</si>
  <si>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</si>
  <si>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Kpl</t>
  </si>
  <si>
    <t>to nekustamo īpašumu kopējā platība, kas ir iznomātāja pārvaldīšanā</t>
  </si>
  <si>
    <t>EKK</t>
  </si>
  <si>
    <t>ūdens</t>
  </si>
  <si>
    <t>elektrība</t>
  </si>
  <si>
    <t>L&amp;T</t>
  </si>
  <si>
    <t xml:space="preserve">Ēku, būvju un telpu remonts. </t>
  </si>
  <si>
    <t>Iekārtu, inventāra uzturēšana un remonts</t>
  </si>
  <si>
    <t>Ēku, būvju un telpu uzturēšana, EPS</t>
  </si>
  <si>
    <t>Inženiertīklu uzturēšana, remonts</t>
  </si>
  <si>
    <t>Kurināmais</t>
  </si>
  <si>
    <t>Kārtējā remonta un iestāžu un uzturēšanas materiāl</t>
  </si>
  <si>
    <t>Aiziet uz 21.rindu</t>
  </si>
  <si>
    <t>Apkopējas</t>
  </si>
  <si>
    <t>Internets</t>
  </si>
  <si>
    <t>Darbinieku veselības pārbaude</t>
  </si>
  <si>
    <t>Biroja preces</t>
  </si>
  <si>
    <t>Inventārs</t>
  </si>
  <si>
    <t>Degviela</t>
  </si>
  <si>
    <t>Aiziet uz 41.rindu</t>
  </si>
  <si>
    <t>Amortizācija/gadā</t>
  </si>
  <si>
    <t>((Tizm/NĪpl + Nizm) x IZNpl)</t>
  </si>
  <si>
    <t>Tizm = A + P + N + Zn + C +K/IznP, kur</t>
  </si>
  <si>
    <t>nekustamā īpašuma un tam piegulošās publiskā lietošanā esošās teritorijas kopšanai;</t>
  </si>
  <si>
    <t xml:space="preserve"> koeficients (īpatsvars), kas raksturo, kādu daļu no kopējiem administrācijas izdevumiem ir plānots attiecināt uz nekustamo īpašumu pārvaldīšanu (neiekļaujot nedrošo parādu izmaksas);</t>
  </si>
  <si>
    <t>\Administratīvā struktūrvienība\ Ādažu pirmsskolas izglītības iestāde ''Strautiņš''</t>
  </si>
  <si>
    <t xml:space="preserve">\Reģ.nr.\ </t>
  </si>
  <si>
    <t>\Budžeta veids\ Pamatbudžets</t>
  </si>
  <si>
    <t>\Programmas nosaukums\ Iestādes pamatdarbības nodrošināšana (1)</t>
  </si>
  <si>
    <t>\Funkcionālās kategorijas klasifikācija\ Pirmsskolas izglītība (ISCED-97 0.līmenis) (09.100)</t>
  </si>
  <si>
    <t>\Finansējuma avots\ Pašvaldības budžeta dotācija un ieņēmumi no maksas pakalpojumiem (1)</t>
  </si>
  <si>
    <t>\Uzskaites dimensija\ Ādažu PII "Strautiņš" (0910)</t>
  </si>
  <si>
    <t>Rādītāju nosaukumi</t>
  </si>
  <si>
    <t>Budžeta kategoriju kodi</t>
  </si>
  <si>
    <t>Izpilde no gada sākuma līdz 31.12</t>
  </si>
  <si>
    <t>Atlikums no gada sākuma līdz 31.12</t>
  </si>
  <si>
    <t>% no gada sākuma līdz 31.12</t>
  </si>
  <si>
    <t>EUR</t>
  </si>
  <si>
    <t>I IEŅĒMUMI - kopā</t>
  </si>
  <si>
    <t/>
  </si>
  <si>
    <t>1</t>
  </si>
  <si>
    <t>2</t>
  </si>
  <si>
    <t>3</t>
  </si>
  <si>
    <t>4</t>
  </si>
  <si>
    <t>5</t>
  </si>
  <si>
    <t>6</t>
  </si>
  <si>
    <t>Budžeta iestāžu ieņēmumi</t>
  </si>
  <si>
    <t>21.0.0.0.</t>
  </si>
  <si>
    <t xml:space="preserve">  Ieņēmumi no budžeta iestāžu sniegtajiem maksas pakalpojumiem un citi pašu ieņēmumi</t>
  </si>
  <si>
    <t xml:space="preserve">  21.3.0.0.</t>
  </si>
  <si>
    <t xml:space="preserve">    Maksa par izglītības pakalpojumiem</t>
  </si>
  <si>
    <t xml:space="preserve">    21.3.5.0.</t>
  </si>
  <si>
    <t xml:space="preserve">    Ieņēmumi no vecāku maksām</t>
  </si>
  <si>
    <t xml:space="preserve">      21.3.5.2.</t>
  </si>
  <si>
    <t xml:space="preserve">    Pārējie ieņēmumi par izglītības pakalpojumiem</t>
  </si>
  <si>
    <t xml:space="preserve">      21.3.5.9.</t>
  </si>
  <si>
    <t xml:space="preserve">    Ieņēmumi par nomu un īri</t>
  </si>
  <si>
    <t xml:space="preserve">    21.3.8.0.</t>
  </si>
  <si>
    <t xml:space="preserve">    Ieņēmumi par telpu nomu</t>
  </si>
  <si>
    <t xml:space="preserve">      21.3.8.1.</t>
  </si>
  <si>
    <t xml:space="preserve">    Ieņēmumi par pārējiem budžeta iestāžu sniegtajiem maksas pakalpojumiem</t>
  </si>
  <si>
    <t xml:space="preserve">    21.3.9.0.</t>
  </si>
  <si>
    <t xml:space="preserve">    Citi ieņēmumi par maksas pakalpojumiem</t>
  </si>
  <si>
    <t xml:space="preserve">      21.3.9.9.</t>
  </si>
  <si>
    <t>II IZDEVUMI - kopā</t>
  </si>
  <si>
    <t>Atlīdzība</t>
  </si>
  <si>
    <t>1000</t>
  </si>
  <si>
    <t xml:space="preserve">  Atalgojums</t>
  </si>
  <si>
    <t xml:space="preserve">  1100</t>
  </si>
  <si>
    <t xml:space="preserve">    Mēnešalga</t>
  </si>
  <si>
    <t xml:space="preserve">    1110</t>
  </si>
  <si>
    <t xml:space="preserve">    Pārējo darbinieku mēnešalga (darba alga)</t>
  </si>
  <si>
    <t xml:space="preserve">      1119</t>
  </si>
  <si>
    <t xml:space="preserve">    Piemaksas, prēmijas un naudas balvas</t>
  </si>
  <si>
    <t xml:space="preserve">    1140</t>
  </si>
  <si>
    <t xml:space="preserve">    Piemaksa par nakts darbu</t>
  </si>
  <si>
    <t xml:space="preserve">      1141</t>
  </si>
  <si>
    <t xml:space="preserve">    Samaksa par virsstundu darbu un darbu svētku dienās</t>
  </si>
  <si>
    <t xml:space="preserve">      1142</t>
  </si>
  <si>
    <t xml:space="preserve">    Piemaksa par personisko darba ieguldījumu un darba kvalitāti</t>
  </si>
  <si>
    <t xml:space="preserve">      1146</t>
  </si>
  <si>
    <t xml:space="preserve">    Piemaksa par papildu darbu</t>
  </si>
  <si>
    <t xml:space="preserve">      1147</t>
  </si>
  <si>
    <t xml:space="preserve">    Prēmijas un naudas balvas</t>
  </si>
  <si>
    <t xml:space="preserve">      1148</t>
  </si>
  <si>
    <t xml:space="preserve">  Darba devēja valsts sociālās apdrošināšanas obligātās iemaksas, sociāla rakstura pabalsti un kompensācijas</t>
  </si>
  <si>
    <t xml:space="preserve">  1200</t>
  </si>
  <si>
    <t xml:space="preserve">    Darba devēja valsts sociālās apdrošināšanas obligātās iemaksas</t>
  </si>
  <si>
    <t xml:space="preserve">    1210</t>
  </si>
  <si>
    <t xml:space="preserve">    Darba devēja sociāla rakstura pabalsti, kompensācijas un citi maksājumi</t>
  </si>
  <si>
    <t xml:space="preserve">    1220</t>
  </si>
  <si>
    <t xml:space="preserve">    Darba devēja pabalsti un kompensācijas, no kuriem aprēķina ienākuma nodokli, valsts sociālās apdrošināšanas obligātās iemaksas</t>
  </si>
  <si>
    <t xml:space="preserve">      1221</t>
  </si>
  <si>
    <t xml:space="preserve">    Darba devēja izdevumi veselības, dzīvības un nelaimes gadījumu apdrošināšanai</t>
  </si>
  <si>
    <t xml:space="preserve">      1227</t>
  </si>
  <si>
    <t xml:space="preserve">    Darba devēja pabalsti un kompensācijas, no kā neaprēķina ienākuma nodokli, valsts sociālās apdrošināšanas obligātās iemaksas</t>
  </si>
  <si>
    <t xml:space="preserve">      1228</t>
  </si>
  <si>
    <t>Preces un pakalpojumi</t>
  </si>
  <si>
    <t>2000</t>
  </si>
  <si>
    <t xml:space="preserve">  Pakalpojumi</t>
  </si>
  <si>
    <t xml:space="preserve">  2200</t>
  </si>
  <si>
    <t xml:space="preserve">    Pasta, telefona un citi sakaru pakalpojumi</t>
  </si>
  <si>
    <t xml:space="preserve">    2210</t>
  </si>
  <si>
    <t xml:space="preserve">    Izdevumi par komunālajiem pakalpojumiem</t>
  </si>
  <si>
    <t xml:space="preserve">    2220</t>
  </si>
  <si>
    <t xml:space="preserve">    Izdevumi par ūdeni un kanalizāciju</t>
  </si>
  <si>
    <t xml:space="preserve">      2222</t>
  </si>
  <si>
    <t xml:space="preserve">    Izdevumi par elektroenerģiju</t>
  </si>
  <si>
    <t xml:space="preserve">      2223</t>
  </si>
  <si>
    <t xml:space="preserve">    Izdevumi par atkritumu izvešanu</t>
  </si>
  <si>
    <t xml:space="preserve">      2224</t>
  </si>
  <si>
    <t xml:space="preserve">    Dažādi pakalpojumi</t>
  </si>
  <si>
    <t xml:space="preserve">    2230</t>
  </si>
  <si>
    <t xml:space="preserve">    Izdevumi par transporta pakalpojumiem</t>
  </si>
  <si>
    <t xml:space="preserve">      2233</t>
  </si>
  <si>
    <t xml:space="preserve">    Normatīvajos aktos noteiktie ceselības un fiziskās sagatavotības pārbaudes</t>
  </si>
  <si>
    <t xml:space="preserve">      2234</t>
  </si>
  <si>
    <t xml:space="preserve">    Pārējie neklasificētie izdevumi</t>
  </si>
  <si>
    <t xml:space="preserve">      2239</t>
  </si>
  <si>
    <t xml:space="preserve">    Remontdarbi un iestāžu uzturēšanas pakalpojumi (izņemot kapitālo remontu)</t>
  </si>
  <si>
    <t xml:space="preserve">    2240</t>
  </si>
  <si>
    <t xml:space="preserve">    Ēku, būvju un telpu būvdarbi</t>
  </si>
  <si>
    <t xml:space="preserve">      2241</t>
  </si>
  <si>
    <t xml:space="preserve">    Iekārtas, inventāra un aparatūras remonts, tehniskā apkalpošana</t>
  </si>
  <si>
    <t xml:space="preserve">      2243</t>
  </si>
  <si>
    <t xml:space="preserve">    Nekustamā īpašuma uzturēšana</t>
  </si>
  <si>
    <t xml:space="preserve">      2244</t>
  </si>
  <si>
    <t xml:space="preserve">    Apdrošināšanas izdevumi</t>
  </si>
  <si>
    <t xml:space="preserve">      2247</t>
  </si>
  <si>
    <t xml:space="preserve">    Pārējie remontdarbu un iestāžu uzturēšanas pakalpojumi</t>
  </si>
  <si>
    <t xml:space="preserve">      2249</t>
  </si>
  <si>
    <t xml:space="preserve">    Īre un noma</t>
  </si>
  <si>
    <t xml:space="preserve">    2260</t>
  </si>
  <si>
    <t xml:space="preserve">    Zemes noma</t>
  </si>
  <si>
    <t xml:space="preserve">      2263</t>
  </si>
  <si>
    <t xml:space="preserve">    Iekārtu, aparatūras un inventāra īre un noma</t>
  </si>
  <si>
    <t xml:space="preserve">      2264</t>
  </si>
  <si>
    <t xml:space="preserve">  Krājumi, materiāli, energoresursi, preces, biroja preces un inventārs, kurus neuzskaita kodā 5000</t>
  </si>
  <si>
    <t xml:space="preserve">  2300</t>
  </si>
  <si>
    <t xml:space="preserve">    Izdevumi par dažādām precēm un inventāru</t>
  </si>
  <si>
    <t xml:space="preserve">    2310</t>
  </si>
  <si>
    <t xml:space="preserve">    Biroja preces</t>
  </si>
  <si>
    <t xml:space="preserve">      2311</t>
  </si>
  <si>
    <t xml:space="preserve">    Inventārs</t>
  </si>
  <si>
    <t xml:space="preserve">      2312</t>
  </si>
  <si>
    <t xml:space="preserve">    Kurināmais un enerģētiskie materiāli</t>
  </si>
  <si>
    <t xml:space="preserve">    2320</t>
  </si>
  <si>
    <t xml:space="preserve">    Kurināmais</t>
  </si>
  <si>
    <t xml:space="preserve">      2321</t>
  </si>
  <si>
    <t xml:space="preserve">    Degviela</t>
  </si>
  <si>
    <t xml:space="preserve">      2322</t>
  </si>
  <si>
    <t xml:space="preserve">    Zāles, ķimikālijas, laboratorijas preces, medicīniskās ierīces, medicīniskie instrumenti, laboratorijas dzīvnieki un to uzturēšana</t>
  </si>
  <si>
    <t xml:space="preserve">    2340</t>
  </si>
  <si>
    <t xml:space="preserve">    Zāles, ķimikālijas, laboratorijas preces</t>
  </si>
  <si>
    <t xml:space="preserve">      2341</t>
  </si>
  <si>
    <t xml:space="preserve">    Iestāžu uzturēšanas materiāli un preces</t>
  </si>
  <si>
    <t xml:space="preserve">    2350</t>
  </si>
  <si>
    <t xml:space="preserve">    Mācību līdzekļi un materiāli</t>
  </si>
  <si>
    <t xml:space="preserve">    2370</t>
  </si>
  <si>
    <t xml:space="preserve">    Pārējās preces</t>
  </si>
  <si>
    <t xml:space="preserve">    2390</t>
  </si>
  <si>
    <t>Pamatkapitāla veidošana</t>
  </si>
  <si>
    <t>5000</t>
  </si>
  <si>
    <t xml:space="preserve">  Pamatlīdzekļi, ieguldījuma īpašumi un bioloģsikie aktīvi</t>
  </si>
  <si>
    <t xml:space="preserve">  5200</t>
  </si>
  <si>
    <t xml:space="preserve">    Zeme un būves</t>
  </si>
  <si>
    <t xml:space="preserve">    5210</t>
  </si>
  <si>
    <t xml:space="preserve">    Nedzīvojamās ēkas</t>
  </si>
  <si>
    <t xml:space="preserve">      5212</t>
  </si>
  <si>
    <t xml:space="preserve">    Pārējie pamatlīdzekļi</t>
  </si>
  <si>
    <t xml:space="preserve">    5230</t>
  </si>
  <si>
    <t xml:space="preserve">    Datortehnika, sakaru un cita biroja tehnika</t>
  </si>
  <si>
    <t xml:space="preserve">      5238</t>
  </si>
  <si>
    <t xml:space="preserve">    Pārējie iepriekš neklasificētie pamatlīdzekļi un ieguldījuma īpašumi</t>
  </si>
  <si>
    <t xml:space="preserve">      5239</t>
  </si>
  <si>
    <t xml:space="preserve">    Pamatlīdzekļu un ieguldījumu īpašumu izveidošana un nepabeigtā būvniecība</t>
  </si>
  <si>
    <t xml:space="preserve">    5240</t>
  </si>
  <si>
    <t>III Ieņēmumu pārsniegums (+) deficīts (-) (I-II)</t>
  </si>
  <si>
    <t>IV FINANSĒŠANA - kopā</t>
  </si>
  <si>
    <t>Naudas līdzekļi un noguldījumi (atlikuma izmaiņas)</t>
  </si>
  <si>
    <t>F20010000</t>
  </si>
  <si>
    <t xml:space="preserve">  Naudas līdzekļi</t>
  </si>
  <si>
    <t xml:space="preserve">  F21010000</t>
  </si>
  <si>
    <t xml:space="preserve">    Naudas lidzekļu atlikums perioda beigās</t>
  </si>
  <si>
    <t xml:space="preserve">    F21010000 PB</t>
  </si>
  <si>
    <t xml:space="preserve">  Pieprasījuma noguldījumi (bilances aktīvā)</t>
  </si>
  <si>
    <t xml:space="preserve">  F22010000</t>
  </si>
  <si>
    <t xml:space="preserve">    Pieprasījuma noguldījumu atlikums perioda beigās</t>
  </si>
  <si>
    <t xml:space="preserve">    F22010000 PB</t>
  </si>
  <si>
    <t>Dezinsekcija un deratizācija</t>
  </si>
  <si>
    <t>Paklāju tīrīšana</t>
  </si>
  <si>
    <t>Automātiskā ķīmijas dozācija</t>
  </si>
  <si>
    <t>Ēkas apdrošināšana</t>
  </si>
  <si>
    <t>Ar NĪ apsaimniekošanu saistītais personāls</t>
  </si>
  <si>
    <t>Dienā</t>
  </si>
  <si>
    <t>netiešās izmaksas gadā uz kvadrātmetru (aprēķina skat 49.rinda);</t>
  </si>
  <si>
    <t>Kartītes numurs</t>
  </si>
  <si>
    <t>Kartītes nosaukums</t>
  </si>
  <si>
    <t>Sāk. uzskaites vērtība uz perioda sākumu</t>
  </si>
  <si>
    <t>PL-02500</t>
  </si>
  <si>
    <t>Kases aparāts CHD 3050 šasijas Nr.054070200</t>
  </si>
  <si>
    <t>Nolietojums gadā</t>
  </si>
  <si>
    <t>PL-03751</t>
  </si>
  <si>
    <t>Lapu pūtējs 350BT</t>
  </si>
  <si>
    <t>PL-03829</t>
  </si>
  <si>
    <t>Ugunsaizsardzības sistēma Ādažu PII</t>
  </si>
  <si>
    <t>PL-04212</t>
  </si>
  <si>
    <t>Ugunsgrēka un trauksmes signalizācijas sistēma</t>
  </si>
  <si>
    <t>PL-06381</t>
  </si>
  <si>
    <t>Traktors ESTATE 598 W STIGA</t>
  </si>
  <si>
    <t>PP-6005</t>
  </si>
  <si>
    <t>Sūknis Wild Top-S (PII katlu māja)</t>
  </si>
  <si>
    <t>Tizm nolietojums</t>
  </si>
  <si>
    <t>NTizm nolietojums</t>
  </si>
  <si>
    <t>Stundā (pieejamais laiks dienā 3h)</t>
  </si>
  <si>
    <t>Ādažu PII "Strautiņš"</t>
  </si>
  <si>
    <t>Protokola veidošanas laiks 15.01.2024. 14:04:04</t>
  </si>
  <si>
    <t>TĀMES IZPILDE NO 01.01.2023 LĪDZ 31.12.2023</t>
  </si>
  <si>
    <t>Apstiprināts 2023. gadam uz 31.12</t>
  </si>
  <si>
    <t>PĀRĒJIE NENODOKĻU IEŅĒMUMI</t>
  </si>
  <si>
    <t>12.0.0.0.</t>
  </si>
  <si>
    <t xml:space="preserve">  Dažādi nenodokļu ieņēmumi</t>
  </si>
  <si>
    <t xml:space="preserve">  12.3.0.0.</t>
  </si>
  <si>
    <t xml:space="preserve">    Citi dažādi nenodokļu ieņēmumi</t>
  </si>
  <si>
    <t xml:space="preserve">    12.3.9.0.</t>
  </si>
  <si>
    <t xml:space="preserve">    Līgumsodi un procentu maksājumi par saistību neizpildi</t>
  </si>
  <si>
    <t xml:space="preserve">      12.3.9.5.</t>
  </si>
  <si>
    <t xml:space="preserve">    Citi ieņēmumi - baseins, florbols, futbols, džudo, basketbols, volejbols u.c.</t>
  </si>
  <si>
    <t xml:space="preserve">        21.3.9.9.2.</t>
  </si>
  <si>
    <t xml:space="preserve">    Citi ieņēmumi - pārējie</t>
  </si>
  <si>
    <t xml:space="preserve">        21.3.9.9.4.</t>
  </si>
  <si>
    <t xml:space="preserve">    Atalgojums fiziskajām personām uz tiesiskās attiecības regulējošu dokumentu pamata (atalgojums par  autoratlīdzību un uzņēmuma līgumu iestādes darbiniekiem vai citām fiziskajām personām)</t>
  </si>
  <si>
    <t xml:space="preserve">    1150</t>
  </si>
  <si>
    <t>Pielikums Nr.1</t>
  </si>
  <si>
    <t>Izdevumu klasifikācijas kods</t>
  </si>
  <si>
    <t>Rādītājs</t>
  </si>
  <si>
    <t>Izmaksu apjoms noteiktā laikposmā viena maksas pakalpojuma veida nodrošināšanai, EUR</t>
  </si>
  <si>
    <t>Tiešās izmaksas (T izm)</t>
  </si>
  <si>
    <t>Atalgojums no pašvaldības budžeta līdzekļiem</t>
  </si>
  <si>
    <t>Darba devēja soc.apdrošināšanas iemaksas</t>
  </si>
  <si>
    <t>Pakalpojumi, t.sk.:</t>
  </si>
  <si>
    <t xml:space="preserve">    Remontdarbi un telpu uzturēšana</t>
  </si>
  <si>
    <t>Izdevumi baseinu,analīzes</t>
  </si>
  <si>
    <t>Materiāli</t>
  </si>
  <si>
    <t xml:space="preserve">Biroja preces un inventārs </t>
  </si>
  <si>
    <t>Tiešās izmaksas kopā</t>
  </si>
  <si>
    <t>Iestādes vadītājs (10%)</t>
  </si>
  <si>
    <t>Pasta, telefona un citi sakaru pakalpojumi</t>
  </si>
  <si>
    <t>Izdevumi par komunālajiem pakalpojumiem</t>
  </si>
  <si>
    <t>Iestādes administratīvie izdevumi un ar iestādes darbības nodrošināšanu saistītie izdevumi</t>
  </si>
  <si>
    <t>Remonta darbi un iestāžu uzturēšanas pakalpojumi</t>
  </si>
  <si>
    <t>Kurināmais un enerģētiskie materiāli</t>
  </si>
  <si>
    <t>Zāles, ķimikālijas labor. preces un to uzturēšana (t.sk.dezinfekcijas līdz.)</t>
  </si>
  <si>
    <t xml:space="preserve">    Kārtējā remonta un iestāžu uzturēšanas materiāli</t>
  </si>
  <si>
    <t>Netiešās izmaksas (Nizm ) (4%(202 kvm) izdevumi no ĀPII izmaksām)</t>
  </si>
  <si>
    <t>Kopā tiešās un netiešās izmaksas</t>
  </si>
  <si>
    <t>Pakalpojuma izcenojums</t>
  </si>
  <si>
    <t>Prognozētais maksimālais maksas apmeklējumu skaits (gadā):</t>
  </si>
  <si>
    <t>Kopējās  izmaksas 1 apmeklējumam (gadā), t.sk.:</t>
  </si>
  <si>
    <t>Prognozētie ieņēmumi gadā (euro)</t>
  </si>
  <si>
    <t>Peļņa/(zaudējumi)</t>
  </si>
  <si>
    <t>Baseina administratore un tehniskais darbinieks</t>
  </si>
  <si>
    <t>Dežurants</t>
  </si>
  <si>
    <t>Datums</t>
  </si>
  <si>
    <t>Dok.num.</t>
  </si>
  <si>
    <t>Summa</t>
  </si>
  <si>
    <t>Maksājuma summa</t>
  </si>
  <si>
    <t>Apraksts</t>
  </si>
  <si>
    <t>Grāmatošanas datums</t>
  </si>
  <si>
    <t>Grāmatojis</t>
  </si>
  <si>
    <t>2239</t>
  </si>
  <si>
    <t>605</t>
  </si>
  <si>
    <t>SIA SPA SERVISA CENTRS (Dok.Nr.: SSC 003-2023 09.01.2023  Peldbaseina servisa apkalpošana) Peldbaseina servisa apkalpošana</t>
  </si>
  <si>
    <t>Jolanta Ekšteina</t>
  </si>
  <si>
    <t>1321</t>
  </si>
  <si>
    <t>Profilakse SIA (Dok.Nr.: PROF/10372 25.01.2023  Dezinsekcija un deratizācija) Dezinsekcija un deratizācija</t>
  </si>
  <si>
    <t>Dina Pumpure</t>
  </si>
  <si>
    <t>2318</t>
  </si>
  <si>
    <t>SIA SPA SERVISA CENTRS (Dok.Nr.: SSC 016R-2023 08.02.2023  Peldbaseina servisa apkalpošana) Peldbaseina servisa apkalpošana</t>
  </si>
  <si>
    <t>2744</t>
  </si>
  <si>
    <t>Profilakse SIA (Dok.Nr.: PROF/10523 23.02.2023  Dezinsekcija un deratizācija) Dezinsekcija un deratizācija</t>
  </si>
  <si>
    <t>3539</t>
  </si>
  <si>
    <t>SIA SPA SERVISA CENTRS (Dok.Nr.: SSC 031R-2023 03.03.2023  Peldbaseina servisa apkalpošana,SSC 033R-2023 03.03.2023  Peldbaseina servisa apkalpošana,SSC 085-2023 03.03.2023  Ķimikālijas baseinam) Peldbaseina servisa apkalpošana</t>
  </si>
  <si>
    <t>3880</t>
  </si>
  <si>
    <t>Profilakse SIA (Dok.Nr.: PROF/10615 21.03.2023  Dezinsekcija un deratizācija) Dezinsekcija un deratizācija</t>
  </si>
  <si>
    <t>5061</t>
  </si>
  <si>
    <t>SIA SPA SERVISA CENTRS (Dok.Nr.: SSC 056R-2023 03.04.2023  Peldbaseina servisa apkalpošana) Peldbaseina servisa apkalpošana</t>
  </si>
  <si>
    <t>5537</t>
  </si>
  <si>
    <t>Profilakse SIA (Dok.Nr.: PROF/10756 21.04.2023  Dezinsekcija un deratizācija) Dezinsekcija un deratizācija</t>
  </si>
  <si>
    <t>6233</t>
  </si>
  <si>
    <t>SIA SPA SERVISA CENTRS (Dok.Nr.: SSC 134-2023 18.04.2023  Ķimikālijas baseinam) Ķimikālijas baseinam</t>
  </si>
  <si>
    <t>6942</t>
  </si>
  <si>
    <t>Profilakse SIA (Dok.Nr.: PROF/10878 24.05.2023  Dezinsekcija un deratizācija) Dezinsekcija un deratizācija</t>
  </si>
  <si>
    <t>8289</t>
  </si>
  <si>
    <t>SIA SPA SERVISA CENTRS (Dok.Nr.: SSC 082R-2023 02.06.2023  Peldbaseina servisa apkalpošana) Peldbaseina servisa apkalpošana</t>
  </si>
  <si>
    <t>9096</t>
  </si>
  <si>
    <t>Profilakse SIA (Dok.Nr.: PROF/11084 29.06.2023  Dezinsekcija un deratizācija) Dezinsekcija un deratizācija</t>
  </si>
  <si>
    <t>9926</t>
  </si>
  <si>
    <t>Profilakse SIA (Dok.Nr.: PROF/11213 26.07.2023  Dezinsekcija un deratizācija) Dezinsekcija un deratizācija</t>
  </si>
  <si>
    <t>11055</t>
  </si>
  <si>
    <t>Profilakse SIA (Dok.Nr.: PROF/11350 18.08.2023  Dezinsekcija un deratizācija) Dezinsekcija un deratizācija</t>
  </si>
  <si>
    <t>12451</t>
  </si>
  <si>
    <t>Profilakse SIA (Dok.Nr.: PROF/11476 06.09.2023  Dezinsekcijas darbi. Akts Nr.14253) Dezinsekcijas darbi. Akts Nr.14253</t>
  </si>
  <si>
    <t>12964</t>
  </si>
  <si>
    <t>Profilakse SIA (Dok.Nr.: PROF/11529 21.09.2023  Dezinsekcijas darbi) Dezinsekcijas darbi</t>
  </si>
  <si>
    <t>17071</t>
  </si>
  <si>
    <t>SIA SPA SERVISA CENTRS (Dok.Nr.: SSC 374-2023 11.11.2023  Peldbaseina servisa apkalpošana) Peldbaseina servisa apkalpošana</t>
  </si>
  <si>
    <t>Kristīne Punenova</t>
  </si>
  <si>
    <t>SIA SPA SERVISA CENTRS Peldbaseina servisa apkalpošana</t>
  </si>
  <si>
    <t xml:space="preserve">Profilakse SIA </t>
  </si>
  <si>
    <t>Pārtikas drošības, dzīvnieku veselības un vides zinātniskais institūts BIOR</t>
  </si>
  <si>
    <t>2312</t>
  </si>
  <si>
    <t>3915</t>
  </si>
  <si>
    <t>SIA Pigu Latvia (Dok.Nr.: 20349048 22.03.2023  Matu fēna Philips BHD341/00 un kājslauķa iegāde) Matu fēna Philips BHD341/00 un kājslauķa iegāde</t>
  </si>
  <si>
    <t>12763</t>
  </si>
  <si>
    <t>LATSWIM SIA (Dok.Nr.: 1101 13.09.2023  Peldbaseina solu un jostu iegāde) Peldbaseina solu un jostu iegāde</t>
  </si>
  <si>
    <t>14478</t>
  </si>
  <si>
    <t>SIA Pigu Latvia (Dok.Nr.: 23872958 04.10.2023  Matu fēna iegāde) Matu fēna iegāde</t>
  </si>
  <si>
    <t>15225</t>
  </si>
  <si>
    <t>VALSTS KASE PVN septembris</t>
  </si>
  <si>
    <t>17531</t>
  </si>
  <si>
    <t>BCC SIA (Dok.Nr.: 199-23 13.11.2023  Paklāja iegāde) Paklāja iegāde</t>
  </si>
  <si>
    <t>Baseina nodarbība bērnudārza audzēkņiem (40 min) /netiek aplikts ar PVN/</t>
  </si>
  <si>
    <t>Baseina apmeklējums ārpus nodarbībām bērnam (60 min) /bez PVN/</t>
  </si>
  <si>
    <t>Baseina apmeklējums pieaugušajam (60 min) /bez PVN/</t>
  </si>
  <si>
    <t>Baseina apmeklējums pensionāriem (60 min) /bez PVN/</t>
  </si>
  <si>
    <t xml:space="preserve">1 pieaugušais un 1 bērns līdz 12 gadu vecumam (60 min) /bez PVN/ </t>
  </si>
  <si>
    <t xml:space="preserve">2 pieaugušie un 1 vai 2 bērni (60 min) /bez PVN/ </t>
  </si>
  <si>
    <t xml:space="preserve">Par katru nākamo bērnu (60 min) /bez PVN/ </t>
  </si>
  <si>
    <t>Baseina noma peldētapmācības nodarbībām (660 min)</t>
  </si>
  <si>
    <t>Ar PVN</t>
  </si>
  <si>
    <r>
      <t>Stundā</t>
    </r>
    <r>
      <rPr>
        <b/>
        <sz val="11"/>
        <color theme="0"/>
        <rFont val="Calibri"/>
        <family val="2"/>
        <charset val="186"/>
      </rPr>
      <t xml:space="preserve"> (pieejamais laiks dienā 3h)</t>
    </r>
  </si>
  <si>
    <t>Ūdens (5 %)</t>
  </si>
  <si>
    <t>Elektrība (10 %)</t>
  </si>
  <si>
    <t>Atkritumu izvešana (10 %)</t>
  </si>
  <si>
    <t>Deratizācija utt. (10 %)</t>
  </si>
  <si>
    <t xml:space="preserve">Iekārtu, inventāra uzturēšana un remonts (neskaitot baseina apkalpošanu) (10 %) </t>
  </si>
  <si>
    <t>Ēku, būvju un telpu uzturēšana (10%)</t>
  </si>
  <si>
    <t>Inženiertīklu uzturēšana, remonts (10 %)</t>
  </si>
  <si>
    <t>Iekārtu un inventāra īre un noma (10 %)</t>
  </si>
  <si>
    <t>Kurināmais (10 %)</t>
  </si>
  <si>
    <t>Kārtējā remonta un iestāžu un uzturēšanas materiāli (10 %)</t>
  </si>
  <si>
    <t>Ar NĪ apsaimniekošanu saistītais personāls (10%)</t>
  </si>
  <si>
    <t>Internets (10%)</t>
  </si>
  <si>
    <t>Biroja preces  (10%)</t>
  </si>
  <si>
    <t>Inventārs  (10%)</t>
  </si>
  <si>
    <t>Stundā</t>
  </si>
  <si>
    <t>Iestādes vadītājas p.i.</t>
  </si>
  <si>
    <t>L.Cintiņa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</si>
</sst>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_-;\-* #,##0.00\ _€_-;_-* &quot;-&quot;??\ _€_-;_-@_-"/>
  </numFmts>
  <fonts count="44">
    <font>
      <sz val="11"/>
      <color indexed="8"/>
      <name val="Calibri"/>
      <family val="2"/>
      <charset val="186"/>
    </font>
    <font>
      <sz val="11"/>
      <color indexed="8"/>
      <name val="Calibri"/>
      <family val="2"/>
      <charset val="186"/>
    </font>
    <font>
      <b/>
      <sz val="10"/>
      <color indexed="8"/>
      <name val="Verdana"/>
      <family val="2"/>
      <charset val="186"/>
    </font>
    <font>
      <b/>
      <sz val="11"/>
      <color indexed="8"/>
      <name val="Calibri"/>
      <family val="2"/>
      <charset val="186"/>
    </font>
    <font>
      <b/>
      <sz val="11"/>
      <color theme="3"/>
      <name val="Calibri"/>
      <family val="2"/>
      <charset val="186"/>
    </font>
    <font>
      <sz val="9"/>
      <color indexed="8"/>
      <name val="Verdana"/>
      <family val="2"/>
      <charset val="186"/>
    </font>
    <font>
      <sz val="11"/>
      <color theme="3"/>
      <name val="Calibri"/>
      <family val="2"/>
      <charset val="186"/>
    </font>
    <font>
      <sz val="11"/>
      <name val="Calibri"/>
      <family val="2"/>
      <charset val="186"/>
    </font>
    <font>
      <sz val="10"/>
      <color indexed="8"/>
      <name val="Calibri"/>
      <family val="2"/>
      <charset val="186"/>
    </font>
    <font>
      <sz val="10"/>
      <name val="Arial"/>
      <family val="2"/>
      <charset val="186"/>
    </font>
    <font>
      <b/>
      <sz val="10"/>
      <name val="Arial"/>
      <family val="2"/>
      <charset val="186"/>
    </font>
    <font>
      <b/>
      <sz val="11"/>
      <color indexed="8"/>
      <name val="Calibri"/>
      <family val="2"/>
    </font>
    <font>
      <sz val="8"/>
      <color indexed="8"/>
      <name val="Times New Roman"/>
      <family val="1"/>
      <charset val="186"/>
    </font>
    <font>
      <b/>
      <sz val="9"/>
      <color indexed="8"/>
      <name val="Times New Roman"/>
      <family val="1"/>
      <charset val="186"/>
    </font>
    <font>
      <b/>
      <sz val="8"/>
      <color indexed="8"/>
      <name val="Times New Roman"/>
      <family val="1"/>
      <charset val="186"/>
    </font>
    <font>
      <b/>
      <sz val="10"/>
      <color indexed="8"/>
      <name val="Times New Roman"/>
      <family val="1"/>
      <charset val="186"/>
    </font>
    <font>
      <sz val="6"/>
      <color indexed="8"/>
      <name val="f6"/>
    </font>
    <font>
      <i/>
      <sz val="11"/>
      <color indexed="8"/>
      <name val="Calibri"/>
      <family val="2"/>
      <charset val="186"/>
    </font>
    <font>
      <sz val="10"/>
      <name val="Calibri"/>
      <family val="2"/>
      <charset val="186"/>
    </font>
    <font>
      <b/>
      <sz val="11"/>
      <color theme="1"/>
      <name val="Calibri"/>
      <family val="2"/>
      <charset val="186"/>
      <scheme val="minor"/>
    </font>
    <font>
      <b/>
      <sz val="14"/>
      <color indexed="8"/>
      <name val="Calibri"/>
      <family val="2"/>
      <charset val="186"/>
    </font>
    <font>
      <sz val="8"/>
      <color indexed="8"/>
      <name val="Times New Roman"/>
      <family val="1"/>
      <charset val="186"/>
    </font>
    <font>
      <b/>
      <sz val="11"/>
      <color indexed="8"/>
      <name val="Times New Roman"/>
      <family val="1"/>
      <charset val="186"/>
    </font>
    <font>
      <b/>
      <sz val="9"/>
      <color indexed="8"/>
      <name val="Times New Roman"/>
      <family val="1"/>
      <charset val="186"/>
    </font>
    <font>
      <sz val="9"/>
      <color indexed="8"/>
      <name val="Times New Roman"/>
      <family val="1"/>
      <charset val="186"/>
    </font>
    <font>
      <b/>
      <sz val="6"/>
      <color indexed="8"/>
      <name val="Times New Roman"/>
      <family val="1"/>
      <charset val="186"/>
    </font>
    <font>
      <b/>
      <sz val="8"/>
      <color indexed="8"/>
      <name val="Times New Roman"/>
      <family val="1"/>
      <charset val="186"/>
    </font>
    <font>
      <b/>
      <sz val="10"/>
      <color indexed="8"/>
      <name val="Times New Roman"/>
      <family val="1"/>
      <charset val="186"/>
    </font>
    <font>
      <sz val="20"/>
      <color theme="1"/>
      <name val="Calibri"/>
      <family val="2"/>
      <charset val="186"/>
      <scheme val="minor"/>
    </font>
    <font>
      <sz val="10"/>
      <name val="Times New Roman"/>
      <family val="1"/>
      <charset val="186"/>
    </font>
    <font>
      <b/>
      <sz val="12"/>
      <name val="Times New Roman"/>
      <family val="1"/>
      <charset val="186"/>
    </font>
    <font>
      <sz val="12"/>
      <name val="Times New Roman"/>
      <family val="1"/>
      <charset val="186"/>
    </font>
    <font>
      <i/>
      <sz val="12"/>
      <name val="Times New Roman"/>
      <family val="1"/>
      <charset val="186"/>
    </font>
    <font>
      <sz val="12"/>
      <color indexed="8"/>
      <name val="Times New Roman"/>
      <family val="1"/>
      <charset val="186"/>
    </font>
    <font>
      <i/>
      <sz val="12"/>
      <color theme="3"/>
      <name val="Times New Roman"/>
      <family val="1"/>
      <charset val="186"/>
    </font>
    <font>
      <sz val="11"/>
      <color rgb="FFFF0000"/>
      <name val="Calibri"/>
      <family val="2"/>
      <charset val="186"/>
    </font>
    <font>
      <sz val="14"/>
      <name val="Times New Roman"/>
      <family val="1"/>
      <charset val="186"/>
    </font>
    <font>
      <b/>
      <sz val="14"/>
      <name val="Times New Roman"/>
      <family val="1"/>
      <charset val="186"/>
    </font>
    <font>
      <sz val="9"/>
      <color indexed="63"/>
      <name val="Times New Roman"/>
      <family val="1"/>
      <charset val="186"/>
    </font>
    <font>
      <sz val="9"/>
      <name val="Times New Roman"/>
      <family val="1"/>
      <charset val="186"/>
    </font>
    <font>
      <sz val="11"/>
      <color rgb="FFFF0000"/>
      <name val="Calibri"/>
      <family val="2"/>
      <charset val="186"/>
      <scheme val="minor"/>
    </font>
    <font>
      <b/>
      <sz val="11"/>
      <color theme="0"/>
      <name val="Calibri"/>
      <family val="2"/>
      <charset val="186"/>
    </font>
    <font>
      <sz val="11"/>
      <name val="Calibri"/>
      <family val="2"/>
      <charset val="186"/>
      <scheme val="minor"/>
    </font>
    <font>
      <sz val="11"/>
      <color indexed="8"/>
      <name val="Calibri"/>
      <family val="2"/>
      <charset val="186"/>
      <scheme val="minor"/>
    </font>
  </fonts>
  <fills count="1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808080"/>
      </patternFill>
    </fill>
    <fill>
      <patternFill patternType="solid">
        <fgColor rgb="FFFFFFFF"/>
      </patternFill>
    </fill>
    <fill>
      <patternFill patternType="solid">
        <fgColor rgb="FFFFFF00"/>
        <bgColor indexed="64"/>
      </patternFill>
    </fill>
  </fills>
  <borders count="14">
    <border>
      <left/>
      <right/>
      <top/>
      <bottom/>
      <diagonal/>
    </border>
    <border>
      <left/>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8" fillId="0" borderId="0"/>
    <xf numFmtId="0" fontId="29" fillId="0" borderId="0"/>
    <xf numFmtId="43" fontId="1" fillId="0" borderId="0" applyFont="0" applyFill="0" applyBorder="0" applyAlignment="0" applyProtection="0"/>
    <xf numFmtId="0" fontId="9" fillId="0" borderId="0"/>
  </cellStyleXfs>
  <cellXfs count="172">
    <xf numFmtId="0" fontId="0" fillId="0" borderId="0" xfId="0"/>
    <xf numFmtId="0" fontId="2" fillId="0" borderId="0" xfId="0" applyFont="1"/>
    <xf numFmtId="0" fontId="3" fillId="0" borderId="0" xfId="0" applyFont="1"/>
    <xf numFmtId="0" fontId="4" fillId="0" borderId="0" xfId="0" applyFont="1"/>
    <xf numFmtId="164" fontId="1" fillId="2" borderId="0" xfId="1" applyNumberFormat="1" applyFont="1" applyFill="1"/>
    <xf numFmtId="0" fontId="5" fillId="0" borderId="0" xfId="0" applyFont="1" applyAlignment="1">
      <alignment horizontal="right" vertical="center" indent="1"/>
    </xf>
    <xf numFmtId="0" fontId="5" fillId="0" borderId="1" xfId="0" applyFont="1" applyBorder="1" applyAlignment="1">
      <alignment horizontal="left" vertical="center"/>
    </xf>
    <xf numFmtId="0" fontId="5" fillId="0" borderId="0" xfId="0" applyFont="1" applyAlignment="1">
      <alignment horizontal="left" vertical="center" indent="1"/>
    </xf>
    <xf numFmtId="0" fontId="0" fillId="0" borderId="0" xfId="0" applyAlignment="1">
      <alignment horizontal="right"/>
    </xf>
    <xf numFmtId="43" fontId="1" fillId="3" borderId="0" xfId="1" applyFont="1" applyFill="1"/>
    <xf numFmtId="43" fontId="1" fillId="0" borderId="0" xfId="1" applyFont="1"/>
    <xf numFmtId="43" fontId="6" fillId="0" borderId="0" xfId="1" applyFont="1"/>
    <xf numFmtId="43" fontId="0" fillId="0" borderId="0" xfId="0" applyNumberFormat="1"/>
    <xf numFmtId="0" fontId="6" fillId="0" borderId="0" xfId="0" applyFont="1"/>
    <xf numFmtId="43" fontId="0" fillId="3" borderId="0" xfId="0" applyNumberFormat="1" applyFill="1"/>
    <xf numFmtId="164" fontId="7" fillId="4" borderId="0" xfId="1" applyNumberFormat="1" applyFont="1" applyFill="1"/>
    <xf numFmtId="0" fontId="5" fillId="0" borderId="0" xfId="0" applyFont="1" applyAlignment="1">
      <alignment vertical="center"/>
    </xf>
    <xf numFmtId="164" fontId="1" fillId="0" borderId="0" xfId="1" applyNumberFormat="1" applyFont="1"/>
    <xf numFmtId="9" fontId="1" fillId="0" borderId="0" xfId="2" applyFont="1"/>
    <xf numFmtId="164" fontId="1" fillId="4" borderId="0" xfId="1" applyNumberFormat="1" applyFont="1" applyFill="1"/>
    <xf numFmtId="0" fontId="5" fillId="0" borderId="0" xfId="0" applyFont="1"/>
    <xf numFmtId="0" fontId="0" fillId="0" borderId="0" xfId="0" applyAlignment="1">
      <alignment wrapText="1"/>
    </xf>
    <xf numFmtId="0" fontId="0" fillId="0" borderId="0" xfId="0" applyAlignment="1">
      <alignment vertical="center"/>
    </xf>
    <xf numFmtId="0" fontId="5" fillId="0" borderId="0" xfId="0" applyFont="1" applyAlignment="1">
      <alignment horizontal="left" vertical="center"/>
    </xf>
    <xf numFmtId="0" fontId="0" fillId="0" borderId="0" xfId="0" applyAlignment="1">
      <alignment horizontal="left" wrapText="1"/>
    </xf>
    <xf numFmtId="43" fontId="0" fillId="4" borderId="0" xfId="1" applyFont="1" applyFill="1"/>
    <xf numFmtId="0" fontId="5" fillId="0" borderId="0" xfId="0" applyFont="1" applyAlignment="1">
      <alignment horizontal="left" vertical="center" wrapText="1"/>
    </xf>
    <xf numFmtId="164" fontId="0" fillId="4" borderId="0" xfId="1" applyNumberFormat="1" applyFont="1" applyFill="1"/>
    <xf numFmtId="0" fontId="8" fillId="0" borderId="0" xfId="0" applyFont="1"/>
    <xf numFmtId="0" fontId="3" fillId="0" borderId="0" xfId="0" applyFont="1" applyAlignment="1">
      <alignment horizontal="right"/>
    </xf>
    <xf numFmtId="0" fontId="9" fillId="0" borderId="0" xfId="0" applyFont="1" applyAlignment="1">
      <alignment horizontal="left"/>
    </xf>
    <xf numFmtId="0" fontId="9" fillId="0" borderId="0" xfId="0" applyFont="1"/>
    <xf numFmtId="0" fontId="8" fillId="0" borderId="0" xfId="0" applyFont="1" applyAlignment="1">
      <alignment horizontal="left"/>
    </xf>
    <xf numFmtId="164" fontId="9" fillId="0" borderId="0" xfId="1" applyNumberFormat="1" applyFont="1" applyAlignment="1">
      <alignment horizontal="left"/>
    </xf>
    <xf numFmtId="0" fontId="0" fillId="5" borderId="0" xfId="0" applyFill="1"/>
    <xf numFmtId="164" fontId="9" fillId="5" borderId="0" xfId="1" applyNumberFormat="1" applyFont="1" applyFill="1" applyAlignment="1">
      <alignment horizontal="left"/>
    </xf>
    <xf numFmtId="0" fontId="8" fillId="5" borderId="0" xfId="0" applyFont="1" applyFill="1"/>
    <xf numFmtId="0" fontId="0" fillId="6" borderId="0" xfId="0" applyFill="1"/>
    <xf numFmtId="164" fontId="10" fillId="6" borderId="0" xfId="1" applyNumberFormat="1" applyFont="1" applyFill="1" applyAlignment="1">
      <alignment horizontal="left"/>
    </xf>
    <xf numFmtId="0" fontId="0" fillId="0" borderId="0" xfId="0" applyAlignment="1">
      <alignment horizontal="left"/>
    </xf>
    <xf numFmtId="164" fontId="7" fillId="0" borderId="0" xfId="1" applyNumberFormat="1" applyFont="1" applyAlignment="1">
      <alignment horizontal="left"/>
    </xf>
    <xf numFmtId="0" fontId="11" fillId="0" borderId="0" xfId="0" applyFont="1"/>
    <xf numFmtId="0" fontId="5" fillId="0" borderId="2" xfId="0" applyFont="1" applyBorder="1" applyAlignment="1">
      <alignment horizontal="center" vertical="center"/>
    </xf>
    <xf numFmtId="164" fontId="1" fillId="0" borderId="0" xfId="1" applyNumberFormat="1" applyFont="1" applyFill="1"/>
    <xf numFmtId="0" fontId="14" fillId="0" borderId="3" xfId="0" applyFont="1" applyBorder="1" applyAlignment="1">
      <alignment horizontal="center" wrapText="1"/>
    </xf>
    <xf numFmtId="0" fontId="14" fillId="0" borderId="3" xfId="0" applyFont="1" applyBorder="1" applyAlignment="1">
      <alignment horizontal="left" wrapText="1"/>
    </xf>
    <xf numFmtId="2" fontId="15" fillId="0" borderId="3" xfId="0" applyNumberFormat="1" applyFont="1" applyBorder="1" applyAlignment="1">
      <alignment horizontal="right" wrapText="1"/>
    </xf>
    <xf numFmtId="0" fontId="16" fillId="0" borderId="3" xfId="0" applyFont="1" applyBorder="1" applyAlignment="1">
      <alignment horizontal="center" wrapText="1"/>
    </xf>
    <xf numFmtId="0" fontId="13" fillId="0" borderId="3" xfId="0" applyFont="1" applyBorder="1" applyAlignment="1">
      <alignment horizontal="left" wrapText="1"/>
    </xf>
    <xf numFmtId="2" fontId="13" fillId="0" borderId="3" xfId="0" applyNumberFormat="1" applyFont="1" applyBorder="1" applyAlignment="1">
      <alignment horizontal="right" wrapText="1"/>
    </xf>
    <xf numFmtId="2" fontId="14" fillId="0" borderId="3" xfId="0" applyNumberFormat="1" applyFont="1" applyBorder="1" applyAlignment="1">
      <alignment horizontal="right" wrapText="1"/>
    </xf>
    <xf numFmtId="0" fontId="12" fillId="0" borderId="3" xfId="0" applyFont="1" applyBorder="1" applyAlignment="1">
      <alignment horizontal="left" wrapText="1"/>
    </xf>
    <xf numFmtId="2" fontId="12" fillId="0" borderId="3" xfId="0" applyNumberFormat="1" applyFont="1" applyBorder="1" applyAlignment="1">
      <alignment horizontal="right" wrapText="1"/>
    </xf>
    <xf numFmtId="164" fontId="0" fillId="0" borderId="0" xfId="1" applyNumberFormat="1" applyFont="1"/>
    <xf numFmtId="164" fontId="15" fillId="0" borderId="3" xfId="1" applyNumberFormat="1" applyFont="1" applyBorder="1" applyAlignment="1">
      <alignment horizontal="right" wrapText="1"/>
    </xf>
    <xf numFmtId="164" fontId="16" fillId="0" borderId="3" xfId="1" applyNumberFormat="1" applyFont="1" applyBorder="1" applyAlignment="1">
      <alignment horizontal="center" wrapText="1"/>
    </xf>
    <xf numFmtId="164" fontId="13" fillId="0" borderId="3" xfId="1" applyNumberFormat="1" applyFont="1" applyBorder="1" applyAlignment="1">
      <alignment horizontal="right" wrapText="1"/>
    </xf>
    <xf numFmtId="164" fontId="14" fillId="0" borderId="3" xfId="1" applyNumberFormat="1" applyFont="1" applyBorder="1" applyAlignment="1">
      <alignment horizontal="right" wrapText="1"/>
    </xf>
    <xf numFmtId="164" fontId="12" fillId="0" borderId="3" xfId="1" applyNumberFormat="1" applyFont="1" applyBorder="1" applyAlignment="1">
      <alignment horizontal="right" wrapText="1"/>
    </xf>
    <xf numFmtId="0" fontId="7" fillId="0" borderId="0" xfId="0" applyFont="1"/>
    <xf numFmtId="164" fontId="12" fillId="7" borderId="3" xfId="1" applyNumberFormat="1" applyFont="1" applyFill="1" applyBorder="1" applyAlignment="1">
      <alignment horizontal="right" wrapText="1"/>
    </xf>
    <xf numFmtId="164" fontId="12" fillId="8" borderId="3" xfId="1" applyNumberFormat="1" applyFont="1" applyFill="1" applyBorder="1" applyAlignment="1">
      <alignment horizontal="right" wrapText="1"/>
    </xf>
    <xf numFmtId="9" fontId="17" fillId="0" borderId="0" xfId="2" applyFont="1"/>
    <xf numFmtId="43" fontId="1" fillId="4" borderId="0" xfId="1" applyFont="1" applyFill="1"/>
    <xf numFmtId="0" fontId="18" fillId="0" borderId="0" xfId="0" applyFont="1" applyAlignment="1">
      <alignment horizontal="left"/>
    </xf>
    <xf numFmtId="49" fontId="0" fillId="0" borderId="0" xfId="0" applyNumberFormat="1"/>
    <xf numFmtId="2" fontId="0" fillId="0" borderId="0" xfId="0" applyNumberFormat="1"/>
    <xf numFmtId="2" fontId="0" fillId="9" borderId="0" xfId="0" applyNumberFormat="1" applyFill="1"/>
    <xf numFmtId="49" fontId="19" fillId="0" borderId="0" xfId="0" applyNumberFormat="1" applyFont="1"/>
    <xf numFmtId="2" fontId="19" fillId="0" borderId="0" xfId="0" applyNumberFormat="1" applyFont="1"/>
    <xf numFmtId="2" fontId="19" fillId="9" borderId="0" xfId="0" applyNumberFormat="1" applyFont="1" applyFill="1"/>
    <xf numFmtId="2" fontId="3" fillId="0" borderId="0" xfId="0" applyNumberFormat="1" applyFont="1"/>
    <xf numFmtId="0" fontId="7" fillId="5" borderId="0" xfId="0" applyFont="1" applyFill="1"/>
    <xf numFmtId="165" fontId="6" fillId="0" borderId="0" xfId="0" applyNumberFormat="1" applyFont="1"/>
    <xf numFmtId="0" fontId="20" fillId="0" borderId="0" xfId="0" applyFont="1"/>
    <xf numFmtId="0" fontId="3" fillId="0" borderId="0" xfId="0" applyFont="1" applyAlignment="1">
      <alignment wrapText="1"/>
    </xf>
    <xf numFmtId="0" fontId="26" fillId="0" borderId="6" xfId="0" applyFont="1" applyBorder="1" applyAlignment="1">
      <alignment horizontal="center" wrapText="1"/>
    </xf>
    <xf numFmtId="0" fontId="26" fillId="0" borderId="6" xfId="0" applyFont="1" applyBorder="1" applyAlignment="1">
      <alignment horizontal="left" wrapText="1"/>
    </xf>
    <xf numFmtId="2" fontId="27" fillId="0" borderId="6" xfId="0" applyNumberFormat="1" applyFont="1" applyBorder="1" applyAlignment="1">
      <alignment horizontal="right" wrapText="1"/>
    </xf>
    <xf numFmtId="0" fontId="16" fillId="0" borderId="6" xfId="0" applyFont="1" applyBorder="1" applyAlignment="1">
      <alignment horizontal="center" wrapText="1"/>
    </xf>
    <xf numFmtId="0" fontId="23" fillId="0" borderId="6" xfId="0" applyFont="1" applyBorder="1" applyAlignment="1">
      <alignment horizontal="left" wrapText="1"/>
    </xf>
    <xf numFmtId="2" fontId="23" fillId="0" borderId="6" xfId="0" applyNumberFormat="1" applyFont="1" applyBorder="1" applyAlignment="1">
      <alignment horizontal="right" wrapText="1"/>
    </xf>
    <xf numFmtId="2" fontId="26" fillId="0" borderId="6" xfId="0" applyNumberFormat="1" applyFont="1" applyBorder="1" applyAlignment="1">
      <alignment horizontal="right" wrapText="1"/>
    </xf>
    <xf numFmtId="0" fontId="21" fillId="0" borderId="6" xfId="0" applyFont="1" applyBorder="1" applyAlignment="1">
      <alignment horizontal="left" wrapText="1"/>
    </xf>
    <xf numFmtId="2" fontId="21" fillId="0" borderId="6" xfId="0" applyNumberFormat="1" applyFont="1" applyBorder="1" applyAlignment="1">
      <alignment horizontal="right" wrapText="1"/>
    </xf>
    <xf numFmtId="164" fontId="25" fillId="0" borderId="6" xfId="1" applyNumberFormat="1" applyFont="1" applyBorder="1" applyAlignment="1">
      <alignment horizontal="center" vertical="center" wrapText="1"/>
    </xf>
    <xf numFmtId="164" fontId="25" fillId="0" borderId="6" xfId="1" applyNumberFormat="1" applyFont="1" applyBorder="1" applyAlignment="1">
      <alignment horizontal="center" wrapText="1"/>
    </xf>
    <xf numFmtId="164" fontId="27" fillId="0" borderId="6" xfId="1" applyNumberFormat="1" applyFont="1" applyBorder="1" applyAlignment="1">
      <alignment horizontal="right" wrapText="1"/>
    </xf>
    <xf numFmtId="164" fontId="16" fillId="0" borderId="6" xfId="1" applyNumberFormat="1" applyFont="1" applyBorder="1" applyAlignment="1">
      <alignment horizontal="center" wrapText="1"/>
    </xf>
    <xf numFmtId="164" fontId="23" fillId="0" borderId="6" xfId="1" applyNumberFormat="1" applyFont="1" applyBorder="1" applyAlignment="1">
      <alignment horizontal="right" wrapText="1"/>
    </xf>
    <xf numFmtId="164" fontId="26" fillId="0" borderId="6" xfId="1" applyNumberFormat="1" applyFont="1" applyBorder="1" applyAlignment="1">
      <alignment horizontal="right" wrapText="1"/>
    </xf>
    <xf numFmtId="164" fontId="21" fillId="0" borderId="6" xfId="1" applyNumberFormat="1" applyFont="1" applyBorder="1" applyAlignment="1">
      <alignment horizontal="right" wrapText="1"/>
    </xf>
    <xf numFmtId="0" fontId="1" fillId="0" borderId="0" xfId="3"/>
    <xf numFmtId="0" fontId="28" fillId="0" borderId="0" xfId="4"/>
    <xf numFmtId="2" fontId="30" fillId="10" borderId="6" xfId="5" applyNumberFormat="1" applyFont="1" applyFill="1" applyBorder="1" applyAlignment="1">
      <alignment horizontal="center" vertical="center" wrapText="1"/>
    </xf>
    <xf numFmtId="0" fontId="30" fillId="10" borderId="6" xfId="5" applyFont="1" applyFill="1" applyBorder="1" applyAlignment="1">
      <alignment horizontal="center" vertical="center" wrapText="1"/>
    </xf>
    <xf numFmtId="2" fontId="30" fillId="0" borderId="6" xfId="5" applyNumberFormat="1" applyFont="1" applyBorder="1" applyAlignment="1">
      <alignment horizontal="center" vertical="center" wrapText="1"/>
    </xf>
    <xf numFmtId="0" fontId="30" fillId="0" borderId="6" xfId="5" applyFont="1" applyBorder="1" applyAlignment="1">
      <alignment horizontal="center" vertical="center" wrapText="1"/>
    </xf>
    <xf numFmtId="3" fontId="30" fillId="0" borderId="6" xfId="5" applyNumberFormat="1" applyFont="1" applyBorder="1" applyAlignment="1">
      <alignment horizontal="center" vertical="center" wrapText="1"/>
    </xf>
    <xf numFmtId="0" fontId="31" fillId="0" borderId="6" xfId="5" applyFont="1" applyBorder="1" applyAlignment="1">
      <alignment horizontal="center"/>
    </xf>
    <xf numFmtId="0" fontId="31" fillId="0" borderId="6" xfId="5" applyFont="1" applyBorder="1" applyAlignment="1">
      <alignment horizontal="left" wrapText="1"/>
    </xf>
    <xf numFmtId="3" fontId="31" fillId="0" borderId="6" xfId="5" applyNumberFormat="1" applyFont="1" applyBorder="1" applyAlignment="1">
      <alignment horizontal="center"/>
    </xf>
    <xf numFmtId="0" fontId="32" fillId="0" borderId="6" xfId="5" applyFont="1" applyBorder="1" applyAlignment="1">
      <alignment horizontal="center"/>
    </xf>
    <xf numFmtId="0" fontId="32" fillId="0" borderId="6" xfId="5" applyFont="1" applyBorder="1" applyAlignment="1">
      <alignment horizontal="left"/>
    </xf>
    <xf numFmtId="3" fontId="32" fillId="11" borderId="6" xfId="5" applyNumberFormat="1" applyFont="1" applyFill="1" applyBorder="1" applyAlignment="1">
      <alignment horizontal="right"/>
    </xf>
    <xf numFmtId="3" fontId="31" fillId="11" borderId="6" xfId="5" applyNumberFormat="1" applyFont="1" applyFill="1" applyBorder="1" applyAlignment="1">
      <alignment horizontal="center"/>
    </xf>
    <xf numFmtId="0" fontId="31" fillId="0" borderId="6" xfId="5" applyFont="1" applyBorder="1" applyAlignment="1">
      <alignment horizontal="left"/>
    </xf>
    <xf numFmtId="0" fontId="32" fillId="11" borderId="6" xfId="5" applyFont="1" applyFill="1" applyBorder="1" applyAlignment="1">
      <alignment horizontal="right"/>
    </xf>
    <xf numFmtId="164" fontId="32" fillId="11" borderId="6" xfId="6" applyNumberFormat="1" applyFont="1" applyFill="1" applyBorder="1" applyAlignment="1">
      <alignment horizontal="right"/>
    </xf>
    <xf numFmtId="0" fontId="32" fillId="0" borderId="6" xfId="5" applyFont="1" applyBorder="1" applyAlignment="1">
      <alignment horizontal="right"/>
    </xf>
    <xf numFmtId="0" fontId="30" fillId="10" borderId="6" xfId="5" applyFont="1" applyFill="1" applyBorder="1" applyAlignment="1">
      <alignment horizontal="center"/>
    </xf>
    <xf numFmtId="0" fontId="30" fillId="10" borderId="6" xfId="5" applyFont="1" applyFill="1" applyBorder="1" applyAlignment="1">
      <alignment horizontal="right"/>
    </xf>
    <xf numFmtId="3" fontId="30" fillId="10" borderId="6" xfId="5" applyNumberFormat="1" applyFont="1" applyFill="1" applyBorder="1" applyAlignment="1">
      <alignment horizontal="center"/>
    </xf>
    <xf numFmtId="164" fontId="33" fillId="0" borderId="6" xfId="6" applyNumberFormat="1" applyFont="1" applyFill="1" applyBorder="1" applyAlignment="1" applyProtection="1">
      <alignment horizontal="right" wrapText="1"/>
    </xf>
    <xf numFmtId="164" fontId="33" fillId="11" borderId="6" xfId="6" applyNumberFormat="1" applyFont="1" applyFill="1" applyBorder="1" applyAlignment="1" applyProtection="1">
      <alignment horizontal="right" wrapText="1"/>
    </xf>
    <xf numFmtId="0" fontId="32" fillId="0" borderId="6" xfId="5" applyFont="1" applyBorder="1" applyAlignment="1">
      <alignment horizontal="right" wrapText="1"/>
    </xf>
    <xf numFmtId="0" fontId="32" fillId="11" borderId="6" xfId="5" applyFont="1" applyFill="1" applyBorder="1" applyAlignment="1">
      <alignment horizontal="right" wrapText="1"/>
    </xf>
    <xf numFmtId="0" fontId="31" fillId="10" borderId="6" xfId="5" applyFont="1" applyFill="1" applyBorder="1" applyAlignment="1">
      <alignment horizontal="center"/>
    </xf>
    <xf numFmtId="0" fontId="30" fillId="10" borderId="6" xfId="5" applyFont="1" applyFill="1" applyBorder="1" applyAlignment="1">
      <alignment horizontal="right" wrapText="1"/>
    </xf>
    <xf numFmtId="4" fontId="30" fillId="10" borderId="6" xfId="5" applyNumberFormat="1" applyFont="1" applyFill="1" applyBorder="1" applyAlignment="1">
      <alignment horizontal="center"/>
    </xf>
    <xf numFmtId="3" fontId="30" fillId="11" borderId="6" xfId="5" applyNumberFormat="1" applyFont="1" applyFill="1" applyBorder="1" applyAlignment="1">
      <alignment horizontal="center"/>
    </xf>
    <xf numFmtId="4" fontId="34" fillId="11" borderId="6" xfId="5" applyNumberFormat="1" applyFont="1" applyFill="1" applyBorder="1" applyAlignment="1">
      <alignment horizontal="center"/>
    </xf>
    <xf numFmtId="0" fontId="35" fillId="0" borderId="0" xfId="3" applyFont="1"/>
    <xf numFmtId="0" fontId="36" fillId="0" borderId="0" xfId="5" applyFont="1"/>
    <xf numFmtId="0" fontId="37" fillId="0" borderId="0" xfId="5" applyFont="1" applyAlignment="1">
      <alignment horizontal="right"/>
    </xf>
    <xf numFmtId="3" fontId="30" fillId="0" borderId="0" xfId="5" applyNumberFormat="1" applyFont="1" applyAlignment="1">
      <alignment horizontal="center"/>
    </xf>
    <xf numFmtId="0" fontId="22" fillId="0" borderId="0" xfId="3" applyFont="1" applyAlignment="1">
      <alignment horizontal="right"/>
    </xf>
    <xf numFmtId="0" fontId="32" fillId="0" borderId="6" xfId="5" applyFont="1" applyBorder="1" applyAlignment="1">
      <alignment horizontal="left" wrapText="1"/>
    </xf>
    <xf numFmtId="164" fontId="32" fillId="0" borderId="6" xfId="6" applyNumberFormat="1" applyFont="1" applyBorder="1"/>
    <xf numFmtId="0" fontId="38" fillId="12" borderId="10" xfId="7" applyFont="1" applyFill="1" applyBorder="1" applyAlignment="1">
      <alignment horizontal="center" vertical="center" wrapText="1" shrinkToFit="1"/>
    </xf>
    <xf numFmtId="0" fontId="9" fillId="0" borderId="0" xfId="7"/>
    <xf numFmtId="49" fontId="39" fillId="13" borderId="10" xfId="7" applyNumberFormat="1" applyFont="1" applyFill="1" applyBorder="1" applyAlignment="1">
      <alignment horizontal="left" vertical="center" wrapText="1" shrinkToFit="1"/>
    </xf>
    <xf numFmtId="14" fontId="39" fillId="13" borderId="10" xfId="7" applyNumberFormat="1" applyFont="1" applyFill="1" applyBorder="1" applyAlignment="1">
      <alignment horizontal="left" vertical="center" wrapText="1" shrinkToFit="1"/>
    </xf>
    <xf numFmtId="4" fontId="39" fillId="13" borderId="10" xfId="7" applyNumberFormat="1" applyFont="1" applyFill="1" applyBorder="1" applyAlignment="1">
      <alignment horizontal="right" vertical="center" wrapText="1" shrinkToFit="1"/>
    </xf>
    <xf numFmtId="4" fontId="9" fillId="0" borderId="0" xfId="7" applyNumberFormat="1"/>
    <xf numFmtId="0" fontId="38" fillId="12" borderId="10" xfId="0" applyFont="1" applyFill="1" applyBorder="1" applyAlignment="1">
      <alignment horizontal="center" vertical="center" wrapText="1" shrinkToFit="1"/>
    </xf>
    <xf numFmtId="49" fontId="39" fillId="13" borderId="10" xfId="0" applyNumberFormat="1" applyFont="1" applyFill="1" applyBorder="1" applyAlignment="1">
      <alignment horizontal="left" vertical="center" wrapText="1" shrinkToFit="1"/>
    </xf>
    <xf numFmtId="14" fontId="39" fillId="13" borderId="10" xfId="0" applyNumberFormat="1" applyFont="1" applyFill="1" applyBorder="1" applyAlignment="1">
      <alignment horizontal="left" vertical="center" wrapText="1" shrinkToFit="1"/>
    </xf>
    <xf numFmtId="4" fontId="39" fillId="13" borderId="10" xfId="0" applyNumberFormat="1" applyFont="1" applyFill="1" applyBorder="1" applyAlignment="1">
      <alignment horizontal="right" vertical="center" wrapText="1" shrinkToFit="1"/>
    </xf>
    <xf numFmtId="165" fontId="0" fillId="0" borderId="0" xfId="0" applyNumberFormat="1"/>
    <xf numFmtId="0" fontId="34" fillId="0" borderId="11" xfId="5" applyFont="1" applyBorder="1" applyAlignment="1">
      <alignment horizontal="right" wrapText="1"/>
    </xf>
    <xf numFmtId="0" fontId="34" fillId="0" borderId="12" xfId="5" applyFont="1" applyBorder="1" applyAlignment="1">
      <alignment horizontal="right" wrapText="1"/>
    </xf>
    <xf numFmtId="4" fontId="34" fillId="11" borderId="13" xfId="5" applyNumberFormat="1" applyFont="1" applyFill="1" applyBorder="1" applyAlignment="1">
      <alignment horizontal="center"/>
    </xf>
    <xf numFmtId="0" fontId="34" fillId="0" borderId="8" xfId="5" applyFont="1" applyBorder="1" applyAlignment="1">
      <alignment wrapText="1"/>
    </xf>
    <xf numFmtId="0" fontId="3" fillId="0" borderId="0" xfId="0" applyFont="1" applyAlignment="1">
      <alignment horizontal="right" wrapText="1"/>
    </xf>
    <xf numFmtId="0" fontId="42" fillId="0" borderId="0" xfId="0" applyFont="1" applyAlignment="1">
      <alignment horizontal="left"/>
    </xf>
    <xf numFmtId="0" fontId="42" fillId="0" borderId="0" xfId="0" applyFont="1"/>
    <xf numFmtId="0" fontId="43" fillId="0" borderId="0" xfId="0" applyFont="1" applyAlignment="1">
      <alignment horizontal="left"/>
    </xf>
    <xf numFmtId="0" fontId="43" fillId="0" borderId="0" xfId="0" applyFont="1"/>
    <xf numFmtId="0" fontId="40" fillId="0" borderId="0" xfId="0" applyFont="1"/>
    <xf numFmtId="165" fontId="1" fillId="4" borderId="0" xfId="1" applyNumberFormat="1" applyFont="1" applyFill="1"/>
    <xf numFmtId="43" fontId="0" fillId="14" borderId="0" xfId="0" applyNumberFormat="1" applyFill="1"/>
    <xf numFmtId="0" fontId="30" fillId="0" borderId="8" xfId="5" applyFont="1" applyBorder="1" applyAlignment="1">
      <alignment horizontal="center"/>
    </xf>
    <xf numFmtId="0" fontId="30" fillId="0" borderId="9" xfId="5" applyFont="1" applyBorder="1" applyAlignment="1">
      <alignment horizontal="center"/>
    </xf>
    <xf numFmtId="0" fontId="31" fillId="0" borderId="8" xfId="5" applyFont="1" applyBorder="1" applyAlignment="1">
      <alignment horizontal="center"/>
    </xf>
    <xf numFmtId="0" fontId="31" fillId="0" borderId="9" xfId="5" applyFont="1" applyBorder="1" applyAlignment="1">
      <alignment horizontal="center"/>
    </xf>
    <xf numFmtId="0" fontId="34" fillId="0" borderId="8" xfId="5" applyFont="1" applyBorder="1" applyAlignment="1">
      <alignment horizontal="right" wrapText="1"/>
    </xf>
    <xf numFmtId="0" fontId="34" fillId="0" borderId="9" xfId="5" applyFont="1" applyBorder="1" applyAlignment="1">
      <alignment horizontal="right" wrapText="1"/>
    </xf>
    <xf numFmtId="0" fontId="30" fillId="10" borderId="8" xfId="5" applyFont="1" applyFill="1" applyBorder="1" applyAlignment="1">
      <alignment horizontal="center"/>
    </xf>
    <xf numFmtId="0" fontId="30" fillId="10" borderId="9" xfId="5" applyFont="1" applyFill="1" applyBorder="1" applyAlignment="1">
      <alignment horizontal="center"/>
    </xf>
    <xf numFmtId="0" fontId="0" fillId="0" borderId="0" xfId="0" applyAlignment="1">
      <alignment horizontal="left" wrapText="1"/>
    </xf>
    <xf numFmtId="0" fontId="5" fillId="0" borderId="0" xfId="0" applyFont="1" applyAlignment="1">
      <alignment horizontal="left" vertical="center" indent="1"/>
    </xf>
    <xf numFmtId="0" fontId="7" fillId="0" borderId="0" xfId="0" applyFont="1" applyAlignment="1">
      <alignment horizontal="left" wrapText="1"/>
    </xf>
    <xf numFmtId="0" fontId="18" fillId="0" borderId="0" xfId="0" applyFont="1" applyAlignment="1">
      <alignment horizontal="left"/>
    </xf>
    <xf numFmtId="0" fontId="5" fillId="0" borderId="0" xfId="0" applyFont="1" applyAlignment="1">
      <alignment horizontal="left" vertical="center" wrapText="1"/>
    </xf>
    <xf numFmtId="0" fontId="43" fillId="0" borderId="0" xfId="0" applyFont="1" applyAlignment="1">
      <alignment horizontal="left" wrapText="1"/>
    </xf>
    <xf numFmtId="0" fontId="21" fillId="0" borderId="0" xfId="0" applyFont="1" applyAlignment="1">
      <alignment horizontal="right" vertical="top" wrapText="1"/>
    </xf>
    <xf numFmtId="0" fontId="22" fillId="0" borderId="0" xfId="0" applyFont="1" applyAlignment="1">
      <alignment horizontal="center" wrapText="1"/>
    </xf>
    <xf numFmtId="0" fontId="23" fillId="0" borderId="4" xfId="0" applyFont="1" applyBorder="1" applyAlignment="1">
      <alignment horizontal="center" wrapText="1"/>
    </xf>
    <xf numFmtId="0" fontId="24" fillId="0" borderId="4" xfId="0" applyFont="1" applyBorder="1" applyAlignment="1">
      <alignment horizont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Comma" xfId="1" builtinId="3"/>
    <cellStyle name="Comma 2" xfId="6" xr:uid="{81189B84-7124-45AC-9D43-B05ADF4EECD1}"/>
    <cellStyle name="Normal" xfId="0" builtinId="0"/>
    <cellStyle name="Normal 2" xfId="3" xr:uid="{3A3B85B4-3BDE-4E1B-ABBD-55D25A757AD5}"/>
    <cellStyle name="Normal 3" xfId="4" xr:uid="{6CA32A3C-2305-4F9B-95B9-E13D50C7A11A}"/>
    <cellStyle name="Normal 4" xfId="7" xr:uid="{A191C46A-6763-421B-ACFC-CCA68A789ED5}"/>
    <cellStyle name="Parasts 7" xfId="5" xr:uid="{17044A9F-6FBF-49CE-95FA-720250961F7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2830-777F-4370-A435-F11B94A39B8F}">
  <dimension ref="A1:E46"/>
  <sheetViews>
    <sheetView topLeftCell="A37" workbookViewId="0">
      <selection activeCell="C46" sqref="C46"/>
    </sheetView>
  </sheetViews>
  <sheetFormatPr defaultColWidth="8.88671875" defaultRowHeight="25.8"/>
  <cols>
    <col min="1" max="1" width="14.109375" style="93" customWidth="1"/>
    <col min="2" max="2" width="43.88671875" style="93" customWidth="1"/>
    <col min="3" max="3" width="23.5546875" style="93" customWidth="1"/>
    <col min="4" max="16384" width="8.88671875" style="93"/>
  </cols>
  <sheetData>
    <row r="1" spans="1:3">
      <c r="A1" s="92"/>
      <c r="B1" s="92"/>
      <c r="C1" s="126" t="s">
        <v>282</v>
      </c>
    </row>
    <row r="2" spans="1:3" ht="88.2" customHeight="1">
      <c r="A2" s="94" t="s">
        <v>283</v>
      </c>
      <c r="B2" s="95" t="s">
        <v>284</v>
      </c>
      <c r="C2" s="95" t="s">
        <v>285</v>
      </c>
    </row>
    <row r="3" spans="1:3">
      <c r="A3" s="96"/>
      <c r="B3" s="97" t="s">
        <v>286</v>
      </c>
      <c r="C3" s="98"/>
    </row>
    <row r="4" spans="1:3">
      <c r="A4" s="99">
        <v>1100</v>
      </c>
      <c r="B4" s="100" t="s">
        <v>287</v>
      </c>
      <c r="C4" s="101">
        <f>C5+C6</f>
        <v>26148</v>
      </c>
    </row>
    <row r="5" spans="1:3" ht="33.6">
      <c r="A5" s="102">
        <v>1100</v>
      </c>
      <c r="B5" s="127" t="s">
        <v>310</v>
      </c>
      <c r="C5" s="104">
        <f>(699+850)*12</f>
        <v>18588</v>
      </c>
    </row>
    <row r="6" spans="1:3">
      <c r="A6" s="102">
        <v>1100</v>
      </c>
      <c r="B6" s="103" t="s">
        <v>311</v>
      </c>
      <c r="C6" s="104">
        <f>630*12</f>
        <v>7560</v>
      </c>
    </row>
    <row r="7" spans="1:3" ht="10.95" customHeight="1">
      <c r="A7" s="102"/>
      <c r="B7" s="92"/>
      <c r="C7" s="92"/>
    </row>
    <row r="8" spans="1:3">
      <c r="A8" s="99">
        <v>1200</v>
      </c>
      <c r="B8" s="100" t="s">
        <v>288</v>
      </c>
      <c r="C8" s="105">
        <f>C4*0.2354</f>
        <v>6155.2392</v>
      </c>
    </row>
    <row r="9" spans="1:3">
      <c r="A9" s="99">
        <v>2200</v>
      </c>
      <c r="B9" s="106" t="s">
        <v>289</v>
      </c>
      <c r="C9" s="105">
        <f>C10+C11</f>
        <v>3993.7719999999999</v>
      </c>
    </row>
    <row r="10" spans="1:3">
      <c r="A10" s="107"/>
      <c r="B10" s="107" t="s">
        <v>290</v>
      </c>
      <c r="C10" s="128">
        <f>Sheet1!D21+Sheet1!D22*0.04</f>
        <v>2926.4720000000002</v>
      </c>
    </row>
    <row r="11" spans="1:3">
      <c r="A11" s="107"/>
      <c r="B11" s="107" t="s">
        <v>291</v>
      </c>
      <c r="C11" s="108">
        <f>Sheet1!D23</f>
        <v>1067.3</v>
      </c>
    </row>
    <row r="12" spans="1:3">
      <c r="A12" s="99">
        <v>2300</v>
      </c>
      <c r="B12" s="106" t="s">
        <v>292</v>
      </c>
      <c r="C12" s="105">
        <f>C13</f>
        <v>1090.31</v>
      </c>
    </row>
    <row r="13" spans="1:3">
      <c r="A13" s="109">
        <v>2312</v>
      </c>
      <c r="B13" s="109" t="s">
        <v>293</v>
      </c>
      <c r="C13" s="104">
        <f>Sheet1!D31</f>
        <v>1090.31</v>
      </c>
    </row>
    <row r="14" spans="1:3">
      <c r="A14" s="110"/>
      <c r="B14" s="111" t="s">
        <v>294</v>
      </c>
      <c r="C14" s="112">
        <f>C4+C8+C9+C12</f>
        <v>37387.321199999998</v>
      </c>
    </row>
    <row r="15" spans="1:3">
      <c r="A15" s="99">
        <v>1100</v>
      </c>
      <c r="B15" s="100" t="s">
        <v>287</v>
      </c>
      <c r="C15" s="101">
        <f>C16</f>
        <v>2448</v>
      </c>
    </row>
    <row r="16" spans="1:3">
      <c r="A16" s="102">
        <v>1100</v>
      </c>
      <c r="B16" s="103" t="s">
        <v>295</v>
      </c>
      <c r="C16" s="113">
        <f>2040*0.1*12</f>
        <v>2448</v>
      </c>
    </row>
    <row r="17" spans="1:5">
      <c r="A17" s="99">
        <v>1200</v>
      </c>
      <c r="B17" s="100" t="s">
        <v>288</v>
      </c>
      <c r="C17" s="105">
        <f>C16*0.2359</f>
        <v>577.48320000000001</v>
      </c>
      <c r="D17" s="92"/>
      <c r="E17" s="92"/>
    </row>
    <row r="18" spans="1:5">
      <c r="A18" s="99">
        <v>2200</v>
      </c>
      <c r="B18" s="106" t="s">
        <v>289</v>
      </c>
      <c r="C18" s="105">
        <f>SUM(C19:C23)</f>
        <v>6751.7943999999998</v>
      </c>
      <c r="D18" s="92"/>
      <c r="E18" s="92"/>
    </row>
    <row r="19" spans="1:5">
      <c r="A19" s="109">
        <v>2210</v>
      </c>
      <c r="B19" s="109" t="s">
        <v>296</v>
      </c>
      <c r="C19" s="114">
        <f>Tāme!D53*0.04</f>
        <v>137.11320000000001</v>
      </c>
      <c r="D19" s="92"/>
      <c r="E19" s="92"/>
    </row>
    <row r="20" spans="1:5">
      <c r="A20" s="109">
        <v>2220</v>
      </c>
      <c r="B20" s="115" t="s">
        <v>297</v>
      </c>
      <c r="C20" s="113">
        <f>Tāme!D54*0.1</f>
        <v>3888.9780000000001</v>
      </c>
      <c r="D20" s="92"/>
      <c r="E20" s="92"/>
    </row>
    <row r="21" spans="1:5" ht="49.2">
      <c r="A21" s="109">
        <v>2230</v>
      </c>
      <c r="B21" s="115" t="s">
        <v>298</v>
      </c>
      <c r="C21" s="113">
        <f>Tāme!D58*0.04</f>
        <v>729.35</v>
      </c>
      <c r="D21" s="92"/>
      <c r="E21" s="92"/>
    </row>
    <row r="22" spans="1:5" ht="33.6">
      <c r="A22" s="107">
        <v>2240</v>
      </c>
      <c r="B22" s="116" t="s">
        <v>299</v>
      </c>
      <c r="C22" s="113">
        <f>Tāme!D62*0.04</f>
        <v>1775.6492000000001</v>
      </c>
      <c r="D22" s="92"/>
      <c r="E22" s="92"/>
    </row>
    <row r="23" spans="1:5">
      <c r="A23" s="107">
        <v>2260</v>
      </c>
      <c r="B23" s="107" t="s">
        <v>180</v>
      </c>
      <c r="C23" s="113">
        <f>Tāme!D69*0.04</f>
        <v>220.70400000000001</v>
      </c>
      <c r="D23" s="92"/>
      <c r="E23" s="92"/>
    </row>
    <row r="24" spans="1:5">
      <c r="A24" s="99">
        <v>2300</v>
      </c>
      <c r="B24" s="106" t="s">
        <v>292</v>
      </c>
      <c r="C24" s="105">
        <f>SUM(C25:C28)</f>
        <v>5943.5879999999997</v>
      </c>
      <c r="D24" s="92"/>
      <c r="E24" s="92"/>
    </row>
    <row r="25" spans="1:5">
      <c r="A25" s="109">
        <v>2310</v>
      </c>
      <c r="B25" s="109" t="s">
        <v>293</v>
      </c>
      <c r="C25" s="113">
        <f>Tāme!D72*0.04</f>
        <v>501.21879999999999</v>
      </c>
      <c r="D25" s="92"/>
      <c r="E25" s="92"/>
    </row>
    <row r="26" spans="1:5">
      <c r="A26" s="109">
        <v>2320</v>
      </c>
      <c r="B26" s="115" t="s">
        <v>300</v>
      </c>
      <c r="C26" s="113">
        <f>Tāme!D75*0.04</f>
        <v>4702.2228000000005</v>
      </c>
      <c r="D26" s="92"/>
      <c r="E26" s="92"/>
    </row>
    <row r="27" spans="1:5" ht="33.6">
      <c r="A27" s="107">
        <v>2340</v>
      </c>
      <c r="B27" s="116" t="s">
        <v>301</v>
      </c>
      <c r="C27" s="113">
        <f>Tāme!D78*0.04</f>
        <v>19.3476</v>
      </c>
      <c r="D27" s="92"/>
      <c r="E27" s="92"/>
    </row>
    <row r="28" spans="1:5" ht="33.6">
      <c r="A28" s="107">
        <v>2350</v>
      </c>
      <c r="B28" s="116" t="s">
        <v>302</v>
      </c>
      <c r="C28" s="113">
        <f>Tāme!D80*0.04</f>
        <v>720.79880000000003</v>
      </c>
      <c r="D28" s="92"/>
      <c r="E28" s="92"/>
    </row>
    <row r="29" spans="1:5" ht="33.6">
      <c r="A29" s="117"/>
      <c r="B29" s="118" t="s">
        <v>303</v>
      </c>
      <c r="C29" s="112">
        <f>C15+C17+C18+C24</f>
        <v>15720.865599999999</v>
      </c>
      <c r="D29" s="92"/>
      <c r="E29" s="92"/>
    </row>
    <row r="30" spans="1:5">
      <c r="A30" s="117"/>
      <c r="B30" s="110" t="s">
        <v>304</v>
      </c>
      <c r="C30" s="112">
        <f>C29+C14</f>
        <v>53108.186799999996</v>
      </c>
      <c r="D30" s="92"/>
      <c r="E30" s="92"/>
    </row>
    <row r="31" spans="1:5">
      <c r="A31" s="117"/>
      <c r="B31" s="110" t="s">
        <v>305</v>
      </c>
      <c r="C31" s="119">
        <f>C30/C32</f>
        <v>6.3518941274967107</v>
      </c>
      <c r="D31" s="92"/>
      <c r="E31" s="92"/>
    </row>
    <row r="32" spans="1:5">
      <c r="A32" s="152" t="s">
        <v>306</v>
      </c>
      <c r="B32" s="153"/>
      <c r="C32" s="120">
        <v>8361</v>
      </c>
      <c r="D32" s="92"/>
      <c r="E32" s="92"/>
    </row>
    <row r="33" spans="1:5">
      <c r="A33" s="154" t="s">
        <v>307</v>
      </c>
      <c r="B33" s="155"/>
      <c r="C33" s="101"/>
      <c r="D33" s="92"/>
      <c r="E33" s="92"/>
    </row>
    <row r="34" spans="1:5" ht="38.4" customHeight="1">
      <c r="A34" s="156" t="s">
        <v>371</v>
      </c>
      <c r="B34" s="157"/>
      <c r="C34" s="121">
        <f>C31*0.8-0.08</f>
        <v>5.0015153019973688</v>
      </c>
      <c r="D34" s="143" t="s">
        <v>379</v>
      </c>
      <c r="E34" s="92"/>
    </row>
    <row r="35" spans="1:5" ht="34.200000000000003" customHeight="1">
      <c r="A35" s="156" t="s">
        <v>372</v>
      </c>
      <c r="B35" s="157"/>
      <c r="C35" s="121">
        <v>5.5</v>
      </c>
      <c r="D35" s="121">
        <f>C35*1.21</f>
        <v>6.6549999999999994</v>
      </c>
      <c r="E35" s="92"/>
    </row>
    <row r="36" spans="1:5" ht="24" customHeight="1">
      <c r="A36" s="156" t="s">
        <v>373</v>
      </c>
      <c r="B36" s="157"/>
      <c r="C36" s="121">
        <f>C31</f>
        <v>6.3518941274967107</v>
      </c>
      <c r="D36" s="121">
        <f t="shared" ref="D36:D41" si="0">C36*1.21</f>
        <v>7.6857918942710199</v>
      </c>
      <c r="E36" s="92"/>
    </row>
    <row r="37" spans="1:5" ht="24" customHeight="1">
      <c r="A37" s="156" t="s">
        <v>374</v>
      </c>
      <c r="B37" s="157"/>
      <c r="C37" s="121">
        <f>C36*0.7</f>
        <v>4.4463258892476976</v>
      </c>
      <c r="D37" s="121">
        <f t="shared" si="0"/>
        <v>5.3800543259897138</v>
      </c>
      <c r="E37" s="92"/>
    </row>
    <row r="38" spans="1:5" ht="34.950000000000003" customHeight="1">
      <c r="A38" s="156" t="s">
        <v>375</v>
      </c>
      <c r="B38" s="157"/>
      <c r="C38" s="121">
        <f>(C36+C35)*0.7</f>
        <v>8.2963258892476972</v>
      </c>
      <c r="D38" s="121">
        <f t="shared" si="0"/>
        <v>10.038554325989713</v>
      </c>
      <c r="E38" s="92"/>
    </row>
    <row r="39" spans="1:5" ht="20.399999999999999" customHeight="1">
      <c r="A39" s="156" t="s">
        <v>376</v>
      </c>
      <c r="B39" s="157"/>
      <c r="C39" s="121">
        <f>(C37*2+C36*2)*0.7</f>
        <v>15.117508023442172</v>
      </c>
      <c r="D39" s="121">
        <f t="shared" si="0"/>
        <v>18.292184708365028</v>
      </c>
      <c r="E39" s="92"/>
    </row>
    <row r="40" spans="1:5" ht="20.399999999999999" customHeight="1">
      <c r="A40" s="156" t="s">
        <v>377</v>
      </c>
      <c r="B40" s="157"/>
      <c r="C40" s="121">
        <f>C35*0.7</f>
        <v>3.8499999999999996</v>
      </c>
      <c r="D40" s="121">
        <f t="shared" si="0"/>
        <v>4.6584999999999992</v>
      </c>
      <c r="E40" s="92"/>
    </row>
    <row r="41" spans="1:5" ht="25.95" customHeight="1">
      <c r="A41" s="156" t="s">
        <v>378</v>
      </c>
      <c r="B41" s="157"/>
      <c r="C41" s="121">
        <f>Baseins2024!P3</f>
        <v>19.010530009366732</v>
      </c>
      <c r="D41" s="121">
        <f t="shared" si="0"/>
        <v>23.002741311333747</v>
      </c>
      <c r="E41" s="92"/>
    </row>
    <row r="42" spans="1:5">
      <c r="A42" s="140"/>
      <c r="B42" s="141"/>
      <c r="C42" s="142"/>
      <c r="D42" s="122"/>
      <c r="E42" s="92"/>
    </row>
    <row r="43" spans="1:5">
      <c r="A43" s="158" t="s">
        <v>308</v>
      </c>
      <c r="B43" s="159"/>
      <c r="C43" s="112">
        <f>1834*C34+D41*12+D36*5+D37*10+D38*24+D39*10+D40*24</f>
        <v>10076.692613237834</v>
      </c>
      <c r="D43" s="92"/>
      <c r="E43" s="92"/>
    </row>
    <row r="44" spans="1:5">
      <c r="A44" s="123"/>
      <c r="B44" s="124" t="s">
        <v>309</v>
      </c>
      <c r="C44" s="125">
        <f>C43-C30</f>
        <v>-43031.49418676216</v>
      </c>
      <c r="D44" s="92"/>
      <c r="E44" s="92"/>
    </row>
    <row r="45" spans="1:5">
      <c r="A45" s="123"/>
      <c r="B45" s="123"/>
      <c r="C45" s="123"/>
      <c r="D45" s="92"/>
      <c r="E45" s="92"/>
    </row>
    <row r="46" spans="1:5">
      <c r="A46" s="123" t="s">
        <v>396</v>
      </c>
      <c r="B46" s="123"/>
      <c r="C46" s="123" t="s">
        <v>397</v>
      </c>
      <c r="D46" s="92"/>
      <c r="E46" s="92"/>
    </row>
  </sheetData>
  <mergeCells count="11">
    <mergeCell ref="A41:B41"/>
    <mergeCell ref="A43:B43"/>
    <mergeCell ref="A35:B35"/>
    <mergeCell ref="A39:B39"/>
    <mergeCell ref="A40:B40"/>
    <mergeCell ref="A38:B38"/>
    <mergeCell ref="A32:B32"/>
    <mergeCell ref="A33:B33"/>
    <mergeCell ref="A34:B34"/>
    <mergeCell ref="A36:B36"/>
    <mergeCell ref="A37: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22A6-C32B-4641-B70E-E7B3321F67FF}">
  <sheetPr>
    <tabColor rgb="FF92D050"/>
  </sheetPr>
  <dimension ref="A1:R101"/>
  <sheetViews>
    <sheetView topLeftCell="A4" zoomScaleNormal="100" workbookViewId="0">
      <selection activeCell="P3" sqref="P3"/>
    </sheetView>
  </sheetViews>
  <sheetFormatPr defaultRowHeight="14.4"/>
  <cols>
    <col min="1" max="1" width="14.88671875" customWidth="1"/>
    <col min="2" max="2" width="12.88671875" bestFit="1" customWidth="1"/>
    <col min="3" max="3" width="17.6640625" customWidth="1"/>
    <col min="4" max="4" width="26.6640625" customWidth="1"/>
    <col min="7" max="7" width="12" customWidth="1"/>
    <col min="8" max="8" width="11" bestFit="1" customWidth="1"/>
    <col min="11" max="11" width="13" customWidth="1"/>
    <col min="12" max="13" width="9.33203125" bestFit="1" customWidth="1"/>
    <col min="14" max="14" width="11.33203125" customWidth="1"/>
    <col min="16" max="16" width="25.33203125" customWidth="1"/>
    <col min="17" max="17" width="1.6640625" customWidth="1"/>
  </cols>
  <sheetData>
    <row r="1" spans="1:18">
      <c r="A1" s="1" t="s">
        <v>0</v>
      </c>
    </row>
    <row r="2" spans="1:18" ht="29.25" customHeight="1">
      <c r="A2" s="74" t="s">
        <v>264</v>
      </c>
      <c r="N2" s="2" t="s">
        <v>1</v>
      </c>
      <c r="O2" s="3" t="s">
        <v>243</v>
      </c>
      <c r="P2" s="75" t="s">
        <v>263</v>
      </c>
    </row>
    <row r="3" spans="1:18" ht="15" thickBot="1">
      <c r="B3" s="4">
        <f>(((A13/B6+B10)*B8))/12</f>
        <v>1122.6318005620039</v>
      </c>
      <c r="C3" s="5" t="s">
        <v>2</v>
      </c>
      <c r="D3" s="6" t="s">
        <v>70</v>
      </c>
      <c r="E3" s="161" t="s">
        <v>3</v>
      </c>
      <c r="K3" s="8" t="s">
        <v>4</v>
      </c>
      <c r="L3" s="9">
        <f>B3/B8</f>
        <v>5.5575831710990293</v>
      </c>
      <c r="N3" s="10">
        <f>L3*B8</f>
        <v>1122.6318005620039</v>
      </c>
      <c r="O3" s="11">
        <f>N3/20</f>
        <v>56.131590028100199</v>
      </c>
      <c r="P3" s="12">
        <f>O3/3+0.3</f>
        <v>19.010530009366732</v>
      </c>
      <c r="R3" s="73"/>
    </row>
    <row r="4" spans="1:18">
      <c r="B4" s="8" t="s">
        <v>5</v>
      </c>
      <c r="C4" s="5"/>
      <c r="D4" s="42">
        <v>12</v>
      </c>
      <c r="E4" s="161"/>
      <c r="K4" s="8" t="s">
        <v>6</v>
      </c>
      <c r="L4" s="14">
        <f>L3*1.21</f>
        <v>6.7246756370298248</v>
      </c>
      <c r="N4" s="10">
        <f>L4*B8</f>
        <v>1358.3844786800246</v>
      </c>
      <c r="O4" s="11">
        <f>O3*1.21</f>
        <v>67.919223934001238</v>
      </c>
      <c r="P4" s="12">
        <f>P3*1.21</f>
        <v>23.002741311333747</v>
      </c>
      <c r="R4" s="13"/>
    </row>
    <row r="5" spans="1:18">
      <c r="K5" s="12"/>
      <c r="O5" s="13"/>
    </row>
    <row r="6" spans="1:18">
      <c r="B6" s="15">
        <v>5444.8</v>
      </c>
      <c r="C6" t="s">
        <v>7</v>
      </c>
      <c r="D6" s="16" t="s">
        <v>8</v>
      </c>
      <c r="O6" s="13"/>
    </row>
    <row r="7" spans="1:18" ht="4.5" customHeight="1">
      <c r="B7" s="17"/>
      <c r="D7" s="16"/>
      <c r="O7" s="13"/>
    </row>
    <row r="8" spans="1:18">
      <c r="A8" s="18">
        <f>B8/B6</f>
        <v>3.7099617984131646E-2</v>
      </c>
      <c r="B8" s="19">
        <v>202</v>
      </c>
      <c r="C8" t="s">
        <v>9</v>
      </c>
      <c r="D8" s="20" t="s">
        <v>10</v>
      </c>
      <c r="E8" s="20"/>
      <c r="L8" s="12"/>
    </row>
    <row r="9" spans="1:18" ht="5.25" customHeight="1">
      <c r="B9" s="17"/>
      <c r="D9" s="16"/>
    </row>
    <row r="10" spans="1:18">
      <c r="B10" s="63">
        <f>A49</f>
        <v>11.413738796650014</v>
      </c>
      <c r="C10" t="s">
        <v>11</v>
      </c>
      <c r="D10" s="20" t="s">
        <v>244</v>
      </c>
    </row>
    <row r="11" spans="1:18" ht="7.5" customHeight="1">
      <c r="C11" s="20"/>
    </row>
    <row r="12" spans="1:18" ht="6.75" customHeight="1">
      <c r="C12" s="20"/>
    </row>
    <row r="13" spans="1:18">
      <c r="A13" s="19">
        <f>B21+B29+B32+B35+B37+B39/B46</f>
        <v>300973.62119999999</v>
      </c>
      <c r="B13" t="s">
        <v>12</v>
      </c>
      <c r="C13" t="s">
        <v>13</v>
      </c>
    </row>
    <row r="14" spans="1:18">
      <c r="A14" s="139"/>
    </row>
    <row r="15" spans="1:18">
      <c r="D15" s="16" t="s">
        <v>14</v>
      </c>
    </row>
    <row r="16" spans="1:18">
      <c r="D16" s="22"/>
    </row>
    <row r="17" spans="1:18">
      <c r="D17" s="23" t="s">
        <v>71</v>
      </c>
    </row>
    <row r="18" spans="1:18">
      <c r="D18" s="22"/>
    </row>
    <row r="19" spans="1:18">
      <c r="D19" s="7" t="s">
        <v>15</v>
      </c>
    </row>
    <row r="21" spans="1:18" ht="15" customHeight="1">
      <c r="B21" s="19">
        <f>C78</f>
        <v>266092.58999999997</v>
      </c>
      <c r="C21" t="s">
        <v>16</v>
      </c>
      <c r="D21" s="162" t="s">
        <v>17</v>
      </c>
      <c r="E21" s="162"/>
      <c r="F21" s="162"/>
      <c r="G21" s="162"/>
      <c r="H21" s="162"/>
      <c r="I21" s="162"/>
      <c r="J21" s="162"/>
      <c r="K21" s="162"/>
      <c r="L21" s="162"/>
      <c r="M21" s="162"/>
      <c r="N21" s="162"/>
      <c r="O21" s="162"/>
      <c r="P21" s="162"/>
      <c r="Q21" s="162"/>
      <c r="R21" s="162"/>
    </row>
    <row r="22" spans="1:18" ht="15" customHeight="1">
      <c r="B22" s="19"/>
      <c r="D22" s="162" t="s">
        <v>18</v>
      </c>
      <c r="E22" s="162"/>
      <c r="F22" s="162"/>
      <c r="G22" s="162"/>
      <c r="H22" s="162"/>
      <c r="I22" s="162"/>
      <c r="J22" s="162"/>
      <c r="K22" s="162"/>
      <c r="L22" s="162"/>
      <c r="M22" s="162"/>
      <c r="N22" s="162"/>
      <c r="O22" s="162"/>
      <c r="P22" s="162"/>
      <c r="Q22" s="162"/>
      <c r="R22" s="162"/>
    </row>
    <row r="23" spans="1:18" ht="15" customHeight="1">
      <c r="A23" s="2"/>
      <c r="B23" s="19"/>
      <c r="D23" s="162" t="s">
        <v>19</v>
      </c>
      <c r="E23" s="162"/>
      <c r="F23" s="162"/>
      <c r="G23" s="162"/>
      <c r="H23" s="162"/>
      <c r="I23" s="162"/>
      <c r="J23" s="162"/>
      <c r="K23" s="162"/>
      <c r="L23" s="162"/>
      <c r="M23" s="162"/>
      <c r="N23" s="162"/>
      <c r="O23" s="162"/>
      <c r="P23" s="162"/>
      <c r="Q23" s="162"/>
      <c r="R23" s="162"/>
    </row>
    <row r="24" spans="1:18" ht="15" customHeight="1">
      <c r="A24" s="2"/>
      <c r="B24" s="19"/>
      <c r="D24" s="162" t="s">
        <v>20</v>
      </c>
      <c r="E24" s="162"/>
      <c r="F24" s="162"/>
      <c r="G24" s="162"/>
      <c r="H24" s="162"/>
      <c r="I24" s="162"/>
      <c r="J24" s="162"/>
      <c r="K24" s="162"/>
      <c r="L24" s="162"/>
      <c r="M24" s="162"/>
      <c r="N24" s="162"/>
      <c r="O24" s="162"/>
      <c r="P24" s="162"/>
      <c r="Q24" s="162"/>
      <c r="R24" s="162"/>
    </row>
    <row r="25" spans="1:18" ht="15" customHeight="1">
      <c r="B25" s="19"/>
      <c r="D25" s="162" t="s">
        <v>21</v>
      </c>
      <c r="E25" s="162"/>
      <c r="F25" s="162"/>
      <c r="G25" s="162"/>
      <c r="H25" s="162"/>
      <c r="I25" s="162"/>
      <c r="J25" s="162"/>
      <c r="K25" s="162"/>
      <c r="L25" s="162"/>
      <c r="M25" s="162"/>
      <c r="N25" s="162"/>
      <c r="O25" s="162"/>
      <c r="P25" s="162"/>
      <c r="Q25" s="162"/>
      <c r="R25" s="162"/>
    </row>
    <row r="26" spans="1:18">
      <c r="B26" s="19"/>
      <c r="D26" s="162" t="s">
        <v>22</v>
      </c>
      <c r="E26" s="162"/>
      <c r="F26" s="162"/>
      <c r="G26" s="162"/>
      <c r="H26" s="162"/>
      <c r="I26" s="162"/>
      <c r="J26" s="162"/>
      <c r="K26" s="162"/>
      <c r="L26" s="162"/>
      <c r="M26" s="162"/>
      <c r="N26" s="162"/>
      <c r="O26" s="162"/>
      <c r="P26" s="162"/>
      <c r="Q26" s="162"/>
      <c r="R26" s="162"/>
    </row>
    <row r="27" spans="1:18">
      <c r="B27" s="19"/>
      <c r="D27" s="59" t="s">
        <v>23</v>
      </c>
      <c r="E27" s="59"/>
      <c r="F27" s="59"/>
      <c r="G27" s="59"/>
      <c r="H27" s="59"/>
      <c r="I27" s="59"/>
      <c r="J27" s="59"/>
      <c r="K27" s="59"/>
      <c r="L27" s="59"/>
      <c r="M27" s="59"/>
      <c r="N27" s="59"/>
      <c r="O27" s="59"/>
      <c r="P27" s="59"/>
      <c r="Q27" s="59"/>
      <c r="R27" s="59"/>
    </row>
    <row r="28" spans="1:18">
      <c r="B28" s="17"/>
    </row>
    <row r="29" spans="1:18">
      <c r="B29" s="15">
        <f>D99</f>
        <v>6344.4599999999991</v>
      </c>
      <c r="C29" t="s">
        <v>24</v>
      </c>
      <c r="D29" t="s">
        <v>25</v>
      </c>
    </row>
    <row r="30" spans="1:18">
      <c r="B30" s="17"/>
      <c r="D30" t="s">
        <v>72</v>
      </c>
    </row>
    <row r="31" spans="1:18">
      <c r="B31" s="17"/>
    </row>
    <row r="32" spans="1:18">
      <c r="A32" s="53">
        <f>6533760+36000</f>
        <v>6569760</v>
      </c>
      <c r="B32" s="19">
        <f>Tāme!D86</f>
        <v>21997.96</v>
      </c>
      <c r="C32" t="s">
        <v>26</v>
      </c>
      <c r="D32" t="s">
        <v>27</v>
      </c>
    </row>
    <row r="33" spans="2:18">
      <c r="B33" s="17"/>
      <c r="D33" t="s">
        <v>28</v>
      </c>
      <c r="H33" s="62">
        <f>B32/A32</f>
        <v>3.3483658459365333E-3</v>
      </c>
    </row>
    <row r="34" spans="2:18">
      <c r="B34" s="17"/>
    </row>
    <row r="35" spans="2:18" ht="28.8">
      <c r="B35" s="19">
        <f>Tāme!D69</f>
        <v>5517.6</v>
      </c>
      <c r="C35" s="21" t="s">
        <v>29</v>
      </c>
      <c r="D35" t="s">
        <v>30</v>
      </c>
    </row>
    <row r="36" spans="2:18">
      <c r="B36" s="43"/>
      <c r="C36" s="21"/>
    </row>
    <row r="37" spans="2:18">
      <c r="B37" s="19"/>
      <c r="C37" t="s">
        <v>31</v>
      </c>
      <c r="D37" t="s">
        <v>32</v>
      </c>
    </row>
    <row r="38" spans="2:18">
      <c r="B38" s="43"/>
    </row>
    <row r="39" spans="2:18">
      <c r="B39" s="19">
        <f>(106648+531484)/B46</f>
        <v>25525.279999999999</v>
      </c>
      <c r="C39" t="s">
        <v>33</v>
      </c>
      <c r="D39" s="160" t="s">
        <v>34</v>
      </c>
      <c r="E39" s="160"/>
      <c r="F39" s="160"/>
      <c r="G39" s="160"/>
      <c r="H39" s="160"/>
      <c r="I39" s="160"/>
      <c r="J39" s="160"/>
      <c r="K39" s="160"/>
      <c r="L39" s="160"/>
      <c r="M39" s="160"/>
      <c r="N39" s="160"/>
      <c r="O39" s="160"/>
      <c r="P39" s="160"/>
      <c r="Q39" s="160"/>
      <c r="R39" s="160"/>
    </row>
    <row r="40" spans="2:18">
      <c r="B40" s="19"/>
      <c r="D40" s="160" t="s">
        <v>35</v>
      </c>
      <c r="E40" s="160"/>
      <c r="F40" s="160"/>
      <c r="G40" s="160"/>
      <c r="H40" s="160"/>
      <c r="I40" s="160"/>
      <c r="J40" s="160"/>
      <c r="K40" s="160"/>
      <c r="L40" s="160"/>
      <c r="M40" s="160"/>
      <c r="N40" s="160"/>
      <c r="O40" s="160"/>
      <c r="P40" s="160"/>
      <c r="Q40" s="160"/>
      <c r="R40" s="160"/>
    </row>
    <row r="41" spans="2:18">
      <c r="B41" s="19"/>
      <c r="D41" s="160" t="s">
        <v>36</v>
      </c>
      <c r="E41" s="160"/>
      <c r="F41" s="160"/>
      <c r="G41" s="160"/>
      <c r="H41" s="160"/>
      <c r="I41" s="160"/>
      <c r="J41" s="160"/>
      <c r="K41" s="160"/>
      <c r="L41" s="160"/>
      <c r="M41" s="160"/>
      <c r="N41" s="160"/>
      <c r="O41" s="160"/>
      <c r="P41" s="160"/>
      <c r="Q41" s="160"/>
      <c r="R41" s="160"/>
    </row>
    <row r="42" spans="2:18">
      <c r="B42" s="19"/>
      <c r="D42" s="160" t="s">
        <v>37</v>
      </c>
      <c r="E42" s="160"/>
      <c r="F42" s="160"/>
      <c r="G42" s="160"/>
      <c r="H42" s="160"/>
      <c r="I42" s="160"/>
      <c r="J42" s="160"/>
      <c r="K42" s="160"/>
      <c r="L42" s="160"/>
      <c r="M42" s="160"/>
      <c r="N42" s="160"/>
      <c r="O42" s="160"/>
      <c r="P42" s="160"/>
      <c r="Q42" s="160"/>
      <c r="R42" s="160"/>
    </row>
    <row r="43" spans="2:18">
      <c r="B43" s="19"/>
      <c r="D43" s="160" t="s">
        <v>38</v>
      </c>
      <c r="E43" s="160"/>
      <c r="F43" s="160"/>
      <c r="G43" s="160"/>
      <c r="H43" s="160"/>
      <c r="I43" s="160"/>
      <c r="J43" s="160"/>
      <c r="K43" s="160"/>
      <c r="L43" s="160"/>
      <c r="M43" s="160"/>
      <c r="N43" s="160"/>
      <c r="O43" s="160"/>
      <c r="P43" s="160"/>
      <c r="Q43" s="160"/>
      <c r="R43" s="160"/>
    </row>
    <row r="44" spans="2:18">
      <c r="B44" s="19"/>
      <c r="D44" s="160" t="s">
        <v>39</v>
      </c>
      <c r="E44" s="160"/>
      <c r="F44" s="160"/>
      <c r="G44" s="160"/>
      <c r="H44" s="160"/>
      <c r="I44" s="160"/>
      <c r="J44" s="160"/>
      <c r="K44" s="160"/>
      <c r="L44" s="160"/>
      <c r="M44" s="160"/>
      <c r="N44" s="160"/>
      <c r="O44" s="160"/>
      <c r="P44" s="160"/>
      <c r="Q44" s="160"/>
      <c r="R44" s="160"/>
    </row>
    <row r="45" spans="2:18">
      <c r="B45" s="43"/>
      <c r="D45" s="24"/>
      <c r="E45" s="24"/>
      <c r="F45" s="24"/>
      <c r="G45" s="24"/>
      <c r="H45" s="24"/>
      <c r="I45" s="24"/>
      <c r="J45" s="24"/>
      <c r="K45" s="24"/>
      <c r="L45" s="24"/>
      <c r="M45" s="24"/>
      <c r="N45" s="24"/>
      <c r="O45" s="24"/>
      <c r="P45" s="24"/>
      <c r="Q45" s="24"/>
      <c r="R45" s="24"/>
    </row>
    <row r="46" spans="2:18">
      <c r="B46" s="19">
        <v>25</v>
      </c>
      <c r="C46" t="s">
        <v>40</v>
      </c>
      <c r="D46" s="160" t="s">
        <v>41</v>
      </c>
      <c r="E46" s="160"/>
      <c r="F46" s="160"/>
      <c r="G46" s="160"/>
      <c r="H46" s="160"/>
      <c r="I46" s="160"/>
      <c r="J46" s="160"/>
      <c r="K46" s="160"/>
      <c r="L46" s="160"/>
      <c r="M46" s="160"/>
      <c r="N46" s="160"/>
      <c r="O46" s="160"/>
      <c r="P46" s="160"/>
      <c r="Q46" s="160"/>
      <c r="R46" s="160"/>
    </row>
    <row r="47" spans="2:18">
      <c r="B47" s="19"/>
      <c r="D47" s="24" t="s">
        <v>42</v>
      </c>
      <c r="E47" s="24"/>
      <c r="F47" s="24"/>
      <c r="G47" s="24"/>
      <c r="H47" s="24"/>
      <c r="I47" s="24"/>
      <c r="J47" s="24"/>
      <c r="K47" s="24"/>
      <c r="L47" s="24"/>
      <c r="M47" s="24"/>
      <c r="N47" s="24"/>
      <c r="O47" s="24"/>
      <c r="P47" s="24"/>
      <c r="Q47" s="24"/>
      <c r="R47" s="24"/>
    </row>
    <row r="49" spans="1:17" ht="30" customHeight="1">
      <c r="A49" s="25">
        <f>B55*B57/B59</f>
        <v>11.413738796650014</v>
      </c>
      <c r="B49" t="s">
        <v>11</v>
      </c>
      <c r="C49" s="164" t="s">
        <v>43</v>
      </c>
      <c r="D49" s="164"/>
      <c r="E49" s="164"/>
      <c r="F49" s="164"/>
      <c r="G49" s="164"/>
      <c r="H49" s="164"/>
      <c r="I49" s="164"/>
      <c r="J49" s="164"/>
      <c r="K49" s="164"/>
      <c r="L49" s="164"/>
      <c r="M49" s="164"/>
      <c r="N49" s="164"/>
      <c r="O49" s="164"/>
      <c r="P49" s="164"/>
      <c r="Q49" s="164"/>
    </row>
    <row r="51" spans="1:17">
      <c r="E51" s="20" t="s">
        <v>44</v>
      </c>
    </row>
    <row r="53" spans="1:17">
      <c r="E53" s="20" t="s">
        <v>45</v>
      </c>
    </row>
    <row r="55" spans="1:17" ht="46.5" customHeight="1">
      <c r="B55" s="27">
        <f>C88</f>
        <v>207151.75</v>
      </c>
      <c r="C55" t="s">
        <v>46</v>
      </c>
      <c r="D55" s="164" t="s">
        <v>47</v>
      </c>
      <c r="E55" s="164"/>
      <c r="F55" s="164"/>
      <c r="G55" s="164"/>
      <c r="H55" s="164"/>
      <c r="I55" s="164"/>
      <c r="J55" s="164"/>
      <c r="K55" s="164"/>
      <c r="L55" s="164"/>
      <c r="M55" s="164"/>
      <c r="N55" s="164"/>
      <c r="O55" s="164"/>
      <c r="P55" s="164"/>
      <c r="Q55" s="164"/>
    </row>
    <row r="56" spans="1:17" ht="7.5" customHeight="1">
      <c r="D56" s="26"/>
      <c r="E56" s="26"/>
      <c r="F56" s="26"/>
      <c r="G56" s="26"/>
      <c r="H56" s="26"/>
      <c r="I56" s="26"/>
      <c r="J56" s="26"/>
      <c r="K56" s="26"/>
      <c r="L56" s="26"/>
      <c r="M56" s="26"/>
      <c r="N56" s="26"/>
      <c r="O56" s="26"/>
      <c r="P56" s="26"/>
      <c r="Q56" s="26"/>
    </row>
    <row r="57" spans="1:17" ht="32.25" customHeight="1">
      <c r="B57" s="25">
        <f>0.3</f>
        <v>0.3</v>
      </c>
      <c r="C57" t="s">
        <v>48</v>
      </c>
      <c r="D57" s="164" t="s">
        <v>73</v>
      </c>
      <c r="E57" s="164"/>
      <c r="F57" s="164"/>
      <c r="G57" s="164"/>
      <c r="H57" s="164"/>
      <c r="I57" s="164"/>
      <c r="J57" s="164"/>
      <c r="K57" s="164"/>
      <c r="L57" s="164"/>
      <c r="M57" s="164"/>
      <c r="N57" s="164"/>
      <c r="O57" s="164"/>
      <c r="P57" s="164"/>
      <c r="Q57" s="164"/>
    </row>
    <row r="58" spans="1:17" ht="6" customHeight="1"/>
    <row r="59" spans="1:17">
      <c r="B59" s="19">
        <f>B6</f>
        <v>5444.8</v>
      </c>
      <c r="C59" t="s">
        <v>49</v>
      </c>
      <c r="D59" s="20" t="s">
        <v>50</v>
      </c>
    </row>
    <row r="62" spans="1:17">
      <c r="C62" s="28"/>
      <c r="D62" s="28"/>
      <c r="E62" s="28"/>
      <c r="F62" s="28"/>
    </row>
    <row r="63" spans="1:17">
      <c r="B63" s="29" t="s">
        <v>51</v>
      </c>
      <c r="C63" s="28"/>
      <c r="D63" s="28"/>
      <c r="E63" s="28"/>
      <c r="F63" s="28"/>
    </row>
    <row r="64" spans="1:17">
      <c r="B64" s="59">
        <v>2222</v>
      </c>
      <c r="C64" s="17">
        <f>Tāme!D55</f>
        <v>10955.8</v>
      </c>
      <c r="D64" s="30" t="s">
        <v>52</v>
      </c>
    </row>
    <row r="65" spans="1:7">
      <c r="B65" s="59">
        <v>2223</v>
      </c>
      <c r="C65" s="17">
        <f>Tāme!D56</f>
        <v>23889.599999999999</v>
      </c>
      <c r="D65" s="31" t="s">
        <v>53</v>
      </c>
    </row>
    <row r="66" spans="1:7">
      <c r="B66" s="59">
        <v>2224</v>
      </c>
      <c r="C66" s="17">
        <f>Tāme!D57</f>
        <v>4044.38</v>
      </c>
      <c r="D66" s="32" t="s">
        <v>54</v>
      </c>
    </row>
    <row r="67" spans="1:7">
      <c r="B67" s="59">
        <v>2239</v>
      </c>
      <c r="C67" s="33">
        <v>799.55</v>
      </c>
      <c r="D67" s="32" t="s">
        <v>238</v>
      </c>
    </row>
    <row r="68" spans="1:7">
      <c r="B68" s="59">
        <v>2239</v>
      </c>
      <c r="C68" s="33"/>
      <c r="D68" s="32" t="s">
        <v>239</v>
      </c>
    </row>
    <row r="69" spans="1:7">
      <c r="B69" s="59">
        <v>2239</v>
      </c>
      <c r="C69" s="33">
        <v>2894.49</v>
      </c>
      <c r="D69" s="32" t="s">
        <v>240</v>
      </c>
    </row>
    <row r="70" spans="1:7">
      <c r="A70" s="34"/>
      <c r="B70" s="72">
        <v>2241</v>
      </c>
      <c r="C70" s="35">
        <f>Tāme!D63</f>
        <v>8963.84</v>
      </c>
      <c r="D70" s="36" t="s">
        <v>55</v>
      </c>
      <c r="E70" s="34"/>
      <c r="F70" s="34"/>
    </row>
    <row r="71" spans="1:7">
      <c r="B71" s="59">
        <v>2243</v>
      </c>
      <c r="C71" s="33">
        <f>Tāme!D64</f>
        <v>15349.95</v>
      </c>
      <c r="D71" s="32" t="s">
        <v>56</v>
      </c>
      <c r="E71" s="32"/>
    </row>
    <row r="72" spans="1:7">
      <c r="B72" s="59">
        <v>2244</v>
      </c>
      <c r="C72" s="33">
        <f>Tāme!D65</f>
        <v>10535.7</v>
      </c>
      <c r="D72" s="32" t="s">
        <v>57</v>
      </c>
    </row>
    <row r="73" spans="1:7">
      <c r="B73" s="59">
        <v>2247</v>
      </c>
      <c r="C73" s="33">
        <v>788.67</v>
      </c>
      <c r="D73" s="32" t="s">
        <v>241</v>
      </c>
    </row>
    <row r="74" spans="1:7">
      <c r="B74" s="59">
        <v>2249</v>
      </c>
      <c r="C74" s="33">
        <f>Tāme!D67</f>
        <v>5578.07</v>
      </c>
      <c r="D74" s="32" t="s">
        <v>58</v>
      </c>
    </row>
    <row r="75" spans="1:7">
      <c r="B75" s="59">
        <v>2321</v>
      </c>
      <c r="C75" s="33">
        <f>Tāme!D76</f>
        <v>117555.57</v>
      </c>
      <c r="D75" s="32" t="s">
        <v>59</v>
      </c>
    </row>
    <row r="76" spans="1:7">
      <c r="B76" s="59">
        <v>2350</v>
      </c>
      <c r="C76" s="33">
        <f>Tāme!D80</f>
        <v>18019.97</v>
      </c>
      <c r="D76" s="32" t="s">
        <v>60</v>
      </c>
    </row>
    <row r="77" spans="1:7">
      <c r="B77" s="59">
        <v>1000</v>
      </c>
      <c r="C77" s="33">
        <f>10845*3+14182</f>
        <v>46717</v>
      </c>
      <c r="D77" s="64" t="s">
        <v>62</v>
      </c>
      <c r="E77" s="59"/>
      <c r="F77" s="59"/>
      <c r="G77" s="59"/>
    </row>
    <row r="78" spans="1:7">
      <c r="A78" s="37" t="s">
        <v>61</v>
      </c>
      <c r="B78" s="37"/>
      <c r="C78" s="38">
        <f>SUM(C64:C77)</f>
        <v>266092.58999999997</v>
      </c>
      <c r="D78" s="163"/>
      <c r="E78" s="163"/>
      <c r="F78" s="163"/>
      <c r="G78" s="163"/>
    </row>
    <row r="79" spans="1:7">
      <c r="C79" s="39"/>
      <c r="D79" s="64"/>
      <c r="E79" s="64"/>
      <c r="F79" s="64"/>
      <c r="G79" s="64"/>
    </row>
    <row r="80" spans="1:7">
      <c r="B80" s="59">
        <v>1000</v>
      </c>
      <c r="C80" s="40">
        <f>34063+28723+21690+19361+11654+12690+13014+10845*3</f>
        <v>173730</v>
      </c>
      <c r="D80" s="64" t="s">
        <v>242</v>
      </c>
      <c r="E80" s="59"/>
      <c r="F80" s="59"/>
      <c r="G80" s="59"/>
    </row>
    <row r="81" spans="1:4">
      <c r="B81">
        <v>2210</v>
      </c>
      <c r="C81" s="53">
        <f>Tāme!D53</f>
        <v>3427.83</v>
      </c>
      <c r="D81" t="s">
        <v>63</v>
      </c>
    </row>
    <row r="82" spans="1:4">
      <c r="B82">
        <v>2234</v>
      </c>
      <c r="C82" s="53"/>
      <c r="D82" s="32" t="s">
        <v>64</v>
      </c>
    </row>
    <row r="83" spans="1:4">
      <c r="B83">
        <v>2311</v>
      </c>
      <c r="C83" s="53">
        <f>Tāme!D73</f>
        <v>2206.1999999999998</v>
      </c>
      <c r="D83" s="32" t="s">
        <v>65</v>
      </c>
    </row>
    <row r="84" spans="1:4">
      <c r="B84">
        <v>2312</v>
      </c>
      <c r="C84" s="53">
        <f>Tāme!D74</f>
        <v>10324.27</v>
      </c>
      <c r="D84" s="32" t="s">
        <v>66</v>
      </c>
    </row>
    <row r="85" spans="1:4">
      <c r="B85">
        <v>2322</v>
      </c>
      <c r="C85" s="53">
        <f>Tāme!D77</f>
        <v>0</v>
      </c>
      <c r="D85" s="32" t="s">
        <v>67</v>
      </c>
    </row>
    <row r="86" spans="1:4">
      <c r="B86">
        <v>2390</v>
      </c>
      <c r="C86" s="53">
        <f>Tāme!D82</f>
        <v>5552.37</v>
      </c>
    </row>
    <row r="87" spans="1:4">
      <c r="C87" s="53">
        <f>D101</f>
        <v>11911.080000000002</v>
      </c>
      <c r="D87" t="s">
        <v>262</v>
      </c>
    </row>
    <row r="88" spans="1:4">
      <c r="A88" s="37" t="s">
        <v>68</v>
      </c>
      <c r="B88" s="37"/>
      <c r="C88" s="38">
        <f>SUM(C80:C87)</f>
        <v>207151.75</v>
      </c>
    </row>
    <row r="90" spans="1:4">
      <c r="C90" s="21" t="s">
        <v>69</v>
      </c>
    </row>
    <row r="91" spans="1:4">
      <c r="A91" t="s">
        <v>261</v>
      </c>
      <c r="C91" s="41">
        <v>6040.32</v>
      </c>
    </row>
    <row r="92" spans="1:4">
      <c r="A92" s="68" t="s">
        <v>245</v>
      </c>
      <c r="B92" s="68" t="s">
        <v>246</v>
      </c>
      <c r="C92" s="69" t="s">
        <v>247</v>
      </c>
      <c r="D92" s="70" t="s">
        <v>250</v>
      </c>
    </row>
    <row r="93" spans="1:4">
      <c r="A93" s="65" t="s">
        <v>248</v>
      </c>
      <c r="B93" s="65" t="s">
        <v>249</v>
      </c>
      <c r="C93" s="66">
        <v>284</v>
      </c>
      <c r="D93" s="67">
        <v>28.44</v>
      </c>
    </row>
    <row r="94" spans="1:4">
      <c r="A94" s="65" t="s">
        <v>251</v>
      </c>
      <c r="B94" s="65" t="s">
        <v>252</v>
      </c>
      <c r="C94" s="66">
        <v>599</v>
      </c>
      <c r="D94" s="67">
        <v>59.88</v>
      </c>
    </row>
    <row r="95" spans="1:4">
      <c r="A95" s="65" t="s">
        <v>253</v>
      </c>
      <c r="B95" s="65" t="s">
        <v>254</v>
      </c>
      <c r="C95" s="66">
        <v>43622.76</v>
      </c>
      <c r="D95" s="67">
        <v>4362.24</v>
      </c>
    </row>
    <row r="96" spans="1:4">
      <c r="A96" s="65" t="s">
        <v>255</v>
      </c>
      <c r="B96" s="65" t="s">
        <v>256</v>
      </c>
      <c r="C96" s="66">
        <v>17190.830000000002</v>
      </c>
      <c r="D96" s="67">
        <v>1719.12</v>
      </c>
    </row>
    <row r="97" spans="1:4">
      <c r="A97" s="65" t="s">
        <v>257</v>
      </c>
      <c r="B97" s="65" t="s">
        <v>258</v>
      </c>
      <c r="C97" s="66">
        <v>2672.1</v>
      </c>
      <c r="D97" s="67">
        <v>133.62</v>
      </c>
    </row>
    <row r="98" spans="1:4">
      <c r="A98" t="s">
        <v>259</v>
      </c>
      <c r="B98" t="s">
        <v>260</v>
      </c>
      <c r="C98">
        <v>824.01</v>
      </c>
      <c r="D98" s="67">
        <v>41.16</v>
      </c>
    </row>
    <row r="99" spans="1:4">
      <c r="D99" s="71">
        <f>SUM(D93:D98)</f>
        <v>6344.4599999999991</v>
      </c>
    </row>
    <row r="101" spans="1:4">
      <c r="A101" t="s">
        <v>262</v>
      </c>
      <c r="D101" s="71">
        <f>18255.54-D99</f>
        <v>11911.080000000002</v>
      </c>
    </row>
  </sheetData>
  <mergeCells count="18">
    <mergeCell ref="D78:G78"/>
    <mergeCell ref="D43:R43"/>
    <mergeCell ref="D44:R44"/>
    <mergeCell ref="D46:R46"/>
    <mergeCell ref="C49:Q49"/>
    <mergeCell ref="D55:Q55"/>
    <mergeCell ref="D57:Q57"/>
    <mergeCell ref="D42:R42"/>
    <mergeCell ref="E3:E4"/>
    <mergeCell ref="D21:R21"/>
    <mergeCell ref="D22:R22"/>
    <mergeCell ref="D23:R23"/>
    <mergeCell ref="D24:R24"/>
    <mergeCell ref="D25:R25"/>
    <mergeCell ref="D26:R26"/>
    <mergeCell ref="D39:R39"/>
    <mergeCell ref="D40:R40"/>
    <mergeCell ref="D41:R41"/>
  </mergeCell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0D5B-A20A-45CE-952A-D503F3E8682D}">
  <sheetPr>
    <tabColor rgb="FF92D050"/>
  </sheetPr>
  <dimension ref="A1:R102"/>
  <sheetViews>
    <sheetView topLeftCell="G1" zoomScaleNormal="100" workbookViewId="0">
      <selection activeCell="P3" sqref="P3:P4"/>
    </sheetView>
  </sheetViews>
  <sheetFormatPr defaultRowHeight="14.4" outlineLevelRow="1"/>
  <cols>
    <col min="1" max="1" width="14.88671875" customWidth="1"/>
    <col min="2" max="2" width="12.88671875" bestFit="1" customWidth="1"/>
    <col min="3" max="3" width="17.6640625" customWidth="1"/>
    <col min="4" max="4" width="26.6640625" customWidth="1"/>
    <col min="7" max="7" width="12" customWidth="1"/>
    <col min="8" max="8" width="11" bestFit="1" customWidth="1"/>
    <col min="11" max="11" width="13" customWidth="1"/>
    <col min="12" max="13" width="9.33203125" bestFit="1" customWidth="1"/>
    <col min="14" max="14" width="11.33203125" customWidth="1"/>
    <col min="16" max="16" width="14.44140625" customWidth="1"/>
    <col min="17" max="17" width="1.6640625" customWidth="1"/>
  </cols>
  <sheetData>
    <row r="1" spans="1:18">
      <c r="A1" s="1" t="s">
        <v>0</v>
      </c>
    </row>
    <row r="2" spans="1:18" ht="29.25" customHeight="1">
      <c r="A2" s="74" t="s">
        <v>264</v>
      </c>
      <c r="N2" s="2" t="s">
        <v>1</v>
      </c>
      <c r="O2" s="3" t="s">
        <v>243</v>
      </c>
      <c r="P2" s="144" t="s">
        <v>380</v>
      </c>
    </row>
    <row r="3" spans="1:18" ht="15" thickBot="1">
      <c r="B3" s="4">
        <f>(((A13/B6+B10)*B8))/12</f>
        <v>565.13787844671367</v>
      </c>
      <c r="C3" s="5" t="s">
        <v>2</v>
      </c>
      <c r="D3" s="6" t="s">
        <v>70</v>
      </c>
      <c r="E3" s="161" t="s">
        <v>3</v>
      </c>
      <c r="K3" s="8" t="s">
        <v>4</v>
      </c>
      <c r="L3" s="9">
        <f>B3/B8</f>
        <v>6.349863802772064</v>
      </c>
      <c r="N3" s="10">
        <f>L3*B8</f>
        <v>565.13787844671367</v>
      </c>
      <c r="O3" s="11">
        <f>N3/20</f>
        <v>28.256893922335685</v>
      </c>
      <c r="P3" s="151">
        <f>O3/6+0.29</f>
        <v>4.9994823203892809</v>
      </c>
      <c r="R3" s="73"/>
    </row>
    <row r="4" spans="1:18">
      <c r="B4" s="8" t="s">
        <v>5</v>
      </c>
      <c r="C4" s="5"/>
      <c r="D4" s="42">
        <v>12</v>
      </c>
      <c r="E4" s="161"/>
      <c r="K4" s="8" t="s">
        <v>6</v>
      </c>
      <c r="L4" s="14">
        <f>L3*1.21</f>
        <v>7.6833352013541969</v>
      </c>
      <c r="N4" s="10">
        <f>L4*B8</f>
        <v>683.81683292052355</v>
      </c>
      <c r="O4" s="11">
        <f>O3*1.21</f>
        <v>34.190841646026179</v>
      </c>
      <c r="P4" s="151">
        <f>P3*1.21</f>
        <v>6.0493736076710301</v>
      </c>
      <c r="R4" s="13"/>
    </row>
    <row r="5" spans="1:18">
      <c r="K5" s="12"/>
      <c r="O5" s="13"/>
    </row>
    <row r="6" spans="1:18">
      <c r="B6" s="15">
        <v>5444.8</v>
      </c>
      <c r="C6" t="s">
        <v>7</v>
      </c>
      <c r="D6" s="16" t="s">
        <v>8</v>
      </c>
      <c r="O6" s="13"/>
    </row>
    <row r="7" spans="1:18" ht="4.5" customHeight="1">
      <c r="B7" s="17"/>
      <c r="D7" s="16"/>
      <c r="O7" s="13"/>
    </row>
    <row r="8" spans="1:18">
      <c r="A8" s="18">
        <f>B8/B6</f>
        <v>1.63458712900382E-2</v>
      </c>
      <c r="B8" s="19">
        <v>89</v>
      </c>
      <c r="C8" t="s">
        <v>9</v>
      </c>
      <c r="D8" s="20" t="s">
        <v>10</v>
      </c>
      <c r="E8" s="20"/>
      <c r="L8" s="12"/>
    </row>
    <row r="9" spans="1:18" ht="5.25" customHeight="1">
      <c r="B9" s="17"/>
      <c r="D9" s="16"/>
    </row>
    <row r="10" spans="1:18">
      <c r="B10" s="63">
        <f>A49</f>
        <v>15.218318395533355</v>
      </c>
      <c r="C10" t="s">
        <v>11</v>
      </c>
      <c r="D10" s="20" t="s">
        <v>244</v>
      </c>
    </row>
    <row r="11" spans="1:18" ht="7.5" customHeight="1">
      <c r="C11" s="20"/>
    </row>
    <row r="12" spans="1:18" ht="6.75" customHeight="1">
      <c r="C12" s="20"/>
    </row>
    <row r="13" spans="1:18">
      <c r="A13" s="19">
        <f>B21+B29+B32+B35+B37+B39/B46</f>
        <v>332024.16119999997</v>
      </c>
      <c r="B13" t="s">
        <v>12</v>
      </c>
      <c r="C13" t="s">
        <v>13</v>
      </c>
    </row>
    <row r="14" spans="1:18">
      <c r="A14" s="139"/>
    </row>
    <row r="15" spans="1:18">
      <c r="D15" s="16" t="s">
        <v>14</v>
      </c>
    </row>
    <row r="16" spans="1:18">
      <c r="D16" s="22"/>
    </row>
    <row r="17" spans="1:18">
      <c r="D17" s="23" t="s">
        <v>71</v>
      </c>
    </row>
    <row r="18" spans="1:18">
      <c r="D18" s="22"/>
    </row>
    <row r="19" spans="1:18">
      <c r="D19" s="7" t="s">
        <v>15</v>
      </c>
    </row>
    <row r="21" spans="1:18" ht="15" customHeight="1">
      <c r="B21" s="19">
        <f>C78</f>
        <v>266092.58999999997</v>
      </c>
      <c r="C21" t="s">
        <v>16</v>
      </c>
      <c r="D21" s="162" t="s">
        <v>17</v>
      </c>
      <c r="E21" s="162"/>
      <c r="F21" s="162"/>
      <c r="G21" s="162"/>
      <c r="H21" s="162"/>
      <c r="I21" s="162"/>
      <c r="J21" s="162"/>
      <c r="K21" s="162"/>
      <c r="L21" s="162"/>
      <c r="M21" s="162"/>
      <c r="N21" s="162"/>
      <c r="O21" s="162"/>
      <c r="P21" s="162"/>
      <c r="Q21" s="162"/>
      <c r="R21" s="162"/>
    </row>
    <row r="22" spans="1:18" ht="15" customHeight="1">
      <c r="B22" s="19"/>
      <c r="D22" s="162" t="s">
        <v>18</v>
      </c>
      <c r="E22" s="162"/>
      <c r="F22" s="162"/>
      <c r="G22" s="162"/>
      <c r="H22" s="162"/>
      <c r="I22" s="162"/>
      <c r="J22" s="162"/>
      <c r="K22" s="162"/>
      <c r="L22" s="162"/>
      <c r="M22" s="162"/>
      <c r="N22" s="162"/>
      <c r="O22" s="162"/>
      <c r="P22" s="162"/>
      <c r="Q22" s="162"/>
      <c r="R22" s="162"/>
    </row>
    <row r="23" spans="1:18" ht="15" customHeight="1">
      <c r="A23" s="2"/>
      <c r="B23" s="19"/>
      <c r="D23" s="162" t="s">
        <v>19</v>
      </c>
      <c r="E23" s="162"/>
      <c r="F23" s="162"/>
      <c r="G23" s="162"/>
      <c r="H23" s="162"/>
      <c r="I23" s="162"/>
      <c r="J23" s="162"/>
      <c r="K23" s="162"/>
      <c r="L23" s="162"/>
      <c r="M23" s="162"/>
      <c r="N23" s="162"/>
      <c r="O23" s="162"/>
      <c r="P23" s="162"/>
      <c r="Q23" s="162"/>
      <c r="R23" s="162"/>
    </row>
    <row r="24" spans="1:18" ht="15" customHeight="1">
      <c r="A24" s="2"/>
      <c r="B24" s="19"/>
      <c r="D24" s="162" t="s">
        <v>20</v>
      </c>
      <c r="E24" s="162"/>
      <c r="F24" s="162"/>
      <c r="G24" s="162"/>
      <c r="H24" s="162"/>
      <c r="I24" s="162"/>
      <c r="J24" s="162"/>
      <c r="K24" s="162"/>
      <c r="L24" s="162"/>
      <c r="M24" s="162"/>
      <c r="N24" s="162"/>
      <c r="O24" s="162"/>
      <c r="P24" s="162"/>
      <c r="Q24" s="162"/>
      <c r="R24" s="162"/>
    </row>
    <row r="25" spans="1:18" ht="15" customHeight="1">
      <c r="B25" s="19"/>
      <c r="D25" s="162" t="s">
        <v>21</v>
      </c>
      <c r="E25" s="162"/>
      <c r="F25" s="162"/>
      <c r="G25" s="162"/>
      <c r="H25" s="162"/>
      <c r="I25" s="162"/>
      <c r="J25" s="162"/>
      <c r="K25" s="162"/>
      <c r="L25" s="162"/>
      <c r="M25" s="162"/>
      <c r="N25" s="162"/>
      <c r="O25" s="162"/>
      <c r="P25" s="162"/>
      <c r="Q25" s="162"/>
      <c r="R25" s="162"/>
    </row>
    <row r="26" spans="1:18">
      <c r="B26" s="19"/>
      <c r="D26" s="162" t="s">
        <v>22</v>
      </c>
      <c r="E26" s="162"/>
      <c r="F26" s="162"/>
      <c r="G26" s="162"/>
      <c r="H26" s="162"/>
      <c r="I26" s="162"/>
      <c r="J26" s="162"/>
      <c r="K26" s="162"/>
      <c r="L26" s="162"/>
      <c r="M26" s="162"/>
      <c r="N26" s="162"/>
      <c r="O26" s="162"/>
      <c r="P26" s="162"/>
      <c r="Q26" s="162"/>
      <c r="R26" s="162"/>
    </row>
    <row r="27" spans="1:18">
      <c r="B27" s="19"/>
      <c r="D27" s="59" t="s">
        <v>23</v>
      </c>
      <c r="E27" s="59"/>
      <c r="F27" s="59"/>
      <c r="G27" s="59"/>
      <c r="H27" s="59"/>
      <c r="I27" s="59"/>
      <c r="J27" s="59"/>
      <c r="K27" s="59"/>
      <c r="L27" s="59"/>
      <c r="M27" s="59"/>
      <c r="N27" s="59"/>
      <c r="O27" s="59"/>
      <c r="P27" s="59"/>
      <c r="Q27" s="59"/>
      <c r="R27" s="59"/>
    </row>
    <row r="28" spans="1:18">
      <c r="B28" s="17"/>
    </row>
    <row r="29" spans="1:18">
      <c r="B29" s="15">
        <f>C91</f>
        <v>37395</v>
      </c>
      <c r="C29" t="s">
        <v>24</v>
      </c>
      <c r="D29" t="s">
        <v>25</v>
      </c>
    </row>
    <row r="30" spans="1:18">
      <c r="B30" s="17"/>
      <c r="D30" t="s">
        <v>72</v>
      </c>
    </row>
    <row r="31" spans="1:18">
      <c r="B31" s="17"/>
    </row>
    <row r="32" spans="1:18">
      <c r="A32" s="53">
        <f>6533760+36000</f>
        <v>6569760</v>
      </c>
      <c r="B32" s="19">
        <f>Tāme!D86</f>
        <v>21997.96</v>
      </c>
      <c r="C32" t="s">
        <v>26</v>
      </c>
      <c r="D32" t="s">
        <v>27</v>
      </c>
    </row>
    <row r="33" spans="2:18">
      <c r="B33" s="17"/>
      <c r="D33" t="s">
        <v>28</v>
      </c>
      <c r="H33" s="62">
        <f>B32/A32</f>
        <v>3.3483658459365333E-3</v>
      </c>
    </row>
    <row r="34" spans="2:18">
      <c r="B34" s="17"/>
    </row>
    <row r="35" spans="2:18" ht="28.8">
      <c r="B35" s="19">
        <f>Tāme!D69</f>
        <v>5517.6</v>
      </c>
      <c r="C35" s="21" t="s">
        <v>29</v>
      </c>
      <c r="D35" t="s">
        <v>30</v>
      </c>
    </row>
    <row r="36" spans="2:18">
      <c r="B36" s="43"/>
      <c r="C36" s="21"/>
    </row>
    <row r="37" spans="2:18">
      <c r="B37" s="19"/>
      <c r="C37" t="s">
        <v>31</v>
      </c>
      <c r="D37" t="s">
        <v>32</v>
      </c>
    </row>
    <row r="38" spans="2:18">
      <c r="B38" s="43"/>
    </row>
    <row r="39" spans="2:18">
      <c r="B39" s="19">
        <f>(106648+531484)/B46</f>
        <v>25525.279999999999</v>
      </c>
      <c r="C39" t="s">
        <v>33</v>
      </c>
      <c r="D39" s="160" t="s">
        <v>34</v>
      </c>
      <c r="E39" s="160"/>
      <c r="F39" s="160"/>
      <c r="G39" s="160"/>
      <c r="H39" s="160"/>
      <c r="I39" s="160"/>
      <c r="J39" s="160"/>
      <c r="K39" s="160"/>
      <c r="L39" s="160"/>
      <c r="M39" s="160"/>
      <c r="N39" s="160"/>
      <c r="O39" s="160"/>
      <c r="P39" s="160"/>
      <c r="Q39" s="160"/>
      <c r="R39" s="160"/>
    </row>
    <row r="40" spans="2:18">
      <c r="B40" s="19"/>
      <c r="D40" s="160" t="s">
        <v>35</v>
      </c>
      <c r="E40" s="160"/>
      <c r="F40" s="160"/>
      <c r="G40" s="160"/>
      <c r="H40" s="160"/>
      <c r="I40" s="160"/>
      <c r="J40" s="160"/>
      <c r="K40" s="160"/>
      <c r="L40" s="160"/>
      <c r="M40" s="160"/>
      <c r="N40" s="160"/>
      <c r="O40" s="160"/>
      <c r="P40" s="160"/>
      <c r="Q40" s="160"/>
      <c r="R40" s="160"/>
    </row>
    <row r="41" spans="2:18">
      <c r="B41" s="19"/>
      <c r="D41" s="160" t="s">
        <v>36</v>
      </c>
      <c r="E41" s="160"/>
      <c r="F41" s="160"/>
      <c r="G41" s="160"/>
      <c r="H41" s="160"/>
      <c r="I41" s="160"/>
      <c r="J41" s="160"/>
      <c r="K41" s="160"/>
      <c r="L41" s="160"/>
      <c r="M41" s="160"/>
      <c r="N41" s="160"/>
      <c r="O41" s="160"/>
      <c r="P41" s="160"/>
      <c r="Q41" s="160"/>
      <c r="R41" s="160"/>
    </row>
    <row r="42" spans="2:18">
      <c r="B42" s="19"/>
      <c r="D42" s="160" t="s">
        <v>37</v>
      </c>
      <c r="E42" s="160"/>
      <c r="F42" s="160"/>
      <c r="G42" s="160"/>
      <c r="H42" s="160"/>
      <c r="I42" s="160"/>
      <c r="J42" s="160"/>
      <c r="K42" s="160"/>
      <c r="L42" s="160"/>
      <c r="M42" s="160"/>
      <c r="N42" s="160"/>
      <c r="O42" s="160"/>
      <c r="P42" s="160"/>
      <c r="Q42" s="160"/>
      <c r="R42" s="160"/>
    </row>
    <row r="43" spans="2:18">
      <c r="B43" s="19"/>
      <c r="D43" s="160" t="s">
        <v>38</v>
      </c>
      <c r="E43" s="160"/>
      <c r="F43" s="160"/>
      <c r="G43" s="160"/>
      <c r="H43" s="160"/>
      <c r="I43" s="160"/>
      <c r="J43" s="160"/>
      <c r="K43" s="160"/>
      <c r="L43" s="160"/>
      <c r="M43" s="160"/>
      <c r="N43" s="160"/>
      <c r="O43" s="160"/>
      <c r="P43" s="160"/>
      <c r="Q43" s="160"/>
      <c r="R43" s="160"/>
    </row>
    <row r="44" spans="2:18">
      <c r="B44" s="19"/>
      <c r="D44" s="160" t="s">
        <v>39</v>
      </c>
      <c r="E44" s="160"/>
      <c r="F44" s="160"/>
      <c r="G44" s="160"/>
      <c r="H44" s="160"/>
      <c r="I44" s="160"/>
      <c r="J44" s="160"/>
      <c r="K44" s="160"/>
      <c r="L44" s="160"/>
      <c r="M44" s="160"/>
      <c r="N44" s="160"/>
      <c r="O44" s="160"/>
      <c r="P44" s="160"/>
      <c r="Q44" s="160"/>
      <c r="R44" s="160"/>
    </row>
    <row r="45" spans="2:18">
      <c r="B45" s="43"/>
      <c r="D45" s="24"/>
      <c r="E45" s="24"/>
      <c r="F45" s="24"/>
      <c r="G45" s="24"/>
      <c r="H45" s="24"/>
      <c r="I45" s="24"/>
      <c r="J45" s="24"/>
      <c r="K45" s="24"/>
      <c r="L45" s="24"/>
      <c r="M45" s="24"/>
      <c r="N45" s="24"/>
      <c r="O45" s="24"/>
      <c r="P45" s="24"/>
      <c r="Q45" s="24"/>
      <c r="R45" s="24"/>
    </row>
    <row r="46" spans="2:18">
      <c r="B46" s="19">
        <v>25</v>
      </c>
      <c r="C46" t="s">
        <v>40</v>
      </c>
      <c r="D46" s="160" t="s">
        <v>41</v>
      </c>
      <c r="E46" s="160"/>
      <c r="F46" s="160"/>
      <c r="G46" s="160"/>
      <c r="H46" s="160"/>
      <c r="I46" s="160"/>
      <c r="J46" s="160"/>
      <c r="K46" s="160"/>
      <c r="L46" s="160"/>
      <c r="M46" s="160"/>
      <c r="N46" s="160"/>
      <c r="O46" s="160"/>
      <c r="P46" s="160"/>
      <c r="Q46" s="160"/>
      <c r="R46" s="160"/>
    </row>
    <row r="47" spans="2:18">
      <c r="B47" s="19"/>
      <c r="D47" s="24" t="s">
        <v>42</v>
      </c>
      <c r="E47" s="24"/>
      <c r="F47" s="24"/>
      <c r="G47" s="24"/>
      <c r="H47" s="24"/>
      <c r="I47" s="24"/>
      <c r="J47" s="24"/>
      <c r="K47" s="24"/>
      <c r="L47" s="24"/>
      <c r="M47" s="24"/>
      <c r="N47" s="24"/>
      <c r="O47" s="24"/>
      <c r="P47" s="24"/>
      <c r="Q47" s="24"/>
      <c r="R47" s="24"/>
    </row>
    <row r="49" spans="1:17" ht="30" customHeight="1">
      <c r="A49" s="25">
        <f>B55*B57/B59</f>
        <v>15.218318395533355</v>
      </c>
      <c r="B49" t="s">
        <v>11</v>
      </c>
      <c r="C49" s="164" t="s">
        <v>43</v>
      </c>
      <c r="D49" s="164"/>
      <c r="E49" s="164"/>
      <c r="F49" s="164"/>
      <c r="G49" s="164"/>
      <c r="H49" s="164"/>
      <c r="I49" s="164"/>
      <c r="J49" s="164"/>
      <c r="K49" s="164"/>
      <c r="L49" s="164"/>
      <c r="M49" s="164"/>
      <c r="N49" s="164"/>
      <c r="O49" s="164"/>
      <c r="P49" s="164"/>
      <c r="Q49" s="164"/>
    </row>
    <row r="51" spans="1:17">
      <c r="E51" s="20" t="s">
        <v>44</v>
      </c>
    </row>
    <row r="53" spans="1:17">
      <c r="E53" s="20" t="s">
        <v>45</v>
      </c>
    </row>
    <row r="55" spans="1:17" ht="46.5" customHeight="1">
      <c r="B55" s="27">
        <f>C88</f>
        <v>207151.75</v>
      </c>
      <c r="C55" t="s">
        <v>46</v>
      </c>
      <c r="D55" s="164" t="s">
        <v>47</v>
      </c>
      <c r="E55" s="164"/>
      <c r="F55" s="164"/>
      <c r="G55" s="164"/>
      <c r="H55" s="164"/>
      <c r="I55" s="164"/>
      <c r="J55" s="164"/>
      <c r="K55" s="164"/>
      <c r="L55" s="164"/>
      <c r="M55" s="164"/>
      <c r="N55" s="164"/>
      <c r="O55" s="164"/>
      <c r="P55" s="164"/>
      <c r="Q55" s="164"/>
    </row>
    <row r="56" spans="1:17" ht="7.5" customHeight="1">
      <c r="D56" s="26"/>
      <c r="E56" s="26"/>
      <c r="F56" s="26"/>
      <c r="G56" s="26"/>
      <c r="H56" s="26"/>
      <c r="I56" s="26"/>
      <c r="J56" s="26"/>
      <c r="K56" s="26"/>
      <c r="L56" s="26"/>
      <c r="M56" s="26"/>
      <c r="N56" s="26"/>
      <c r="O56" s="26"/>
      <c r="P56" s="26"/>
      <c r="Q56" s="26"/>
    </row>
    <row r="57" spans="1:17" ht="32.25" customHeight="1">
      <c r="B57" s="27">
        <f>0.4</f>
        <v>0.4</v>
      </c>
      <c r="C57" t="s">
        <v>48</v>
      </c>
      <c r="D57" s="164" t="s">
        <v>73</v>
      </c>
      <c r="E57" s="164"/>
      <c r="F57" s="164"/>
      <c r="G57" s="164"/>
      <c r="H57" s="164"/>
      <c r="I57" s="164"/>
      <c r="J57" s="164"/>
      <c r="K57" s="164"/>
      <c r="L57" s="164"/>
      <c r="M57" s="164"/>
      <c r="N57" s="164"/>
      <c r="O57" s="164"/>
      <c r="P57" s="164"/>
      <c r="Q57" s="164"/>
    </row>
    <row r="58" spans="1:17" ht="6" customHeight="1"/>
    <row r="59" spans="1:17">
      <c r="B59" s="19">
        <f>B6</f>
        <v>5444.8</v>
      </c>
      <c r="C59" t="s">
        <v>49</v>
      </c>
      <c r="D59" s="20" t="s">
        <v>50</v>
      </c>
    </row>
    <row r="62" spans="1:17">
      <c r="C62" s="28"/>
      <c r="D62" s="28"/>
      <c r="E62" s="28"/>
      <c r="F62" s="28"/>
    </row>
    <row r="63" spans="1:17">
      <c r="B63" s="29" t="s">
        <v>51</v>
      </c>
      <c r="C63" s="28"/>
      <c r="D63" s="28"/>
      <c r="E63" s="28"/>
      <c r="F63" s="28"/>
    </row>
    <row r="64" spans="1:17">
      <c r="B64" s="59">
        <v>2222</v>
      </c>
      <c r="C64" s="17">
        <f>Tāme!D55</f>
        <v>10955.8</v>
      </c>
      <c r="D64" s="30" t="s">
        <v>52</v>
      </c>
    </row>
    <row r="65" spans="1:7">
      <c r="B65" s="59">
        <v>2223</v>
      </c>
      <c r="C65" s="17">
        <f>Tāme!D56</f>
        <v>23889.599999999999</v>
      </c>
      <c r="D65" s="31" t="s">
        <v>53</v>
      </c>
    </row>
    <row r="66" spans="1:7">
      <c r="B66" s="59">
        <v>2224</v>
      </c>
      <c r="C66" s="17">
        <f>Tāme!D57</f>
        <v>4044.38</v>
      </c>
      <c r="D66" s="32" t="s">
        <v>54</v>
      </c>
    </row>
    <row r="67" spans="1:7">
      <c r="B67" s="59">
        <v>2239</v>
      </c>
      <c r="C67" s="33">
        <v>799.55</v>
      </c>
      <c r="D67" s="32" t="s">
        <v>238</v>
      </c>
    </row>
    <row r="68" spans="1:7">
      <c r="B68" s="59">
        <v>2239</v>
      </c>
      <c r="C68" s="33"/>
      <c r="D68" s="32" t="s">
        <v>239</v>
      </c>
    </row>
    <row r="69" spans="1:7">
      <c r="B69" s="59">
        <v>2239</v>
      </c>
      <c r="C69" s="33">
        <v>2894.49</v>
      </c>
      <c r="D69" s="32" t="s">
        <v>240</v>
      </c>
    </row>
    <row r="70" spans="1:7">
      <c r="A70" s="34"/>
      <c r="B70" s="72">
        <v>2241</v>
      </c>
      <c r="C70" s="35">
        <f>Tāme!D63</f>
        <v>8963.84</v>
      </c>
      <c r="D70" s="36" t="s">
        <v>55</v>
      </c>
      <c r="E70" s="34"/>
      <c r="F70" s="34"/>
    </row>
    <row r="71" spans="1:7">
      <c r="B71" s="59">
        <v>2243</v>
      </c>
      <c r="C71" s="33">
        <f>Tāme!D64</f>
        <v>15349.95</v>
      </c>
      <c r="D71" s="32" t="s">
        <v>56</v>
      </c>
      <c r="E71" s="32"/>
    </row>
    <row r="72" spans="1:7">
      <c r="B72" s="59">
        <v>2244</v>
      </c>
      <c r="C72" s="33">
        <f>Tāme!D65</f>
        <v>10535.7</v>
      </c>
      <c r="D72" s="32" t="s">
        <v>57</v>
      </c>
    </row>
    <row r="73" spans="1:7">
      <c r="B73" s="59">
        <v>2247</v>
      </c>
      <c r="C73" s="33">
        <v>788.67</v>
      </c>
      <c r="D73" s="32" t="s">
        <v>241</v>
      </c>
    </row>
    <row r="74" spans="1:7">
      <c r="B74" s="59">
        <v>2249</v>
      </c>
      <c r="C74" s="33">
        <f>Tāme!D67</f>
        <v>5578.07</v>
      </c>
      <c r="D74" s="32" t="s">
        <v>58</v>
      </c>
    </row>
    <row r="75" spans="1:7">
      <c r="B75" s="59">
        <v>2321</v>
      </c>
      <c r="C75" s="33">
        <f>Tāme!D76</f>
        <v>117555.57</v>
      </c>
      <c r="D75" s="32" t="s">
        <v>59</v>
      </c>
    </row>
    <row r="76" spans="1:7">
      <c r="B76" s="59">
        <v>2350</v>
      </c>
      <c r="C76" s="33">
        <f>Tāme!D80</f>
        <v>18019.97</v>
      </c>
      <c r="D76" s="32" t="s">
        <v>60</v>
      </c>
    </row>
    <row r="77" spans="1:7">
      <c r="B77" s="59">
        <v>1000</v>
      </c>
      <c r="C77" s="33">
        <f>10845*3+14182</f>
        <v>46717</v>
      </c>
      <c r="D77" s="64" t="s">
        <v>62</v>
      </c>
      <c r="E77" s="59"/>
      <c r="F77" s="59"/>
      <c r="G77" s="59"/>
    </row>
    <row r="78" spans="1:7">
      <c r="A78" s="37" t="s">
        <v>61</v>
      </c>
      <c r="B78" s="37"/>
      <c r="C78" s="38">
        <f>SUM(C64:C77)</f>
        <v>266092.58999999997</v>
      </c>
      <c r="D78" s="163"/>
      <c r="E78" s="163"/>
      <c r="F78" s="163"/>
      <c r="G78" s="163"/>
    </row>
    <row r="79" spans="1:7">
      <c r="C79" s="39"/>
      <c r="D79" s="64"/>
      <c r="E79" s="64"/>
      <c r="F79" s="64"/>
      <c r="G79" s="64"/>
    </row>
    <row r="80" spans="1:7">
      <c r="B80" s="59">
        <v>1000</v>
      </c>
      <c r="C80" s="40">
        <f>34063+28723+21690+19361+11654+12690+13014+10845*3</f>
        <v>173730</v>
      </c>
      <c r="D80" s="64" t="s">
        <v>242</v>
      </c>
      <c r="E80" s="59"/>
      <c r="F80" s="59"/>
      <c r="G80" s="59"/>
    </row>
    <row r="81" spans="1:4">
      <c r="B81">
        <v>2210</v>
      </c>
      <c r="C81" s="53">
        <f>Tāme!D53</f>
        <v>3427.83</v>
      </c>
      <c r="D81" t="s">
        <v>63</v>
      </c>
    </row>
    <row r="82" spans="1:4">
      <c r="B82">
        <v>2234</v>
      </c>
      <c r="C82" s="53"/>
      <c r="D82" s="32" t="s">
        <v>64</v>
      </c>
    </row>
    <row r="83" spans="1:4">
      <c r="B83">
        <v>2311</v>
      </c>
      <c r="C83" s="53">
        <f>Tāme!D73</f>
        <v>2206.1999999999998</v>
      </c>
      <c r="D83" s="32" t="s">
        <v>65</v>
      </c>
    </row>
    <row r="84" spans="1:4">
      <c r="B84">
        <v>2312</v>
      </c>
      <c r="C84" s="53">
        <f>Tāme!D74</f>
        <v>10324.27</v>
      </c>
      <c r="D84" s="32" t="s">
        <v>66</v>
      </c>
    </row>
    <row r="85" spans="1:4">
      <c r="B85">
        <v>2322</v>
      </c>
      <c r="C85" s="53">
        <f>Tāme!D77</f>
        <v>0</v>
      </c>
      <c r="D85" s="32" t="s">
        <v>67</v>
      </c>
    </row>
    <row r="86" spans="1:4">
      <c r="B86">
        <v>2390</v>
      </c>
      <c r="C86" s="53">
        <f>Tāme!D82</f>
        <v>5552.37</v>
      </c>
    </row>
    <row r="87" spans="1:4">
      <c r="C87" s="53">
        <f>D101</f>
        <v>11911.080000000002</v>
      </c>
      <c r="D87" t="s">
        <v>262</v>
      </c>
    </row>
    <row r="88" spans="1:4">
      <c r="A88" s="37" t="s">
        <v>68</v>
      </c>
      <c r="B88" s="37"/>
      <c r="C88" s="38">
        <f>SUM(C80:C87)</f>
        <v>207151.75</v>
      </c>
    </row>
    <row r="90" spans="1:4">
      <c r="C90" s="21" t="s">
        <v>69</v>
      </c>
    </row>
    <row r="91" spans="1:4">
      <c r="A91" t="s">
        <v>261</v>
      </c>
      <c r="C91" s="41">
        <v>37395</v>
      </c>
    </row>
    <row r="92" spans="1:4" hidden="1" outlineLevel="1">
      <c r="A92" s="68" t="s">
        <v>245</v>
      </c>
      <c r="B92" s="68" t="s">
        <v>246</v>
      </c>
      <c r="C92" s="69" t="s">
        <v>247</v>
      </c>
      <c r="D92" s="70" t="s">
        <v>250</v>
      </c>
    </row>
    <row r="93" spans="1:4" hidden="1" outlineLevel="1">
      <c r="A93" s="65" t="s">
        <v>248</v>
      </c>
      <c r="B93" s="65" t="s">
        <v>249</v>
      </c>
      <c r="C93" s="66">
        <v>284</v>
      </c>
      <c r="D93" s="67">
        <v>28.44</v>
      </c>
    </row>
    <row r="94" spans="1:4" hidden="1" outlineLevel="1">
      <c r="A94" s="65" t="s">
        <v>251</v>
      </c>
      <c r="B94" s="65" t="s">
        <v>252</v>
      </c>
      <c r="C94" s="66">
        <v>599</v>
      </c>
      <c r="D94" s="67">
        <v>59.88</v>
      </c>
    </row>
    <row r="95" spans="1:4" hidden="1" outlineLevel="1">
      <c r="A95" s="65" t="s">
        <v>253</v>
      </c>
      <c r="B95" s="65" t="s">
        <v>254</v>
      </c>
      <c r="C95" s="66">
        <v>43622.76</v>
      </c>
      <c r="D95" s="67">
        <v>4362.24</v>
      </c>
    </row>
    <row r="96" spans="1:4" hidden="1" outlineLevel="1">
      <c r="A96" s="65" t="s">
        <v>255</v>
      </c>
      <c r="B96" s="65" t="s">
        <v>256</v>
      </c>
      <c r="C96" s="66">
        <v>17190.830000000002</v>
      </c>
      <c r="D96" s="67">
        <v>1719.12</v>
      </c>
    </row>
    <row r="97" spans="1:4" hidden="1" outlineLevel="1">
      <c r="A97" s="65" t="s">
        <v>257</v>
      </c>
      <c r="B97" s="65" t="s">
        <v>258</v>
      </c>
      <c r="C97" s="66">
        <v>2672.1</v>
      </c>
      <c r="D97" s="67">
        <v>133.62</v>
      </c>
    </row>
    <row r="98" spans="1:4" hidden="1" outlineLevel="1">
      <c r="A98" t="s">
        <v>259</v>
      </c>
      <c r="B98" t="s">
        <v>260</v>
      </c>
      <c r="C98">
        <v>824.01</v>
      </c>
      <c r="D98" s="67">
        <v>41.16</v>
      </c>
    </row>
    <row r="99" spans="1:4" hidden="1" outlineLevel="1">
      <c r="D99" s="71">
        <f>SUM(D93:D98)</f>
        <v>6344.4599999999991</v>
      </c>
    </row>
    <row r="100" spans="1:4" hidden="1" outlineLevel="1"/>
    <row r="101" spans="1:4" hidden="1" outlineLevel="1">
      <c r="A101" t="s">
        <v>262</v>
      </c>
      <c r="D101" s="71">
        <f>18255.54-D99</f>
        <v>11911.080000000002</v>
      </c>
    </row>
    <row r="102" spans="1:4" collapsed="1"/>
  </sheetData>
  <mergeCells count="18">
    <mergeCell ref="D25:R25"/>
    <mergeCell ref="E3:E4"/>
    <mergeCell ref="D21:R21"/>
    <mergeCell ref="D22:R22"/>
    <mergeCell ref="D23:R23"/>
    <mergeCell ref="D24:R24"/>
    <mergeCell ref="D78:G78"/>
    <mergeCell ref="D26:R26"/>
    <mergeCell ref="D39:R39"/>
    <mergeCell ref="D40:R40"/>
    <mergeCell ref="D41:R41"/>
    <mergeCell ref="D42:R42"/>
    <mergeCell ref="D43:R43"/>
    <mergeCell ref="D44:R44"/>
    <mergeCell ref="D46:R46"/>
    <mergeCell ref="C49:Q49"/>
    <mergeCell ref="D55:Q55"/>
    <mergeCell ref="D57:Q5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2428-DF56-46F5-AD4F-88823CBA1355}">
  <sheetPr>
    <tabColor rgb="FF92D050"/>
  </sheetPr>
  <dimension ref="A1:R91"/>
  <sheetViews>
    <sheetView topLeftCell="B1" zoomScaleNormal="100" workbookViewId="0">
      <selection activeCell="P3" sqref="P3:P4"/>
    </sheetView>
  </sheetViews>
  <sheetFormatPr defaultRowHeight="14.4"/>
  <cols>
    <col min="1" max="1" width="14.88671875" customWidth="1"/>
    <col min="2" max="2" width="12.88671875" bestFit="1" customWidth="1"/>
    <col min="3" max="3" width="17.6640625" customWidth="1"/>
    <col min="4" max="4" width="26.6640625" customWidth="1"/>
    <col min="7" max="7" width="12" customWidth="1"/>
    <col min="8" max="8" width="11" bestFit="1" customWidth="1"/>
    <col min="11" max="11" width="13" customWidth="1"/>
    <col min="12" max="13" width="9.33203125" bestFit="1" customWidth="1"/>
    <col min="14" max="14" width="11.33203125" customWidth="1"/>
    <col min="16" max="16" width="25.33203125" customWidth="1"/>
    <col min="17" max="17" width="1.6640625" customWidth="1"/>
  </cols>
  <sheetData>
    <row r="1" spans="1:18">
      <c r="A1" s="1" t="s">
        <v>0</v>
      </c>
    </row>
    <row r="2" spans="1:18" ht="29.25" customHeight="1">
      <c r="A2" s="74" t="s">
        <v>264</v>
      </c>
      <c r="N2" s="2" t="s">
        <v>1</v>
      </c>
      <c r="O2" s="3" t="s">
        <v>243</v>
      </c>
      <c r="P2" s="144" t="s">
        <v>395</v>
      </c>
    </row>
    <row r="3" spans="1:18" ht="15" thickBot="1">
      <c r="B3" s="4">
        <f>(((A13/B6+B10)*B8))/12</f>
        <v>3643.8010335170461</v>
      </c>
      <c r="C3" s="5" t="s">
        <v>2</v>
      </c>
      <c r="D3" s="6" t="s">
        <v>70</v>
      </c>
      <c r="E3" s="161" t="s">
        <v>3</v>
      </c>
      <c r="K3" s="8" t="s">
        <v>4</v>
      </c>
      <c r="L3" s="9">
        <f>B3/B8</f>
        <v>8.9506289204545464</v>
      </c>
      <c r="N3" s="10">
        <f>L3*B8</f>
        <v>3643.8010335170461</v>
      </c>
      <c r="O3" s="11">
        <f>N3/20</f>
        <v>182.19005167585232</v>
      </c>
      <c r="P3" s="151">
        <f>O3/9</f>
        <v>20.243339075094703</v>
      </c>
      <c r="R3" s="73"/>
    </row>
    <row r="4" spans="1:18">
      <c r="B4" s="8" t="s">
        <v>5</v>
      </c>
      <c r="C4" s="5"/>
      <c r="D4" s="42">
        <v>12</v>
      </c>
      <c r="E4" s="161"/>
      <c r="K4" s="8" t="s">
        <v>6</v>
      </c>
      <c r="L4" s="14">
        <f>L3*1.21</f>
        <v>10.830260993750001</v>
      </c>
      <c r="N4" s="10">
        <f>L4*B8</f>
        <v>4408.9992505556256</v>
      </c>
      <c r="O4" s="11">
        <f>O3*1.21</f>
        <v>220.44996252778131</v>
      </c>
      <c r="P4" s="151">
        <f>P3*1.21</f>
        <v>24.494440280864591</v>
      </c>
      <c r="R4" s="13"/>
    </row>
    <row r="5" spans="1:18">
      <c r="K5" s="12"/>
      <c r="O5" s="13"/>
    </row>
    <row r="6" spans="1:18">
      <c r="B6" s="15">
        <v>440</v>
      </c>
      <c r="C6" t="s">
        <v>7</v>
      </c>
      <c r="D6" s="16" t="s">
        <v>8</v>
      </c>
      <c r="O6" s="13"/>
    </row>
    <row r="7" spans="1:18" ht="4.5" customHeight="1">
      <c r="B7" s="17"/>
      <c r="D7" s="16"/>
      <c r="O7" s="13"/>
    </row>
    <row r="8" spans="1:18">
      <c r="A8" s="18">
        <f>B8/B6</f>
        <v>0.92522727272727279</v>
      </c>
      <c r="B8" s="19">
        <v>407.1</v>
      </c>
      <c r="C8" t="s">
        <v>9</v>
      </c>
      <c r="D8" s="20" t="s">
        <v>10</v>
      </c>
      <c r="E8" s="20"/>
      <c r="L8" s="12"/>
    </row>
    <row r="9" spans="1:18" ht="5.25" customHeight="1">
      <c r="B9" s="17"/>
      <c r="D9" s="16"/>
    </row>
    <row r="10" spans="1:18">
      <c r="B10" s="63">
        <f>A49</f>
        <v>2.2828606818181822</v>
      </c>
      <c r="C10" t="s">
        <v>11</v>
      </c>
      <c r="D10" s="20" t="s">
        <v>244</v>
      </c>
    </row>
    <row r="11" spans="1:18" ht="7.5" customHeight="1">
      <c r="C11" s="20"/>
    </row>
    <row r="12" spans="1:18" ht="6.75" customHeight="1">
      <c r="C12" s="20"/>
    </row>
    <row r="13" spans="1:18">
      <c r="A13" s="150">
        <f>B21+B29+B32+B35+B37+B39/B46</f>
        <v>46254.862000000008</v>
      </c>
      <c r="B13" t="s">
        <v>12</v>
      </c>
      <c r="C13" t="s">
        <v>13</v>
      </c>
    </row>
    <row r="14" spans="1:18">
      <c r="A14" s="139"/>
    </row>
    <row r="15" spans="1:18">
      <c r="D15" s="16" t="s">
        <v>14</v>
      </c>
    </row>
    <row r="16" spans="1:18">
      <c r="D16" s="22"/>
    </row>
    <row r="17" spans="1:18">
      <c r="D17" s="23" t="s">
        <v>71</v>
      </c>
    </row>
    <row r="18" spans="1:18">
      <c r="D18" s="22"/>
    </row>
    <row r="19" spans="1:18">
      <c r="D19" s="7" t="s">
        <v>15</v>
      </c>
    </row>
    <row r="21" spans="1:18" ht="15" customHeight="1">
      <c r="B21" s="19">
        <f>C78</f>
        <v>40100.586000000003</v>
      </c>
      <c r="C21" t="s">
        <v>16</v>
      </c>
      <c r="D21" s="162" t="s">
        <v>17</v>
      </c>
      <c r="E21" s="162"/>
      <c r="F21" s="162"/>
      <c r="G21" s="162"/>
      <c r="H21" s="162"/>
      <c r="I21" s="162"/>
      <c r="J21" s="162"/>
      <c r="K21" s="162"/>
      <c r="L21" s="162"/>
      <c r="M21" s="162"/>
      <c r="N21" s="162"/>
      <c r="O21" s="162"/>
      <c r="P21" s="162"/>
      <c r="Q21" s="162"/>
      <c r="R21" s="162"/>
    </row>
    <row r="22" spans="1:18" ht="15" customHeight="1">
      <c r="B22" s="19"/>
      <c r="D22" s="162" t="s">
        <v>18</v>
      </c>
      <c r="E22" s="162"/>
      <c r="F22" s="162"/>
      <c r="G22" s="162"/>
      <c r="H22" s="162"/>
      <c r="I22" s="162"/>
      <c r="J22" s="162"/>
      <c r="K22" s="162"/>
      <c r="L22" s="162"/>
      <c r="M22" s="162"/>
      <c r="N22" s="162"/>
      <c r="O22" s="162"/>
      <c r="P22" s="162"/>
      <c r="Q22" s="162"/>
      <c r="R22" s="162"/>
    </row>
    <row r="23" spans="1:18" ht="15" customHeight="1">
      <c r="A23" s="2"/>
      <c r="B23" s="19"/>
      <c r="D23" s="162" t="s">
        <v>19</v>
      </c>
      <c r="E23" s="162"/>
      <c r="F23" s="162"/>
      <c r="G23" s="162"/>
      <c r="H23" s="162"/>
      <c r="I23" s="162"/>
      <c r="J23" s="162"/>
      <c r="K23" s="162"/>
      <c r="L23" s="162"/>
      <c r="M23" s="162"/>
      <c r="N23" s="162"/>
      <c r="O23" s="162"/>
      <c r="P23" s="162"/>
      <c r="Q23" s="162"/>
      <c r="R23" s="162"/>
    </row>
    <row r="24" spans="1:18" ht="15" customHeight="1">
      <c r="A24" s="2"/>
      <c r="B24" s="19"/>
      <c r="D24" s="162" t="s">
        <v>20</v>
      </c>
      <c r="E24" s="162"/>
      <c r="F24" s="162"/>
      <c r="G24" s="162"/>
      <c r="H24" s="162"/>
      <c r="I24" s="162"/>
      <c r="J24" s="162"/>
      <c r="K24" s="162"/>
      <c r="L24" s="162"/>
      <c r="M24" s="162"/>
      <c r="N24" s="162"/>
      <c r="O24" s="162"/>
      <c r="P24" s="162"/>
      <c r="Q24" s="162"/>
      <c r="R24" s="162"/>
    </row>
    <row r="25" spans="1:18" ht="15" customHeight="1">
      <c r="B25" s="19"/>
      <c r="D25" s="162" t="s">
        <v>21</v>
      </c>
      <c r="E25" s="162"/>
      <c r="F25" s="162"/>
      <c r="G25" s="162"/>
      <c r="H25" s="162"/>
      <c r="I25" s="162"/>
      <c r="J25" s="162"/>
      <c r="K25" s="162"/>
      <c r="L25" s="162"/>
      <c r="M25" s="162"/>
      <c r="N25" s="162"/>
      <c r="O25" s="162"/>
      <c r="P25" s="162"/>
      <c r="Q25" s="162"/>
      <c r="R25" s="162"/>
    </row>
    <row r="26" spans="1:18">
      <c r="B26" s="19"/>
      <c r="D26" s="162" t="s">
        <v>22</v>
      </c>
      <c r="E26" s="162"/>
      <c r="F26" s="162"/>
      <c r="G26" s="162"/>
      <c r="H26" s="162"/>
      <c r="I26" s="162"/>
      <c r="J26" s="162"/>
      <c r="K26" s="162"/>
      <c r="L26" s="162"/>
      <c r="M26" s="162"/>
      <c r="N26" s="162"/>
      <c r="O26" s="162"/>
      <c r="P26" s="162"/>
      <c r="Q26" s="162"/>
      <c r="R26" s="162"/>
    </row>
    <row r="27" spans="1:18">
      <c r="B27" s="19"/>
      <c r="D27" s="59" t="s">
        <v>23</v>
      </c>
      <c r="E27" s="59"/>
      <c r="F27" s="59"/>
      <c r="G27" s="59"/>
      <c r="H27" s="59"/>
      <c r="I27" s="59"/>
      <c r="J27" s="59"/>
      <c r="K27" s="59"/>
      <c r="L27" s="59"/>
      <c r="M27" s="59"/>
      <c r="N27" s="59"/>
      <c r="O27" s="59"/>
      <c r="P27" s="59"/>
      <c r="Q27" s="59"/>
      <c r="R27" s="59"/>
    </row>
    <row r="28" spans="1:18">
      <c r="B28" s="17"/>
    </row>
    <row r="29" spans="1:18">
      <c r="B29" s="15">
        <f>C91</f>
        <v>3402.72</v>
      </c>
      <c r="C29" t="s">
        <v>24</v>
      </c>
      <c r="D29" t="s">
        <v>25</v>
      </c>
    </row>
    <row r="30" spans="1:18">
      <c r="B30" s="17"/>
      <c r="D30" t="s">
        <v>72</v>
      </c>
    </row>
    <row r="31" spans="1:18">
      <c r="B31" s="17"/>
    </row>
    <row r="32" spans="1:18">
      <c r="A32" s="53">
        <f>6533760+36000</f>
        <v>6569760</v>
      </c>
      <c r="B32" s="19">
        <f>Tāme!D86*0.1</f>
        <v>2199.7959999999998</v>
      </c>
      <c r="C32" t="s">
        <v>26</v>
      </c>
      <c r="D32" t="s">
        <v>27</v>
      </c>
    </row>
    <row r="33" spans="2:18">
      <c r="B33" s="17"/>
      <c r="D33" t="s">
        <v>28</v>
      </c>
      <c r="H33" s="62">
        <f>B32/A32</f>
        <v>3.348365845936533E-4</v>
      </c>
    </row>
    <row r="34" spans="2:18">
      <c r="B34" s="17"/>
    </row>
    <row r="35" spans="2:18" ht="28.8">
      <c r="B35" s="19">
        <f>Tāme!D69*0.1</f>
        <v>551.7600000000001</v>
      </c>
      <c r="C35" s="21" t="s">
        <v>29</v>
      </c>
      <c r="D35" t="s">
        <v>30</v>
      </c>
    </row>
    <row r="36" spans="2:18">
      <c r="B36" s="43"/>
      <c r="C36" s="21"/>
    </row>
    <row r="37" spans="2:18">
      <c r="B37" s="19">
        <v>0</v>
      </c>
      <c r="C37" t="s">
        <v>31</v>
      </c>
      <c r="D37" t="s">
        <v>32</v>
      </c>
    </row>
    <row r="38" spans="2:18">
      <c r="B38" s="43"/>
    </row>
    <row r="39" spans="2:18">
      <c r="B39" s="19">
        <v>0</v>
      </c>
      <c r="C39" t="s">
        <v>33</v>
      </c>
      <c r="D39" s="160" t="s">
        <v>34</v>
      </c>
      <c r="E39" s="160"/>
      <c r="F39" s="160"/>
      <c r="G39" s="160"/>
      <c r="H39" s="160"/>
      <c r="I39" s="160"/>
      <c r="J39" s="160"/>
      <c r="K39" s="160"/>
      <c r="L39" s="160"/>
      <c r="M39" s="160"/>
      <c r="N39" s="160"/>
      <c r="O39" s="160"/>
      <c r="P39" s="160"/>
      <c r="Q39" s="160"/>
      <c r="R39" s="160"/>
    </row>
    <row r="40" spans="2:18">
      <c r="B40" s="19"/>
      <c r="D40" s="160" t="s">
        <v>35</v>
      </c>
      <c r="E40" s="160"/>
      <c r="F40" s="160"/>
      <c r="G40" s="160"/>
      <c r="H40" s="160"/>
      <c r="I40" s="160"/>
      <c r="J40" s="160"/>
      <c r="K40" s="160"/>
      <c r="L40" s="160"/>
      <c r="M40" s="160"/>
      <c r="N40" s="160"/>
      <c r="O40" s="160"/>
      <c r="P40" s="160"/>
      <c r="Q40" s="160"/>
      <c r="R40" s="160"/>
    </row>
    <row r="41" spans="2:18">
      <c r="B41" s="19"/>
      <c r="D41" s="160" t="s">
        <v>36</v>
      </c>
      <c r="E41" s="160"/>
      <c r="F41" s="160"/>
      <c r="G41" s="160"/>
      <c r="H41" s="160"/>
      <c r="I41" s="160"/>
      <c r="J41" s="160"/>
      <c r="K41" s="160"/>
      <c r="L41" s="160"/>
      <c r="M41" s="160"/>
      <c r="N41" s="160"/>
      <c r="O41" s="160"/>
      <c r="P41" s="160"/>
      <c r="Q41" s="160"/>
      <c r="R41" s="160"/>
    </row>
    <row r="42" spans="2:18">
      <c r="B42" s="19"/>
      <c r="D42" s="160" t="s">
        <v>37</v>
      </c>
      <c r="E42" s="160"/>
      <c r="F42" s="160"/>
      <c r="G42" s="160"/>
      <c r="H42" s="160"/>
      <c r="I42" s="160"/>
      <c r="J42" s="160"/>
      <c r="K42" s="160"/>
      <c r="L42" s="160"/>
      <c r="M42" s="160"/>
      <c r="N42" s="160"/>
      <c r="O42" s="160"/>
      <c r="P42" s="160"/>
      <c r="Q42" s="160"/>
      <c r="R42" s="160"/>
    </row>
    <row r="43" spans="2:18">
      <c r="B43" s="19"/>
      <c r="D43" s="160" t="s">
        <v>38</v>
      </c>
      <c r="E43" s="160"/>
      <c r="F43" s="160"/>
      <c r="G43" s="160"/>
      <c r="H43" s="160"/>
      <c r="I43" s="160"/>
      <c r="J43" s="160"/>
      <c r="K43" s="160"/>
      <c r="L43" s="160"/>
      <c r="M43" s="160"/>
      <c r="N43" s="160"/>
      <c r="O43" s="160"/>
      <c r="P43" s="160"/>
      <c r="Q43" s="160"/>
      <c r="R43" s="160"/>
    </row>
    <row r="44" spans="2:18">
      <c r="B44" s="19"/>
      <c r="D44" s="160" t="s">
        <v>39</v>
      </c>
      <c r="E44" s="160"/>
      <c r="F44" s="160"/>
      <c r="G44" s="160"/>
      <c r="H44" s="160"/>
      <c r="I44" s="160"/>
      <c r="J44" s="160"/>
      <c r="K44" s="160"/>
      <c r="L44" s="160"/>
      <c r="M44" s="160"/>
      <c r="N44" s="160"/>
      <c r="O44" s="160"/>
      <c r="P44" s="160"/>
      <c r="Q44" s="160"/>
      <c r="R44" s="160"/>
    </row>
    <row r="45" spans="2:18">
      <c r="B45" s="43"/>
      <c r="D45" s="24"/>
      <c r="E45" s="24"/>
      <c r="F45" s="24"/>
      <c r="G45" s="24"/>
      <c r="H45" s="24"/>
      <c r="I45" s="24"/>
      <c r="J45" s="24"/>
      <c r="K45" s="24"/>
      <c r="L45" s="24"/>
      <c r="M45" s="24"/>
      <c r="N45" s="24"/>
      <c r="O45" s="24"/>
      <c r="P45" s="24"/>
      <c r="Q45" s="24"/>
      <c r="R45" s="24"/>
    </row>
    <row r="46" spans="2:18">
      <c r="B46" s="19">
        <v>0.1</v>
      </c>
      <c r="C46" t="s">
        <v>40</v>
      </c>
      <c r="D46" s="160" t="s">
        <v>41</v>
      </c>
      <c r="E46" s="160"/>
      <c r="F46" s="160"/>
      <c r="G46" s="160"/>
      <c r="H46" s="160"/>
      <c r="I46" s="160"/>
      <c r="J46" s="160"/>
      <c r="K46" s="160"/>
      <c r="L46" s="160"/>
      <c r="M46" s="160"/>
      <c r="N46" s="160"/>
      <c r="O46" s="160"/>
      <c r="P46" s="160"/>
      <c r="Q46" s="160"/>
      <c r="R46" s="160"/>
    </row>
    <row r="47" spans="2:18">
      <c r="B47" s="19"/>
      <c r="D47" s="24" t="s">
        <v>42</v>
      </c>
      <c r="E47" s="24"/>
      <c r="F47" s="24"/>
      <c r="G47" s="24"/>
      <c r="H47" s="24"/>
      <c r="I47" s="24"/>
      <c r="J47" s="24"/>
      <c r="K47" s="24"/>
      <c r="L47" s="24"/>
      <c r="M47" s="24"/>
      <c r="N47" s="24"/>
      <c r="O47" s="24"/>
      <c r="P47" s="24"/>
      <c r="Q47" s="24"/>
      <c r="R47" s="24"/>
    </row>
    <row r="49" spans="1:17" ht="30" customHeight="1">
      <c r="A49" s="25">
        <f>B55*B57/B59</f>
        <v>2.2828606818181822</v>
      </c>
      <c r="B49" t="s">
        <v>11</v>
      </c>
      <c r="C49" s="164" t="s">
        <v>43</v>
      </c>
      <c r="D49" s="164"/>
      <c r="E49" s="164"/>
      <c r="F49" s="164"/>
      <c r="G49" s="164"/>
      <c r="H49" s="164"/>
      <c r="I49" s="164"/>
      <c r="J49" s="164"/>
      <c r="K49" s="164"/>
      <c r="L49" s="164"/>
      <c r="M49" s="164"/>
      <c r="N49" s="164"/>
      <c r="O49" s="164"/>
      <c r="P49" s="164"/>
      <c r="Q49" s="164"/>
    </row>
    <row r="51" spans="1:17">
      <c r="E51" s="20" t="s">
        <v>44</v>
      </c>
    </row>
    <row r="53" spans="1:17">
      <c r="E53" s="20" t="s">
        <v>45</v>
      </c>
    </row>
    <row r="55" spans="1:17" ht="46.5" customHeight="1">
      <c r="B55" s="27">
        <f>C88</f>
        <v>10044.587000000001</v>
      </c>
      <c r="C55" t="s">
        <v>46</v>
      </c>
      <c r="D55" s="164" t="s">
        <v>47</v>
      </c>
      <c r="E55" s="164"/>
      <c r="F55" s="164"/>
      <c r="G55" s="164"/>
      <c r="H55" s="164"/>
      <c r="I55" s="164"/>
      <c r="J55" s="164"/>
      <c r="K55" s="164"/>
      <c r="L55" s="164"/>
      <c r="M55" s="164"/>
      <c r="N55" s="164"/>
      <c r="O55" s="164"/>
      <c r="P55" s="164"/>
      <c r="Q55" s="164"/>
    </row>
    <row r="56" spans="1:17" ht="7.5" customHeight="1">
      <c r="D56" s="26"/>
      <c r="E56" s="26"/>
      <c r="F56" s="26"/>
      <c r="G56" s="26"/>
      <c r="H56" s="26"/>
      <c r="I56" s="26"/>
      <c r="J56" s="26"/>
      <c r="K56" s="26"/>
      <c r="L56" s="26"/>
      <c r="M56" s="26"/>
      <c r="N56" s="26"/>
      <c r="O56" s="26"/>
      <c r="P56" s="26"/>
      <c r="Q56" s="26"/>
    </row>
    <row r="57" spans="1:17" ht="32.25" customHeight="1">
      <c r="B57" s="27">
        <f>0.1</f>
        <v>0.1</v>
      </c>
      <c r="C57" t="s">
        <v>48</v>
      </c>
      <c r="D57" s="164" t="s">
        <v>73</v>
      </c>
      <c r="E57" s="164"/>
      <c r="F57" s="164"/>
      <c r="G57" s="164"/>
      <c r="H57" s="164"/>
      <c r="I57" s="164"/>
      <c r="J57" s="164"/>
      <c r="K57" s="164"/>
      <c r="L57" s="164"/>
      <c r="M57" s="164"/>
      <c r="N57" s="164"/>
      <c r="O57" s="164"/>
      <c r="P57" s="164"/>
      <c r="Q57" s="164"/>
    </row>
    <row r="58" spans="1:17" ht="6" customHeight="1"/>
    <row r="59" spans="1:17">
      <c r="B59" s="19">
        <f>B6</f>
        <v>440</v>
      </c>
      <c r="C59" t="s">
        <v>49</v>
      </c>
      <c r="D59" s="20" t="s">
        <v>50</v>
      </c>
    </row>
    <row r="62" spans="1:17">
      <c r="C62" s="28"/>
      <c r="D62" s="28"/>
      <c r="E62" s="28"/>
      <c r="F62" s="28"/>
    </row>
    <row r="63" spans="1:17">
      <c r="B63" s="29" t="s">
        <v>51</v>
      </c>
      <c r="C63" s="28"/>
      <c r="D63" s="28"/>
      <c r="E63" s="28"/>
      <c r="F63" s="28"/>
    </row>
    <row r="64" spans="1:17">
      <c r="B64" s="59">
        <v>2222</v>
      </c>
      <c r="C64" s="17">
        <f>Tāme!D55*0.05</f>
        <v>547.79</v>
      </c>
      <c r="D64" s="145" t="s">
        <v>381</v>
      </c>
    </row>
    <row r="65" spans="1:7">
      <c r="B65" s="59">
        <v>2223</v>
      </c>
      <c r="C65" s="17">
        <f>Tāme!D56*0.1</f>
        <v>2388.96</v>
      </c>
      <c r="D65" s="146" t="s">
        <v>382</v>
      </c>
    </row>
    <row r="66" spans="1:7">
      <c r="B66" s="59">
        <v>2224</v>
      </c>
      <c r="C66" s="17">
        <f>Tāme!D57*0.1</f>
        <v>404.43800000000005</v>
      </c>
      <c r="D66" s="145" t="s">
        <v>383</v>
      </c>
    </row>
    <row r="67" spans="1:7">
      <c r="B67" s="59">
        <v>2239</v>
      </c>
      <c r="C67" s="33">
        <f>799.55*0.1</f>
        <v>79.954999999999998</v>
      </c>
      <c r="D67" s="147" t="s">
        <v>384</v>
      </c>
    </row>
    <row r="68" spans="1:7">
      <c r="B68" s="59">
        <v>2239</v>
      </c>
      <c r="C68" s="33"/>
      <c r="D68" s="32" t="s">
        <v>239</v>
      </c>
    </row>
    <row r="69" spans="1:7">
      <c r="A69" s="34"/>
      <c r="B69" s="72">
        <v>2241</v>
      </c>
      <c r="C69" s="35">
        <f>Tāme!D63*0.3</f>
        <v>2689.152</v>
      </c>
      <c r="D69" s="36" t="s">
        <v>55</v>
      </c>
      <c r="E69" s="34"/>
      <c r="F69" s="34"/>
    </row>
    <row r="70" spans="1:7" ht="14.4" customHeight="1">
      <c r="B70" s="59">
        <v>2243</v>
      </c>
      <c r="C70" s="33">
        <f>Tāme!D64-1067.3-7144.63</f>
        <v>7138.0200000000013</v>
      </c>
      <c r="D70" s="165" t="s">
        <v>385</v>
      </c>
      <c r="E70" s="165"/>
      <c r="F70" s="165"/>
      <c r="G70" s="165"/>
    </row>
    <row r="71" spans="1:7">
      <c r="B71" s="59">
        <v>2244</v>
      </c>
      <c r="C71" s="33">
        <f>Tāme!D65*0.1</f>
        <v>1053.5700000000002</v>
      </c>
      <c r="D71" s="145" t="s">
        <v>386</v>
      </c>
      <c r="E71" s="148"/>
      <c r="F71" s="149"/>
      <c r="G71" s="148"/>
    </row>
    <row r="72" spans="1:7">
      <c r="B72" s="59">
        <v>2247</v>
      </c>
      <c r="C72" s="33">
        <v>788.67</v>
      </c>
      <c r="D72" s="32" t="s">
        <v>241</v>
      </c>
    </row>
    <row r="73" spans="1:7">
      <c r="B73" s="59">
        <v>2249</v>
      </c>
      <c r="C73" s="33">
        <f>Tāme!D67*0.1</f>
        <v>557.80700000000002</v>
      </c>
      <c r="D73" s="145" t="s">
        <v>387</v>
      </c>
    </row>
    <row r="74" spans="1:7">
      <c r="B74" s="59">
        <v>2264</v>
      </c>
      <c r="C74" s="33">
        <f>Tāme!D70*0.1</f>
        <v>49.67</v>
      </c>
      <c r="D74" s="145" t="s">
        <v>388</v>
      </c>
    </row>
    <row r="75" spans="1:7">
      <c r="B75" s="59">
        <v>2321</v>
      </c>
      <c r="C75" s="33">
        <f>Tāme!D76*0.1</f>
        <v>11755.557000000001</v>
      </c>
      <c r="D75" s="147" t="s">
        <v>389</v>
      </c>
    </row>
    <row r="76" spans="1:7">
      <c r="B76" s="59">
        <v>2350</v>
      </c>
      <c r="C76" s="33">
        <f>Tāme!D80*0.1</f>
        <v>1801.9970000000003</v>
      </c>
      <c r="D76" s="147" t="s">
        <v>390</v>
      </c>
    </row>
    <row r="77" spans="1:7">
      <c r="B77" s="59">
        <v>1000</v>
      </c>
      <c r="C77" s="33">
        <f>10845</f>
        <v>10845</v>
      </c>
      <c r="D77" s="64" t="s">
        <v>62</v>
      </c>
      <c r="E77" s="59"/>
      <c r="F77" s="59"/>
      <c r="G77" s="59"/>
    </row>
    <row r="78" spans="1:7">
      <c r="A78" s="37" t="s">
        <v>61</v>
      </c>
      <c r="B78" s="37"/>
      <c r="C78" s="38">
        <f>SUM(C64:C77)</f>
        <v>40100.586000000003</v>
      </c>
      <c r="D78" s="163"/>
      <c r="E78" s="163"/>
      <c r="F78" s="163"/>
      <c r="G78" s="163"/>
    </row>
    <row r="79" spans="1:7">
      <c r="C79" s="39"/>
      <c r="D79" s="64"/>
      <c r="E79" s="64"/>
      <c r="F79" s="64"/>
      <c r="G79" s="64"/>
    </row>
    <row r="80" spans="1:7">
      <c r="B80" s="59">
        <v>1000</v>
      </c>
      <c r="C80" s="40">
        <f>(34063+10845)*0.1</f>
        <v>4490.8</v>
      </c>
      <c r="D80" s="64" t="s">
        <v>391</v>
      </c>
      <c r="E80" s="59"/>
      <c r="F80" s="59"/>
      <c r="G80" s="59"/>
    </row>
    <row r="81" spans="1:4">
      <c r="B81">
        <v>2210</v>
      </c>
      <c r="C81" s="53">
        <f>Tāme!D53*0.1</f>
        <v>342.78300000000002</v>
      </c>
      <c r="D81" t="s">
        <v>392</v>
      </c>
    </row>
    <row r="82" spans="1:4">
      <c r="B82">
        <v>2234</v>
      </c>
      <c r="C82" s="53"/>
      <c r="D82" s="32" t="s">
        <v>64</v>
      </c>
    </row>
    <row r="83" spans="1:4">
      <c r="B83">
        <v>2311</v>
      </c>
      <c r="C83" s="53">
        <f>Tāme!D73*0.1</f>
        <v>220.62</v>
      </c>
      <c r="D83" s="32" t="s">
        <v>393</v>
      </c>
    </row>
    <row r="84" spans="1:4">
      <c r="B84">
        <v>2312</v>
      </c>
      <c r="C84" s="53">
        <f>Tāme!D74*0.1</f>
        <v>1032.4270000000001</v>
      </c>
      <c r="D84" s="32" t="s">
        <v>394</v>
      </c>
    </row>
    <row r="85" spans="1:4">
      <c r="B85">
        <v>2322</v>
      </c>
      <c r="C85" s="53">
        <f>Tāme!D77</f>
        <v>0</v>
      </c>
      <c r="D85" s="32" t="s">
        <v>67</v>
      </c>
    </row>
    <row r="86" spans="1:4">
      <c r="B86">
        <v>2390</v>
      </c>
      <c r="C86" s="53">
        <f>Tāme!D82*0.1</f>
        <v>555.23699999999997</v>
      </c>
    </row>
    <row r="87" spans="1:4">
      <c r="C87" s="53">
        <f>C91</f>
        <v>3402.72</v>
      </c>
      <c r="D87" t="s">
        <v>262</v>
      </c>
    </row>
    <row r="88" spans="1:4">
      <c r="A88" s="37" t="s">
        <v>68</v>
      </c>
      <c r="B88" s="37"/>
      <c r="C88" s="38">
        <f>SUM(C80:C87)</f>
        <v>10044.587000000001</v>
      </c>
    </row>
    <row r="90" spans="1:4">
      <c r="C90" s="21" t="s">
        <v>69</v>
      </c>
    </row>
    <row r="91" spans="1:4">
      <c r="A91" t="s">
        <v>261</v>
      </c>
      <c r="C91" s="41">
        <v>3402.72</v>
      </c>
    </row>
  </sheetData>
  <mergeCells count="19">
    <mergeCell ref="D25:R25"/>
    <mergeCell ref="E3:E4"/>
    <mergeCell ref="D21:R21"/>
    <mergeCell ref="D22:R22"/>
    <mergeCell ref="D23:R23"/>
    <mergeCell ref="D24:R24"/>
    <mergeCell ref="D78:G78"/>
    <mergeCell ref="D70:G70"/>
    <mergeCell ref="D26:R26"/>
    <mergeCell ref="D39:R39"/>
    <mergeCell ref="D40:R40"/>
    <mergeCell ref="D41:R41"/>
    <mergeCell ref="D42:R42"/>
    <mergeCell ref="D43:R43"/>
    <mergeCell ref="D44:R44"/>
    <mergeCell ref="D46:R46"/>
    <mergeCell ref="C49:Q49"/>
    <mergeCell ref="D55:Q55"/>
    <mergeCell ref="D57:Q57"/>
  </mergeCells>
  <pageMargins left="0.70866141732283472" right="0.70866141732283472" top="0.74803149606299213" bottom="0.74803149606299213" header="0.31496062992125984" footer="0.31496062992125984"/>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FD44-DFF9-4E92-B087-51015E72097B}">
  <dimension ref="A1:F100"/>
  <sheetViews>
    <sheetView tabSelected="1" topLeftCell="A76" workbookViewId="0">
      <selection activeCell="F60" sqref="F60"/>
    </sheetView>
  </sheetViews>
  <sheetFormatPr defaultRowHeight="14.4"/>
  <cols>
    <col min="1" max="1" width="60" bestFit="1" customWidth="1"/>
    <col min="2" max="2" width="11.44140625" bestFit="1" customWidth="1"/>
    <col min="3" max="5" width="12.88671875" style="53" bestFit="1" customWidth="1"/>
    <col min="6" max="6" width="11.44140625" bestFit="1" customWidth="1"/>
  </cols>
  <sheetData>
    <row r="1" spans="1:6">
      <c r="A1" s="166" t="s">
        <v>265</v>
      </c>
      <c r="B1" s="166"/>
      <c r="C1" s="166"/>
      <c r="D1" s="166"/>
      <c r="E1" s="166"/>
      <c r="F1" s="166"/>
    </row>
    <row r="2" spans="1:6">
      <c r="A2" s="167" t="s">
        <v>266</v>
      </c>
      <c r="B2" s="167"/>
      <c r="C2" s="167"/>
      <c r="D2" s="167"/>
      <c r="E2" s="167"/>
      <c r="F2" s="167"/>
    </row>
    <row r="4" spans="1:6" ht="14.4" customHeight="1">
      <c r="A4" s="168" t="s">
        <v>74</v>
      </c>
      <c r="B4" s="168"/>
      <c r="C4" s="168"/>
      <c r="D4" s="168"/>
      <c r="E4" s="168"/>
      <c r="F4" s="168"/>
    </row>
    <row r="5" spans="1:6">
      <c r="A5" s="169" t="s">
        <v>75</v>
      </c>
      <c r="B5" s="169"/>
      <c r="C5" s="169"/>
      <c r="D5" s="169"/>
      <c r="E5" s="169"/>
      <c r="F5" s="169"/>
    </row>
    <row r="6" spans="1:6">
      <c r="A6" s="169" t="s">
        <v>76</v>
      </c>
      <c r="B6" s="169"/>
      <c r="C6" s="169"/>
      <c r="D6" s="169"/>
      <c r="E6" s="169"/>
      <c r="F6" s="169"/>
    </row>
    <row r="7" spans="1:6">
      <c r="A7" s="169" t="s">
        <v>77</v>
      </c>
      <c r="B7" s="169"/>
      <c r="C7" s="169"/>
      <c r="D7" s="169"/>
      <c r="E7" s="169"/>
      <c r="F7" s="169"/>
    </row>
    <row r="8" spans="1:6" ht="14.4" customHeight="1">
      <c r="A8" s="169" t="s">
        <v>78</v>
      </c>
      <c r="B8" s="169"/>
      <c r="C8" s="169"/>
      <c r="D8" s="169"/>
      <c r="E8" s="169"/>
      <c r="F8" s="169"/>
    </row>
    <row r="9" spans="1:6" ht="14.4" customHeight="1">
      <c r="A9" s="169" t="s">
        <v>79</v>
      </c>
      <c r="B9" s="169"/>
      <c r="C9" s="169"/>
      <c r="D9" s="169"/>
      <c r="E9" s="169"/>
      <c r="F9" s="169"/>
    </row>
    <row r="10" spans="1:6">
      <c r="A10" s="169" t="s">
        <v>80</v>
      </c>
      <c r="B10" s="169"/>
      <c r="C10" s="169"/>
      <c r="D10" s="169"/>
      <c r="E10" s="169"/>
      <c r="F10" s="169"/>
    </row>
    <row r="12" spans="1:6" ht="15.6">
      <c r="A12" s="170" t="s">
        <v>81</v>
      </c>
      <c r="B12" s="170" t="s">
        <v>82</v>
      </c>
      <c r="C12" s="85" t="s">
        <v>267</v>
      </c>
      <c r="D12" s="85" t="s">
        <v>83</v>
      </c>
      <c r="E12" s="85" t="s">
        <v>84</v>
      </c>
      <c r="F12" s="170" t="s">
        <v>85</v>
      </c>
    </row>
    <row r="13" spans="1:6">
      <c r="A13" s="171"/>
      <c r="B13" s="171"/>
      <c r="C13" s="86" t="s">
        <v>86</v>
      </c>
      <c r="D13" s="86" t="s">
        <v>86</v>
      </c>
      <c r="E13" s="86" t="s">
        <v>86</v>
      </c>
      <c r="F13" s="171"/>
    </row>
    <row r="14" spans="1:6">
      <c r="A14" s="76" t="s">
        <v>87</v>
      </c>
      <c r="B14" s="77" t="s">
        <v>88</v>
      </c>
      <c r="C14" s="87">
        <v>17200</v>
      </c>
      <c r="D14" s="87">
        <v>24606.27</v>
      </c>
      <c r="E14" s="87">
        <v>-7406.27</v>
      </c>
      <c r="F14" s="78">
        <v>143.06</v>
      </c>
    </row>
    <row r="15" spans="1:6">
      <c r="A15" s="79" t="s">
        <v>89</v>
      </c>
      <c r="B15" s="79" t="s">
        <v>90</v>
      </c>
      <c r="C15" s="88" t="s">
        <v>91</v>
      </c>
      <c r="D15" s="88" t="s">
        <v>92</v>
      </c>
      <c r="E15" s="88" t="s">
        <v>93</v>
      </c>
      <c r="F15" s="79" t="s">
        <v>94</v>
      </c>
    </row>
    <row r="16" spans="1:6">
      <c r="A16" s="80" t="s">
        <v>268</v>
      </c>
      <c r="B16" s="80" t="s">
        <v>269</v>
      </c>
      <c r="C16" s="89">
        <v>0</v>
      </c>
      <c r="D16" s="89">
        <v>142.46</v>
      </c>
      <c r="E16" s="89">
        <v>-142.46</v>
      </c>
      <c r="F16" s="81">
        <v>0</v>
      </c>
    </row>
    <row r="17" spans="1:6">
      <c r="A17" s="77" t="s">
        <v>270</v>
      </c>
      <c r="B17" s="77" t="s">
        <v>271</v>
      </c>
      <c r="C17" s="90">
        <v>0</v>
      </c>
      <c r="D17" s="90">
        <v>142.46</v>
      </c>
      <c r="E17" s="90">
        <v>-142.46</v>
      </c>
      <c r="F17" s="82">
        <v>0</v>
      </c>
    </row>
    <row r="18" spans="1:6">
      <c r="A18" s="83" t="s">
        <v>272</v>
      </c>
      <c r="B18" s="83" t="s">
        <v>273</v>
      </c>
      <c r="C18" s="91">
        <v>0</v>
      </c>
      <c r="D18" s="91">
        <v>142.46</v>
      </c>
      <c r="E18" s="91">
        <v>-142.46</v>
      </c>
      <c r="F18" s="84">
        <v>0</v>
      </c>
    </row>
    <row r="19" spans="1:6">
      <c r="A19" s="83" t="s">
        <v>274</v>
      </c>
      <c r="B19" s="83" t="s">
        <v>275</v>
      </c>
      <c r="C19" s="91">
        <v>0</v>
      </c>
      <c r="D19" s="91">
        <v>142.46</v>
      </c>
      <c r="E19" s="91">
        <v>-142.46</v>
      </c>
      <c r="F19" s="84">
        <v>0</v>
      </c>
    </row>
    <row r="20" spans="1:6">
      <c r="A20" s="80" t="s">
        <v>95</v>
      </c>
      <c r="B20" s="80" t="s">
        <v>96</v>
      </c>
      <c r="C20" s="89">
        <v>17200</v>
      </c>
      <c r="D20" s="89">
        <v>24463.81</v>
      </c>
      <c r="E20" s="89">
        <v>-7263.81</v>
      </c>
      <c r="F20" s="81">
        <v>142.22999999999999</v>
      </c>
    </row>
    <row r="21" spans="1:6">
      <c r="A21" s="77" t="s">
        <v>97</v>
      </c>
      <c r="B21" s="77" t="s">
        <v>98</v>
      </c>
      <c r="C21" s="90">
        <v>17200</v>
      </c>
      <c r="D21" s="90">
        <v>24463.81</v>
      </c>
      <c r="E21" s="90">
        <v>-7263.81</v>
      </c>
      <c r="F21" s="82">
        <v>142.22999999999999</v>
      </c>
    </row>
    <row r="22" spans="1:6">
      <c r="A22" s="83" t="s">
        <v>99</v>
      </c>
      <c r="B22" s="83" t="s">
        <v>100</v>
      </c>
      <c r="C22" s="91">
        <v>12000</v>
      </c>
      <c r="D22" s="91">
        <v>20100.810000000001</v>
      </c>
      <c r="E22" s="91">
        <v>-8100.81</v>
      </c>
      <c r="F22" s="84">
        <v>167.51</v>
      </c>
    </row>
    <row r="23" spans="1:6">
      <c r="A23" s="83" t="s">
        <v>101</v>
      </c>
      <c r="B23" s="83" t="s">
        <v>102</v>
      </c>
      <c r="C23" s="91">
        <v>6000</v>
      </c>
      <c r="D23" s="91">
        <v>20041.86</v>
      </c>
      <c r="E23" s="91">
        <v>-14041.86</v>
      </c>
      <c r="F23" s="84">
        <v>334.03</v>
      </c>
    </row>
    <row r="24" spans="1:6">
      <c r="A24" s="83" t="s">
        <v>103</v>
      </c>
      <c r="B24" s="83" t="s">
        <v>104</v>
      </c>
      <c r="C24" s="91">
        <v>6000</v>
      </c>
      <c r="D24" s="91">
        <v>58.95</v>
      </c>
      <c r="E24" s="91">
        <v>5941.05</v>
      </c>
      <c r="F24" s="84">
        <v>0.98</v>
      </c>
    </row>
    <row r="25" spans="1:6">
      <c r="A25" s="83" t="s">
        <v>105</v>
      </c>
      <c r="B25" s="83" t="s">
        <v>106</v>
      </c>
      <c r="C25" s="91">
        <v>3000</v>
      </c>
      <c r="D25" s="91">
        <v>3452.36</v>
      </c>
      <c r="E25" s="91">
        <v>-452.36</v>
      </c>
      <c r="F25" s="84">
        <v>115.08</v>
      </c>
    </row>
    <row r="26" spans="1:6">
      <c r="A26" s="83" t="s">
        <v>107</v>
      </c>
      <c r="B26" s="83" t="s">
        <v>108</v>
      </c>
      <c r="C26" s="91">
        <v>3000</v>
      </c>
      <c r="D26" s="91">
        <v>3452.36</v>
      </c>
      <c r="E26" s="91">
        <v>-452.36</v>
      </c>
      <c r="F26" s="84">
        <v>115.08</v>
      </c>
    </row>
    <row r="27" spans="1:6">
      <c r="A27" s="83" t="s">
        <v>109</v>
      </c>
      <c r="B27" s="83" t="s">
        <v>110</v>
      </c>
      <c r="C27" s="91">
        <v>2200</v>
      </c>
      <c r="D27" s="91">
        <v>910.64</v>
      </c>
      <c r="E27" s="91">
        <v>1289.3599999999999</v>
      </c>
      <c r="F27" s="84">
        <v>41.39</v>
      </c>
    </row>
    <row r="28" spans="1:6">
      <c r="A28" s="83" t="s">
        <v>111</v>
      </c>
      <c r="B28" s="83" t="s">
        <v>112</v>
      </c>
      <c r="C28" s="91">
        <v>2200</v>
      </c>
      <c r="D28" s="91">
        <v>910.64</v>
      </c>
      <c r="E28" s="91">
        <v>1289.3599999999999</v>
      </c>
      <c r="F28" s="84">
        <v>41.39</v>
      </c>
    </row>
    <row r="29" spans="1:6">
      <c r="A29" s="83" t="s">
        <v>276</v>
      </c>
      <c r="B29" s="83" t="s">
        <v>277</v>
      </c>
      <c r="C29" s="91">
        <v>0</v>
      </c>
      <c r="D29" s="91">
        <v>970.44</v>
      </c>
      <c r="E29" s="91">
        <v>-970.44</v>
      </c>
      <c r="F29" s="84">
        <v>0</v>
      </c>
    </row>
    <row r="30" spans="1:6">
      <c r="A30" s="83" t="s">
        <v>278</v>
      </c>
      <c r="B30" s="83" t="s">
        <v>279</v>
      </c>
      <c r="C30" s="91">
        <v>2200</v>
      </c>
      <c r="D30" s="91">
        <v>0</v>
      </c>
      <c r="E30" s="91">
        <v>2200</v>
      </c>
      <c r="F30" s="84">
        <v>0</v>
      </c>
    </row>
    <row r="32" spans="1:6">
      <c r="A32" s="44" t="s">
        <v>113</v>
      </c>
      <c r="B32" s="45" t="s">
        <v>88</v>
      </c>
      <c r="C32" s="54">
        <v>1682248</v>
      </c>
      <c r="D32" s="54">
        <v>1458217.8</v>
      </c>
      <c r="E32" s="54">
        <v>224030.2</v>
      </c>
      <c r="F32" s="46">
        <v>86.68</v>
      </c>
    </row>
    <row r="33" spans="1:6">
      <c r="A33" s="47" t="s">
        <v>89</v>
      </c>
      <c r="B33" s="47" t="s">
        <v>90</v>
      </c>
      <c r="C33" s="55" t="s">
        <v>91</v>
      </c>
      <c r="D33" s="55" t="s">
        <v>92</v>
      </c>
      <c r="E33" s="55" t="s">
        <v>93</v>
      </c>
      <c r="F33" s="47" t="s">
        <v>94</v>
      </c>
    </row>
    <row r="34" spans="1:6">
      <c r="A34" s="48" t="s">
        <v>114</v>
      </c>
      <c r="B34" s="48" t="s">
        <v>115</v>
      </c>
      <c r="C34" s="56">
        <v>1202672</v>
      </c>
      <c r="D34" s="56">
        <v>1147528.93</v>
      </c>
      <c r="E34" s="56">
        <v>55143.07</v>
      </c>
      <c r="F34" s="49">
        <v>95.41</v>
      </c>
    </row>
    <row r="35" spans="1:6">
      <c r="A35" s="45" t="s">
        <v>116</v>
      </c>
      <c r="B35" s="45" t="s">
        <v>117</v>
      </c>
      <c r="C35" s="57">
        <v>913947</v>
      </c>
      <c r="D35" s="57">
        <v>859705.93</v>
      </c>
      <c r="E35" s="57">
        <v>54241.07</v>
      </c>
      <c r="F35" s="50">
        <v>94.07</v>
      </c>
    </row>
    <row r="36" spans="1:6">
      <c r="A36" s="51" t="s">
        <v>118</v>
      </c>
      <c r="B36" s="51" t="s">
        <v>119</v>
      </c>
      <c r="C36" s="58">
        <v>746355</v>
      </c>
      <c r="D36" s="58">
        <v>692315.68</v>
      </c>
      <c r="E36" s="58">
        <v>54039.32</v>
      </c>
      <c r="F36" s="52">
        <v>92.76</v>
      </c>
    </row>
    <row r="37" spans="1:6">
      <c r="A37" s="51" t="s">
        <v>120</v>
      </c>
      <c r="B37" s="51" t="s">
        <v>121</v>
      </c>
      <c r="C37" s="58">
        <v>746355</v>
      </c>
      <c r="D37" s="58">
        <v>692315.68</v>
      </c>
      <c r="E37" s="58">
        <v>54039.32</v>
      </c>
      <c r="F37" s="52">
        <v>92.76</v>
      </c>
    </row>
    <row r="38" spans="1:6">
      <c r="A38" s="51" t="s">
        <v>122</v>
      </c>
      <c r="B38" s="51" t="s">
        <v>123</v>
      </c>
      <c r="C38" s="58">
        <v>167272</v>
      </c>
      <c r="D38" s="58">
        <v>167070.25</v>
      </c>
      <c r="E38" s="58">
        <v>201.75</v>
      </c>
      <c r="F38" s="52">
        <v>99.88</v>
      </c>
    </row>
    <row r="39" spans="1:6">
      <c r="A39" s="51" t="s">
        <v>124</v>
      </c>
      <c r="B39" s="51" t="s">
        <v>125</v>
      </c>
      <c r="C39" s="58">
        <v>5395</v>
      </c>
      <c r="D39" s="58">
        <v>5394.28</v>
      </c>
      <c r="E39" s="58">
        <v>0.72</v>
      </c>
      <c r="F39" s="52">
        <v>99.99</v>
      </c>
    </row>
    <row r="40" spans="1:6">
      <c r="A40" s="51" t="s">
        <v>126</v>
      </c>
      <c r="B40" s="51" t="s">
        <v>127</v>
      </c>
      <c r="C40" s="58">
        <v>3330</v>
      </c>
      <c r="D40" s="58">
        <v>3329.13</v>
      </c>
      <c r="E40" s="58">
        <v>0.87</v>
      </c>
      <c r="F40" s="52">
        <v>99.97</v>
      </c>
    </row>
    <row r="41" spans="1:6">
      <c r="A41" s="51" t="s">
        <v>128</v>
      </c>
      <c r="B41" s="51" t="s">
        <v>129</v>
      </c>
      <c r="C41" s="58">
        <v>200</v>
      </c>
      <c r="D41" s="58">
        <v>0</v>
      </c>
      <c r="E41" s="58">
        <v>200</v>
      </c>
      <c r="F41" s="52">
        <v>0</v>
      </c>
    </row>
    <row r="42" spans="1:6">
      <c r="A42" s="51" t="s">
        <v>130</v>
      </c>
      <c r="B42" s="51" t="s">
        <v>131</v>
      </c>
      <c r="C42" s="58">
        <v>78476</v>
      </c>
      <c r="D42" s="58">
        <v>78475.839999999997</v>
      </c>
      <c r="E42" s="58">
        <v>0.16</v>
      </c>
      <c r="F42" s="52">
        <v>100</v>
      </c>
    </row>
    <row r="43" spans="1:6">
      <c r="A43" s="51" t="s">
        <v>132</v>
      </c>
      <c r="B43" s="51" t="s">
        <v>133</v>
      </c>
      <c r="C43" s="58">
        <v>79871</v>
      </c>
      <c r="D43" s="58">
        <v>79871</v>
      </c>
      <c r="E43" s="58">
        <v>0</v>
      </c>
      <c r="F43" s="52">
        <v>100</v>
      </c>
    </row>
    <row r="44" spans="1:6" ht="31.8">
      <c r="A44" s="51" t="s">
        <v>280</v>
      </c>
      <c r="B44" s="51" t="s">
        <v>281</v>
      </c>
      <c r="C44" s="58">
        <v>320</v>
      </c>
      <c r="D44" s="58">
        <v>320</v>
      </c>
      <c r="E44" s="58">
        <v>0</v>
      </c>
      <c r="F44" s="52">
        <v>100</v>
      </c>
    </row>
    <row r="45" spans="1:6" ht="21.6">
      <c r="A45" s="45" t="s">
        <v>134</v>
      </c>
      <c r="B45" s="45" t="s">
        <v>135</v>
      </c>
      <c r="C45" s="57">
        <v>288725</v>
      </c>
      <c r="D45" s="57">
        <v>287823</v>
      </c>
      <c r="E45" s="57">
        <v>902</v>
      </c>
      <c r="F45" s="50">
        <v>99.69</v>
      </c>
    </row>
    <row r="46" spans="1:6">
      <c r="A46" s="51" t="s">
        <v>136</v>
      </c>
      <c r="B46" s="51" t="s">
        <v>137</v>
      </c>
      <c r="C46" s="58">
        <v>215487</v>
      </c>
      <c r="D46" s="58">
        <v>215461</v>
      </c>
      <c r="E46" s="58">
        <v>26</v>
      </c>
      <c r="F46" s="52">
        <v>99.99</v>
      </c>
    </row>
    <row r="47" spans="1:6">
      <c r="A47" s="51" t="s">
        <v>138</v>
      </c>
      <c r="B47" s="51" t="s">
        <v>139</v>
      </c>
      <c r="C47" s="58">
        <v>73238</v>
      </c>
      <c r="D47" s="58">
        <v>72362</v>
      </c>
      <c r="E47" s="58">
        <v>876</v>
      </c>
      <c r="F47" s="52">
        <v>98.8</v>
      </c>
    </row>
    <row r="48" spans="1:6" ht="21.6">
      <c r="A48" s="51" t="s">
        <v>140</v>
      </c>
      <c r="B48" s="51" t="s">
        <v>141</v>
      </c>
      <c r="C48" s="58">
        <v>68688</v>
      </c>
      <c r="D48" s="58">
        <v>68675</v>
      </c>
      <c r="E48" s="58">
        <v>13</v>
      </c>
      <c r="F48" s="52">
        <v>99.98</v>
      </c>
    </row>
    <row r="49" spans="1:6">
      <c r="A49" s="51" t="s">
        <v>142</v>
      </c>
      <c r="B49" s="51" t="s">
        <v>143</v>
      </c>
      <c r="C49" s="58">
        <v>900</v>
      </c>
      <c r="D49" s="58">
        <v>900</v>
      </c>
      <c r="E49" s="58">
        <v>0</v>
      </c>
      <c r="F49" s="52">
        <v>100</v>
      </c>
    </row>
    <row r="50" spans="1:6" ht="21.6">
      <c r="A50" s="51" t="s">
        <v>144</v>
      </c>
      <c r="B50" s="51" t="s">
        <v>145</v>
      </c>
      <c r="C50" s="58">
        <v>3650</v>
      </c>
      <c r="D50" s="58">
        <v>2787</v>
      </c>
      <c r="E50" s="58">
        <v>863</v>
      </c>
      <c r="F50" s="52">
        <v>76.36</v>
      </c>
    </row>
    <row r="51" spans="1:6">
      <c r="A51" s="48" t="s">
        <v>146</v>
      </c>
      <c r="B51" s="48" t="s">
        <v>147</v>
      </c>
      <c r="C51" s="56">
        <v>432530</v>
      </c>
      <c r="D51" s="56">
        <v>275868.23</v>
      </c>
      <c r="E51" s="56">
        <v>156661.76999999999</v>
      </c>
      <c r="F51" s="49">
        <v>63.78</v>
      </c>
    </row>
    <row r="52" spans="1:6">
      <c r="A52" s="45" t="s">
        <v>148</v>
      </c>
      <c r="B52" s="45" t="s">
        <v>149</v>
      </c>
      <c r="C52" s="57">
        <v>215591</v>
      </c>
      <c r="D52" s="57">
        <v>110956.89</v>
      </c>
      <c r="E52" s="57">
        <v>104634.11</v>
      </c>
      <c r="F52" s="50">
        <v>51.47</v>
      </c>
    </row>
    <row r="53" spans="1:6">
      <c r="A53" s="51" t="s">
        <v>150</v>
      </c>
      <c r="B53" s="51" t="s">
        <v>151</v>
      </c>
      <c r="C53" s="58">
        <v>3941</v>
      </c>
      <c r="D53" s="58">
        <v>3427.83</v>
      </c>
      <c r="E53" s="58">
        <v>513.16999999999996</v>
      </c>
      <c r="F53" s="52">
        <v>86.98</v>
      </c>
    </row>
    <row r="54" spans="1:6">
      <c r="A54" s="51" t="s">
        <v>152</v>
      </c>
      <c r="B54" s="51" t="s">
        <v>153</v>
      </c>
      <c r="C54" s="58">
        <v>52096</v>
      </c>
      <c r="D54" s="58">
        <v>38889.78</v>
      </c>
      <c r="E54" s="58">
        <v>13206.22</v>
      </c>
      <c r="F54" s="52">
        <v>74.650000000000006</v>
      </c>
    </row>
    <row r="55" spans="1:6">
      <c r="A55" s="51" t="s">
        <v>154</v>
      </c>
      <c r="B55" s="51" t="s">
        <v>155</v>
      </c>
      <c r="C55" s="58">
        <v>12000</v>
      </c>
      <c r="D55" s="60">
        <v>10955.8</v>
      </c>
      <c r="E55" s="58">
        <v>1044.2</v>
      </c>
      <c r="F55" s="52">
        <v>91.3</v>
      </c>
    </row>
    <row r="56" spans="1:6">
      <c r="A56" s="51" t="s">
        <v>156</v>
      </c>
      <c r="B56" s="51" t="s">
        <v>157</v>
      </c>
      <c r="C56" s="58">
        <v>32500</v>
      </c>
      <c r="D56" s="60">
        <v>23889.599999999999</v>
      </c>
      <c r="E56" s="58">
        <v>8610.4</v>
      </c>
      <c r="F56" s="52">
        <v>73.510000000000005</v>
      </c>
    </row>
    <row r="57" spans="1:6">
      <c r="A57" s="51" t="s">
        <v>158</v>
      </c>
      <c r="B57" s="51" t="s">
        <v>159</v>
      </c>
      <c r="C57" s="58">
        <v>7596</v>
      </c>
      <c r="D57" s="60">
        <v>4044.38</v>
      </c>
      <c r="E57" s="58">
        <v>3551.62</v>
      </c>
      <c r="F57" s="52">
        <v>53.24</v>
      </c>
    </row>
    <row r="58" spans="1:6">
      <c r="A58" s="51" t="s">
        <v>160</v>
      </c>
      <c r="B58" s="51" t="s">
        <v>161</v>
      </c>
      <c r="C58" s="58">
        <v>31728</v>
      </c>
      <c r="D58" s="58">
        <v>18233.75</v>
      </c>
      <c r="E58" s="58">
        <v>13494.25</v>
      </c>
      <c r="F58" s="52">
        <v>57.47</v>
      </c>
    </row>
    <row r="59" spans="1:6">
      <c r="A59" s="51" t="s">
        <v>162</v>
      </c>
      <c r="B59" s="51" t="s">
        <v>163</v>
      </c>
      <c r="C59" s="58">
        <v>111</v>
      </c>
      <c r="D59" s="58">
        <v>64.989999999999995</v>
      </c>
      <c r="E59" s="58">
        <v>46.01</v>
      </c>
      <c r="F59" s="52">
        <v>58.55</v>
      </c>
    </row>
    <row r="60" spans="1:6">
      <c r="A60" s="51" t="s">
        <v>164</v>
      </c>
      <c r="B60" s="51" t="s">
        <v>165</v>
      </c>
      <c r="C60" s="58">
        <v>2035</v>
      </c>
      <c r="D60" s="58">
        <v>2033.5</v>
      </c>
      <c r="E60" s="58">
        <v>1.5</v>
      </c>
      <c r="F60" s="52">
        <v>99.93</v>
      </c>
    </row>
    <row r="61" spans="1:6">
      <c r="A61" s="51" t="s">
        <v>166</v>
      </c>
      <c r="B61" s="51" t="s">
        <v>167</v>
      </c>
      <c r="C61" s="58">
        <v>29582</v>
      </c>
      <c r="D61" s="61">
        <v>16135.26</v>
      </c>
      <c r="E61" s="58">
        <v>13446.74</v>
      </c>
      <c r="F61" s="52">
        <v>54.54</v>
      </c>
    </row>
    <row r="62" spans="1:6">
      <c r="A62" s="51" t="s">
        <v>168</v>
      </c>
      <c r="B62" s="51" t="s">
        <v>169</v>
      </c>
      <c r="C62" s="58">
        <v>121806</v>
      </c>
      <c r="D62" s="58">
        <v>44391.23</v>
      </c>
      <c r="E62" s="58">
        <v>77414.77</v>
      </c>
      <c r="F62" s="52">
        <v>36.44</v>
      </c>
    </row>
    <row r="63" spans="1:6">
      <c r="A63" s="51" t="s">
        <v>170</v>
      </c>
      <c r="B63" s="51" t="s">
        <v>171</v>
      </c>
      <c r="C63" s="58">
        <v>45866</v>
      </c>
      <c r="D63" s="60">
        <v>8963.84</v>
      </c>
      <c r="E63" s="58">
        <v>36902.160000000003</v>
      </c>
      <c r="F63" s="52">
        <v>19.54</v>
      </c>
    </row>
    <row r="64" spans="1:6">
      <c r="A64" s="51" t="s">
        <v>172</v>
      </c>
      <c r="B64" s="51" t="s">
        <v>173</v>
      </c>
      <c r="C64" s="58">
        <v>18650</v>
      </c>
      <c r="D64" s="60">
        <v>15349.95</v>
      </c>
      <c r="E64" s="58">
        <v>3300.05</v>
      </c>
      <c r="F64" s="52">
        <v>82.31</v>
      </c>
    </row>
    <row r="65" spans="1:6">
      <c r="A65" s="51" t="s">
        <v>174</v>
      </c>
      <c r="B65" s="51" t="s">
        <v>175</v>
      </c>
      <c r="C65" s="58">
        <v>12607</v>
      </c>
      <c r="D65" s="60">
        <v>10535.7</v>
      </c>
      <c r="E65" s="58">
        <v>2071.3000000000002</v>
      </c>
      <c r="F65" s="52">
        <v>83.57</v>
      </c>
    </row>
    <row r="66" spans="1:6">
      <c r="A66" s="51" t="s">
        <v>176</v>
      </c>
      <c r="B66" s="51" t="s">
        <v>177</v>
      </c>
      <c r="C66" s="58">
        <v>16316</v>
      </c>
      <c r="D66" s="61">
        <v>3963.67</v>
      </c>
      <c r="E66" s="58">
        <v>12352.33</v>
      </c>
      <c r="F66" s="52">
        <v>24.29</v>
      </c>
    </row>
    <row r="67" spans="1:6">
      <c r="A67" s="51" t="s">
        <v>178</v>
      </c>
      <c r="B67" s="51" t="s">
        <v>179</v>
      </c>
      <c r="C67" s="58">
        <v>28367</v>
      </c>
      <c r="D67" s="60">
        <v>5578.07</v>
      </c>
      <c r="E67" s="58">
        <v>22788.93</v>
      </c>
      <c r="F67" s="52">
        <v>19.66</v>
      </c>
    </row>
    <row r="68" spans="1:6">
      <c r="A68" s="51" t="s">
        <v>180</v>
      </c>
      <c r="B68" s="51" t="s">
        <v>181</v>
      </c>
      <c r="C68" s="58">
        <v>6020</v>
      </c>
      <c r="D68" s="58">
        <v>6014.3</v>
      </c>
      <c r="E68" s="58">
        <v>5.7</v>
      </c>
      <c r="F68" s="52">
        <v>99.91</v>
      </c>
    </row>
    <row r="69" spans="1:6">
      <c r="A69" s="51" t="s">
        <v>182</v>
      </c>
      <c r="B69" s="51" t="s">
        <v>183</v>
      </c>
      <c r="C69" s="58">
        <v>5520</v>
      </c>
      <c r="D69" s="58">
        <v>5517.6</v>
      </c>
      <c r="E69" s="58">
        <v>2.4</v>
      </c>
      <c r="F69" s="52">
        <v>99.96</v>
      </c>
    </row>
    <row r="70" spans="1:6">
      <c r="A70" s="51" t="s">
        <v>184</v>
      </c>
      <c r="B70" s="51" t="s">
        <v>185</v>
      </c>
      <c r="C70" s="58">
        <v>500</v>
      </c>
      <c r="D70" s="58">
        <v>496.7</v>
      </c>
      <c r="E70" s="58">
        <v>3.3</v>
      </c>
      <c r="F70" s="52">
        <v>99.34</v>
      </c>
    </row>
    <row r="71" spans="1:6" ht="21.6">
      <c r="A71" s="45" t="s">
        <v>186</v>
      </c>
      <c r="B71" s="45" t="s">
        <v>187</v>
      </c>
      <c r="C71" s="57">
        <v>216939</v>
      </c>
      <c r="D71" s="57">
        <v>164911.34</v>
      </c>
      <c r="E71" s="57">
        <v>52027.66</v>
      </c>
      <c r="F71" s="50">
        <v>76.02</v>
      </c>
    </row>
    <row r="72" spans="1:6">
      <c r="A72" s="51" t="s">
        <v>188</v>
      </c>
      <c r="B72" s="51" t="s">
        <v>189</v>
      </c>
      <c r="C72" s="58">
        <v>16024</v>
      </c>
      <c r="D72" s="58">
        <v>12530.47</v>
      </c>
      <c r="E72" s="58">
        <v>3493.53</v>
      </c>
      <c r="F72" s="52">
        <v>78.2</v>
      </c>
    </row>
    <row r="73" spans="1:6">
      <c r="A73" s="51" t="s">
        <v>190</v>
      </c>
      <c r="B73" s="51" t="s">
        <v>191</v>
      </c>
      <c r="C73" s="58">
        <v>2210</v>
      </c>
      <c r="D73" s="58">
        <v>2206.1999999999998</v>
      </c>
      <c r="E73" s="58">
        <v>3.8</v>
      </c>
      <c r="F73" s="52">
        <v>99.83</v>
      </c>
    </row>
    <row r="74" spans="1:6">
      <c r="A74" s="51" t="s">
        <v>192</v>
      </c>
      <c r="B74" s="51" t="s">
        <v>193</v>
      </c>
      <c r="C74" s="58">
        <v>13814</v>
      </c>
      <c r="D74" s="58">
        <v>10324.27</v>
      </c>
      <c r="E74" s="58">
        <v>3489.73</v>
      </c>
      <c r="F74" s="52">
        <v>74.739999999999995</v>
      </c>
    </row>
    <row r="75" spans="1:6">
      <c r="A75" s="51" t="s">
        <v>194</v>
      </c>
      <c r="B75" s="51" t="s">
        <v>195</v>
      </c>
      <c r="C75" s="58">
        <v>165010</v>
      </c>
      <c r="D75" s="58">
        <v>117555.57</v>
      </c>
      <c r="E75" s="58">
        <v>47454.43</v>
      </c>
      <c r="F75" s="52">
        <v>71.239999999999995</v>
      </c>
    </row>
    <row r="76" spans="1:6">
      <c r="A76" s="51" t="s">
        <v>196</v>
      </c>
      <c r="B76" s="51" t="s">
        <v>197</v>
      </c>
      <c r="C76" s="58">
        <v>163800</v>
      </c>
      <c r="D76" s="60">
        <v>117555.57</v>
      </c>
      <c r="E76" s="58">
        <v>46244.43</v>
      </c>
      <c r="F76" s="52">
        <v>71.77</v>
      </c>
    </row>
    <row r="77" spans="1:6">
      <c r="A77" s="51" t="s">
        <v>198</v>
      </c>
      <c r="B77" s="51" t="s">
        <v>199</v>
      </c>
      <c r="C77" s="58">
        <v>1210</v>
      </c>
      <c r="D77" s="58">
        <v>0</v>
      </c>
      <c r="E77" s="58">
        <v>1210</v>
      </c>
      <c r="F77" s="52">
        <v>0</v>
      </c>
    </row>
    <row r="78" spans="1:6" ht="21.6">
      <c r="A78" s="51" t="s">
        <v>200</v>
      </c>
      <c r="B78" s="51" t="s">
        <v>201</v>
      </c>
      <c r="C78" s="58">
        <v>525</v>
      </c>
      <c r="D78" s="58">
        <v>483.69</v>
      </c>
      <c r="E78" s="58">
        <v>41.31</v>
      </c>
      <c r="F78" s="52">
        <v>92.13</v>
      </c>
    </row>
    <row r="79" spans="1:6">
      <c r="A79" s="51" t="s">
        <v>202</v>
      </c>
      <c r="B79" s="51" t="s">
        <v>203</v>
      </c>
      <c r="C79" s="58">
        <v>525</v>
      </c>
      <c r="D79" s="58">
        <v>483.69</v>
      </c>
      <c r="E79" s="58">
        <v>41.31</v>
      </c>
      <c r="F79" s="52">
        <v>92.13</v>
      </c>
    </row>
    <row r="80" spans="1:6">
      <c r="A80" s="51" t="s">
        <v>204</v>
      </c>
      <c r="B80" s="51" t="s">
        <v>205</v>
      </c>
      <c r="C80" s="58">
        <v>18487</v>
      </c>
      <c r="D80" s="60">
        <v>18019.97</v>
      </c>
      <c r="E80" s="58">
        <v>467.03</v>
      </c>
      <c r="F80" s="52">
        <v>97.47</v>
      </c>
    </row>
    <row r="81" spans="1:6">
      <c r="A81" s="51" t="s">
        <v>206</v>
      </c>
      <c r="B81" s="51" t="s">
        <v>207</v>
      </c>
      <c r="C81" s="58">
        <v>10993</v>
      </c>
      <c r="D81" s="58">
        <v>10769.27</v>
      </c>
      <c r="E81" s="58">
        <v>223.73</v>
      </c>
      <c r="F81" s="52">
        <v>97.96</v>
      </c>
    </row>
    <row r="82" spans="1:6">
      <c r="A82" s="51" t="s">
        <v>208</v>
      </c>
      <c r="B82" s="51" t="s">
        <v>209</v>
      </c>
      <c r="C82" s="58">
        <v>5900</v>
      </c>
      <c r="D82" s="58">
        <v>5552.37</v>
      </c>
      <c r="E82" s="58">
        <v>347.63</v>
      </c>
      <c r="F82" s="52">
        <v>94.11</v>
      </c>
    </row>
    <row r="83" spans="1:6">
      <c r="A83" s="48" t="s">
        <v>210</v>
      </c>
      <c r="B83" s="48" t="s">
        <v>211</v>
      </c>
      <c r="C83" s="56">
        <v>47046</v>
      </c>
      <c r="D83" s="56">
        <v>34820.639999999999</v>
      </c>
      <c r="E83" s="56">
        <v>12225.36</v>
      </c>
      <c r="F83" s="49">
        <v>74.010000000000005</v>
      </c>
    </row>
    <row r="84" spans="1:6">
      <c r="A84" s="45" t="s">
        <v>212</v>
      </c>
      <c r="B84" s="45" t="s">
        <v>213</v>
      </c>
      <c r="C84" s="57">
        <v>47046</v>
      </c>
      <c r="D84" s="57">
        <v>34820.639999999999</v>
      </c>
      <c r="E84" s="57">
        <v>12225.36</v>
      </c>
      <c r="F84" s="50">
        <v>74.010000000000005</v>
      </c>
    </row>
    <row r="85" spans="1:6">
      <c r="A85" s="51" t="s">
        <v>214</v>
      </c>
      <c r="B85" s="51" t="s">
        <v>215</v>
      </c>
      <c r="C85" s="58">
        <v>22000</v>
      </c>
      <c r="D85" s="58">
        <v>21997.96</v>
      </c>
      <c r="E85" s="58">
        <v>2.04</v>
      </c>
      <c r="F85" s="52">
        <v>99.99</v>
      </c>
    </row>
    <row r="86" spans="1:6">
      <c r="A86" s="51" t="s">
        <v>216</v>
      </c>
      <c r="B86" s="51" t="s">
        <v>217</v>
      </c>
      <c r="C86" s="58">
        <v>22000</v>
      </c>
      <c r="D86" s="60">
        <v>21997.96</v>
      </c>
      <c r="E86" s="58">
        <v>2.04</v>
      </c>
      <c r="F86" s="52">
        <v>99.99</v>
      </c>
    </row>
    <row r="87" spans="1:6">
      <c r="A87" s="51" t="s">
        <v>218</v>
      </c>
      <c r="B87" s="51" t="s">
        <v>219</v>
      </c>
      <c r="C87" s="58">
        <v>5046</v>
      </c>
      <c r="D87" s="58">
        <v>1445.95</v>
      </c>
      <c r="E87" s="58">
        <v>3600.05</v>
      </c>
      <c r="F87" s="52">
        <v>28.66</v>
      </c>
    </row>
    <row r="88" spans="1:6">
      <c r="A88" s="51" t="s">
        <v>220</v>
      </c>
      <c r="B88" s="51" t="s">
        <v>221</v>
      </c>
      <c r="C88" s="58">
        <v>3600</v>
      </c>
      <c r="D88" s="58">
        <v>0</v>
      </c>
      <c r="E88" s="58">
        <v>3600</v>
      </c>
      <c r="F88" s="52">
        <v>0</v>
      </c>
    </row>
    <row r="89" spans="1:6">
      <c r="A89" s="51" t="s">
        <v>222</v>
      </c>
      <c r="B89" s="51" t="s">
        <v>223</v>
      </c>
      <c r="C89" s="58">
        <v>1446</v>
      </c>
      <c r="D89" s="58">
        <v>1445.95</v>
      </c>
      <c r="E89" s="58">
        <v>0.05</v>
      </c>
      <c r="F89" s="52">
        <v>100</v>
      </c>
    </row>
    <row r="90" spans="1:6">
      <c r="A90" s="51" t="s">
        <v>224</v>
      </c>
      <c r="B90" s="51" t="s">
        <v>225</v>
      </c>
      <c r="C90" s="58">
        <v>20000</v>
      </c>
      <c r="D90" s="58">
        <v>11376.73</v>
      </c>
      <c r="E90" s="58">
        <v>8623.27</v>
      </c>
      <c r="F90" s="52">
        <v>56.88</v>
      </c>
    </row>
    <row r="92" spans="1:6">
      <c r="A92" s="76" t="s">
        <v>226</v>
      </c>
      <c r="B92" s="77" t="s">
        <v>88</v>
      </c>
      <c r="C92" s="87">
        <v>-1665048</v>
      </c>
      <c r="D92" s="87">
        <v>-1433611.53</v>
      </c>
      <c r="E92" s="87">
        <v>-231436.47</v>
      </c>
      <c r="F92" s="78">
        <v>86.1</v>
      </c>
    </row>
    <row r="94" spans="1:6">
      <c r="A94" s="76" t="s">
        <v>227</v>
      </c>
      <c r="B94" s="77" t="s">
        <v>88</v>
      </c>
      <c r="C94" s="87">
        <v>0</v>
      </c>
      <c r="D94" s="87">
        <v>1435099.09</v>
      </c>
      <c r="E94" s="87">
        <v>-1435099.09</v>
      </c>
      <c r="F94" s="78">
        <v>0</v>
      </c>
    </row>
    <row r="95" spans="1:6">
      <c r="A95" s="79" t="s">
        <v>89</v>
      </c>
      <c r="B95" s="79" t="s">
        <v>90</v>
      </c>
      <c r="C95" s="88" t="s">
        <v>91</v>
      </c>
      <c r="D95" s="88" t="s">
        <v>92</v>
      </c>
      <c r="E95" s="88" t="s">
        <v>93</v>
      </c>
      <c r="F95" s="79" t="s">
        <v>94</v>
      </c>
    </row>
    <row r="96" spans="1:6">
      <c r="A96" s="80" t="s">
        <v>228</v>
      </c>
      <c r="B96" s="80" t="s">
        <v>229</v>
      </c>
      <c r="C96" s="89">
        <v>0</v>
      </c>
      <c r="D96" s="89">
        <v>1435099.09</v>
      </c>
      <c r="E96" s="89">
        <v>-1435099.09</v>
      </c>
      <c r="F96" s="81">
        <v>0</v>
      </c>
    </row>
    <row r="97" spans="1:6">
      <c r="A97" s="77" t="s">
        <v>230</v>
      </c>
      <c r="B97" s="77" t="s">
        <v>231</v>
      </c>
      <c r="C97" s="90">
        <v>0</v>
      </c>
      <c r="D97" s="90">
        <v>517.12</v>
      </c>
      <c r="E97" s="90">
        <v>-517.12</v>
      </c>
      <c r="F97" s="82">
        <v>0</v>
      </c>
    </row>
    <row r="98" spans="1:6">
      <c r="A98" s="83" t="s">
        <v>232</v>
      </c>
      <c r="B98" s="83" t="s">
        <v>233</v>
      </c>
      <c r="C98" s="91">
        <v>0</v>
      </c>
      <c r="D98" s="91">
        <v>-517.12</v>
      </c>
      <c r="E98" s="91">
        <v>517.12</v>
      </c>
      <c r="F98" s="84">
        <v>0</v>
      </c>
    </row>
    <row r="99" spans="1:6">
      <c r="A99" s="77" t="s">
        <v>234</v>
      </c>
      <c r="B99" s="77" t="s">
        <v>235</v>
      </c>
      <c r="C99" s="90">
        <v>0</v>
      </c>
      <c r="D99" s="90">
        <v>1434581.97</v>
      </c>
      <c r="E99" s="90">
        <v>-1434581.97</v>
      </c>
      <c r="F99" s="82">
        <v>0</v>
      </c>
    </row>
    <row r="100" spans="1:6">
      <c r="A100" s="83" t="s">
        <v>236</v>
      </c>
      <c r="B100" s="83" t="s">
        <v>237</v>
      </c>
      <c r="C100" s="91">
        <v>0</v>
      </c>
      <c r="D100" s="91">
        <v>-1434581.97</v>
      </c>
      <c r="E100" s="91">
        <v>1434581.97</v>
      </c>
      <c r="F100" s="84">
        <v>0</v>
      </c>
    </row>
  </sheetData>
  <mergeCells count="12">
    <mergeCell ref="A7:F7"/>
    <mergeCell ref="A12:A13"/>
    <mergeCell ref="B12:B13"/>
    <mergeCell ref="F12:F13"/>
    <mergeCell ref="A8:F8"/>
    <mergeCell ref="A9:F9"/>
    <mergeCell ref="A10:F10"/>
    <mergeCell ref="A1:F1"/>
    <mergeCell ref="A2:F2"/>
    <mergeCell ref="A4:F4"/>
    <mergeCell ref="A5:F5"/>
    <mergeCell ref="A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E745F-C327-4D78-9E0A-BB3E98692725}">
  <sheetPr filterMode="1"/>
  <dimension ref="A1:H31"/>
  <sheetViews>
    <sheetView topLeftCell="A9" workbookViewId="0">
      <selection activeCell="D32" sqref="D32"/>
    </sheetView>
  </sheetViews>
  <sheetFormatPr defaultRowHeight="13.2"/>
  <cols>
    <col min="1" max="5" width="8.88671875" style="130"/>
    <col min="6" max="6" width="66.88671875" style="130" customWidth="1"/>
    <col min="7" max="261" width="8.88671875" style="130"/>
    <col min="262" max="262" width="66.88671875" style="130" customWidth="1"/>
    <col min="263" max="517" width="8.88671875" style="130"/>
    <col min="518" max="518" width="66.88671875" style="130" customWidth="1"/>
    <col min="519" max="773" width="8.88671875" style="130"/>
    <col min="774" max="774" width="66.88671875" style="130" customWidth="1"/>
    <col min="775" max="1029" width="8.88671875" style="130"/>
    <col min="1030" max="1030" width="66.88671875" style="130" customWidth="1"/>
    <col min="1031" max="1285" width="8.88671875" style="130"/>
    <col min="1286" max="1286" width="66.88671875" style="130" customWidth="1"/>
    <col min="1287" max="1541" width="8.88671875" style="130"/>
    <col min="1542" max="1542" width="66.88671875" style="130" customWidth="1"/>
    <col min="1543" max="1797" width="8.88671875" style="130"/>
    <col min="1798" max="1798" width="66.88671875" style="130" customWidth="1"/>
    <col min="1799" max="2053" width="8.88671875" style="130"/>
    <col min="2054" max="2054" width="66.88671875" style="130" customWidth="1"/>
    <col min="2055" max="2309" width="8.88671875" style="130"/>
    <col min="2310" max="2310" width="66.88671875" style="130" customWidth="1"/>
    <col min="2311" max="2565" width="8.88671875" style="130"/>
    <col min="2566" max="2566" width="66.88671875" style="130" customWidth="1"/>
    <col min="2567" max="2821" width="8.88671875" style="130"/>
    <col min="2822" max="2822" width="66.88671875" style="130" customWidth="1"/>
    <col min="2823" max="3077" width="8.88671875" style="130"/>
    <col min="3078" max="3078" width="66.88671875" style="130" customWidth="1"/>
    <col min="3079" max="3333" width="8.88671875" style="130"/>
    <col min="3334" max="3334" width="66.88671875" style="130" customWidth="1"/>
    <col min="3335" max="3589" width="8.88671875" style="130"/>
    <col min="3590" max="3590" width="66.88671875" style="130" customWidth="1"/>
    <col min="3591" max="3845" width="8.88671875" style="130"/>
    <col min="3846" max="3846" width="66.88671875" style="130" customWidth="1"/>
    <col min="3847" max="4101" width="8.88671875" style="130"/>
    <col min="4102" max="4102" width="66.88671875" style="130" customWidth="1"/>
    <col min="4103" max="4357" width="8.88671875" style="130"/>
    <col min="4358" max="4358" width="66.88671875" style="130" customWidth="1"/>
    <col min="4359" max="4613" width="8.88671875" style="130"/>
    <col min="4614" max="4614" width="66.88671875" style="130" customWidth="1"/>
    <col min="4615" max="4869" width="8.88671875" style="130"/>
    <col min="4870" max="4870" width="66.88671875" style="130" customWidth="1"/>
    <col min="4871" max="5125" width="8.88671875" style="130"/>
    <col min="5126" max="5126" width="66.88671875" style="130" customWidth="1"/>
    <col min="5127" max="5381" width="8.88671875" style="130"/>
    <col min="5382" max="5382" width="66.88671875" style="130" customWidth="1"/>
    <col min="5383" max="5637" width="8.88671875" style="130"/>
    <col min="5638" max="5638" width="66.88671875" style="130" customWidth="1"/>
    <col min="5639" max="5893" width="8.88671875" style="130"/>
    <col min="5894" max="5894" width="66.88671875" style="130" customWidth="1"/>
    <col min="5895" max="6149" width="8.88671875" style="130"/>
    <col min="6150" max="6150" width="66.88671875" style="130" customWidth="1"/>
    <col min="6151" max="6405" width="8.88671875" style="130"/>
    <col min="6406" max="6406" width="66.88671875" style="130" customWidth="1"/>
    <col min="6407" max="6661" width="8.88671875" style="130"/>
    <col min="6662" max="6662" width="66.88671875" style="130" customWidth="1"/>
    <col min="6663" max="6917" width="8.88671875" style="130"/>
    <col min="6918" max="6918" width="66.88671875" style="130" customWidth="1"/>
    <col min="6919" max="7173" width="8.88671875" style="130"/>
    <col min="7174" max="7174" width="66.88671875" style="130" customWidth="1"/>
    <col min="7175" max="7429" width="8.88671875" style="130"/>
    <col min="7430" max="7430" width="66.88671875" style="130" customWidth="1"/>
    <col min="7431" max="7685" width="8.88671875" style="130"/>
    <col min="7686" max="7686" width="66.88671875" style="130" customWidth="1"/>
    <col min="7687" max="7941" width="8.88671875" style="130"/>
    <col min="7942" max="7942" width="66.88671875" style="130" customWidth="1"/>
    <col min="7943" max="8197" width="8.88671875" style="130"/>
    <col min="8198" max="8198" width="66.88671875" style="130" customWidth="1"/>
    <col min="8199" max="8453" width="8.88671875" style="130"/>
    <col min="8454" max="8454" width="66.88671875" style="130" customWidth="1"/>
    <col min="8455" max="8709" width="8.88671875" style="130"/>
    <col min="8710" max="8710" width="66.88671875" style="130" customWidth="1"/>
    <col min="8711" max="8965" width="8.88671875" style="130"/>
    <col min="8966" max="8966" width="66.88671875" style="130" customWidth="1"/>
    <col min="8967" max="9221" width="8.88671875" style="130"/>
    <col min="9222" max="9222" width="66.88671875" style="130" customWidth="1"/>
    <col min="9223" max="9477" width="8.88671875" style="130"/>
    <col min="9478" max="9478" width="66.88671875" style="130" customWidth="1"/>
    <col min="9479" max="9733" width="8.88671875" style="130"/>
    <col min="9734" max="9734" width="66.88671875" style="130" customWidth="1"/>
    <col min="9735" max="9989" width="8.88671875" style="130"/>
    <col min="9990" max="9990" width="66.88671875" style="130" customWidth="1"/>
    <col min="9991" max="10245" width="8.88671875" style="130"/>
    <col min="10246" max="10246" width="66.88671875" style="130" customWidth="1"/>
    <col min="10247" max="10501" width="8.88671875" style="130"/>
    <col min="10502" max="10502" width="66.88671875" style="130" customWidth="1"/>
    <col min="10503" max="10757" width="8.88671875" style="130"/>
    <col min="10758" max="10758" width="66.88671875" style="130" customWidth="1"/>
    <col min="10759" max="11013" width="8.88671875" style="130"/>
    <col min="11014" max="11014" width="66.88671875" style="130" customWidth="1"/>
    <col min="11015" max="11269" width="8.88671875" style="130"/>
    <col min="11270" max="11270" width="66.88671875" style="130" customWidth="1"/>
    <col min="11271" max="11525" width="8.88671875" style="130"/>
    <col min="11526" max="11526" width="66.88671875" style="130" customWidth="1"/>
    <col min="11527" max="11781" width="8.88671875" style="130"/>
    <col min="11782" max="11782" width="66.88671875" style="130" customWidth="1"/>
    <col min="11783" max="12037" width="8.88671875" style="130"/>
    <col min="12038" max="12038" width="66.88671875" style="130" customWidth="1"/>
    <col min="12039" max="12293" width="8.88671875" style="130"/>
    <col min="12294" max="12294" width="66.88671875" style="130" customWidth="1"/>
    <col min="12295" max="12549" width="8.88671875" style="130"/>
    <col min="12550" max="12550" width="66.88671875" style="130" customWidth="1"/>
    <col min="12551" max="12805" width="8.88671875" style="130"/>
    <col min="12806" max="12806" width="66.88671875" style="130" customWidth="1"/>
    <col min="12807" max="13061" width="8.88671875" style="130"/>
    <col min="13062" max="13062" width="66.88671875" style="130" customWidth="1"/>
    <col min="13063" max="13317" width="8.88671875" style="130"/>
    <col min="13318" max="13318" width="66.88671875" style="130" customWidth="1"/>
    <col min="13319" max="13573" width="8.88671875" style="130"/>
    <col min="13574" max="13574" width="66.88671875" style="130" customWidth="1"/>
    <col min="13575" max="13829" width="8.88671875" style="130"/>
    <col min="13830" max="13830" width="66.88671875" style="130" customWidth="1"/>
    <col min="13831" max="14085" width="8.88671875" style="130"/>
    <col min="14086" max="14086" width="66.88671875" style="130" customWidth="1"/>
    <col min="14087" max="14341" width="8.88671875" style="130"/>
    <col min="14342" max="14342" width="66.88671875" style="130" customWidth="1"/>
    <col min="14343" max="14597" width="8.88671875" style="130"/>
    <col min="14598" max="14598" width="66.88671875" style="130" customWidth="1"/>
    <col min="14599" max="14853" width="8.88671875" style="130"/>
    <col min="14854" max="14854" width="66.88671875" style="130" customWidth="1"/>
    <col min="14855" max="15109" width="8.88671875" style="130"/>
    <col min="15110" max="15110" width="66.88671875" style="130" customWidth="1"/>
    <col min="15111" max="15365" width="8.88671875" style="130"/>
    <col min="15366" max="15366" width="66.88671875" style="130" customWidth="1"/>
    <col min="15367" max="15621" width="8.88671875" style="130"/>
    <col min="15622" max="15622" width="66.88671875" style="130" customWidth="1"/>
    <col min="15623" max="15877" width="8.88671875" style="130"/>
    <col min="15878" max="15878" width="66.88671875" style="130" customWidth="1"/>
    <col min="15879" max="16133" width="8.88671875" style="130"/>
    <col min="16134" max="16134" width="66.88671875" style="130" customWidth="1"/>
    <col min="16135" max="16384" width="8.88671875" style="130"/>
  </cols>
  <sheetData>
    <row r="1" spans="1:8" ht="14.4" customHeight="1">
      <c r="A1" s="129" t="s">
        <v>51</v>
      </c>
      <c r="B1" s="129" t="s">
        <v>312</v>
      </c>
      <c r="C1" s="129" t="s">
        <v>313</v>
      </c>
      <c r="D1" s="129" t="s">
        <v>314</v>
      </c>
      <c r="E1" s="129" t="s">
        <v>315</v>
      </c>
      <c r="F1" s="129" t="s">
        <v>316</v>
      </c>
      <c r="G1" s="129" t="s">
        <v>317</v>
      </c>
      <c r="H1" s="129" t="s">
        <v>318</v>
      </c>
    </row>
    <row r="2" spans="1:8" ht="25.65" hidden="1" customHeight="1">
      <c r="A2" s="131" t="s">
        <v>319</v>
      </c>
      <c r="B2" s="132">
        <v>44944</v>
      </c>
      <c r="C2" s="131" t="s">
        <v>320</v>
      </c>
      <c r="D2" s="133">
        <v>102.85</v>
      </c>
      <c r="E2" s="133">
        <v>102.85</v>
      </c>
      <c r="F2" s="131" t="s">
        <v>321</v>
      </c>
      <c r="G2" s="132">
        <v>44944</v>
      </c>
      <c r="H2" s="131" t="s">
        <v>322</v>
      </c>
    </row>
    <row r="3" spans="1:8" ht="25.65" customHeight="1">
      <c r="A3" s="131" t="s">
        <v>319</v>
      </c>
      <c r="B3" s="132">
        <v>44959</v>
      </c>
      <c r="C3" s="131" t="s">
        <v>323</v>
      </c>
      <c r="D3" s="133">
        <v>80.099999999999994</v>
      </c>
      <c r="E3" s="133">
        <v>80.099999999999994</v>
      </c>
      <c r="F3" s="131" t="s">
        <v>324</v>
      </c>
      <c r="G3" s="132">
        <v>44959</v>
      </c>
      <c r="H3" s="131" t="s">
        <v>325</v>
      </c>
    </row>
    <row r="4" spans="1:8" ht="25.65" hidden="1" customHeight="1">
      <c r="A4" s="131" t="s">
        <v>319</v>
      </c>
      <c r="B4" s="132">
        <v>44977</v>
      </c>
      <c r="C4" s="131" t="s">
        <v>326</v>
      </c>
      <c r="D4" s="133">
        <v>102.85</v>
      </c>
      <c r="E4" s="133">
        <v>102.85</v>
      </c>
      <c r="F4" s="131" t="s">
        <v>327</v>
      </c>
      <c r="G4" s="132">
        <v>44978</v>
      </c>
      <c r="H4" s="131" t="s">
        <v>325</v>
      </c>
    </row>
    <row r="5" spans="1:8" ht="25.65" customHeight="1">
      <c r="A5" s="131" t="s">
        <v>319</v>
      </c>
      <c r="B5" s="132">
        <v>44986</v>
      </c>
      <c r="C5" s="131" t="s">
        <v>328</v>
      </c>
      <c r="D5" s="133">
        <v>80.099999999999994</v>
      </c>
      <c r="E5" s="133">
        <v>80.099999999999994</v>
      </c>
      <c r="F5" s="131" t="s">
        <v>329</v>
      </c>
      <c r="G5" s="132">
        <v>44986</v>
      </c>
      <c r="H5" s="131" t="s">
        <v>325</v>
      </c>
    </row>
    <row r="6" spans="1:8" ht="48.45" hidden="1" customHeight="1">
      <c r="A6" s="131" t="s">
        <v>319</v>
      </c>
      <c r="B6" s="132">
        <v>44999</v>
      </c>
      <c r="C6" s="131" t="s">
        <v>330</v>
      </c>
      <c r="D6" s="133">
        <v>102.85</v>
      </c>
      <c r="E6" s="133">
        <v>1076.3</v>
      </c>
      <c r="F6" s="131" t="s">
        <v>331</v>
      </c>
      <c r="G6" s="132">
        <v>44999</v>
      </c>
      <c r="H6" s="131" t="s">
        <v>325</v>
      </c>
    </row>
    <row r="7" spans="1:8" ht="25.65" customHeight="1">
      <c r="A7" s="131" t="s">
        <v>319</v>
      </c>
      <c r="B7" s="132">
        <v>45007</v>
      </c>
      <c r="C7" s="131" t="s">
        <v>332</v>
      </c>
      <c r="D7" s="133">
        <v>80.099999999999994</v>
      </c>
      <c r="E7" s="133">
        <v>80.099999999999994</v>
      </c>
      <c r="F7" s="131" t="s">
        <v>333</v>
      </c>
      <c r="G7" s="132">
        <v>45008</v>
      </c>
      <c r="H7" s="131" t="s">
        <v>325</v>
      </c>
    </row>
    <row r="8" spans="1:8" ht="25.65" hidden="1" customHeight="1">
      <c r="A8" s="131" t="s">
        <v>319</v>
      </c>
      <c r="B8" s="132">
        <v>45030</v>
      </c>
      <c r="C8" s="131" t="s">
        <v>334</v>
      </c>
      <c r="D8" s="133">
        <v>102.85</v>
      </c>
      <c r="E8" s="133">
        <v>102.85</v>
      </c>
      <c r="F8" s="131" t="s">
        <v>335</v>
      </c>
      <c r="G8" s="132">
        <v>45030</v>
      </c>
      <c r="H8" s="131" t="s">
        <v>325</v>
      </c>
    </row>
    <row r="9" spans="1:8" ht="25.65" customHeight="1">
      <c r="A9" s="131" t="s">
        <v>319</v>
      </c>
      <c r="B9" s="132">
        <v>45041</v>
      </c>
      <c r="C9" s="131" t="s">
        <v>336</v>
      </c>
      <c r="D9" s="133">
        <v>80.099999999999994</v>
      </c>
      <c r="E9" s="133">
        <v>80.099999999999994</v>
      </c>
      <c r="F9" s="131" t="s">
        <v>337</v>
      </c>
      <c r="G9" s="132">
        <v>45041</v>
      </c>
      <c r="H9" s="131" t="s">
        <v>325</v>
      </c>
    </row>
    <row r="10" spans="1:8" ht="25.65" hidden="1" customHeight="1">
      <c r="A10" s="131" t="s">
        <v>319</v>
      </c>
      <c r="B10" s="132">
        <v>45055</v>
      </c>
      <c r="C10" s="131" t="s">
        <v>338</v>
      </c>
      <c r="D10" s="133">
        <v>1523.15</v>
      </c>
      <c r="E10" s="133">
        <v>1523.15</v>
      </c>
      <c r="F10" s="131" t="s">
        <v>339</v>
      </c>
      <c r="G10" s="132">
        <v>45055</v>
      </c>
      <c r="H10" s="131" t="s">
        <v>325</v>
      </c>
    </row>
    <row r="11" spans="1:8" ht="25.65" customHeight="1">
      <c r="A11" s="131" t="s">
        <v>319</v>
      </c>
      <c r="B11" s="132">
        <v>45072</v>
      </c>
      <c r="C11" s="131" t="s">
        <v>340</v>
      </c>
      <c r="D11" s="133">
        <v>80.099999999999994</v>
      </c>
      <c r="E11" s="133">
        <v>80.099999999999994</v>
      </c>
      <c r="F11" s="131" t="s">
        <v>341</v>
      </c>
      <c r="G11" s="132">
        <v>45071</v>
      </c>
      <c r="H11" s="131" t="s">
        <v>325</v>
      </c>
    </row>
    <row r="12" spans="1:8" ht="25.65" hidden="1" customHeight="1">
      <c r="A12" s="131" t="s">
        <v>319</v>
      </c>
      <c r="B12" s="132">
        <v>45099</v>
      </c>
      <c r="C12" s="131" t="s">
        <v>342</v>
      </c>
      <c r="D12" s="133">
        <v>102.85</v>
      </c>
      <c r="E12" s="133">
        <v>102.85</v>
      </c>
      <c r="F12" s="131" t="s">
        <v>343</v>
      </c>
      <c r="G12" s="132">
        <v>45099</v>
      </c>
      <c r="H12" s="131" t="s">
        <v>325</v>
      </c>
    </row>
    <row r="13" spans="1:8" ht="25.65" customHeight="1">
      <c r="A13" s="131" t="s">
        <v>319</v>
      </c>
      <c r="B13" s="132">
        <v>45113</v>
      </c>
      <c r="C13" s="131" t="s">
        <v>344</v>
      </c>
      <c r="D13" s="133">
        <v>80.099999999999994</v>
      </c>
      <c r="E13" s="133">
        <v>80.099999999999994</v>
      </c>
      <c r="F13" s="131" t="s">
        <v>345</v>
      </c>
      <c r="G13" s="132">
        <v>45113</v>
      </c>
      <c r="H13" s="131" t="s">
        <v>322</v>
      </c>
    </row>
    <row r="14" spans="1:8" ht="25.65" customHeight="1">
      <c r="A14" s="131" t="s">
        <v>319</v>
      </c>
      <c r="B14" s="132">
        <v>45139</v>
      </c>
      <c r="C14" s="131" t="s">
        <v>346</v>
      </c>
      <c r="D14" s="133">
        <v>80.099999999999994</v>
      </c>
      <c r="E14" s="133">
        <v>80.099999999999994</v>
      </c>
      <c r="F14" s="131" t="s">
        <v>347</v>
      </c>
      <c r="G14" s="132">
        <v>45139</v>
      </c>
      <c r="H14" s="131" t="s">
        <v>325</v>
      </c>
    </row>
    <row r="15" spans="1:8" ht="25.65" customHeight="1">
      <c r="A15" s="131" t="s">
        <v>319</v>
      </c>
      <c r="B15" s="132">
        <v>45162</v>
      </c>
      <c r="C15" s="131" t="s">
        <v>348</v>
      </c>
      <c r="D15" s="133">
        <v>80.099999999999994</v>
      </c>
      <c r="E15" s="133">
        <v>80.099999999999994</v>
      </c>
      <c r="F15" s="131" t="s">
        <v>349</v>
      </c>
      <c r="G15" s="132">
        <v>45162</v>
      </c>
      <c r="H15" s="131" t="s">
        <v>325</v>
      </c>
    </row>
    <row r="16" spans="1:8" ht="25.65" customHeight="1">
      <c r="A16" s="131" t="s">
        <v>319</v>
      </c>
      <c r="B16" s="132">
        <v>45184</v>
      </c>
      <c r="C16" s="131" t="s">
        <v>350</v>
      </c>
      <c r="D16" s="133">
        <v>78.650000000000006</v>
      </c>
      <c r="E16" s="133">
        <v>78.650000000000006</v>
      </c>
      <c r="F16" s="131" t="s">
        <v>351</v>
      </c>
      <c r="G16" s="132">
        <v>45184</v>
      </c>
      <c r="H16" s="131" t="s">
        <v>325</v>
      </c>
    </row>
    <row r="17" spans="1:8" ht="25.65" customHeight="1">
      <c r="A17" s="131" t="s">
        <v>319</v>
      </c>
      <c r="B17" s="132">
        <v>45195</v>
      </c>
      <c r="C17" s="131" t="s">
        <v>352</v>
      </c>
      <c r="D17" s="133">
        <v>80.099999999999994</v>
      </c>
      <c r="E17" s="133">
        <v>80.099999999999994</v>
      </c>
      <c r="F17" s="131" t="s">
        <v>353</v>
      </c>
      <c r="G17" s="132">
        <v>45195</v>
      </c>
      <c r="H17" s="131" t="s">
        <v>325</v>
      </c>
    </row>
    <row r="18" spans="1:8" ht="25.65" hidden="1" customHeight="1">
      <c r="A18" s="131" t="s">
        <v>319</v>
      </c>
      <c r="B18" s="132">
        <v>45238</v>
      </c>
      <c r="C18" s="131" t="s">
        <v>354</v>
      </c>
      <c r="D18" s="133">
        <v>857.09</v>
      </c>
      <c r="E18" s="133">
        <v>857.09</v>
      </c>
      <c r="F18" s="131" t="s">
        <v>355</v>
      </c>
      <c r="G18" s="132">
        <v>45302</v>
      </c>
      <c r="H18" s="131" t="s">
        <v>356</v>
      </c>
    </row>
    <row r="21" spans="1:8">
      <c r="D21" s="134">
        <f>D2+D4+D6+D8+D10+D12+D18</f>
        <v>2894.4900000000002</v>
      </c>
      <c r="F21" s="131" t="s">
        <v>357</v>
      </c>
    </row>
    <row r="22" spans="1:8">
      <c r="D22" s="134">
        <f>D3+D5+D7+D9+D11+D13+D14+D15+D16+D17</f>
        <v>799.55000000000007</v>
      </c>
      <c r="F22" s="130" t="s">
        <v>358</v>
      </c>
    </row>
    <row r="23" spans="1:8">
      <c r="D23" s="130">
        <v>1067.3</v>
      </c>
      <c r="F23" s="130" t="s">
        <v>359</v>
      </c>
    </row>
    <row r="25" spans="1:8" customFormat="1" ht="14.4" customHeight="1">
      <c r="A25" s="135" t="s">
        <v>51</v>
      </c>
      <c r="B25" s="135" t="s">
        <v>312</v>
      </c>
      <c r="C25" s="135" t="s">
        <v>313</v>
      </c>
      <c r="D25" s="135" t="s">
        <v>314</v>
      </c>
      <c r="E25" s="135" t="s">
        <v>315</v>
      </c>
      <c r="F25" s="135" t="s">
        <v>316</v>
      </c>
      <c r="G25" s="135" t="s">
        <v>317</v>
      </c>
      <c r="H25" s="135" t="s">
        <v>318</v>
      </c>
    </row>
    <row r="26" spans="1:8" customFormat="1" ht="37.200000000000003" customHeight="1">
      <c r="A26" s="136" t="s">
        <v>360</v>
      </c>
      <c r="B26" s="137">
        <v>45008</v>
      </c>
      <c r="C26" s="136" t="s">
        <v>361</v>
      </c>
      <c r="D26" s="138">
        <v>43.22</v>
      </c>
      <c r="E26" s="138">
        <v>58.07</v>
      </c>
      <c r="F26" s="136" t="s">
        <v>362</v>
      </c>
      <c r="G26" s="137">
        <v>45008</v>
      </c>
      <c r="H26" s="136" t="s">
        <v>325</v>
      </c>
    </row>
    <row r="27" spans="1:8" customFormat="1" ht="25.65" customHeight="1">
      <c r="A27" s="136" t="s">
        <v>360</v>
      </c>
      <c r="B27" s="137">
        <v>45190</v>
      </c>
      <c r="C27" s="136" t="s">
        <v>363</v>
      </c>
      <c r="D27" s="138">
        <v>448.81</v>
      </c>
      <c r="E27" s="138">
        <v>604</v>
      </c>
      <c r="F27" s="136" t="s">
        <v>364</v>
      </c>
      <c r="G27" s="137">
        <v>45190</v>
      </c>
      <c r="H27" s="136" t="s">
        <v>325</v>
      </c>
    </row>
    <row r="28" spans="1:8" customFormat="1" ht="25.65" customHeight="1">
      <c r="A28" s="136" t="s">
        <v>360</v>
      </c>
      <c r="B28" s="137">
        <v>45205</v>
      </c>
      <c r="C28" s="136" t="s">
        <v>365</v>
      </c>
      <c r="D28" s="138">
        <v>38.64</v>
      </c>
      <c r="E28" s="138">
        <v>38.64</v>
      </c>
      <c r="F28" s="136" t="s">
        <v>366</v>
      </c>
      <c r="G28" s="137">
        <v>45208</v>
      </c>
      <c r="H28" s="136" t="s">
        <v>325</v>
      </c>
    </row>
    <row r="29" spans="1:8" customFormat="1" ht="14.4" customHeight="1">
      <c r="A29" s="136" t="s">
        <v>360</v>
      </c>
      <c r="B29" s="137">
        <v>45222</v>
      </c>
      <c r="C29" s="136" t="s">
        <v>367</v>
      </c>
      <c r="D29" s="138">
        <v>79.650000000000006</v>
      </c>
      <c r="E29" s="138">
        <v>4624.5200000000004</v>
      </c>
      <c r="F29" s="136" t="s">
        <v>368</v>
      </c>
      <c r="G29" s="137">
        <v>45222</v>
      </c>
      <c r="H29" s="136" t="s">
        <v>325</v>
      </c>
    </row>
    <row r="30" spans="1:8" customFormat="1" ht="14.4" customHeight="1">
      <c r="A30" s="136" t="s">
        <v>360</v>
      </c>
      <c r="B30" s="137">
        <v>45251</v>
      </c>
      <c r="C30" s="136" t="s">
        <v>369</v>
      </c>
      <c r="D30" s="138">
        <v>479.99</v>
      </c>
      <c r="E30" s="138">
        <v>479.99</v>
      </c>
      <c r="F30" s="136" t="s">
        <v>370</v>
      </c>
      <c r="G30" s="137">
        <v>45251</v>
      </c>
      <c r="H30" s="136" t="s">
        <v>325</v>
      </c>
    </row>
    <row r="31" spans="1:8">
      <c r="D31" s="130">
        <f>SUBTOTAL(9,D26:D30)</f>
        <v>1090.31</v>
      </c>
    </row>
  </sheetData>
  <autoFilter ref="A1:IV18" xr:uid="{C4FA6700-6F3E-46F6-8F6C-E5D0A62E0097}">
    <filterColumn colId="5">
      <filters>
        <filter val="Profilakse SIA (Dok.Nr.: PROF/10372 25.01.2023  Dezinsekcija un deratizācija) Dezinsekcija un deratizācija"/>
        <filter val="Profilakse SIA (Dok.Nr.: PROF/10523 23.02.2023  Dezinsekcija un deratizācija) Dezinsekcija un deratizācija"/>
        <filter val="Profilakse SIA (Dok.Nr.: PROF/10615 21.03.2023  Dezinsekcija un deratizācija) Dezinsekcija un deratizācija"/>
        <filter val="Profilakse SIA (Dok.Nr.: PROF/10756 21.04.2023  Dezinsekcija un deratizācija) Dezinsekcija un deratizācija"/>
        <filter val="Profilakse SIA (Dok.Nr.: PROF/10878 24.05.2023  Dezinsekcija un deratizācija) Dezinsekcija un deratizācija"/>
        <filter val="Profilakse SIA (Dok.Nr.: PROF/11084 29.06.2023  Dezinsekcija un deratizācija) Dezinsekcija un deratizācija"/>
        <filter val="Profilakse SIA (Dok.Nr.: PROF/11213 26.07.2023  Dezinsekcija un deratizācija) Dezinsekcija un deratizācija"/>
        <filter val="Profilakse SIA (Dok.Nr.: PROF/11350 18.08.2023  Dezinsekcija un deratizācija) Dezinsekcija un deratizācija"/>
        <filter val="Profilakse SIA (Dok.Nr.: PROF/11476 06.09.2023  Dezinsekcijas darbi. Akts Nr.14253) Dezinsekcijas darbi. Akts Nr.14253"/>
        <filter val="Profilakse SIA (Dok.Nr.: PROF/11529 21.09.2023  Dezinsekcijas darbi) Dezinsekcijas darbi"/>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Pielikums Nr.1 - baseins (2)</vt:lpstr>
      <vt:lpstr>Baseins2024</vt:lpstr>
      <vt:lpstr>Aktu_zale</vt:lpstr>
      <vt:lpstr>Multihalle</vt:lpstr>
      <vt:lpstr>Tāme</vt:lpstr>
      <vt:lpstr>Sheet1</vt:lpstr>
      <vt:lpstr>Aktu_zale!Print_Area</vt:lpstr>
      <vt:lpstr>Baseins2024!Print_Area</vt:lpstr>
      <vt:lpstr>Multihalle!Print_Area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2023-02-21T11:38:05Z</cp:lastPrinted>
  <dcterms:created xsi:type="dcterms:W3CDTF">2023-02-20T12:16:10Z</dcterms:created>
  <dcterms:modified xsi:type="dcterms:W3CDTF">2024-03-21T13:43:57Z</dcterms:modified>
</cp:coreProperties>
</file>