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dvs-adazi.namejs.lv/webdav/b2cb120e-49e6-4d96-89b5-69b834243894/"/>
    </mc:Choice>
  </mc:AlternateContent>
  <xr:revisionPtr revIDLastSave="0" documentId="13_ncr:1_{2D9D1185-1116-4498-8B43-54E6B2313529}" xr6:coauthVersionLast="47" xr6:coauthVersionMax="47" xr10:uidLastSave="{00000000-0000-0000-0000-000000000000}"/>
  <bookViews>
    <workbookView xWindow="-108" yWindow="-108" windowWidth="23256" windowHeight="12456" xr2:uid="{F1087204-9B48-4F89-A2C4-089355CD56DD}"/>
  </bookViews>
  <sheets>
    <sheet name="2023.gada budzeta plans_apvieno" sheetId="1" r:id="rId1"/>
  </sheets>
  <externalReferences>
    <externalReference r:id="rId2"/>
    <externalReference r:id="rId3"/>
    <externalReference r:id="rId4"/>
    <externalReference r:id="rId5"/>
  </externalReferences>
  <definedNames>
    <definedName name="_0812">[1]Groz_NIN_12_2014!#REF!</definedName>
    <definedName name="_xlnm._FilterDatabase" localSheetId="0" hidden="1">'2023.gada budzeta plans_apvieno'!#REF!</definedName>
    <definedName name="Apmaksa" localSheetId="0">[2]Apmaksa!$A:$A</definedName>
    <definedName name="Apmaksa">[3]Apmaksa!$A$1:$A$65536</definedName>
    <definedName name="Darijums" localSheetId="0">[2]Darijums!$A:$A</definedName>
    <definedName name="Darijums">[3]Darijums!$A$1:$A$65536</definedName>
    <definedName name="Excel_BuiltIn__FilterDatabase" localSheetId="0">[1]Groz_NIN_12_2014!#REF!</definedName>
    <definedName name="Excel_BuiltIn__FilterDatabase">[1]Groz_NIN_12_2014!#REF!</definedName>
    <definedName name="Firmas" localSheetId="0">[2]Firma!$A:$A</definedName>
    <definedName name="Firmas">[3]Firma!$A$1:$A$65536</definedName>
    <definedName name="KolonnasNosaukums1">[4]!Piedāvājums[[#Headers],[Apraksts]]</definedName>
    <definedName name="Parvadataji" localSheetId="0">[2]Ligumi!$A:$A</definedName>
    <definedName name="Parvadataji">[3]Ligumi!$A$1:$A$65536</definedName>
    <definedName name="_xlnm.Print_Area" localSheetId="0">'2023.gada budzeta plans_apvieno'!$C$1:$K$283</definedName>
    <definedName name="_xlnm.Print_Titles" localSheetId="0">'2023.gada budzeta plans_apvieno'!$5:$5</definedName>
    <definedName name="Saist_apmers_ar_galvojumu">[3]Ligumi!$A$1:$A$65536</definedName>
    <definedName name="Z_1893421C_DBAA_4C10_AA6C_4D0F39122205_.wvu.FilterData" localSheetId="0">[1]Groz_NIN_12_2014!#REF!</definedName>
    <definedName name="Z_1893421C_DBAA_4C10_AA6C_4D0F39122205_.wvu.FilterData">[1]Groz_NIN_12_2014!#REF!</definedName>
    <definedName name="Z_483F8D4B_D649_4D59_A67B_5E8B6C0D2E28_.wvu.FilterData" localSheetId="0">[1]Groz_NIN_12_2014!#REF!</definedName>
    <definedName name="Z_483F8D4B_D649_4D59_A67B_5E8B6C0D2E28_.wvu.FilterData">[1]Groz_NIN_12_2014!#REF!</definedName>
    <definedName name="Z_56A06D27_97E5_4D01_ADCE_F8E0A2A870EF_.wvu.FilterData" localSheetId="0">[1]Groz_NIN_12_2014!#REF!</definedName>
    <definedName name="Z_56A06D27_97E5_4D01_ADCE_F8E0A2A870EF_.wvu.FilterData">[1]Groz_NIN_12_2014!#REF!</definedName>
    <definedName name="Z_81EB1DB6_89AB_4045_90FA_EF2BA7E792F9_.wvu.FilterData" localSheetId="0">[1]Groz_NIN_12_2014!#REF!</definedName>
    <definedName name="Z_81EB1DB6_89AB_4045_90FA_EF2BA7E792F9_.wvu.FilterData">[1]Groz_NIN_12_2014!#REF!</definedName>
    <definedName name="Z_81EB1DB6_89AB_4045_90FA_EF2BA7E792F9_.wvu.PrintArea" localSheetId="0">[1]Groz_NIN_12_2014!#REF!</definedName>
    <definedName name="Z_81EB1DB6_89AB_4045_90FA_EF2BA7E792F9_.wvu.PrintArea">[1]Groz_NIN_12_2014!#REF!</definedName>
    <definedName name="Z_8545B4E6_A517_4BD7_BFB7_42FEB5F229AD_.wvu.FilterData" localSheetId="0">[1]Groz_NIN_12_2014!#REF!</definedName>
    <definedName name="Z_8545B4E6_A517_4BD7_BFB7_42FEB5F229AD_.wvu.FilterData">[1]Groz_NIN_12_2014!#REF!</definedName>
    <definedName name="Z_877A1030_2452_46B0_88DF_8A068656C08E_.wvu.FilterData" localSheetId="0">[1]Groz_NIN_12_2014!#REF!</definedName>
    <definedName name="Z_877A1030_2452_46B0_88DF_8A068656C08E_.wvu.FilterData">[1]Groz_NIN_12_2014!#REF!</definedName>
    <definedName name="Z_ABD8A783_3A6C_4629_9559_1E4E89E80131_.wvu.FilterData" localSheetId="0">[1]Groz_NIN_12_2014!#REF!</definedName>
    <definedName name="Z_ABD8A783_3A6C_4629_9559_1E4E89E80131_.wvu.FilterData">[1]Groz_NIN_12_2014!#REF!</definedName>
    <definedName name="Z_AF277C95_CBD9_4696_AC72_D010599E9831_.wvu.FilterData" localSheetId="0">[1]Groz_NIN_12_2014!#REF!</definedName>
    <definedName name="Z_AF277C95_CBD9_4696_AC72_D010599E9831_.wvu.FilterData">[1]Groz_NIN_12_2014!#REF!</definedName>
    <definedName name="Z_B7CBCF06_FF41_423A_9AB3_E1D1F70C6FC5_.wvu.FilterData" localSheetId="0">[1]Groz_NIN_12_2014!#REF!</definedName>
    <definedName name="Z_B7CBCF06_FF41_423A_9AB3_E1D1F70C6FC5_.wvu.FilterData">[1]Groz_NIN_12_2014!#REF!</definedName>
    <definedName name="Z_C5511FB8_86C5_41F3_ADCD_B10310F066F5_.wvu.FilterData" localSheetId="0">[1]Groz_NIN_12_2014!#REF!</definedName>
    <definedName name="Z_C5511FB8_86C5_41F3_ADCD_B10310F066F5_.wvu.FilterData">[1]Groz_NIN_12_2014!#REF!</definedName>
    <definedName name="Z_DB8ECBD1_2D44_4F97_BCC9_F610BA0A3109_.wvu.FilterData" localSheetId="0">[1]Groz_NIN_12_2014!#REF!</definedName>
    <definedName name="Z_DB8ECBD1_2D44_4F97_BCC9_F610BA0A3109_.wvu.FilterData">[1]Groz_NIN_12_2014!#REF!</definedName>
    <definedName name="Z_DEE3A27E_689A_4E9F_A3EB_C84F1E3B413E_.wvu.FilterData" localSheetId="0">[1]Groz_NIN_12_2014!#REF!</definedName>
    <definedName name="Z_DEE3A27E_689A_4E9F_A3EB_C84F1E3B413E_.wvu.FilterData">[1]Groz_NIN_12_2014!#REF!</definedName>
    <definedName name="Z_F1F489B9_0F61_4F1F_A151_75EF77465344_.wvu.Cols" localSheetId="0">[1]Groz_NIN_12_2014!#REF!</definedName>
    <definedName name="Z_F1F489B9_0F61_4F1F_A151_75EF77465344_.wvu.Cols">[1]Groz_NIN_12_2014!#REF!</definedName>
    <definedName name="Z_F1F489B9_0F61_4F1F_A151_75EF77465344_.wvu.FilterData" localSheetId="0">[1]Groz_NIN_12_2014!#REF!</definedName>
    <definedName name="Z_F1F489B9_0F61_4F1F_A151_75EF77465344_.wvu.FilterData">[1]Groz_NIN_12_2014!#REF!</definedName>
    <definedName name="Z_F1F489B9_0F61_4F1F_A151_75EF77465344_.wvu.PrintArea" localSheetId="0">[1]Groz_NIN_12_2014!#REF!</definedName>
    <definedName name="Z_F1F489B9_0F61_4F1F_A151_75EF77465344_.wvu.PrintArea">[1]Groz_NIN_12_2014!#REF!</definedName>
    <definedName name="Z_F1F489B9_0F61_4F1F_A151_75EF77465344_.wvu.PrintTitles" localSheetId="0">[1]Groz_NIN_12_2014!#REF!</definedName>
    <definedName name="Z_F1F489B9_0F61_4F1F_A151_75EF77465344_.wvu.PrintTitles">[1]Groz_NIN_12_2014!#REF!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1" i="1" l="1"/>
  <c r="I281" i="1" s="1"/>
  <c r="Y279" i="1"/>
  <c r="V279" i="1"/>
  <c r="S279" i="1"/>
  <c r="P279" i="1"/>
  <c r="M279" i="1"/>
  <c r="J279" i="1"/>
  <c r="G279" i="1"/>
  <c r="AB278" i="1"/>
  <c r="Y278" i="1"/>
  <c r="V278" i="1"/>
  <c r="S278" i="1"/>
  <c r="P278" i="1"/>
  <c r="M278" i="1"/>
  <c r="J278" i="1"/>
  <c r="G278" i="1"/>
  <c r="AA277" i="1"/>
  <c r="X277" i="1"/>
  <c r="U277" i="1"/>
  <c r="R277" i="1"/>
  <c r="O277" i="1"/>
  <c r="L277" i="1"/>
  <c r="I277" i="1"/>
  <c r="F277" i="1"/>
  <c r="G277" i="1" s="1"/>
  <c r="F276" i="1"/>
  <c r="I276" i="1" s="1"/>
  <c r="F275" i="1"/>
  <c r="I275" i="1" s="1"/>
  <c r="J275" i="1" s="1"/>
  <c r="AA274" i="1"/>
  <c r="F273" i="1"/>
  <c r="I273" i="1" s="1"/>
  <c r="F272" i="1"/>
  <c r="F271" i="1"/>
  <c r="G271" i="1" s="1"/>
  <c r="F270" i="1"/>
  <c r="I270" i="1" s="1"/>
  <c r="AA269" i="1"/>
  <c r="F269" i="1"/>
  <c r="F268" i="1"/>
  <c r="G268" i="1" s="1"/>
  <c r="F267" i="1"/>
  <c r="G267" i="1" s="1"/>
  <c r="AA266" i="1"/>
  <c r="F265" i="1"/>
  <c r="I265" i="1" s="1"/>
  <c r="F264" i="1"/>
  <c r="I264" i="1" s="1"/>
  <c r="J264" i="1" s="1"/>
  <c r="AA263" i="1"/>
  <c r="F262" i="1"/>
  <c r="I262" i="1" s="1"/>
  <c r="J262" i="1" s="1"/>
  <c r="F261" i="1"/>
  <c r="G261" i="1" s="1"/>
  <c r="AA260" i="1"/>
  <c r="F259" i="1"/>
  <c r="F258" i="1"/>
  <c r="I258" i="1" s="1"/>
  <c r="F257" i="1"/>
  <c r="I257" i="1" s="1"/>
  <c r="L257" i="1" s="1"/>
  <c r="F256" i="1"/>
  <c r="G256" i="1" s="1"/>
  <c r="F255" i="1"/>
  <c r="I255" i="1" s="1"/>
  <c r="J255" i="1" s="1"/>
  <c r="AA254" i="1"/>
  <c r="F254" i="1"/>
  <c r="G254" i="1" s="1"/>
  <c r="AA253" i="1"/>
  <c r="F253" i="1"/>
  <c r="I253" i="1" s="1"/>
  <c r="F251" i="1"/>
  <c r="G251" i="1" s="1"/>
  <c r="AA250" i="1"/>
  <c r="F250" i="1"/>
  <c r="G250" i="1" s="1"/>
  <c r="AA249" i="1"/>
  <c r="F249" i="1"/>
  <c r="F248" i="1"/>
  <c r="I248" i="1" s="1"/>
  <c r="J248" i="1" s="1"/>
  <c r="F247" i="1"/>
  <c r="I247" i="1" s="1"/>
  <c r="F246" i="1"/>
  <c r="F245" i="1"/>
  <c r="I245" i="1" s="1"/>
  <c r="J245" i="1" s="1"/>
  <c r="AA244" i="1"/>
  <c r="F244" i="1"/>
  <c r="I244" i="1" s="1"/>
  <c r="L244" i="1" s="1"/>
  <c r="F242" i="1"/>
  <c r="I242" i="1" s="1"/>
  <c r="F241" i="1"/>
  <c r="I241" i="1" s="1"/>
  <c r="J241" i="1" s="1"/>
  <c r="F240" i="1"/>
  <c r="I240" i="1" s="1"/>
  <c r="L240" i="1" s="1"/>
  <c r="AA239" i="1"/>
  <c r="F238" i="1"/>
  <c r="I238" i="1" s="1"/>
  <c r="L238" i="1" s="1"/>
  <c r="M238" i="1" s="1"/>
  <c r="F237" i="1"/>
  <c r="G237" i="1" s="1"/>
  <c r="F236" i="1"/>
  <c r="I236" i="1" s="1"/>
  <c r="AA235" i="1"/>
  <c r="F234" i="1"/>
  <c r="I234" i="1" s="1"/>
  <c r="F233" i="1"/>
  <c r="I233" i="1" s="1"/>
  <c r="F232" i="1"/>
  <c r="I232" i="1" s="1"/>
  <c r="L232" i="1" s="1"/>
  <c r="AA231" i="1"/>
  <c r="F230" i="1"/>
  <c r="G230" i="1" s="1"/>
  <c r="F229" i="1"/>
  <c r="G229" i="1" s="1"/>
  <c r="AA228" i="1"/>
  <c r="F227" i="1"/>
  <c r="I227" i="1" s="1"/>
  <c r="F226" i="1"/>
  <c r="I226" i="1" s="1"/>
  <c r="J226" i="1" s="1"/>
  <c r="AA225" i="1"/>
  <c r="F224" i="1"/>
  <c r="I224" i="1" s="1"/>
  <c r="F222" i="1"/>
  <c r="I222" i="1" s="1"/>
  <c r="F221" i="1"/>
  <c r="I221" i="1" s="1"/>
  <c r="J221" i="1" s="1"/>
  <c r="F220" i="1"/>
  <c r="G220" i="1" s="1"/>
  <c r="F219" i="1"/>
  <c r="F218" i="1"/>
  <c r="I218" i="1" s="1"/>
  <c r="L218" i="1" s="1"/>
  <c r="F217" i="1"/>
  <c r="F216" i="1"/>
  <c r="G216" i="1" s="1"/>
  <c r="AA215" i="1"/>
  <c r="AA214" i="1" s="1"/>
  <c r="F215" i="1"/>
  <c r="G215" i="1" s="1"/>
  <c r="AA213" i="1"/>
  <c r="F213" i="1"/>
  <c r="I213" i="1" s="1"/>
  <c r="F212" i="1"/>
  <c r="F210" i="1"/>
  <c r="I210" i="1" s="1"/>
  <c r="F209" i="1"/>
  <c r="I209" i="1" s="1"/>
  <c r="F208" i="1"/>
  <c r="I208" i="1" s="1"/>
  <c r="F207" i="1"/>
  <c r="I207" i="1" s="1"/>
  <c r="AA206" i="1"/>
  <c r="AA205" i="1" s="1"/>
  <c r="F206" i="1"/>
  <c r="I206" i="1" s="1"/>
  <c r="L206" i="1" s="1"/>
  <c r="M206" i="1" s="1"/>
  <c r="F203" i="1"/>
  <c r="I203" i="1" s="1"/>
  <c r="F202" i="1"/>
  <c r="I202" i="1" s="1"/>
  <c r="L202" i="1" s="1"/>
  <c r="F201" i="1"/>
  <c r="I201" i="1" s="1"/>
  <c r="F200" i="1"/>
  <c r="G200" i="1" s="1"/>
  <c r="F199" i="1"/>
  <c r="I199" i="1" s="1"/>
  <c r="F198" i="1"/>
  <c r="G198" i="1" s="1"/>
  <c r="F197" i="1"/>
  <c r="G197" i="1" s="1"/>
  <c r="F196" i="1"/>
  <c r="I196" i="1" s="1"/>
  <c r="F195" i="1"/>
  <c r="F194" i="1"/>
  <c r="I194" i="1" s="1"/>
  <c r="F193" i="1"/>
  <c r="I193" i="1" s="1"/>
  <c r="L193" i="1" s="1"/>
  <c r="AA192" i="1"/>
  <c r="F190" i="1"/>
  <c r="G190" i="1" s="1"/>
  <c r="AA189" i="1"/>
  <c r="F189" i="1"/>
  <c r="I189" i="1" s="1"/>
  <c r="AA188" i="1"/>
  <c r="F188" i="1"/>
  <c r="I188" i="1" s="1"/>
  <c r="F187" i="1"/>
  <c r="I187" i="1" s="1"/>
  <c r="AB186" i="1"/>
  <c r="Y186" i="1"/>
  <c r="V186" i="1"/>
  <c r="F185" i="1"/>
  <c r="I185" i="1" s="1"/>
  <c r="F184" i="1"/>
  <c r="I184" i="1" s="1"/>
  <c r="L184" i="1" s="1"/>
  <c r="O184" i="1" s="1"/>
  <c r="P184" i="1" s="1"/>
  <c r="AA183" i="1"/>
  <c r="F183" i="1"/>
  <c r="I183" i="1" s="1"/>
  <c r="F182" i="1"/>
  <c r="I182" i="1" s="1"/>
  <c r="AA181" i="1"/>
  <c r="F181" i="1"/>
  <c r="I181" i="1" s="1"/>
  <c r="J181" i="1" s="1"/>
  <c r="AA180" i="1"/>
  <c r="F180" i="1"/>
  <c r="G180" i="1" s="1"/>
  <c r="F179" i="1"/>
  <c r="AA178" i="1"/>
  <c r="F178" i="1"/>
  <c r="G178" i="1" s="1"/>
  <c r="F176" i="1"/>
  <c r="G176" i="1" s="1"/>
  <c r="F175" i="1"/>
  <c r="G175" i="1" s="1"/>
  <c r="F174" i="1"/>
  <c r="I174" i="1" s="1"/>
  <c r="F173" i="1"/>
  <c r="I173" i="1" s="1"/>
  <c r="J173" i="1" s="1"/>
  <c r="AA172" i="1"/>
  <c r="F172" i="1"/>
  <c r="G172" i="1" s="1"/>
  <c r="U170" i="1"/>
  <c r="X170" i="1" s="1"/>
  <c r="S170" i="1"/>
  <c r="X169" i="1"/>
  <c r="U169" i="1"/>
  <c r="R169" i="1"/>
  <c r="O169" i="1"/>
  <c r="P169" i="1" s="1"/>
  <c r="L169" i="1"/>
  <c r="I169" i="1"/>
  <c r="J169" i="1" s="1"/>
  <c r="G169" i="1"/>
  <c r="X168" i="1"/>
  <c r="U168" i="1"/>
  <c r="R168" i="1"/>
  <c r="O168" i="1"/>
  <c r="L168" i="1"/>
  <c r="I168" i="1"/>
  <c r="G168" i="1"/>
  <c r="X167" i="1"/>
  <c r="U167" i="1"/>
  <c r="R167" i="1"/>
  <c r="O167" i="1"/>
  <c r="L167" i="1"/>
  <c r="I167" i="1"/>
  <c r="F167" i="1"/>
  <c r="G167" i="1" s="1"/>
  <c r="F166" i="1"/>
  <c r="I166" i="1" s="1"/>
  <c r="F165" i="1"/>
  <c r="G165" i="1" s="1"/>
  <c r="F164" i="1"/>
  <c r="I164" i="1" s="1"/>
  <c r="F163" i="1"/>
  <c r="I163" i="1" s="1"/>
  <c r="F162" i="1"/>
  <c r="I162" i="1" s="1"/>
  <c r="F161" i="1"/>
  <c r="AA160" i="1"/>
  <c r="AA159" i="1" s="1"/>
  <c r="F160" i="1"/>
  <c r="I160" i="1" s="1"/>
  <c r="F158" i="1"/>
  <c r="I158" i="1" s="1"/>
  <c r="F157" i="1"/>
  <c r="I157" i="1" s="1"/>
  <c r="J157" i="1" s="1"/>
  <c r="AA156" i="1"/>
  <c r="F156" i="1"/>
  <c r="I156" i="1" s="1"/>
  <c r="L156" i="1" s="1"/>
  <c r="O156" i="1" s="1"/>
  <c r="AA154" i="1"/>
  <c r="AA153" i="1" s="1"/>
  <c r="F154" i="1"/>
  <c r="I154" i="1" s="1"/>
  <c r="F152" i="1"/>
  <c r="F151" i="1"/>
  <c r="I151" i="1" s="1"/>
  <c r="F150" i="1"/>
  <c r="G150" i="1" s="1"/>
  <c r="G149" i="1" s="1"/>
  <c r="AA149" i="1"/>
  <c r="AA148" i="1" s="1"/>
  <c r="F147" i="1"/>
  <c r="F146" i="1"/>
  <c r="I146" i="1" s="1"/>
  <c r="J146" i="1" s="1"/>
  <c r="AA145" i="1"/>
  <c r="F145" i="1"/>
  <c r="G145" i="1" s="1"/>
  <c r="F144" i="1"/>
  <c r="F143" i="1"/>
  <c r="G143" i="1" s="1"/>
  <c r="AA142" i="1"/>
  <c r="F142" i="1"/>
  <c r="G142" i="1" s="1"/>
  <c r="F141" i="1"/>
  <c r="I141" i="1" s="1"/>
  <c r="J141" i="1" s="1"/>
  <c r="F140" i="1"/>
  <c r="F139" i="1"/>
  <c r="I139" i="1" s="1"/>
  <c r="L139" i="1" s="1"/>
  <c r="F138" i="1"/>
  <c r="F137" i="1"/>
  <c r="I137" i="1" s="1"/>
  <c r="L137" i="1" s="1"/>
  <c r="M137" i="1" s="1"/>
  <c r="F136" i="1"/>
  <c r="G136" i="1" s="1"/>
  <c r="AA128" i="1"/>
  <c r="X128" i="1"/>
  <c r="U128" i="1"/>
  <c r="R128" i="1"/>
  <c r="S128" i="1" s="1"/>
  <c r="P128" i="1"/>
  <c r="AA127" i="1"/>
  <c r="F127" i="1"/>
  <c r="G127" i="1" s="1"/>
  <c r="AA126" i="1"/>
  <c r="F126" i="1"/>
  <c r="G126" i="1" s="1"/>
  <c r="F125" i="1"/>
  <c r="I125" i="1" s="1"/>
  <c r="J125" i="1" s="1"/>
  <c r="AA124" i="1"/>
  <c r="F124" i="1"/>
  <c r="G124" i="1" s="1"/>
  <c r="AA123" i="1"/>
  <c r="F123" i="1"/>
  <c r="AA122" i="1"/>
  <c r="F122" i="1"/>
  <c r="I122" i="1" s="1"/>
  <c r="J122" i="1" s="1"/>
  <c r="F121" i="1"/>
  <c r="I121" i="1" s="1"/>
  <c r="F120" i="1"/>
  <c r="I120" i="1" s="1"/>
  <c r="F119" i="1"/>
  <c r="I119" i="1" s="1"/>
  <c r="J119" i="1" s="1"/>
  <c r="F118" i="1"/>
  <c r="I118" i="1" s="1"/>
  <c r="AA117" i="1"/>
  <c r="F117" i="1"/>
  <c r="I117" i="1" s="1"/>
  <c r="AA116" i="1"/>
  <c r="F116" i="1"/>
  <c r="AA115" i="1"/>
  <c r="F115" i="1"/>
  <c r="F113" i="1"/>
  <c r="I113" i="1" s="1"/>
  <c r="L113" i="1" s="1"/>
  <c r="F112" i="1"/>
  <c r="G112" i="1" s="1"/>
  <c r="AA111" i="1"/>
  <c r="AA109" i="1"/>
  <c r="F109" i="1"/>
  <c r="F108" i="1"/>
  <c r="G108" i="1" s="1"/>
  <c r="F107" i="1"/>
  <c r="I107" i="1" s="1"/>
  <c r="J107" i="1" s="1"/>
  <c r="AA106" i="1"/>
  <c r="AA105" i="1" s="1"/>
  <c r="F106" i="1"/>
  <c r="I106" i="1" s="1"/>
  <c r="L106" i="1" s="1"/>
  <c r="F104" i="1"/>
  <c r="I104" i="1" s="1"/>
  <c r="L104" i="1" s="1"/>
  <c r="M104" i="1" s="1"/>
  <c r="F103" i="1"/>
  <c r="I103" i="1" s="1"/>
  <c r="F102" i="1"/>
  <c r="G102" i="1" s="1"/>
  <c r="AA101" i="1"/>
  <c r="F100" i="1"/>
  <c r="I100" i="1" s="1"/>
  <c r="Y99" i="1"/>
  <c r="V99" i="1"/>
  <c r="S99" i="1"/>
  <c r="P99" i="1"/>
  <c r="M99" i="1"/>
  <c r="J99" i="1"/>
  <c r="G99" i="1"/>
  <c r="AA98" i="1"/>
  <c r="F97" i="1"/>
  <c r="F96" i="1"/>
  <c r="I96" i="1" s="1"/>
  <c r="L96" i="1" s="1"/>
  <c r="AA95" i="1"/>
  <c r="F93" i="1"/>
  <c r="I93" i="1" s="1"/>
  <c r="J93" i="1" s="1"/>
  <c r="F92" i="1"/>
  <c r="G92" i="1" s="1"/>
  <c r="AA91" i="1"/>
  <c r="F90" i="1"/>
  <c r="I90" i="1" s="1"/>
  <c r="L90" i="1" s="1"/>
  <c r="M90" i="1" s="1"/>
  <c r="U89" i="1"/>
  <c r="S89" i="1"/>
  <c r="AA88" i="1"/>
  <c r="F88" i="1"/>
  <c r="I88" i="1" s="1"/>
  <c r="AA87" i="1"/>
  <c r="F87" i="1"/>
  <c r="I87" i="1" s="1"/>
  <c r="L87" i="1" s="1"/>
  <c r="F86" i="1"/>
  <c r="I86" i="1" s="1"/>
  <c r="J86" i="1" s="1"/>
  <c r="AA85" i="1"/>
  <c r="F85" i="1"/>
  <c r="G85" i="1" s="1"/>
  <c r="AA84" i="1"/>
  <c r="F84" i="1"/>
  <c r="I84" i="1" s="1"/>
  <c r="J84" i="1" s="1"/>
  <c r="F83" i="1"/>
  <c r="G83" i="1" s="1"/>
  <c r="AA82" i="1"/>
  <c r="F82" i="1"/>
  <c r="I82" i="1" s="1"/>
  <c r="J82" i="1" s="1"/>
  <c r="F81" i="1"/>
  <c r="I81" i="1" s="1"/>
  <c r="J81" i="1" s="1"/>
  <c r="AA80" i="1"/>
  <c r="F80" i="1"/>
  <c r="AA79" i="1"/>
  <c r="F79" i="1"/>
  <c r="I79" i="1" s="1"/>
  <c r="J79" i="1" s="1"/>
  <c r="F78" i="1"/>
  <c r="G78" i="1" s="1"/>
  <c r="F77" i="1"/>
  <c r="G77" i="1" s="1"/>
  <c r="AA76" i="1"/>
  <c r="F76" i="1"/>
  <c r="I76" i="1" s="1"/>
  <c r="F75" i="1"/>
  <c r="I75" i="1" s="1"/>
  <c r="J75" i="1" s="1"/>
  <c r="F74" i="1"/>
  <c r="F73" i="1"/>
  <c r="I73" i="1" s="1"/>
  <c r="J73" i="1" s="1"/>
  <c r="AA72" i="1"/>
  <c r="F72" i="1"/>
  <c r="I72" i="1" s="1"/>
  <c r="AA71" i="1"/>
  <c r="F71" i="1"/>
  <c r="G71" i="1" s="1"/>
  <c r="F70" i="1"/>
  <c r="I70" i="1" s="1"/>
  <c r="L70" i="1" s="1"/>
  <c r="F69" i="1"/>
  <c r="I69" i="1" s="1"/>
  <c r="F67" i="1"/>
  <c r="I67" i="1" s="1"/>
  <c r="AB66" i="1"/>
  <c r="Y66" i="1"/>
  <c r="V66" i="1"/>
  <c r="AA65" i="1"/>
  <c r="F65" i="1"/>
  <c r="I65" i="1" s="1"/>
  <c r="J65" i="1" s="1"/>
  <c r="F64" i="1"/>
  <c r="G64" i="1" s="1"/>
  <c r="AA63" i="1"/>
  <c r="F63" i="1"/>
  <c r="I63" i="1" s="1"/>
  <c r="L63" i="1" s="1"/>
  <c r="F62" i="1"/>
  <c r="I62" i="1" s="1"/>
  <c r="AB61" i="1"/>
  <c r="Y61" i="1"/>
  <c r="V61" i="1"/>
  <c r="S61" i="1"/>
  <c r="P61" i="1"/>
  <c r="M61" i="1"/>
  <c r="J61" i="1"/>
  <c r="F60" i="1"/>
  <c r="I60" i="1" s="1"/>
  <c r="AA59" i="1"/>
  <c r="F59" i="1"/>
  <c r="G59" i="1" s="1"/>
  <c r="F58" i="1"/>
  <c r="F57" i="1"/>
  <c r="I57" i="1" s="1"/>
  <c r="AA56" i="1"/>
  <c r="AA67" i="1" s="1"/>
  <c r="F56" i="1"/>
  <c r="F55" i="1"/>
  <c r="AA54" i="1"/>
  <c r="AA52" i="1" s="1"/>
  <c r="F54" i="1"/>
  <c r="I54" i="1" s="1"/>
  <c r="J54" i="1" s="1"/>
  <c r="F53" i="1"/>
  <c r="Y51" i="1"/>
  <c r="V51" i="1"/>
  <c r="S51" i="1"/>
  <c r="P51" i="1"/>
  <c r="M51" i="1"/>
  <c r="J51" i="1"/>
  <c r="G51" i="1"/>
  <c r="X50" i="1"/>
  <c r="AB50" i="1" s="1"/>
  <c r="U50" i="1"/>
  <c r="R50" i="1"/>
  <c r="R49" i="1" s="1"/>
  <c r="O50" i="1"/>
  <c r="O49" i="1" s="1"/>
  <c r="L50" i="1"/>
  <c r="J50" i="1"/>
  <c r="G50" i="1"/>
  <c r="AA49" i="1"/>
  <c r="I49" i="1"/>
  <c r="F49" i="1"/>
  <c r="AA48" i="1"/>
  <c r="F48" i="1"/>
  <c r="G48" i="1" s="1"/>
  <c r="F47" i="1"/>
  <c r="I47" i="1" s="1"/>
  <c r="L47" i="1" s="1"/>
  <c r="F46" i="1"/>
  <c r="I46" i="1" s="1"/>
  <c r="J46" i="1" s="1"/>
  <c r="T44" i="1"/>
  <c r="Q44" i="1"/>
  <c r="N44" i="1"/>
  <c r="K44" i="1"/>
  <c r="AA43" i="1"/>
  <c r="F43" i="1"/>
  <c r="I43" i="1" s="1"/>
  <c r="L43" i="1" s="1"/>
  <c r="AA42" i="1"/>
  <c r="F42" i="1"/>
  <c r="I42" i="1" s="1"/>
  <c r="J42" i="1" s="1"/>
  <c r="F41" i="1"/>
  <c r="AA40" i="1"/>
  <c r="F40" i="1"/>
  <c r="I40" i="1" s="1"/>
  <c r="F38" i="1"/>
  <c r="I38" i="1" s="1"/>
  <c r="L38" i="1" s="1"/>
  <c r="O38" i="1" s="1"/>
  <c r="P38" i="1" s="1"/>
  <c r="F37" i="1"/>
  <c r="I37" i="1" s="1"/>
  <c r="J37" i="1" s="1"/>
  <c r="AA36" i="1"/>
  <c r="F35" i="1"/>
  <c r="I35" i="1" s="1"/>
  <c r="L35" i="1" s="1"/>
  <c r="O35" i="1" s="1"/>
  <c r="F34" i="1"/>
  <c r="I34" i="1" s="1"/>
  <c r="J34" i="1" s="1"/>
  <c r="F33" i="1"/>
  <c r="G33" i="1" s="1"/>
  <c r="F32" i="1"/>
  <c r="F31" i="1"/>
  <c r="G31" i="1" s="1"/>
  <c r="F30" i="1"/>
  <c r="I30" i="1" s="1"/>
  <c r="F29" i="1"/>
  <c r="I29" i="1" s="1"/>
  <c r="AA28" i="1"/>
  <c r="AA27" i="1"/>
  <c r="AA24" i="1" s="1"/>
  <c r="F27" i="1"/>
  <c r="G27" i="1" s="1"/>
  <c r="F26" i="1"/>
  <c r="I26" i="1" s="1"/>
  <c r="J26" i="1" s="1"/>
  <c r="F25" i="1"/>
  <c r="F22" i="1"/>
  <c r="I22" i="1" s="1"/>
  <c r="F21" i="1"/>
  <c r="G21" i="1" s="1"/>
  <c r="AA20" i="1"/>
  <c r="F19" i="1"/>
  <c r="I19" i="1" s="1"/>
  <c r="F18" i="1"/>
  <c r="I18" i="1" s="1"/>
  <c r="AA17" i="1"/>
  <c r="F16" i="1"/>
  <c r="G16" i="1" s="1"/>
  <c r="F15" i="1"/>
  <c r="AA14" i="1"/>
  <c r="F13" i="1"/>
  <c r="I13" i="1" s="1"/>
  <c r="F12" i="1"/>
  <c r="I12" i="1" s="1"/>
  <c r="AA11" i="1"/>
  <c r="AA9" i="1"/>
  <c r="AA7" i="1" s="1"/>
  <c r="X9" i="1"/>
  <c r="U9" i="1"/>
  <c r="R9" i="1"/>
  <c r="O9" i="1"/>
  <c r="L9" i="1"/>
  <c r="I9" i="1"/>
  <c r="F9" i="1"/>
  <c r="G9" i="1" s="1"/>
  <c r="F8" i="1"/>
  <c r="I8" i="1" s="1"/>
  <c r="M277" i="1" l="1"/>
  <c r="S277" i="1"/>
  <c r="F98" i="1"/>
  <c r="AB277" i="1"/>
  <c r="G163" i="1"/>
  <c r="I256" i="1"/>
  <c r="L256" i="1" s="1"/>
  <c r="V128" i="1"/>
  <c r="S168" i="1"/>
  <c r="I59" i="1"/>
  <c r="L59" i="1" s="1"/>
  <c r="M167" i="1"/>
  <c r="P167" i="1"/>
  <c r="V167" i="1"/>
  <c r="J167" i="1"/>
  <c r="F192" i="1"/>
  <c r="G100" i="1"/>
  <c r="F17" i="1"/>
  <c r="G17" i="1" s="1"/>
  <c r="M168" i="1"/>
  <c r="P168" i="1"/>
  <c r="I251" i="1"/>
  <c r="J277" i="1"/>
  <c r="P9" i="1"/>
  <c r="M169" i="1"/>
  <c r="Y277" i="1"/>
  <c r="G93" i="1"/>
  <c r="V277" i="1"/>
  <c r="V9" i="1"/>
  <c r="G70" i="1"/>
  <c r="AA114" i="1"/>
  <c r="AB9" i="1"/>
  <c r="AA39" i="1"/>
  <c r="G157" i="1"/>
  <c r="Y169" i="1"/>
  <c r="Y128" i="1"/>
  <c r="J38" i="1"/>
  <c r="G67" i="1"/>
  <c r="F105" i="1"/>
  <c r="G105" i="1" s="1"/>
  <c r="AB169" i="1"/>
  <c r="M38" i="1"/>
  <c r="V168" i="1"/>
  <c r="F211" i="1"/>
  <c r="G211" i="1" s="1"/>
  <c r="G262" i="1"/>
  <c r="G240" i="1"/>
  <c r="AA94" i="1"/>
  <c r="G181" i="1"/>
  <c r="I267" i="1"/>
  <c r="J267" i="1" s="1"/>
  <c r="I172" i="1"/>
  <c r="L172" i="1" s="1"/>
  <c r="M172" i="1" s="1"/>
  <c r="G233" i="1"/>
  <c r="P277" i="1"/>
  <c r="S49" i="1"/>
  <c r="AB170" i="1"/>
  <c r="Y170" i="1"/>
  <c r="M9" i="1"/>
  <c r="G47" i="1"/>
  <c r="F91" i="1"/>
  <c r="G91" i="1" s="1"/>
  <c r="I143" i="1"/>
  <c r="L143" i="1" s="1"/>
  <c r="O143" i="1" s="1"/>
  <c r="R143" i="1" s="1"/>
  <c r="S143" i="1" s="1"/>
  <c r="G195" i="1"/>
  <c r="J240" i="1"/>
  <c r="J49" i="1"/>
  <c r="S50" i="1"/>
  <c r="J104" i="1"/>
  <c r="Y167" i="1"/>
  <c r="V170" i="1"/>
  <c r="G193" i="1"/>
  <c r="I195" i="1"/>
  <c r="J195" i="1" s="1"/>
  <c r="F235" i="1"/>
  <c r="G235" i="1" s="1"/>
  <c r="G248" i="1"/>
  <c r="G265" i="1"/>
  <c r="AA6" i="1"/>
  <c r="G49" i="1"/>
  <c r="G122" i="1"/>
  <c r="I136" i="1"/>
  <c r="J136" i="1" s="1"/>
  <c r="AB167" i="1"/>
  <c r="G189" i="1"/>
  <c r="J193" i="1"/>
  <c r="S9" i="1"/>
  <c r="G146" i="1"/>
  <c r="I220" i="1"/>
  <c r="L220" i="1" s="1"/>
  <c r="F7" i="1"/>
  <c r="G7" i="1" s="1"/>
  <c r="Y9" i="1"/>
  <c r="F14" i="1"/>
  <c r="G14" i="1" s="1"/>
  <c r="G26" i="1"/>
  <c r="X49" i="1"/>
  <c r="AB49" i="1" s="1"/>
  <c r="I108" i="1"/>
  <c r="G234" i="1"/>
  <c r="V169" i="1"/>
  <c r="G46" i="1"/>
  <c r="I142" i="1"/>
  <c r="L142" i="1" s="1"/>
  <c r="F36" i="1"/>
  <c r="G36" i="1" s="1"/>
  <c r="G75" i="1"/>
  <c r="L75" i="1"/>
  <c r="O75" i="1" s="1"/>
  <c r="P75" i="1" s="1"/>
  <c r="J183" i="1"/>
  <c r="L183" i="1"/>
  <c r="L187" i="1"/>
  <c r="O187" i="1" s="1"/>
  <c r="J187" i="1"/>
  <c r="M240" i="1"/>
  <c r="O240" i="1"/>
  <c r="P240" i="1" s="1"/>
  <c r="L67" i="1"/>
  <c r="J67" i="1"/>
  <c r="J164" i="1"/>
  <c r="L164" i="1"/>
  <c r="O164" i="1" s="1"/>
  <c r="L265" i="1"/>
  <c r="J265" i="1"/>
  <c r="L76" i="1"/>
  <c r="O76" i="1" s="1"/>
  <c r="P76" i="1" s="1"/>
  <c r="J76" i="1"/>
  <c r="L224" i="1"/>
  <c r="O224" i="1" s="1"/>
  <c r="R224" i="1" s="1"/>
  <c r="J224" i="1"/>
  <c r="L40" i="1"/>
  <c r="O40" i="1" s="1"/>
  <c r="P40" i="1" s="1"/>
  <c r="J40" i="1"/>
  <c r="J208" i="1"/>
  <c r="L208" i="1"/>
  <c r="M208" i="1" s="1"/>
  <c r="I231" i="1"/>
  <c r="J233" i="1"/>
  <c r="J158" i="1"/>
  <c r="L158" i="1"/>
  <c r="O158" i="1" s="1"/>
  <c r="L166" i="1"/>
  <c r="J166" i="1"/>
  <c r="J139" i="1"/>
  <c r="I175" i="1"/>
  <c r="L175" i="1" s="1"/>
  <c r="M175" i="1" s="1"/>
  <c r="G182" i="1"/>
  <c r="G187" i="1"/>
  <c r="I216" i="1"/>
  <c r="G222" i="1"/>
  <c r="G227" i="1"/>
  <c r="I229" i="1"/>
  <c r="G40" i="1"/>
  <c r="I64" i="1"/>
  <c r="L64" i="1" s="1"/>
  <c r="O64" i="1" s="1"/>
  <c r="F11" i="1"/>
  <c r="G11" i="1" s="1"/>
  <c r="G43" i="1"/>
  <c r="G73" i="1"/>
  <c r="I83" i="1"/>
  <c r="J83" i="1" s="1"/>
  <c r="G86" i="1"/>
  <c r="J113" i="1"/>
  <c r="L157" i="1"/>
  <c r="O157" i="1" s="1"/>
  <c r="R157" i="1" s="1"/>
  <c r="G166" i="1"/>
  <c r="G184" i="1"/>
  <c r="F263" i="1"/>
  <c r="G263" i="1" s="1"/>
  <c r="I27" i="1"/>
  <c r="J27" i="1" s="1"/>
  <c r="I77" i="1"/>
  <c r="I33" i="1"/>
  <c r="J33" i="1" s="1"/>
  <c r="G62" i="1"/>
  <c r="I71" i="1"/>
  <c r="L73" i="1"/>
  <c r="L86" i="1"/>
  <c r="O86" i="1" s="1"/>
  <c r="G104" i="1"/>
  <c r="I127" i="1"/>
  <c r="L127" i="1" s="1"/>
  <c r="M127" i="1" s="1"/>
  <c r="F149" i="1"/>
  <c r="F148" i="1" s="1"/>
  <c r="G148" i="1" s="1"/>
  <c r="J184" i="1"/>
  <c r="G199" i="1"/>
  <c r="G202" i="1"/>
  <c r="G208" i="1"/>
  <c r="I237" i="1"/>
  <c r="J237" i="1" s="1"/>
  <c r="F239" i="1"/>
  <c r="G239" i="1" s="1"/>
  <c r="G255" i="1"/>
  <c r="G258" i="1"/>
  <c r="I268" i="1"/>
  <c r="J268" i="1" s="1"/>
  <c r="I271" i="1"/>
  <c r="L271" i="1" s="1"/>
  <c r="M271" i="1" s="1"/>
  <c r="G206" i="1"/>
  <c r="F225" i="1"/>
  <c r="G225" i="1" s="1"/>
  <c r="L255" i="1"/>
  <c r="M255" i="1" s="1"/>
  <c r="F274" i="1"/>
  <c r="G274" i="1" s="1"/>
  <c r="F24" i="1"/>
  <c r="G30" i="1"/>
  <c r="L65" i="1"/>
  <c r="I78" i="1"/>
  <c r="G81" i="1"/>
  <c r="L84" i="1"/>
  <c r="O84" i="1" s="1"/>
  <c r="P84" i="1" s="1"/>
  <c r="G90" i="1"/>
  <c r="L93" i="1"/>
  <c r="O93" i="1" s="1"/>
  <c r="P93" i="1" s="1"/>
  <c r="J137" i="1"/>
  <c r="F191" i="1"/>
  <c r="J206" i="1"/>
  <c r="F214" i="1"/>
  <c r="G224" i="1"/>
  <c r="G34" i="1"/>
  <c r="J87" i="1"/>
  <c r="M143" i="1"/>
  <c r="G158" i="1"/>
  <c r="G164" i="1"/>
  <c r="I178" i="1"/>
  <c r="L178" i="1" s="1"/>
  <c r="M178" i="1" s="1"/>
  <c r="G183" i="1"/>
  <c r="G241" i="1"/>
  <c r="G244" i="1"/>
  <c r="I250" i="1"/>
  <c r="L250" i="1" s="1"/>
  <c r="O250" i="1" s="1"/>
  <c r="G54" i="1"/>
  <c r="G63" i="1"/>
  <c r="G69" i="1"/>
  <c r="G76" i="1"/>
  <c r="G96" i="1"/>
  <c r="G141" i="1"/>
  <c r="U143" i="1"/>
  <c r="X143" i="1" s="1"/>
  <c r="I150" i="1"/>
  <c r="I149" i="1" s="1"/>
  <c r="G173" i="1"/>
  <c r="G194" i="1"/>
  <c r="I200" i="1"/>
  <c r="G238" i="1"/>
  <c r="G247" i="1"/>
  <c r="L262" i="1"/>
  <c r="O262" i="1" s="1"/>
  <c r="R262" i="1" s="1"/>
  <c r="F266" i="1"/>
  <c r="G266" i="1" s="1"/>
  <c r="L54" i="1"/>
  <c r="O54" i="1" s="1"/>
  <c r="P54" i="1" s="1"/>
  <c r="L107" i="1"/>
  <c r="M107" i="1" s="1"/>
  <c r="L141" i="1"/>
  <c r="M141" i="1" s="1"/>
  <c r="I145" i="1"/>
  <c r="J145" i="1" s="1"/>
  <c r="G185" i="1"/>
  <c r="I197" i="1"/>
  <c r="L197" i="1" s="1"/>
  <c r="O197" i="1" s="1"/>
  <c r="I215" i="1"/>
  <c r="L221" i="1"/>
  <c r="M221" i="1" s="1"/>
  <c r="I21" i="1"/>
  <c r="J21" i="1" s="1"/>
  <c r="G37" i="1"/>
  <c r="I48" i="1"/>
  <c r="L48" i="1" s="1"/>
  <c r="M48" i="1" s="1"/>
  <c r="G79" i="1"/>
  <c r="I85" i="1"/>
  <c r="I92" i="1"/>
  <c r="G209" i="1"/>
  <c r="L226" i="1"/>
  <c r="M226" i="1" s="1"/>
  <c r="F228" i="1"/>
  <c r="G228" i="1" s="1"/>
  <c r="F28" i="1"/>
  <c r="G28" i="1" s="1"/>
  <c r="G42" i="1"/>
  <c r="F95" i="1"/>
  <c r="G95" i="1" s="1"/>
  <c r="G218" i="1"/>
  <c r="G245" i="1"/>
  <c r="J256" i="1"/>
  <c r="J9" i="1"/>
  <c r="G103" i="1"/>
  <c r="F111" i="1"/>
  <c r="G111" i="1" s="1"/>
  <c r="I126" i="1"/>
  <c r="J126" i="1" s="1"/>
  <c r="G154" i="1"/>
  <c r="I165" i="1"/>
  <c r="L165" i="1" s="1"/>
  <c r="O165" i="1" s="1"/>
  <c r="I198" i="1"/>
  <c r="G213" i="1"/>
  <c r="L248" i="1"/>
  <c r="O248" i="1" s="1"/>
  <c r="I254" i="1"/>
  <c r="L254" i="1" s="1"/>
  <c r="O254" i="1" s="1"/>
  <c r="G273" i="1"/>
  <c r="J13" i="1"/>
  <c r="L13" i="1"/>
  <c r="M43" i="1"/>
  <c r="O43" i="1"/>
  <c r="J18" i="1"/>
  <c r="I17" i="1"/>
  <c r="J17" i="1" s="1"/>
  <c r="L18" i="1"/>
  <c r="J30" i="1"/>
  <c r="L30" i="1"/>
  <c r="L19" i="1"/>
  <c r="J19" i="1"/>
  <c r="O47" i="1"/>
  <c r="M47" i="1"/>
  <c r="P35" i="1"/>
  <c r="R35" i="1"/>
  <c r="L22" i="1"/>
  <c r="J22" i="1"/>
  <c r="J12" i="1"/>
  <c r="I11" i="1"/>
  <c r="L12" i="1"/>
  <c r="I7" i="1"/>
  <c r="L8" i="1"/>
  <c r="J8" i="1"/>
  <c r="AA23" i="1"/>
  <c r="L29" i="1"/>
  <c r="J29" i="1"/>
  <c r="I16" i="1"/>
  <c r="I25" i="1"/>
  <c r="I36" i="1"/>
  <c r="L37" i="1"/>
  <c r="L42" i="1"/>
  <c r="J43" i="1"/>
  <c r="G60" i="1"/>
  <c r="O63" i="1"/>
  <c r="M63" i="1"/>
  <c r="O70" i="1"/>
  <c r="M70" i="1"/>
  <c r="X89" i="1"/>
  <c r="V89" i="1"/>
  <c r="R38" i="1"/>
  <c r="I41" i="1"/>
  <c r="G41" i="1"/>
  <c r="AA45" i="1"/>
  <c r="I53" i="1"/>
  <c r="G53" i="1"/>
  <c r="J63" i="1"/>
  <c r="G25" i="1"/>
  <c r="G57" i="1"/>
  <c r="G8" i="1"/>
  <c r="G12" i="1"/>
  <c r="G19" i="1"/>
  <c r="F20" i="1"/>
  <c r="G20" i="1" s="1"/>
  <c r="G22" i="1"/>
  <c r="F39" i="1"/>
  <c r="G39" i="1" s="1"/>
  <c r="F52" i="1"/>
  <c r="I56" i="1"/>
  <c r="G56" i="1"/>
  <c r="L62" i="1"/>
  <c r="J62" i="1"/>
  <c r="F68" i="1"/>
  <c r="G68" i="1" s="1"/>
  <c r="I31" i="1"/>
  <c r="L60" i="1"/>
  <c r="J60" i="1"/>
  <c r="M87" i="1"/>
  <c r="O87" i="1"/>
  <c r="L117" i="1"/>
  <c r="J117" i="1"/>
  <c r="P50" i="1"/>
  <c r="L49" i="1"/>
  <c r="M49" i="1" s="1"/>
  <c r="L69" i="1"/>
  <c r="J69" i="1"/>
  <c r="G74" i="1"/>
  <c r="I74" i="1"/>
  <c r="G29" i="1"/>
  <c r="G35" i="1"/>
  <c r="J47" i="1"/>
  <c r="M50" i="1"/>
  <c r="AA68" i="1"/>
  <c r="L57" i="1"/>
  <c r="J57" i="1"/>
  <c r="G15" i="1"/>
  <c r="L88" i="1"/>
  <c r="J88" i="1"/>
  <c r="G98" i="1"/>
  <c r="J35" i="1"/>
  <c r="L26" i="1"/>
  <c r="M35" i="1"/>
  <c r="L46" i="1"/>
  <c r="I55" i="1"/>
  <c r="G55" i="1"/>
  <c r="I58" i="1"/>
  <c r="G58" i="1"/>
  <c r="G88" i="1"/>
  <c r="O106" i="1"/>
  <c r="AA10" i="1"/>
  <c r="G13" i="1"/>
  <c r="G18" i="1"/>
  <c r="L34" i="1"/>
  <c r="L72" i="1"/>
  <c r="J72" i="1"/>
  <c r="M106" i="1"/>
  <c r="I15" i="1"/>
  <c r="I32" i="1"/>
  <c r="G32" i="1"/>
  <c r="G38" i="1"/>
  <c r="U49" i="1"/>
  <c r="V49" i="1" s="1"/>
  <c r="V50" i="1"/>
  <c r="F114" i="1"/>
  <c r="G114" i="1" s="1"/>
  <c r="I115" i="1"/>
  <c r="G115" i="1"/>
  <c r="L121" i="1"/>
  <c r="J121" i="1"/>
  <c r="L162" i="1"/>
  <c r="J162" i="1"/>
  <c r="L203" i="1"/>
  <c r="J203" i="1"/>
  <c r="L100" i="1"/>
  <c r="J100" i="1"/>
  <c r="I98" i="1"/>
  <c r="J98" i="1" s="1"/>
  <c r="I144" i="1"/>
  <c r="G144" i="1"/>
  <c r="Y50" i="1"/>
  <c r="G65" i="1"/>
  <c r="G72" i="1"/>
  <c r="L118" i="1"/>
  <c r="J118" i="1"/>
  <c r="L103" i="1"/>
  <c r="J103" i="1"/>
  <c r="I109" i="1"/>
  <c r="G109" i="1"/>
  <c r="M139" i="1"/>
  <c r="O139" i="1"/>
  <c r="F101" i="1"/>
  <c r="G101" i="1" s="1"/>
  <c r="I102" i="1"/>
  <c r="AA136" i="1"/>
  <c r="I80" i="1"/>
  <c r="G80" i="1"/>
  <c r="I116" i="1"/>
  <c r="G116" i="1"/>
  <c r="R156" i="1"/>
  <c r="P156" i="1"/>
  <c r="J70" i="1"/>
  <c r="O104" i="1"/>
  <c r="G140" i="1"/>
  <c r="I140" i="1"/>
  <c r="L79" i="1"/>
  <c r="G82" i="1"/>
  <c r="J90" i="1"/>
  <c r="M96" i="1"/>
  <c r="G97" i="1"/>
  <c r="L119" i="1"/>
  <c r="L82" i="1"/>
  <c r="O90" i="1"/>
  <c r="J96" i="1"/>
  <c r="I97" i="1"/>
  <c r="I105" i="1"/>
  <c r="J106" i="1"/>
  <c r="G107" i="1"/>
  <c r="O113" i="1"/>
  <c r="M113" i="1"/>
  <c r="L81" i="1"/>
  <c r="G84" i="1"/>
  <c r="G87" i="1"/>
  <c r="O96" i="1"/>
  <c r="L120" i="1"/>
  <c r="J120" i="1"/>
  <c r="L151" i="1"/>
  <c r="J151" i="1"/>
  <c r="L122" i="1"/>
  <c r="O137" i="1"/>
  <c r="L146" i="1"/>
  <c r="G118" i="1"/>
  <c r="G120" i="1"/>
  <c r="L160" i="1"/>
  <c r="J160" i="1"/>
  <c r="J182" i="1"/>
  <c r="L182" i="1"/>
  <c r="J251" i="1"/>
  <c r="L251" i="1"/>
  <c r="L163" i="1"/>
  <c r="J163" i="1"/>
  <c r="I112" i="1"/>
  <c r="F135" i="1"/>
  <c r="G138" i="1"/>
  <c r="I152" i="1"/>
  <c r="G152" i="1"/>
  <c r="F159" i="1"/>
  <c r="I161" i="1"/>
  <c r="G161" i="1"/>
  <c r="AB168" i="1"/>
  <c r="Y168" i="1"/>
  <c r="J174" i="1"/>
  <c r="L174" i="1"/>
  <c r="L213" i="1"/>
  <c r="J213" i="1"/>
  <c r="O221" i="1"/>
  <c r="G117" i="1"/>
  <c r="G121" i="1"/>
  <c r="G125" i="1"/>
  <c r="I138" i="1"/>
  <c r="G119" i="1"/>
  <c r="L125" i="1"/>
  <c r="I147" i="1"/>
  <c r="G147" i="1"/>
  <c r="I153" i="1"/>
  <c r="L154" i="1"/>
  <c r="G106" i="1"/>
  <c r="G113" i="1"/>
  <c r="I123" i="1"/>
  <c r="G123" i="1"/>
  <c r="I124" i="1"/>
  <c r="J156" i="1"/>
  <c r="L188" i="1"/>
  <c r="J188" i="1"/>
  <c r="J154" i="1"/>
  <c r="M156" i="1"/>
  <c r="M164" i="1"/>
  <c r="F153" i="1"/>
  <c r="G153" i="1" s="1"/>
  <c r="M184" i="1"/>
  <c r="L199" i="1"/>
  <c r="J199" i="1"/>
  <c r="L201" i="1"/>
  <c r="J201" i="1"/>
  <c r="AA177" i="1"/>
  <c r="R184" i="1"/>
  <c r="L227" i="1"/>
  <c r="J227" i="1"/>
  <c r="S167" i="1"/>
  <c r="J168" i="1"/>
  <c r="S169" i="1"/>
  <c r="G174" i="1"/>
  <c r="L173" i="1"/>
  <c r="I180" i="1"/>
  <c r="L181" i="1"/>
  <c r="L209" i="1"/>
  <c r="J209" i="1"/>
  <c r="I225" i="1"/>
  <c r="I179" i="1"/>
  <c r="G179" i="1"/>
  <c r="L207" i="1"/>
  <c r="J207" i="1"/>
  <c r="I205" i="1"/>
  <c r="AA243" i="1"/>
  <c r="I176" i="1"/>
  <c r="L185" i="1"/>
  <c r="J185" i="1"/>
  <c r="O202" i="1"/>
  <c r="M202" i="1"/>
  <c r="G269" i="1"/>
  <c r="I269" i="1"/>
  <c r="G137" i="1"/>
  <c r="G139" i="1"/>
  <c r="G156" i="1"/>
  <c r="G160" i="1"/>
  <c r="G162" i="1"/>
  <c r="F177" i="1"/>
  <c r="G177" i="1" s="1"/>
  <c r="I190" i="1"/>
  <c r="L194" i="1"/>
  <c r="J194" i="1"/>
  <c r="J220" i="1"/>
  <c r="J202" i="1"/>
  <c r="G210" i="1"/>
  <c r="F205" i="1"/>
  <c r="L196" i="1"/>
  <c r="J196" i="1"/>
  <c r="L210" i="1"/>
  <c r="J210" i="1"/>
  <c r="M218" i="1"/>
  <c r="O218" i="1"/>
  <c r="L253" i="1"/>
  <c r="J253" i="1"/>
  <c r="L258" i="1"/>
  <c r="J258" i="1"/>
  <c r="L189" i="1"/>
  <c r="J189" i="1"/>
  <c r="O193" i="1"/>
  <c r="M193" i="1"/>
  <c r="J218" i="1"/>
  <c r="AA191" i="1"/>
  <c r="I239" i="1"/>
  <c r="L241" i="1"/>
  <c r="AA252" i="1"/>
  <c r="I272" i="1"/>
  <c r="G272" i="1"/>
  <c r="AA211" i="1"/>
  <c r="AA204" i="1" s="1"/>
  <c r="G246" i="1"/>
  <c r="F243" i="1"/>
  <c r="G243" i="1" s="1"/>
  <c r="I246" i="1"/>
  <c r="G259" i="1"/>
  <c r="I259" i="1"/>
  <c r="G201" i="1"/>
  <c r="G203" i="1"/>
  <c r="O206" i="1"/>
  <c r="L234" i="1"/>
  <c r="J234" i="1"/>
  <c r="O238" i="1"/>
  <c r="M257" i="1"/>
  <c r="O257" i="1"/>
  <c r="I274" i="1"/>
  <c r="J274" i="1" s="1"/>
  <c r="L275" i="1"/>
  <c r="J236" i="1"/>
  <c r="R248" i="1"/>
  <c r="P248" i="1"/>
  <c r="L270" i="1"/>
  <c r="J270" i="1"/>
  <c r="G188" i="1"/>
  <c r="G196" i="1"/>
  <c r="G207" i="1"/>
  <c r="J215" i="1"/>
  <c r="L236" i="1"/>
  <c r="M248" i="1"/>
  <c r="I212" i="1"/>
  <c r="G212" i="1"/>
  <c r="L215" i="1"/>
  <c r="L242" i="1"/>
  <c r="J242" i="1"/>
  <c r="G260" i="1"/>
  <c r="L268" i="1"/>
  <c r="L222" i="1"/>
  <c r="J222" i="1"/>
  <c r="I219" i="1"/>
  <c r="G219" i="1"/>
  <c r="I230" i="1"/>
  <c r="O232" i="1"/>
  <c r="M232" i="1"/>
  <c r="L233" i="1"/>
  <c r="L245" i="1"/>
  <c r="L247" i="1"/>
  <c r="J247" i="1"/>
  <c r="I249" i="1"/>
  <c r="G249" i="1"/>
  <c r="I217" i="1"/>
  <c r="G217" i="1"/>
  <c r="G214" i="1" s="1"/>
  <c r="M244" i="1"/>
  <c r="O244" i="1"/>
  <c r="G253" i="1"/>
  <c r="O256" i="1"/>
  <c r="M256" i="1"/>
  <c r="F231" i="1"/>
  <c r="G242" i="1"/>
  <c r="G232" i="1"/>
  <c r="L281" i="1"/>
  <c r="J281" i="1"/>
  <c r="I263" i="1"/>
  <c r="G226" i="1"/>
  <c r="J232" i="1"/>
  <c r="G236" i="1"/>
  <c r="J238" i="1"/>
  <c r="J244" i="1"/>
  <c r="G257" i="1"/>
  <c r="L276" i="1"/>
  <c r="J276" i="1"/>
  <c r="G221" i="1"/>
  <c r="J257" i="1"/>
  <c r="G264" i="1"/>
  <c r="F260" i="1"/>
  <c r="F252" i="1" s="1"/>
  <c r="G252" i="1" s="1"/>
  <c r="I261" i="1"/>
  <c r="L264" i="1"/>
  <c r="L273" i="1"/>
  <c r="J273" i="1"/>
  <c r="G275" i="1"/>
  <c r="G281" i="1"/>
  <c r="G276" i="1"/>
  <c r="L239" i="1" l="1"/>
  <c r="R40" i="1"/>
  <c r="M84" i="1"/>
  <c r="O271" i="1"/>
  <c r="J143" i="1"/>
  <c r="J59" i="1"/>
  <c r="O175" i="1"/>
  <c r="R175" i="1" s="1"/>
  <c r="P143" i="1"/>
  <c r="J263" i="1"/>
  <c r="O255" i="1"/>
  <c r="I177" i="1"/>
  <c r="J177" i="1" s="1"/>
  <c r="O208" i="1"/>
  <c r="R208" i="1" s="1"/>
  <c r="R76" i="1"/>
  <c r="U76" i="1" s="1"/>
  <c r="L27" i="1"/>
  <c r="O27" i="1" s="1"/>
  <c r="J64" i="1"/>
  <c r="L267" i="1"/>
  <c r="L266" i="1" s="1"/>
  <c r="I266" i="1"/>
  <c r="J266" i="1" s="1"/>
  <c r="J239" i="1"/>
  <c r="R75" i="1"/>
  <c r="S75" i="1" s="1"/>
  <c r="M54" i="1"/>
  <c r="M75" i="1"/>
  <c r="AA223" i="1"/>
  <c r="J142" i="1"/>
  <c r="L136" i="1"/>
  <c r="O136" i="1" s="1"/>
  <c r="L21" i="1"/>
  <c r="L20" i="1" s="1"/>
  <c r="M250" i="1"/>
  <c r="O172" i="1"/>
  <c r="R172" i="1" s="1"/>
  <c r="M64" i="1"/>
  <c r="G192" i="1"/>
  <c r="G191" i="1" s="1"/>
  <c r="L195" i="1"/>
  <c r="O195" i="1" s="1"/>
  <c r="R195" i="1" s="1"/>
  <c r="J175" i="1"/>
  <c r="P157" i="1"/>
  <c r="I192" i="1"/>
  <c r="J192" i="1" s="1"/>
  <c r="J271" i="1"/>
  <c r="O48" i="1"/>
  <c r="R48" i="1" s="1"/>
  <c r="R240" i="1"/>
  <c r="U240" i="1" s="1"/>
  <c r="J105" i="1"/>
  <c r="J178" i="1"/>
  <c r="M157" i="1"/>
  <c r="M40" i="1"/>
  <c r="L145" i="1"/>
  <c r="M145" i="1" s="1"/>
  <c r="O226" i="1"/>
  <c r="P224" i="1"/>
  <c r="L83" i="1"/>
  <c r="O83" i="1" s="1"/>
  <c r="M93" i="1"/>
  <c r="R93" i="1"/>
  <c r="U93" i="1" s="1"/>
  <c r="J172" i="1"/>
  <c r="R54" i="1"/>
  <c r="S54" i="1" s="1"/>
  <c r="L237" i="1"/>
  <c r="O237" i="1" s="1"/>
  <c r="M262" i="1"/>
  <c r="P262" i="1"/>
  <c r="J48" i="1"/>
  <c r="M239" i="1"/>
  <c r="L33" i="1"/>
  <c r="Y49" i="1"/>
  <c r="F23" i="1"/>
  <c r="G23" i="1" s="1"/>
  <c r="G159" i="1"/>
  <c r="F10" i="1"/>
  <c r="G10" i="1" s="1"/>
  <c r="R84" i="1"/>
  <c r="U84" i="1" s="1"/>
  <c r="I235" i="1"/>
  <c r="J235" i="1" s="1"/>
  <c r="J36" i="1"/>
  <c r="L108" i="1"/>
  <c r="L105" i="1" s="1"/>
  <c r="M105" i="1" s="1"/>
  <c r="J108" i="1"/>
  <c r="G24" i="1"/>
  <c r="M265" i="1"/>
  <c r="O265" i="1"/>
  <c r="J165" i="1"/>
  <c r="J225" i="1"/>
  <c r="J150" i="1"/>
  <c r="L126" i="1"/>
  <c r="M126" i="1" s="1"/>
  <c r="J127" i="1"/>
  <c r="I20" i="1"/>
  <c r="J20" i="1" s="1"/>
  <c r="O107" i="1"/>
  <c r="L229" i="1"/>
  <c r="J229" i="1"/>
  <c r="L150" i="1"/>
  <c r="O150" i="1" s="1"/>
  <c r="M158" i="1"/>
  <c r="O141" i="1"/>
  <c r="P141" i="1" s="1"/>
  <c r="J250" i="1"/>
  <c r="M187" i="1"/>
  <c r="M197" i="1"/>
  <c r="V143" i="1"/>
  <c r="M86" i="1"/>
  <c r="L85" i="1"/>
  <c r="J85" i="1"/>
  <c r="L71" i="1"/>
  <c r="J71" i="1"/>
  <c r="O67" i="1"/>
  <c r="M67" i="1"/>
  <c r="J198" i="1"/>
  <c r="L198" i="1"/>
  <c r="J254" i="1"/>
  <c r="M76" i="1"/>
  <c r="L92" i="1"/>
  <c r="I91" i="1"/>
  <c r="J91" i="1" s="1"/>
  <c r="J92" i="1"/>
  <c r="L216" i="1"/>
  <c r="J216" i="1"/>
  <c r="I228" i="1"/>
  <c r="J228" i="1" s="1"/>
  <c r="M254" i="1"/>
  <c r="O178" i="1"/>
  <c r="R178" i="1" s="1"/>
  <c r="L225" i="1"/>
  <c r="M225" i="1" s="1"/>
  <c r="L78" i="1"/>
  <c r="J78" i="1"/>
  <c r="G205" i="1"/>
  <c r="O73" i="1"/>
  <c r="M73" i="1"/>
  <c r="M224" i="1"/>
  <c r="F204" i="1"/>
  <c r="O65" i="1"/>
  <c r="M65" i="1"/>
  <c r="J197" i="1"/>
  <c r="M165" i="1"/>
  <c r="L77" i="1"/>
  <c r="J77" i="1"/>
  <c r="M195" i="1"/>
  <c r="J153" i="1"/>
  <c r="O127" i="1"/>
  <c r="R127" i="1" s="1"/>
  <c r="J200" i="1"/>
  <c r="L200" i="1"/>
  <c r="M183" i="1"/>
  <c r="O183" i="1"/>
  <c r="M166" i="1"/>
  <c r="O166" i="1"/>
  <c r="G204" i="1"/>
  <c r="O215" i="1"/>
  <c r="M215" i="1"/>
  <c r="L190" i="1"/>
  <c r="J190" i="1"/>
  <c r="L261" i="1"/>
  <c r="I260" i="1"/>
  <c r="J260" i="1" s="1"/>
  <c r="J261" i="1"/>
  <c r="O210" i="1"/>
  <c r="M210" i="1"/>
  <c r="U195" i="1"/>
  <c r="S195" i="1"/>
  <c r="L124" i="1"/>
  <c r="J124" i="1"/>
  <c r="O122" i="1"/>
  <c r="M122" i="1"/>
  <c r="O119" i="1"/>
  <c r="M119" i="1"/>
  <c r="L116" i="1"/>
  <c r="J116" i="1"/>
  <c r="P139" i="1"/>
  <c r="R139" i="1"/>
  <c r="O121" i="1"/>
  <c r="M121" i="1"/>
  <c r="M34" i="1"/>
  <c r="O34" i="1"/>
  <c r="L58" i="1"/>
  <c r="J58" i="1"/>
  <c r="L31" i="1"/>
  <c r="J31" i="1"/>
  <c r="I28" i="1"/>
  <c r="J28" i="1" s="1"/>
  <c r="R238" i="1"/>
  <c r="P238" i="1"/>
  <c r="L249" i="1"/>
  <c r="J249" i="1"/>
  <c r="J219" i="1"/>
  <c r="L219" i="1"/>
  <c r="R254" i="1"/>
  <c r="P254" i="1"/>
  <c r="J212" i="1"/>
  <c r="L212" i="1"/>
  <c r="I211" i="1"/>
  <c r="J211" i="1" s="1"/>
  <c r="U248" i="1"/>
  <c r="S248" i="1"/>
  <c r="R187" i="1"/>
  <c r="P187" i="1"/>
  <c r="O213" i="1"/>
  <c r="M213" i="1"/>
  <c r="R104" i="1"/>
  <c r="P104" i="1"/>
  <c r="O88" i="1"/>
  <c r="M88" i="1"/>
  <c r="O117" i="1"/>
  <c r="M117" i="1"/>
  <c r="F94" i="1"/>
  <c r="G94" i="1" s="1"/>
  <c r="O42" i="1"/>
  <c r="M42" i="1"/>
  <c r="R255" i="1"/>
  <c r="P255" i="1"/>
  <c r="R271" i="1"/>
  <c r="P271" i="1"/>
  <c r="M234" i="1"/>
  <c r="O234" i="1"/>
  <c r="L259" i="1"/>
  <c r="J259" i="1"/>
  <c r="O189" i="1"/>
  <c r="M189" i="1"/>
  <c r="L179" i="1"/>
  <c r="J179" i="1"/>
  <c r="AA171" i="1"/>
  <c r="J123" i="1"/>
  <c r="L123" i="1"/>
  <c r="U157" i="1"/>
  <c r="S157" i="1"/>
  <c r="L152" i="1"/>
  <c r="J152" i="1"/>
  <c r="M100" i="1"/>
  <c r="L98" i="1"/>
  <c r="M98" i="1" s="1"/>
  <c r="O100" i="1"/>
  <c r="O33" i="1"/>
  <c r="M33" i="1"/>
  <c r="J55" i="1"/>
  <c r="L55" i="1"/>
  <c r="R87" i="1"/>
  <c r="P87" i="1"/>
  <c r="AA44" i="1"/>
  <c r="O37" i="1"/>
  <c r="M37" i="1"/>
  <c r="L36" i="1"/>
  <c r="M36" i="1" s="1"/>
  <c r="O29" i="1"/>
  <c r="M29" i="1"/>
  <c r="P47" i="1"/>
  <c r="R47" i="1"/>
  <c r="R43" i="1"/>
  <c r="P43" i="1"/>
  <c r="J217" i="1"/>
  <c r="L217" i="1"/>
  <c r="L140" i="1"/>
  <c r="J140" i="1"/>
  <c r="R256" i="1"/>
  <c r="P256" i="1"/>
  <c r="M247" i="1"/>
  <c r="O247" i="1"/>
  <c r="O242" i="1"/>
  <c r="M242" i="1"/>
  <c r="L272" i="1"/>
  <c r="J272" i="1"/>
  <c r="U224" i="1"/>
  <c r="S224" i="1"/>
  <c r="M181" i="1"/>
  <c r="O181" i="1"/>
  <c r="F171" i="1"/>
  <c r="O188" i="1"/>
  <c r="M188" i="1"/>
  <c r="M174" i="1"/>
  <c r="O174" i="1"/>
  <c r="R96" i="1"/>
  <c r="P96" i="1"/>
  <c r="J97" i="1"/>
  <c r="L97" i="1"/>
  <c r="I95" i="1"/>
  <c r="L115" i="1"/>
  <c r="J115" i="1"/>
  <c r="I114" i="1"/>
  <c r="J114" i="1" s="1"/>
  <c r="O46" i="1"/>
  <c r="M46" i="1"/>
  <c r="O69" i="1"/>
  <c r="M69" i="1"/>
  <c r="O62" i="1"/>
  <c r="M62" i="1"/>
  <c r="L11" i="1"/>
  <c r="O12" i="1"/>
  <c r="M12" i="1"/>
  <c r="O245" i="1"/>
  <c r="M245" i="1"/>
  <c r="O236" i="1"/>
  <c r="M236" i="1"/>
  <c r="M241" i="1"/>
  <c r="O241" i="1"/>
  <c r="R193" i="1"/>
  <c r="P193" i="1"/>
  <c r="L180" i="1"/>
  <c r="J180" i="1"/>
  <c r="M182" i="1"/>
  <c r="O182" i="1"/>
  <c r="L80" i="1"/>
  <c r="J80" i="1"/>
  <c r="L109" i="1"/>
  <c r="J109" i="1"/>
  <c r="J32" i="1"/>
  <c r="L32" i="1"/>
  <c r="I68" i="1"/>
  <c r="J68" i="1" s="1"/>
  <c r="J41" i="1"/>
  <c r="I39" i="1"/>
  <c r="J39" i="1" s="1"/>
  <c r="L41" i="1"/>
  <c r="J11" i="1"/>
  <c r="L176" i="1"/>
  <c r="J176" i="1"/>
  <c r="J53" i="1"/>
  <c r="I52" i="1"/>
  <c r="L53" i="1"/>
  <c r="O281" i="1"/>
  <c r="M281" i="1"/>
  <c r="R250" i="1"/>
  <c r="P250" i="1"/>
  <c r="O258" i="1"/>
  <c r="M258" i="1"/>
  <c r="O196" i="1"/>
  <c r="M196" i="1"/>
  <c r="L153" i="1"/>
  <c r="M153" i="1" s="1"/>
  <c r="O154" i="1"/>
  <c r="M154" i="1"/>
  <c r="L138" i="1"/>
  <c r="J138" i="1"/>
  <c r="J149" i="1"/>
  <c r="I148" i="1"/>
  <c r="J148" i="1" s="1"/>
  <c r="O126" i="1"/>
  <c r="O151" i="1"/>
  <c r="M151" i="1"/>
  <c r="AA135" i="1"/>
  <c r="R106" i="1"/>
  <c r="P106" i="1"/>
  <c r="L56" i="1"/>
  <c r="J56" i="1"/>
  <c r="U38" i="1"/>
  <c r="S38" i="1"/>
  <c r="I24" i="1"/>
  <c r="L25" i="1"/>
  <c r="J25" i="1"/>
  <c r="S40" i="1"/>
  <c r="U40" i="1"/>
  <c r="O267" i="1"/>
  <c r="M267" i="1"/>
  <c r="O222" i="1"/>
  <c r="M222" i="1"/>
  <c r="O270" i="1"/>
  <c r="M270" i="1"/>
  <c r="I214" i="1"/>
  <c r="J214" i="1" s="1"/>
  <c r="R206" i="1"/>
  <c r="P206" i="1"/>
  <c r="L246" i="1"/>
  <c r="J246" i="1"/>
  <c r="I243" i="1"/>
  <c r="J243" i="1" s="1"/>
  <c r="U262" i="1"/>
  <c r="S262" i="1"/>
  <c r="O220" i="1"/>
  <c r="M220" i="1"/>
  <c r="M173" i="1"/>
  <c r="O173" i="1"/>
  <c r="P175" i="1"/>
  <c r="M81" i="1"/>
  <c r="O81" i="1"/>
  <c r="P90" i="1"/>
  <c r="R90" i="1"/>
  <c r="U75" i="1"/>
  <c r="O103" i="1"/>
  <c r="M103" i="1"/>
  <c r="O26" i="1"/>
  <c r="M26" i="1"/>
  <c r="O57" i="1"/>
  <c r="M57" i="1"/>
  <c r="F45" i="1"/>
  <c r="G52" i="1"/>
  <c r="L7" i="1"/>
  <c r="M8" i="1"/>
  <c r="O8" i="1"/>
  <c r="G135" i="1"/>
  <c r="P70" i="1"/>
  <c r="R70" i="1"/>
  <c r="O273" i="1"/>
  <c r="M273" i="1"/>
  <c r="P244" i="1"/>
  <c r="R244" i="1"/>
  <c r="O233" i="1"/>
  <c r="L231" i="1"/>
  <c r="M231" i="1" s="1"/>
  <c r="M233" i="1"/>
  <c r="O275" i="1"/>
  <c r="M275" i="1"/>
  <c r="L274" i="1"/>
  <c r="M274" i="1" s="1"/>
  <c r="O253" i="1"/>
  <c r="M253" i="1"/>
  <c r="R202" i="1"/>
  <c r="P202" i="1"/>
  <c r="M209" i="1"/>
  <c r="O209" i="1"/>
  <c r="Y143" i="1"/>
  <c r="AB143" i="1"/>
  <c r="O251" i="1"/>
  <c r="M251" i="1"/>
  <c r="M160" i="1"/>
  <c r="O160" i="1"/>
  <c r="R165" i="1"/>
  <c r="P165" i="1"/>
  <c r="M82" i="1"/>
  <c r="O82" i="1"/>
  <c r="O72" i="1"/>
  <c r="M72" i="1"/>
  <c r="P86" i="1"/>
  <c r="R86" i="1"/>
  <c r="Y89" i="1"/>
  <c r="AB89" i="1"/>
  <c r="R63" i="1"/>
  <c r="P63" i="1"/>
  <c r="L16" i="1"/>
  <c r="J16" i="1"/>
  <c r="J7" i="1"/>
  <c r="M19" i="1"/>
  <c r="O19" i="1"/>
  <c r="O276" i="1"/>
  <c r="M276" i="1"/>
  <c r="R197" i="1"/>
  <c r="P197" i="1"/>
  <c r="P113" i="1"/>
  <c r="R113" i="1"/>
  <c r="O60" i="1"/>
  <c r="M60" i="1"/>
  <c r="M264" i="1"/>
  <c r="O264" i="1"/>
  <c r="L263" i="1"/>
  <c r="M263" i="1" s="1"/>
  <c r="L205" i="1"/>
  <c r="J205" i="1"/>
  <c r="O227" i="1"/>
  <c r="O225" i="1" s="1"/>
  <c r="M227" i="1"/>
  <c r="O201" i="1"/>
  <c r="M201" i="1"/>
  <c r="R164" i="1"/>
  <c r="P164" i="1"/>
  <c r="L147" i="1"/>
  <c r="J147" i="1"/>
  <c r="L161" i="1"/>
  <c r="J161" i="1"/>
  <c r="I159" i="1"/>
  <c r="M146" i="1"/>
  <c r="O146" i="1"/>
  <c r="O79" i="1"/>
  <c r="M79" i="1"/>
  <c r="L102" i="1"/>
  <c r="J102" i="1"/>
  <c r="I101" i="1"/>
  <c r="J101" i="1" s="1"/>
  <c r="L144" i="1"/>
  <c r="J144" i="1"/>
  <c r="O203" i="1"/>
  <c r="M203" i="1"/>
  <c r="M59" i="1"/>
  <c r="O59" i="1"/>
  <c r="O30" i="1"/>
  <c r="M30" i="1"/>
  <c r="J231" i="1"/>
  <c r="G231" i="1"/>
  <c r="G223" i="1" s="1"/>
  <c r="U35" i="1"/>
  <c r="S35" i="1"/>
  <c r="F223" i="1"/>
  <c r="R232" i="1"/>
  <c r="P232" i="1"/>
  <c r="O268" i="1"/>
  <c r="M268" i="1"/>
  <c r="R257" i="1"/>
  <c r="P257" i="1"/>
  <c r="R226" i="1"/>
  <c r="P226" i="1"/>
  <c r="R218" i="1"/>
  <c r="P218" i="1"/>
  <c r="M194" i="1"/>
  <c r="O194" i="1"/>
  <c r="O185" i="1"/>
  <c r="M185" i="1"/>
  <c r="O125" i="1"/>
  <c r="M125" i="1"/>
  <c r="O142" i="1"/>
  <c r="M142" i="1"/>
  <c r="I111" i="1"/>
  <c r="J111" i="1" s="1"/>
  <c r="L112" i="1"/>
  <c r="J112" i="1"/>
  <c r="P137" i="1"/>
  <c r="R137" i="1"/>
  <c r="O120" i="1"/>
  <c r="M120" i="1"/>
  <c r="U156" i="1"/>
  <c r="S156" i="1"/>
  <c r="R64" i="1"/>
  <c r="P64" i="1"/>
  <c r="L74" i="1"/>
  <c r="J74" i="1"/>
  <c r="O13" i="1"/>
  <c r="M13" i="1"/>
  <c r="O163" i="1"/>
  <c r="M163" i="1"/>
  <c r="L15" i="1"/>
  <c r="J15" i="1"/>
  <c r="I14" i="1"/>
  <c r="J14" i="1" s="1"/>
  <c r="L230" i="1"/>
  <c r="J230" i="1"/>
  <c r="L269" i="1"/>
  <c r="J269" i="1"/>
  <c r="M207" i="1"/>
  <c r="O207" i="1"/>
  <c r="U184" i="1"/>
  <c r="S184" i="1"/>
  <c r="O199" i="1"/>
  <c r="M199" i="1"/>
  <c r="R221" i="1"/>
  <c r="P221" i="1"/>
  <c r="R158" i="1"/>
  <c r="P158" i="1"/>
  <c r="I135" i="1"/>
  <c r="O118" i="1"/>
  <c r="M118" i="1"/>
  <c r="M162" i="1"/>
  <c r="O162" i="1"/>
  <c r="P49" i="1"/>
  <c r="F6" i="1"/>
  <c r="G6" i="1" s="1"/>
  <c r="M22" i="1"/>
  <c r="O22" i="1"/>
  <c r="L17" i="1"/>
  <c r="M17" i="1" s="1"/>
  <c r="O18" i="1"/>
  <c r="M18" i="1"/>
  <c r="P208" i="1" l="1"/>
  <c r="L192" i="1"/>
  <c r="I171" i="1"/>
  <c r="R141" i="1"/>
  <c r="I191" i="1"/>
  <c r="J191" i="1" s="1"/>
  <c r="P195" i="1"/>
  <c r="M266" i="1"/>
  <c r="S76" i="1"/>
  <c r="M21" i="1"/>
  <c r="M237" i="1"/>
  <c r="P48" i="1"/>
  <c r="O205" i="1"/>
  <c r="P205" i="1" s="1"/>
  <c r="O21" i="1"/>
  <c r="L235" i="1"/>
  <c r="M235" i="1" s="1"/>
  <c r="I252" i="1"/>
  <c r="J252" i="1" s="1"/>
  <c r="M27" i="1"/>
  <c r="U54" i="1"/>
  <c r="X54" i="1" s="1"/>
  <c r="S240" i="1"/>
  <c r="S93" i="1"/>
  <c r="M136" i="1"/>
  <c r="P172" i="1"/>
  <c r="S84" i="1"/>
  <c r="L149" i="1"/>
  <c r="L148" i="1" s="1"/>
  <c r="M148" i="1" s="1"/>
  <c r="M192" i="1"/>
  <c r="L28" i="1"/>
  <c r="M83" i="1"/>
  <c r="O145" i="1"/>
  <c r="P145" i="1" s="1"/>
  <c r="O231" i="1"/>
  <c r="P231" i="1" s="1"/>
  <c r="P178" i="1"/>
  <c r="M28" i="1"/>
  <c r="M108" i="1"/>
  <c r="O108" i="1"/>
  <c r="I10" i="1"/>
  <c r="J10" i="1" s="1"/>
  <c r="P127" i="1"/>
  <c r="O200" i="1"/>
  <c r="M200" i="1"/>
  <c r="R65" i="1"/>
  <c r="P65" i="1"/>
  <c r="P67" i="1"/>
  <c r="R67" i="1"/>
  <c r="L191" i="1"/>
  <c r="M191" i="1" s="1"/>
  <c r="O71" i="1"/>
  <c r="M71" i="1"/>
  <c r="O229" i="1"/>
  <c r="M229" i="1"/>
  <c r="M92" i="1"/>
  <c r="O92" i="1"/>
  <c r="L91" i="1"/>
  <c r="M91" i="1" s="1"/>
  <c r="O85" i="1"/>
  <c r="M85" i="1"/>
  <c r="L68" i="1"/>
  <c r="M68" i="1" s="1"/>
  <c r="P107" i="1"/>
  <c r="R166" i="1"/>
  <c r="P166" i="1"/>
  <c r="P73" i="1"/>
  <c r="R73" i="1"/>
  <c r="M150" i="1"/>
  <c r="O216" i="1"/>
  <c r="M216" i="1"/>
  <c r="M20" i="1"/>
  <c r="O77" i="1"/>
  <c r="M77" i="1"/>
  <c r="R107" i="1"/>
  <c r="U107" i="1" s="1"/>
  <c r="M78" i="1"/>
  <c r="O78" i="1"/>
  <c r="M198" i="1"/>
  <c r="O198" i="1"/>
  <c r="P183" i="1"/>
  <c r="R183" i="1"/>
  <c r="R265" i="1"/>
  <c r="P265" i="1"/>
  <c r="L214" i="1"/>
  <c r="M214" i="1" s="1"/>
  <c r="O266" i="1"/>
  <c r="P266" i="1" s="1"/>
  <c r="P267" i="1"/>
  <c r="R267" i="1"/>
  <c r="R201" i="1"/>
  <c r="P201" i="1"/>
  <c r="R72" i="1"/>
  <c r="P72" i="1"/>
  <c r="V75" i="1"/>
  <c r="X75" i="1"/>
  <c r="O109" i="1"/>
  <c r="M109" i="1"/>
  <c r="I94" i="1"/>
  <c r="J94" i="1" s="1"/>
  <c r="J95" i="1"/>
  <c r="U158" i="1"/>
  <c r="S158" i="1"/>
  <c r="R13" i="1"/>
  <c r="P13" i="1"/>
  <c r="U232" i="1"/>
  <c r="S232" i="1"/>
  <c r="R146" i="1"/>
  <c r="P146" i="1"/>
  <c r="U113" i="1"/>
  <c r="S113" i="1"/>
  <c r="O16" i="1"/>
  <c r="M16" i="1"/>
  <c r="P82" i="1"/>
  <c r="R82" i="1"/>
  <c r="R233" i="1"/>
  <c r="P233" i="1"/>
  <c r="S90" i="1"/>
  <c r="U90" i="1"/>
  <c r="X40" i="1"/>
  <c r="V40" i="1"/>
  <c r="R62" i="1"/>
  <c r="P62" i="1"/>
  <c r="O97" i="1"/>
  <c r="M97" i="1"/>
  <c r="L95" i="1"/>
  <c r="R188" i="1"/>
  <c r="P188" i="1"/>
  <c r="U47" i="1"/>
  <c r="S47" i="1"/>
  <c r="AA110" i="1"/>
  <c r="M123" i="1"/>
  <c r="O123" i="1"/>
  <c r="R117" i="1"/>
  <c r="P117" i="1"/>
  <c r="U187" i="1"/>
  <c r="S187" i="1"/>
  <c r="X84" i="1"/>
  <c r="V84" i="1"/>
  <c r="I223" i="1"/>
  <c r="J223" i="1" s="1"/>
  <c r="U139" i="1"/>
  <c r="S139" i="1"/>
  <c r="O112" i="1"/>
  <c r="M112" i="1"/>
  <c r="L111" i="1"/>
  <c r="M111" i="1" s="1"/>
  <c r="R227" i="1"/>
  <c r="R225" i="1" s="1"/>
  <c r="P227" i="1"/>
  <c r="S244" i="1"/>
  <c r="U244" i="1"/>
  <c r="R270" i="1"/>
  <c r="P270" i="1"/>
  <c r="R27" i="1"/>
  <c r="P27" i="1"/>
  <c r="O80" i="1"/>
  <c r="M80" i="1"/>
  <c r="R245" i="1"/>
  <c r="P245" i="1"/>
  <c r="G171" i="1"/>
  <c r="G155" i="1" s="1"/>
  <c r="F155" i="1"/>
  <c r="F280" i="1" s="1"/>
  <c r="O272" i="1"/>
  <c r="M272" i="1"/>
  <c r="O140" i="1"/>
  <c r="M140" i="1"/>
  <c r="U271" i="1"/>
  <c r="S271" i="1"/>
  <c r="O249" i="1"/>
  <c r="M249" i="1"/>
  <c r="X195" i="1"/>
  <c r="V195" i="1"/>
  <c r="O190" i="1"/>
  <c r="M190" i="1"/>
  <c r="X38" i="1"/>
  <c r="V38" i="1"/>
  <c r="X76" i="1"/>
  <c r="V76" i="1"/>
  <c r="U141" i="1"/>
  <c r="S141" i="1"/>
  <c r="P194" i="1"/>
  <c r="R194" i="1"/>
  <c r="R192" i="1" s="1"/>
  <c r="R209" i="1"/>
  <c r="P209" i="1"/>
  <c r="R220" i="1"/>
  <c r="P220" i="1"/>
  <c r="O153" i="1"/>
  <c r="P153" i="1" s="1"/>
  <c r="R154" i="1"/>
  <c r="P154" i="1"/>
  <c r="O180" i="1"/>
  <c r="M180" i="1"/>
  <c r="U43" i="1"/>
  <c r="S43" i="1"/>
  <c r="X157" i="1"/>
  <c r="V157" i="1"/>
  <c r="U221" i="1"/>
  <c r="S221" i="1"/>
  <c r="M74" i="1"/>
  <c r="O74" i="1"/>
  <c r="S218" i="1"/>
  <c r="U218" i="1"/>
  <c r="R30" i="1"/>
  <c r="P30" i="1"/>
  <c r="R203" i="1"/>
  <c r="P203" i="1"/>
  <c r="J159" i="1"/>
  <c r="I155" i="1"/>
  <c r="I204" i="1"/>
  <c r="J204" i="1" s="1"/>
  <c r="U63" i="1"/>
  <c r="S63" i="1"/>
  <c r="U202" i="1"/>
  <c r="S202" i="1"/>
  <c r="R57" i="1"/>
  <c r="P57" i="1"/>
  <c r="R81" i="1"/>
  <c r="P81" i="1"/>
  <c r="S178" i="1"/>
  <c r="U178" i="1"/>
  <c r="O56" i="1"/>
  <c r="M56" i="1"/>
  <c r="U250" i="1"/>
  <c r="S250" i="1"/>
  <c r="O41" i="1"/>
  <c r="M41" i="1"/>
  <c r="L39" i="1"/>
  <c r="M39" i="1" s="1"/>
  <c r="P182" i="1"/>
  <c r="R182" i="1"/>
  <c r="U193" i="1"/>
  <c r="S193" i="1"/>
  <c r="R181" i="1"/>
  <c r="P181" i="1"/>
  <c r="U87" i="1"/>
  <c r="S87" i="1"/>
  <c r="AA155" i="1"/>
  <c r="AA280" i="1" s="1"/>
  <c r="R88" i="1"/>
  <c r="P88" i="1"/>
  <c r="O31" i="1"/>
  <c r="M31" i="1"/>
  <c r="O116" i="1"/>
  <c r="M116" i="1"/>
  <c r="P268" i="1"/>
  <c r="R268" i="1"/>
  <c r="R213" i="1"/>
  <c r="P213" i="1"/>
  <c r="U197" i="1"/>
  <c r="S197" i="1"/>
  <c r="U165" i="1"/>
  <c r="S165" i="1"/>
  <c r="R8" i="1"/>
  <c r="P8" i="1"/>
  <c r="O7" i="1"/>
  <c r="R151" i="1"/>
  <c r="P151" i="1"/>
  <c r="O192" i="1"/>
  <c r="R69" i="1"/>
  <c r="P69" i="1"/>
  <c r="S96" i="1"/>
  <c r="U96" i="1"/>
  <c r="R237" i="1"/>
  <c r="P237" i="1"/>
  <c r="U172" i="1"/>
  <c r="S172" i="1"/>
  <c r="V248" i="1"/>
  <c r="X248" i="1"/>
  <c r="P210" i="1"/>
  <c r="R210" i="1"/>
  <c r="P215" i="1"/>
  <c r="R215" i="1"/>
  <c r="P185" i="1"/>
  <c r="R185" i="1"/>
  <c r="P258" i="1"/>
  <c r="R258" i="1"/>
  <c r="M269" i="1"/>
  <c r="O269" i="1"/>
  <c r="O17" i="1"/>
  <c r="P17" i="1" s="1"/>
  <c r="R18" i="1"/>
  <c r="P18" i="1"/>
  <c r="R162" i="1"/>
  <c r="P162" i="1"/>
  <c r="S64" i="1"/>
  <c r="U64" i="1"/>
  <c r="R142" i="1"/>
  <c r="P142" i="1"/>
  <c r="U226" i="1"/>
  <c r="S226" i="1"/>
  <c r="O144" i="1"/>
  <c r="M144" i="1"/>
  <c r="O161" i="1"/>
  <c r="O159" i="1" s="1"/>
  <c r="M161" i="1"/>
  <c r="R160" i="1"/>
  <c r="P160" i="1"/>
  <c r="P26" i="1"/>
  <c r="R26" i="1"/>
  <c r="X262" i="1"/>
  <c r="V262" i="1"/>
  <c r="R281" i="1"/>
  <c r="P281" i="1"/>
  <c r="R241" i="1"/>
  <c r="P241" i="1"/>
  <c r="O239" i="1"/>
  <c r="P239" i="1" s="1"/>
  <c r="R12" i="1"/>
  <c r="P12" i="1"/>
  <c r="O11" i="1"/>
  <c r="R145" i="1"/>
  <c r="O58" i="1"/>
  <c r="M58" i="1"/>
  <c r="R119" i="1"/>
  <c r="P119" i="1"/>
  <c r="R163" i="1"/>
  <c r="P163" i="1"/>
  <c r="M205" i="1"/>
  <c r="P276" i="1"/>
  <c r="R276" i="1"/>
  <c r="L159" i="1"/>
  <c r="R253" i="1"/>
  <c r="P253" i="1"/>
  <c r="M7" i="1"/>
  <c r="R222" i="1"/>
  <c r="P222" i="1"/>
  <c r="L24" i="1"/>
  <c r="O25" i="1"/>
  <c r="M25" i="1"/>
  <c r="R126" i="1"/>
  <c r="P126" i="1"/>
  <c r="L52" i="1"/>
  <c r="O53" i="1"/>
  <c r="M53" i="1"/>
  <c r="M11" i="1"/>
  <c r="R46" i="1"/>
  <c r="P46" i="1"/>
  <c r="P242" i="1"/>
  <c r="R242" i="1"/>
  <c r="P29" i="1"/>
  <c r="R29" i="1"/>
  <c r="O55" i="1"/>
  <c r="M55" i="1"/>
  <c r="O179" i="1"/>
  <c r="M179" i="1"/>
  <c r="L177" i="1"/>
  <c r="M177" i="1" s="1"/>
  <c r="U255" i="1"/>
  <c r="S255" i="1"/>
  <c r="U104" i="1"/>
  <c r="S104" i="1"/>
  <c r="S238" i="1"/>
  <c r="U238" i="1"/>
  <c r="P34" i="1"/>
  <c r="R34" i="1"/>
  <c r="J135" i="1"/>
  <c r="R60" i="1"/>
  <c r="P60" i="1"/>
  <c r="R234" i="1"/>
  <c r="P234" i="1"/>
  <c r="R59" i="1"/>
  <c r="P59" i="1"/>
  <c r="X156" i="1"/>
  <c r="V156" i="1"/>
  <c r="R19" i="1"/>
  <c r="P19" i="1"/>
  <c r="J24" i="1"/>
  <c r="I23" i="1"/>
  <c r="J52" i="1"/>
  <c r="I45" i="1"/>
  <c r="O149" i="1"/>
  <c r="R150" i="1"/>
  <c r="P150" i="1"/>
  <c r="P247" i="1"/>
  <c r="R247" i="1"/>
  <c r="M212" i="1"/>
  <c r="L211" i="1"/>
  <c r="M211" i="1" s="1"/>
  <c r="O212" i="1"/>
  <c r="P122" i="1"/>
  <c r="R122" i="1"/>
  <c r="J171" i="1"/>
  <c r="V240" i="1"/>
  <c r="X240" i="1"/>
  <c r="P199" i="1"/>
  <c r="R199" i="1"/>
  <c r="R22" i="1"/>
  <c r="P22" i="1"/>
  <c r="X184" i="1"/>
  <c r="V184" i="1"/>
  <c r="R125" i="1"/>
  <c r="P125" i="1"/>
  <c r="U257" i="1"/>
  <c r="S257" i="1"/>
  <c r="L101" i="1"/>
  <c r="M101" i="1" s="1"/>
  <c r="M102" i="1"/>
  <c r="O102" i="1"/>
  <c r="O147" i="1"/>
  <c r="M147" i="1"/>
  <c r="R264" i="1"/>
  <c r="O263" i="1"/>
  <c r="P263" i="1" s="1"/>
  <c r="P264" i="1"/>
  <c r="U86" i="1"/>
  <c r="S86" i="1"/>
  <c r="R273" i="1"/>
  <c r="P273" i="1"/>
  <c r="O20" i="1"/>
  <c r="P20" i="1" s="1"/>
  <c r="R21" i="1"/>
  <c r="P21" i="1"/>
  <c r="R83" i="1"/>
  <c r="P83" i="1"/>
  <c r="U175" i="1"/>
  <c r="S175" i="1"/>
  <c r="O246" i="1"/>
  <c r="M246" i="1"/>
  <c r="L243" i="1"/>
  <c r="M243" i="1" s="1"/>
  <c r="S106" i="1"/>
  <c r="U106" i="1"/>
  <c r="V93" i="1"/>
  <c r="X93" i="1"/>
  <c r="R136" i="1"/>
  <c r="P136" i="1"/>
  <c r="O235" i="1"/>
  <c r="P235" i="1" s="1"/>
  <c r="P236" i="1"/>
  <c r="R236" i="1"/>
  <c r="U127" i="1"/>
  <c r="S127" i="1"/>
  <c r="X224" i="1"/>
  <c r="V224" i="1"/>
  <c r="R189" i="1"/>
  <c r="P189" i="1"/>
  <c r="R42" i="1"/>
  <c r="P42" i="1"/>
  <c r="U208" i="1"/>
  <c r="S208" i="1"/>
  <c r="U137" i="1"/>
  <c r="S137" i="1"/>
  <c r="O115" i="1"/>
  <c r="M115" i="1"/>
  <c r="L114" i="1"/>
  <c r="M114" i="1" s="1"/>
  <c r="P207" i="1"/>
  <c r="R207" i="1"/>
  <c r="V35" i="1"/>
  <c r="X35" i="1"/>
  <c r="I6" i="1"/>
  <c r="J6" i="1" s="1"/>
  <c r="R251" i="1"/>
  <c r="P251" i="1"/>
  <c r="U70" i="1"/>
  <c r="S70" i="1"/>
  <c r="R173" i="1"/>
  <c r="P173" i="1"/>
  <c r="R196" i="1"/>
  <c r="P196" i="1"/>
  <c r="O32" i="1"/>
  <c r="M32" i="1"/>
  <c r="O217" i="1"/>
  <c r="M217" i="1"/>
  <c r="P37" i="1"/>
  <c r="O36" i="1"/>
  <c r="P36" i="1" s="1"/>
  <c r="R37" i="1"/>
  <c r="R33" i="1"/>
  <c r="P33" i="1"/>
  <c r="U48" i="1"/>
  <c r="S48" i="1"/>
  <c r="R121" i="1"/>
  <c r="P121" i="1"/>
  <c r="M124" i="1"/>
  <c r="O124" i="1"/>
  <c r="M261" i="1"/>
  <c r="L260" i="1"/>
  <c r="O261" i="1"/>
  <c r="F44" i="1"/>
  <c r="G45" i="1"/>
  <c r="M219" i="1"/>
  <c r="O219" i="1"/>
  <c r="O230" i="1"/>
  <c r="M230" i="1"/>
  <c r="L228" i="1"/>
  <c r="P225" i="1"/>
  <c r="R118" i="1"/>
  <c r="P118" i="1"/>
  <c r="M15" i="1"/>
  <c r="O15" i="1"/>
  <c r="L14" i="1"/>
  <c r="M14" i="1" s="1"/>
  <c r="R120" i="1"/>
  <c r="P120" i="1"/>
  <c r="R79" i="1"/>
  <c r="P79" i="1"/>
  <c r="U164" i="1"/>
  <c r="S164" i="1"/>
  <c r="O274" i="1"/>
  <c r="P274" i="1" s="1"/>
  <c r="R275" i="1"/>
  <c r="P275" i="1"/>
  <c r="R103" i="1"/>
  <c r="P103" i="1"/>
  <c r="U206" i="1"/>
  <c r="S206" i="1"/>
  <c r="O138" i="1"/>
  <c r="M138" i="1"/>
  <c r="O176" i="1"/>
  <c r="M176" i="1"/>
  <c r="L135" i="1"/>
  <c r="R174" i="1"/>
  <c r="P174" i="1"/>
  <c r="S256" i="1"/>
  <c r="U256" i="1"/>
  <c r="R100" i="1"/>
  <c r="O98" i="1"/>
  <c r="P98" i="1" s="1"/>
  <c r="P100" i="1"/>
  <c r="O152" i="1"/>
  <c r="M152" i="1"/>
  <c r="O259" i="1"/>
  <c r="M259" i="1"/>
  <c r="U254" i="1"/>
  <c r="S254" i="1"/>
  <c r="L171" i="1" l="1"/>
  <c r="M171" i="1" s="1"/>
  <c r="O68" i="1"/>
  <c r="P68" i="1" s="1"/>
  <c r="V54" i="1"/>
  <c r="O135" i="1"/>
  <c r="P135" i="1" s="1"/>
  <c r="S107" i="1"/>
  <c r="M149" i="1"/>
  <c r="R108" i="1"/>
  <c r="P108" i="1"/>
  <c r="O105" i="1"/>
  <c r="P105" i="1" s="1"/>
  <c r="J155" i="1"/>
  <c r="P229" i="1"/>
  <c r="R229" i="1"/>
  <c r="R198" i="1"/>
  <c r="P198" i="1"/>
  <c r="R78" i="1"/>
  <c r="P78" i="1"/>
  <c r="U166" i="1"/>
  <c r="S166" i="1"/>
  <c r="L204" i="1"/>
  <c r="M204" i="1" s="1"/>
  <c r="S67" i="1"/>
  <c r="U67" i="1"/>
  <c r="R71" i="1"/>
  <c r="P71" i="1"/>
  <c r="L10" i="1"/>
  <c r="M10" i="1" s="1"/>
  <c r="R77" i="1"/>
  <c r="P77" i="1"/>
  <c r="P85" i="1"/>
  <c r="R85" i="1"/>
  <c r="U65" i="1"/>
  <c r="S65" i="1"/>
  <c r="U183" i="1"/>
  <c r="S183" i="1"/>
  <c r="O28" i="1"/>
  <c r="P28" i="1" s="1"/>
  <c r="U73" i="1"/>
  <c r="S73" i="1"/>
  <c r="R92" i="1"/>
  <c r="O91" i="1"/>
  <c r="P91" i="1" s="1"/>
  <c r="P92" i="1"/>
  <c r="R200" i="1"/>
  <c r="P200" i="1"/>
  <c r="U265" i="1"/>
  <c r="S265" i="1"/>
  <c r="R216" i="1"/>
  <c r="P216" i="1"/>
  <c r="S225" i="1"/>
  <c r="S192" i="1"/>
  <c r="S207" i="1"/>
  <c r="U207" i="1"/>
  <c r="X113" i="1"/>
  <c r="V113" i="1"/>
  <c r="S222" i="1"/>
  <c r="U222" i="1"/>
  <c r="AB195" i="1"/>
  <c r="Y195" i="1"/>
  <c r="U196" i="1"/>
  <c r="S196" i="1"/>
  <c r="S136" i="1"/>
  <c r="U136" i="1"/>
  <c r="V175" i="1"/>
  <c r="X175" i="1"/>
  <c r="U264" i="1"/>
  <c r="S264" i="1"/>
  <c r="R263" i="1"/>
  <c r="S263" i="1" s="1"/>
  <c r="AB184" i="1"/>
  <c r="Y184" i="1"/>
  <c r="U59" i="1"/>
  <c r="S59" i="1"/>
  <c r="U29" i="1"/>
  <c r="S29" i="1"/>
  <c r="U12" i="1"/>
  <c r="S12" i="1"/>
  <c r="R11" i="1"/>
  <c r="U26" i="1"/>
  <c r="S26" i="1"/>
  <c r="R269" i="1"/>
  <c r="P269" i="1"/>
  <c r="U69" i="1"/>
  <c r="S69" i="1"/>
  <c r="X197" i="1"/>
  <c r="V197" i="1"/>
  <c r="R116" i="1"/>
  <c r="P116" i="1"/>
  <c r="X250" i="1"/>
  <c r="Y250" i="1" s="1"/>
  <c r="V250" i="1"/>
  <c r="X202" i="1"/>
  <c r="V202" i="1"/>
  <c r="R74" i="1"/>
  <c r="P74" i="1"/>
  <c r="U146" i="1"/>
  <c r="S146" i="1"/>
  <c r="AB75" i="1"/>
  <c r="Y75" i="1"/>
  <c r="X165" i="1"/>
  <c r="V165" i="1"/>
  <c r="U189" i="1"/>
  <c r="S189" i="1"/>
  <c r="R55" i="1"/>
  <c r="P55" i="1"/>
  <c r="AB248" i="1"/>
  <c r="Y248" i="1"/>
  <c r="P180" i="1"/>
  <c r="R180" i="1"/>
  <c r="AB93" i="1"/>
  <c r="Y93" i="1"/>
  <c r="O211" i="1"/>
  <c r="P212" i="1"/>
  <c r="R212" i="1"/>
  <c r="J23" i="1"/>
  <c r="X238" i="1"/>
  <c r="V238" i="1"/>
  <c r="R153" i="1"/>
  <c r="S153" i="1" s="1"/>
  <c r="U154" i="1"/>
  <c r="S154" i="1"/>
  <c r="X141" i="1"/>
  <c r="V141" i="1"/>
  <c r="P249" i="1"/>
  <c r="R249" i="1"/>
  <c r="P80" i="1"/>
  <c r="R80" i="1"/>
  <c r="P112" i="1"/>
  <c r="O111" i="1"/>
  <c r="P111" i="1" s="1"/>
  <c r="R112" i="1"/>
  <c r="Y84" i="1"/>
  <c r="AB84" i="1"/>
  <c r="S188" i="1"/>
  <c r="U188" i="1"/>
  <c r="M135" i="1"/>
  <c r="R246" i="1"/>
  <c r="P246" i="1"/>
  <c r="O243" i="1"/>
  <c r="P243" i="1" s="1"/>
  <c r="R41" i="1"/>
  <c r="P41" i="1"/>
  <c r="O39" i="1"/>
  <c r="P39" i="1" s="1"/>
  <c r="U227" i="1"/>
  <c r="S227" i="1"/>
  <c r="U122" i="1"/>
  <c r="S122" i="1"/>
  <c r="R176" i="1"/>
  <c r="P176" i="1"/>
  <c r="R261" i="1"/>
  <c r="O260" i="1"/>
  <c r="P260" i="1" s="1"/>
  <c r="P261" i="1"/>
  <c r="S33" i="1"/>
  <c r="U33" i="1"/>
  <c r="U173" i="1"/>
  <c r="S173" i="1"/>
  <c r="O114" i="1"/>
  <c r="P114" i="1" s="1"/>
  <c r="R115" i="1"/>
  <c r="P115" i="1"/>
  <c r="Y224" i="1"/>
  <c r="AB224" i="1"/>
  <c r="U83" i="1"/>
  <c r="S83" i="1"/>
  <c r="P147" i="1"/>
  <c r="R147" i="1"/>
  <c r="U22" i="1"/>
  <c r="S22" i="1"/>
  <c r="U234" i="1"/>
  <c r="S234" i="1"/>
  <c r="U142" i="1"/>
  <c r="S142" i="1"/>
  <c r="U258" i="1"/>
  <c r="S258" i="1"/>
  <c r="P192" i="1"/>
  <c r="O191" i="1"/>
  <c r="P191" i="1" s="1"/>
  <c r="P31" i="1"/>
  <c r="R31" i="1"/>
  <c r="U181" i="1"/>
  <c r="S181" i="1"/>
  <c r="R56" i="1"/>
  <c r="P56" i="1"/>
  <c r="X63" i="1"/>
  <c r="Y63" i="1" s="1"/>
  <c r="V63" i="1"/>
  <c r="M95" i="1"/>
  <c r="L94" i="1"/>
  <c r="M94" i="1" s="1"/>
  <c r="X232" i="1"/>
  <c r="V232" i="1"/>
  <c r="AB262" i="1"/>
  <c r="Y262" i="1"/>
  <c r="S79" i="1"/>
  <c r="U79" i="1"/>
  <c r="M228" i="1"/>
  <c r="M260" i="1"/>
  <c r="L252" i="1"/>
  <c r="M252" i="1" s="1"/>
  <c r="S37" i="1"/>
  <c r="R36" i="1"/>
  <c r="S36" i="1" s="1"/>
  <c r="U37" i="1"/>
  <c r="X106" i="1"/>
  <c r="V106" i="1"/>
  <c r="R102" i="1"/>
  <c r="P102" i="1"/>
  <c r="O101" i="1"/>
  <c r="P101" i="1" s="1"/>
  <c r="S199" i="1"/>
  <c r="U199" i="1"/>
  <c r="R53" i="1"/>
  <c r="P53" i="1"/>
  <c r="O52" i="1"/>
  <c r="U163" i="1"/>
  <c r="S163" i="1"/>
  <c r="U241" i="1"/>
  <c r="S241" i="1"/>
  <c r="R239" i="1"/>
  <c r="S239" i="1" s="1"/>
  <c r="U160" i="1"/>
  <c r="S160" i="1"/>
  <c r="X64" i="1"/>
  <c r="V64" i="1"/>
  <c r="X221" i="1"/>
  <c r="V221" i="1"/>
  <c r="Y76" i="1"/>
  <c r="AB76" i="1"/>
  <c r="V271" i="1"/>
  <c r="X271" i="1"/>
  <c r="U27" i="1"/>
  <c r="S27" i="1"/>
  <c r="X187" i="1"/>
  <c r="Y187" i="1" s="1"/>
  <c r="V187" i="1"/>
  <c r="R231" i="1"/>
  <c r="S231" i="1" s="1"/>
  <c r="S72" i="1"/>
  <c r="U72" i="1"/>
  <c r="R259" i="1"/>
  <c r="P259" i="1"/>
  <c r="X164" i="1"/>
  <c r="V164" i="1"/>
  <c r="X256" i="1"/>
  <c r="V256" i="1"/>
  <c r="X70" i="1"/>
  <c r="V70" i="1"/>
  <c r="X137" i="1"/>
  <c r="V137" i="1"/>
  <c r="X127" i="1"/>
  <c r="V127" i="1"/>
  <c r="U21" i="1"/>
  <c r="R20" i="1"/>
  <c r="S20" i="1" s="1"/>
  <c r="S21" i="1"/>
  <c r="U247" i="1"/>
  <c r="S247" i="1"/>
  <c r="AA282" i="1"/>
  <c r="X104" i="1"/>
  <c r="V104" i="1"/>
  <c r="L45" i="1"/>
  <c r="M52" i="1"/>
  <c r="L6" i="1"/>
  <c r="M6" i="1" s="1"/>
  <c r="P159" i="1"/>
  <c r="S185" i="1"/>
  <c r="U185" i="1"/>
  <c r="U151" i="1"/>
  <c r="S151" i="1"/>
  <c r="X193" i="1"/>
  <c r="V193" i="1"/>
  <c r="U220" i="1"/>
  <c r="S220" i="1"/>
  <c r="R97" i="1"/>
  <c r="P97" i="1"/>
  <c r="O95" i="1"/>
  <c r="U233" i="1"/>
  <c r="S233" i="1"/>
  <c r="P11" i="1"/>
  <c r="U57" i="1"/>
  <c r="S57" i="1"/>
  <c r="U245" i="1"/>
  <c r="S245" i="1"/>
  <c r="X48" i="1"/>
  <c r="V48" i="1"/>
  <c r="R138" i="1"/>
  <c r="P138" i="1"/>
  <c r="X206" i="1"/>
  <c r="V206" i="1"/>
  <c r="R230" i="1"/>
  <c r="P230" i="1"/>
  <c r="O228" i="1"/>
  <c r="R124" i="1"/>
  <c r="P124" i="1"/>
  <c r="U119" i="1"/>
  <c r="S119" i="1"/>
  <c r="X172" i="1"/>
  <c r="V172" i="1"/>
  <c r="P7" i="1"/>
  <c r="V178" i="1"/>
  <c r="X178" i="1"/>
  <c r="AB38" i="1"/>
  <c r="Y38" i="1"/>
  <c r="R140" i="1"/>
  <c r="P140" i="1"/>
  <c r="U270" i="1"/>
  <c r="S270" i="1"/>
  <c r="X139" i="1"/>
  <c r="V139" i="1"/>
  <c r="U117" i="1"/>
  <c r="S117" i="1"/>
  <c r="U82" i="1"/>
  <c r="S82" i="1"/>
  <c r="U13" i="1"/>
  <c r="S13" i="1"/>
  <c r="U201" i="1"/>
  <c r="S201" i="1"/>
  <c r="AB54" i="1"/>
  <c r="Y54" i="1"/>
  <c r="U276" i="1"/>
  <c r="S276" i="1"/>
  <c r="U194" i="1"/>
  <c r="U192" i="1" s="1"/>
  <c r="S194" i="1"/>
  <c r="R109" i="1"/>
  <c r="P109" i="1"/>
  <c r="R98" i="1"/>
  <c r="S98" i="1" s="1"/>
  <c r="S100" i="1"/>
  <c r="U100" i="1"/>
  <c r="R205" i="1"/>
  <c r="R219" i="1"/>
  <c r="P219" i="1"/>
  <c r="U251" i="1"/>
  <c r="S251" i="1"/>
  <c r="V107" i="1"/>
  <c r="X107" i="1"/>
  <c r="U19" i="1"/>
  <c r="S19" i="1"/>
  <c r="U60" i="1"/>
  <c r="S60" i="1"/>
  <c r="X255" i="1"/>
  <c r="V255" i="1"/>
  <c r="U242" i="1"/>
  <c r="S242" i="1"/>
  <c r="U126" i="1"/>
  <c r="S126" i="1"/>
  <c r="R161" i="1"/>
  <c r="R159" i="1" s="1"/>
  <c r="P161" i="1"/>
  <c r="U162" i="1"/>
  <c r="S162" i="1"/>
  <c r="U215" i="1"/>
  <c r="S215" i="1"/>
  <c r="U213" i="1"/>
  <c r="S213" i="1"/>
  <c r="U88" i="1"/>
  <c r="S88" i="1"/>
  <c r="U182" i="1"/>
  <c r="S182" i="1"/>
  <c r="U209" i="1"/>
  <c r="S209" i="1"/>
  <c r="X244" i="1"/>
  <c r="V244" i="1"/>
  <c r="P123" i="1"/>
  <c r="R123" i="1"/>
  <c r="U62" i="1"/>
  <c r="S62" i="1"/>
  <c r="U267" i="1"/>
  <c r="S267" i="1"/>
  <c r="R266" i="1"/>
  <c r="S266" i="1" s="1"/>
  <c r="X90" i="1"/>
  <c r="V90" i="1"/>
  <c r="U46" i="1"/>
  <c r="S46" i="1"/>
  <c r="R217" i="1"/>
  <c r="P217" i="1"/>
  <c r="V208" i="1"/>
  <c r="X208" i="1"/>
  <c r="V257" i="1"/>
  <c r="X257" i="1"/>
  <c r="AB240" i="1"/>
  <c r="Y240" i="1"/>
  <c r="S150" i="1"/>
  <c r="R149" i="1"/>
  <c r="U150" i="1"/>
  <c r="S253" i="1"/>
  <c r="U253" i="1"/>
  <c r="R58" i="1"/>
  <c r="P58" i="1"/>
  <c r="U281" i="1"/>
  <c r="S281" i="1"/>
  <c r="U237" i="1"/>
  <c r="S237" i="1"/>
  <c r="U203" i="1"/>
  <c r="S203" i="1"/>
  <c r="AB157" i="1"/>
  <c r="Y157" i="1"/>
  <c r="R272" i="1"/>
  <c r="P272" i="1"/>
  <c r="X158" i="1"/>
  <c r="V158" i="1"/>
  <c r="R32" i="1"/>
  <c r="P32" i="1"/>
  <c r="X87" i="1"/>
  <c r="V87" i="1"/>
  <c r="U225" i="1"/>
  <c r="X226" i="1"/>
  <c r="V226" i="1"/>
  <c r="X47" i="1"/>
  <c r="V47" i="1"/>
  <c r="S118" i="1"/>
  <c r="U118" i="1"/>
  <c r="S120" i="1"/>
  <c r="U120" i="1"/>
  <c r="U236" i="1"/>
  <c r="R235" i="1"/>
  <c r="S235" i="1" s="1"/>
  <c r="S236" i="1"/>
  <c r="U103" i="1"/>
  <c r="S103" i="1"/>
  <c r="O148" i="1"/>
  <c r="P148" i="1" s="1"/>
  <c r="P149" i="1"/>
  <c r="I280" i="1"/>
  <c r="O24" i="1"/>
  <c r="R25" i="1"/>
  <c r="P25" i="1"/>
  <c r="R17" i="1"/>
  <c r="S17" i="1" s="1"/>
  <c r="U18" i="1"/>
  <c r="S18" i="1"/>
  <c r="O214" i="1"/>
  <c r="P214" i="1" s="1"/>
  <c r="X96" i="1"/>
  <c r="V96" i="1"/>
  <c r="S8" i="1"/>
  <c r="U8" i="1"/>
  <c r="R7" i="1"/>
  <c r="U81" i="1"/>
  <c r="S81" i="1"/>
  <c r="G280" i="1"/>
  <c r="F282" i="1"/>
  <c r="G282" i="1" s="1"/>
  <c r="AA129" i="1"/>
  <c r="R16" i="1"/>
  <c r="P16" i="1"/>
  <c r="R274" i="1"/>
  <c r="S274" i="1" s="1"/>
  <c r="U275" i="1"/>
  <c r="S275" i="1"/>
  <c r="X218" i="1"/>
  <c r="V218" i="1"/>
  <c r="G44" i="1"/>
  <c r="F110" i="1"/>
  <c r="S34" i="1"/>
  <c r="U34" i="1"/>
  <c r="R152" i="1"/>
  <c r="P152" i="1"/>
  <c r="S273" i="1"/>
  <c r="U273" i="1"/>
  <c r="X254" i="1"/>
  <c r="V254" i="1"/>
  <c r="S121" i="1"/>
  <c r="U121" i="1"/>
  <c r="AB35" i="1"/>
  <c r="Y35" i="1"/>
  <c r="U174" i="1"/>
  <c r="S174" i="1"/>
  <c r="R15" i="1"/>
  <c r="O14" i="1"/>
  <c r="P14" i="1" s="1"/>
  <c r="P15" i="1"/>
  <c r="S42" i="1"/>
  <c r="U42" i="1"/>
  <c r="X86" i="1"/>
  <c r="V86" i="1"/>
  <c r="U125" i="1"/>
  <c r="S125" i="1"/>
  <c r="J45" i="1"/>
  <c r="J44" i="1" s="1"/>
  <c r="I44" i="1"/>
  <c r="I110" i="1" s="1"/>
  <c r="AB156" i="1"/>
  <c r="Y156" i="1"/>
  <c r="R179" i="1"/>
  <c r="P179" i="1"/>
  <c r="O177" i="1"/>
  <c r="P177" i="1" s="1"/>
  <c r="M24" i="1"/>
  <c r="L23" i="1"/>
  <c r="M23" i="1" s="1"/>
  <c r="M159" i="1"/>
  <c r="L155" i="1"/>
  <c r="M155" i="1" s="1"/>
  <c r="U145" i="1"/>
  <c r="S145" i="1"/>
  <c r="R144" i="1"/>
  <c r="P144" i="1"/>
  <c r="U210" i="1"/>
  <c r="S210" i="1"/>
  <c r="S268" i="1"/>
  <c r="U268" i="1"/>
  <c r="S30" i="1"/>
  <c r="U30" i="1"/>
  <c r="X43" i="1"/>
  <c r="V43" i="1"/>
  <c r="R190" i="1"/>
  <c r="P190" i="1"/>
  <c r="AB40" i="1"/>
  <c r="Y40" i="1"/>
  <c r="U205" i="1" l="1"/>
  <c r="R191" i="1"/>
  <c r="S191" i="1" s="1"/>
  <c r="L223" i="1"/>
  <c r="M223" i="1" s="1"/>
  <c r="O171" i="1"/>
  <c r="P171" i="1" s="1"/>
  <c r="R68" i="1"/>
  <c r="S68" i="1" s="1"/>
  <c r="O252" i="1"/>
  <c r="P252" i="1" s="1"/>
  <c r="S108" i="1"/>
  <c r="U108" i="1"/>
  <c r="R105" i="1"/>
  <c r="S105" i="1" s="1"/>
  <c r="X67" i="1"/>
  <c r="V67" i="1"/>
  <c r="V183" i="1"/>
  <c r="X183" i="1"/>
  <c r="X265" i="1"/>
  <c r="V265" i="1"/>
  <c r="X65" i="1"/>
  <c r="V65" i="1"/>
  <c r="X166" i="1"/>
  <c r="V166" i="1"/>
  <c r="S216" i="1"/>
  <c r="U216" i="1"/>
  <c r="U85" i="1"/>
  <c r="S85" i="1"/>
  <c r="U200" i="1"/>
  <c r="S200" i="1"/>
  <c r="S78" i="1"/>
  <c r="U78" i="1"/>
  <c r="U77" i="1"/>
  <c r="S77" i="1"/>
  <c r="U198" i="1"/>
  <c r="S198" i="1"/>
  <c r="S71" i="1"/>
  <c r="U71" i="1"/>
  <c r="V73" i="1"/>
  <c r="X73" i="1"/>
  <c r="Y73" i="1" s="1"/>
  <c r="S92" i="1"/>
  <c r="R91" i="1"/>
  <c r="S91" i="1" s="1"/>
  <c r="U92" i="1"/>
  <c r="S229" i="1"/>
  <c r="U229" i="1"/>
  <c r="V205" i="1"/>
  <c r="S159" i="1"/>
  <c r="R14" i="1"/>
  <c r="S14" i="1" s="1"/>
  <c r="U15" i="1"/>
  <c r="S15" i="1"/>
  <c r="U219" i="1"/>
  <c r="S219" i="1"/>
  <c r="X281" i="1"/>
  <c r="V281" i="1"/>
  <c r="AB257" i="1"/>
  <c r="Y257" i="1"/>
  <c r="X162" i="1"/>
  <c r="V162" i="1"/>
  <c r="S205" i="1"/>
  <c r="O10" i="1"/>
  <c r="P10" i="1" s="1"/>
  <c r="M45" i="1"/>
  <c r="M44" i="1" s="1"/>
  <c r="L44" i="1"/>
  <c r="AB256" i="1"/>
  <c r="Y256" i="1"/>
  <c r="X160" i="1"/>
  <c r="V160" i="1"/>
  <c r="V142" i="1"/>
  <c r="X142" i="1"/>
  <c r="R211" i="1"/>
  <c r="S211" i="1" s="1"/>
  <c r="U212" i="1"/>
  <c r="S212" i="1"/>
  <c r="X189" i="1"/>
  <c r="Y189" i="1" s="1"/>
  <c r="V189" i="1"/>
  <c r="S11" i="1"/>
  <c r="U263" i="1"/>
  <c r="V263" i="1" s="1"/>
  <c r="V264" i="1"/>
  <c r="X264" i="1"/>
  <c r="U7" i="1"/>
  <c r="X8" i="1"/>
  <c r="V8" i="1"/>
  <c r="X201" i="1"/>
  <c r="V201" i="1"/>
  <c r="Y206" i="1"/>
  <c r="AB206" i="1"/>
  <c r="X27" i="1"/>
  <c r="V27" i="1"/>
  <c r="X79" i="1"/>
  <c r="V79" i="1"/>
  <c r="R114" i="1"/>
  <c r="S114" i="1" s="1"/>
  <c r="U115" i="1"/>
  <c r="S115" i="1"/>
  <c r="X122" i="1"/>
  <c r="Y122" i="1" s="1"/>
  <c r="V122" i="1"/>
  <c r="Y175" i="1"/>
  <c r="AB175" i="1"/>
  <c r="AB113" i="1"/>
  <c r="Y113" i="1"/>
  <c r="V192" i="1"/>
  <c r="X258" i="1"/>
  <c r="V258" i="1"/>
  <c r="U249" i="1"/>
  <c r="S249" i="1"/>
  <c r="Y43" i="1"/>
  <c r="AB43" i="1"/>
  <c r="X34" i="1"/>
  <c r="V34" i="1"/>
  <c r="U16" i="1"/>
  <c r="S16" i="1"/>
  <c r="AB96" i="1"/>
  <c r="Y96" i="1"/>
  <c r="Y47" i="1"/>
  <c r="AB47" i="1"/>
  <c r="U58" i="1"/>
  <c r="S58" i="1"/>
  <c r="AB208" i="1"/>
  <c r="Y208" i="1"/>
  <c r="X267" i="1"/>
  <c r="V267" i="1"/>
  <c r="U266" i="1"/>
  <c r="V266" i="1" s="1"/>
  <c r="U161" i="1"/>
  <c r="S161" i="1"/>
  <c r="AB107" i="1"/>
  <c r="Y107" i="1"/>
  <c r="AB172" i="1"/>
  <c r="Y172" i="1"/>
  <c r="V233" i="1"/>
  <c r="X233" i="1"/>
  <c r="X231" i="1" s="1"/>
  <c r="X21" i="1"/>
  <c r="V21" i="1"/>
  <c r="U20" i="1"/>
  <c r="V20" i="1" s="1"/>
  <c r="AB164" i="1"/>
  <c r="Y164" i="1"/>
  <c r="Y271" i="1"/>
  <c r="AB271" i="1"/>
  <c r="U102" i="1"/>
  <c r="S102" i="1"/>
  <c r="R101" i="1"/>
  <c r="S101" i="1" s="1"/>
  <c r="U56" i="1"/>
  <c r="S56" i="1"/>
  <c r="X234" i="1"/>
  <c r="V234" i="1"/>
  <c r="X188" i="1"/>
  <c r="V188" i="1"/>
  <c r="AB141" i="1"/>
  <c r="Y141" i="1"/>
  <c r="P211" i="1"/>
  <c r="O204" i="1"/>
  <c r="P204" i="1" s="1"/>
  <c r="AB165" i="1"/>
  <c r="Y165" i="1"/>
  <c r="U116" i="1"/>
  <c r="S116" i="1"/>
  <c r="U11" i="1"/>
  <c r="X12" i="1"/>
  <c r="V12" i="1"/>
  <c r="X207" i="1"/>
  <c r="V207" i="1"/>
  <c r="I129" i="1"/>
  <c r="J110" i="1"/>
  <c r="V275" i="1"/>
  <c r="U274" i="1"/>
  <c r="V274" i="1" s="1"/>
  <c r="X275" i="1"/>
  <c r="S152" i="1"/>
  <c r="U152" i="1"/>
  <c r="R243" i="1"/>
  <c r="S243" i="1" s="1"/>
  <c r="U272" i="1"/>
  <c r="S272" i="1"/>
  <c r="X253" i="1"/>
  <c r="V253" i="1"/>
  <c r="X182" i="1"/>
  <c r="V182" i="1"/>
  <c r="V13" i="1"/>
  <c r="X13" i="1"/>
  <c r="P95" i="1"/>
  <c r="O94" i="1"/>
  <c r="P94" i="1" s="1"/>
  <c r="X227" i="1"/>
  <c r="V227" i="1"/>
  <c r="X136" i="1"/>
  <c r="V136" i="1"/>
  <c r="AB202" i="1"/>
  <c r="Y202" i="1"/>
  <c r="X118" i="1"/>
  <c r="V118" i="1"/>
  <c r="J280" i="1"/>
  <c r="I282" i="1"/>
  <c r="J282" i="1" s="1"/>
  <c r="V30" i="1"/>
  <c r="X30" i="1"/>
  <c r="X121" i="1"/>
  <c r="V121" i="1"/>
  <c r="AB226" i="1"/>
  <c r="Y226" i="1"/>
  <c r="V62" i="1"/>
  <c r="X62" i="1"/>
  <c r="U138" i="1"/>
  <c r="S138" i="1"/>
  <c r="X151" i="1"/>
  <c r="V151" i="1"/>
  <c r="Y127" i="1"/>
  <c r="AB127" i="1"/>
  <c r="V241" i="1"/>
  <c r="X241" i="1"/>
  <c r="U239" i="1"/>
  <c r="V239" i="1" s="1"/>
  <c r="X181" i="1"/>
  <c r="V181" i="1"/>
  <c r="X22" i="1"/>
  <c r="V22" i="1"/>
  <c r="X173" i="1"/>
  <c r="V173" i="1"/>
  <c r="U153" i="1"/>
  <c r="V153" i="1" s="1"/>
  <c r="X154" i="1"/>
  <c r="V154" i="1"/>
  <c r="AB197" i="1"/>
  <c r="Y197" i="1"/>
  <c r="X29" i="1"/>
  <c r="V29" i="1"/>
  <c r="R135" i="1"/>
  <c r="X237" i="1"/>
  <c r="V237" i="1"/>
  <c r="V60" i="1"/>
  <c r="X60" i="1"/>
  <c r="L280" i="1"/>
  <c r="X209" i="1"/>
  <c r="V209" i="1"/>
  <c r="V18" i="1"/>
  <c r="X18" i="1"/>
  <c r="U17" i="1"/>
  <c r="V17" i="1" s="1"/>
  <c r="V103" i="1"/>
  <c r="X103" i="1"/>
  <c r="V225" i="1"/>
  <c r="U217" i="1"/>
  <c r="S217" i="1"/>
  <c r="U123" i="1"/>
  <c r="S123" i="1"/>
  <c r="V88" i="1"/>
  <c r="X88" i="1"/>
  <c r="Y88" i="1" s="1"/>
  <c r="X126" i="1"/>
  <c r="Y126" i="1" s="1"/>
  <c r="V126" i="1"/>
  <c r="U109" i="1"/>
  <c r="S109" i="1"/>
  <c r="X82" i="1"/>
  <c r="V82" i="1"/>
  <c r="X119" i="1"/>
  <c r="V119" i="1"/>
  <c r="U97" i="1"/>
  <c r="S97" i="1"/>
  <c r="R95" i="1"/>
  <c r="AB104" i="1"/>
  <c r="Y104" i="1"/>
  <c r="Y106" i="1"/>
  <c r="AB106" i="1"/>
  <c r="U31" i="1"/>
  <c r="S31" i="1"/>
  <c r="S147" i="1"/>
  <c r="U147" i="1"/>
  <c r="X33" i="1"/>
  <c r="V33" i="1"/>
  <c r="S180" i="1"/>
  <c r="U180" i="1"/>
  <c r="R28" i="1"/>
  <c r="S28" i="1" s="1"/>
  <c r="Y64" i="1"/>
  <c r="AB64" i="1"/>
  <c r="S230" i="1"/>
  <c r="U230" i="1"/>
  <c r="R228" i="1"/>
  <c r="S176" i="1"/>
  <c r="U176" i="1"/>
  <c r="X145" i="1"/>
  <c r="Y145" i="1" s="1"/>
  <c r="V145" i="1"/>
  <c r="U98" i="1"/>
  <c r="V98" i="1" s="1"/>
  <c r="X100" i="1"/>
  <c r="V100" i="1"/>
  <c r="F129" i="1"/>
  <c r="G110" i="1"/>
  <c r="X42" i="1"/>
  <c r="V42" i="1"/>
  <c r="V150" i="1"/>
  <c r="U149" i="1"/>
  <c r="X150" i="1"/>
  <c r="L110" i="1"/>
  <c r="Y48" i="1"/>
  <c r="AB48" i="1"/>
  <c r="X185" i="1"/>
  <c r="V185" i="1"/>
  <c r="AB137" i="1"/>
  <c r="Y137" i="1"/>
  <c r="U259" i="1"/>
  <c r="S259" i="1"/>
  <c r="X163" i="1"/>
  <c r="V163" i="1"/>
  <c r="X37" i="1"/>
  <c r="V37" i="1"/>
  <c r="U36" i="1"/>
  <c r="V36" i="1" s="1"/>
  <c r="AB232" i="1"/>
  <c r="Y232" i="1"/>
  <c r="S41" i="1"/>
  <c r="U41" i="1"/>
  <c r="R39" i="1"/>
  <c r="S39" i="1" s="1"/>
  <c r="U112" i="1"/>
  <c r="S112" i="1"/>
  <c r="R111" i="1"/>
  <c r="S111" i="1" s="1"/>
  <c r="X146" i="1"/>
  <c r="Y146" i="1" s="1"/>
  <c r="V146" i="1"/>
  <c r="S55" i="1"/>
  <c r="U55" i="1"/>
  <c r="AB158" i="1"/>
  <c r="Y158" i="1"/>
  <c r="X270" i="1"/>
  <c r="V270" i="1"/>
  <c r="X174" i="1"/>
  <c r="V174" i="1"/>
  <c r="Y254" i="1"/>
  <c r="AB254" i="1"/>
  <c r="AB87" i="1"/>
  <c r="Y87" i="1"/>
  <c r="X203" i="1"/>
  <c r="V203" i="1"/>
  <c r="R148" i="1"/>
  <c r="S148" i="1" s="1"/>
  <c r="S149" i="1"/>
  <c r="X46" i="1"/>
  <c r="V46" i="1"/>
  <c r="X213" i="1"/>
  <c r="V213" i="1"/>
  <c r="V242" i="1"/>
  <c r="X242" i="1"/>
  <c r="X194" i="1"/>
  <c r="V194" i="1"/>
  <c r="X117" i="1"/>
  <c r="V117" i="1"/>
  <c r="Y178" i="1"/>
  <c r="AB178" i="1"/>
  <c r="X220" i="1"/>
  <c r="V220" i="1"/>
  <c r="X72" i="1"/>
  <c r="V72" i="1"/>
  <c r="AB221" i="1"/>
  <c r="Y221" i="1"/>
  <c r="O45" i="1"/>
  <c r="P52" i="1"/>
  <c r="U231" i="1"/>
  <c r="V231" i="1" s="1"/>
  <c r="X69" i="1"/>
  <c r="V69" i="1"/>
  <c r="X59" i="1"/>
  <c r="V59" i="1"/>
  <c r="X196" i="1"/>
  <c r="V196" i="1"/>
  <c r="O23" i="1"/>
  <c r="P23" i="1" s="1"/>
  <c r="P24" i="1"/>
  <c r="X199" i="1"/>
  <c r="V199" i="1"/>
  <c r="O6" i="1"/>
  <c r="P6" i="1" s="1"/>
  <c r="X26" i="1"/>
  <c r="V26" i="1"/>
  <c r="X19" i="1"/>
  <c r="V19" i="1"/>
  <c r="AA283" i="1"/>
  <c r="X273" i="1"/>
  <c r="V273" i="1"/>
  <c r="AB244" i="1"/>
  <c r="Y244" i="1"/>
  <c r="R214" i="1"/>
  <c r="S214" i="1" s="1"/>
  <c r="U124" i="1"/>
  <c r="S124" i="1"/>
  <c r="V245" i="1"/>
  <c r="X245" i="1"/>
  <c r="O155" i="1"/>
  <c r="AB70" i="1"/>
  <c r="Y70" i="1"/>
  <c r="X83" i="1"/>
  <c r="V83" i="1"/>
  <c r="U74" i="1"/>
  <c r="S74" i="1"/>
  <c r="V215" i="1"/>
  <c r="X215" i="1"/>
  <c r="X57" i="1"/>
  <c r="V57" i="1"/>
  <c r="V222" i="1"/>
  <c r="X222" i="1"/>
  <c r="X247" i="1"/>
  <c r="V247" i="1"/>
  <c r="U140" i="1"/>
  <c r="S140" i="1"/>
  <c r="V125" i="1"/>
  <c r="X125" i="1"/>
  <c r="X268" i="1"/>
  <c r="V268" i="1"/>
  <c r="AB86" i="1"/>
  <c r="Y86" i="1"/>
  <c r="V210" i="1"/>
  <c r="X210" i="1"/>
  <c r="U179" i="1"/>
  <c r="S179" i="1"/>
  <c r="R177" i="1"/>
  <c r="S177" i="1" s="1"/>
  <c r="X81" i="1"/>
  <c r="V81" i="1"/>
  <c r="X236" i="1"/>
  <c r="V236" i="1"/>
  <c r="U235" i="1"/>
  <c r="V235" i="1" s="1"/>
  <c r="U190" i="1"/>
  <c r="S190" i="1"/>
  <c r="S144" i="1"/>
  <c r="U144" i="1"/>
  <c r="AB218" i="1"/>
  <c r="Y218" i="1"/>
  <c r="S7" i="1"/>
  <c r="U25" i="1"/>
  <c r="S25" i="1"/>
  <c r="R24" i="1"/>
  <c r="X120" i="1"/>
  <c r="V120" i="1"/>
  <c r="U32" i="1"/>
  <c r="S32" i="1"/>
  <c r="AB90" i="1"/>
  <c r="Y90" i="1"/>
  <c r="AB255" i="1"/>
  <c r="Y255" i="1"/>
  <c r="X251" i="1"/>
  <c r="V251" i="1"/>
  <c r="X276" i="1"/>
  <c r="V276" i="1"/>
  <c r="AB139" i="1"/>
  <c r="Y139" i="1"/>
  <c r="P228" i="1"/>
  <c r="O223" i="1"/>
  <c r="P223" i="1" s="1"/>
  <c r="AB193" i="1"/>
  <c r="X192" i="1"/>
  <c r="Y193" i="1"/>
  <c r="S53" i="1"/>
  <c r="R52" i="1"/>
  <c r="U53" i="1"/>
  <c r="U261" i="1"/>
  <c r="S261" i="1"/>
  <c r="R260" i="1"/>
  <c r="U246" i="1"/>
  <c r="S246" i="1"/>
  <c r="S80" i="1"/>
  <c r="U80" i="1"/>
  <c r="AB238" i="1"/>
  <c r="Y238" i="1"/>
  <c r="U269" i="1"/>
  <c r="S269" i="1"/>
  <c r="R6" i="1" l="1"/>
  <c r="S6" i="1" s="1"/>
  <c r="V108" i="1"/>
  <c r="U105" i="1"/>
  <c r="V105" i="1" s="1"/>
  <c r="X108" i="1"/>
  <c r="V216" i="1"/>
  <c r="X216" i="1"/>
  <c r="U135" i="1"/>
  <c r="V135" i="1" s="1"/>
  <c r="X71" i="1"/>
  <c r="V71" i="1"/>
  <c r="AB166" i="1"/>
  <c r="Y166" i="1"/>
  <c r="X77" i="1"/>
  <c r="V77" i="1"/>
  <c r="X78" i="1"/>
  <c r="V78" i="1"/>
  <c r="X198" i="1"/>
  <c r="V198" i="1"/>
  <c r="Y65" i="1"/>
  <c r="AB65" i="1"/>
  <c r="U91" i="1"/>
  <c r="V91" i="1" s="1"/>
  <c r="V92" i="1"/>
  <c r="X92" i="1"/>
  <c r="Y265" i="1"/>
  <c r="AB265" i="1"/>
  <c r="X229" i="1"/>
  <c r="V229" i="1"/>
  <c r="AB183" i="1"/>
  <c r="Y183" i="1"/>
  <c r="X200" i="1"/>
  <c r="X191" i="1" s="1"/>
  <c r="V200" i="1"/>
  <c r="U191" i="1"/>
  <c r="V191" i="1" s="1"/>
  <c r="X85" i="1"/>
  <c r="V85" i="1"/>
  <c r="Y67" i="1"/>
  <c r="AB67" i="1"/>
  <c r="AB220" i="1"/>
  <c r="Y220" i="1"/>
  <c r="Y270" i="1"/>
  <c r="AB270" i="1"/>
  <c r="U101" i="1"/>
  <c r="V101" i="1" s="1"/>
  <c r="X102" i="1"/>
  <c r="V102" i="1"/>
  <c r="S260" i="1"/>
  <c r="R252" i="1"/>
  <c r="S252" i="1" s="1"/>
  <c r="V144" i="1"/>
  <c r="X144" i="1"/>
  <c r="AB210" i="1"/>
  <c r="Y210" i="1"/>
  <c r="AB83" i="1"/>
  <c r="Y83" i="1"/>
  <c r="F283" i="1"/>
  <c r="G283" i="1" s="1"/>
  <c r="G129" i="1"/>
  <c r="AB121" i="1"/>
  <c r="Y121" i="1"/>
  <c r="AB182" i="1"/>
  <c r="Y182" i="1"/>
  <c r="AB201" i="1"/>
  <c r="Y201" i="1"/>
  <c r="U211" i="1"/>
  <c r="V212" i="1"/>
  <c r="X212" i="1"/>
  <c r="V219" i="1"/>
  <c r="X219" i="1"/>
  <c r="X246" i="1"/>
  <c r="V246" i="1"/>
  <c r="AB69" i="1"/>
  <c r="Y69" i="1"/>
  <c r="X153" i="1"/>
  <c r="AB154" i="1"/>
  <c r="Y154" i="1"/>
  <c r="AB199" i="1"/>
  <c r="Y199" i="1"/>
  <c r="Y82" i="1"/>
  <c r="AB82" i="1"/>
  <c r="Y237" i="1"/>
  <c r="AB237" i="1"/>
  <c r="AB151" i="1"/>
  <c r="Y151" i="1"/>
  <c r="AB30" i="1"/>
  <c r="Y30" i="1"/>
  <c r="Y136" i="1"/>
  <c r="AB136" i="1"/>
  <c r="I283" i="1"/>
  <c r="J129" i="1"/>
  <c r="V58" i="1"/>
  <c r="X58" i="1"/>
  <c r="AB57" i="1" s="1"/>
  <c r="R204" i="1"/>
  <c r="S204" i="1" s="1"/>
  <c r="AB60" i="1"/>
  <c r="Y60" i="1"/>
  <c r="V179" i="1"/>
  <c r="X179" i="1"/>
  <c r="U177" i="1"/>
  <c r="V177" i="1" s="1"/>
  <c r="Y46" i="1"/>
  <c r="AB46" i="1"/>
  <c r="V217" i="1"/>
  <c r="X217" i="1"/>
  <c r="V32" i="1"/>
  <c r="X32" i="1"/>
  <c r="X261" i="1"/>
  <c r="V261" i="1"/>
  <c r="U260" i="1"/>
  <c r="V260" i="1" s="1"/>
  <c r="AB222" i="1"/>
  <c r="Y222" i="1"/>
  <c r="AB273" i="1"/>
  <c r="Y273" i="1"/>
  <c r="V55" i="1"/>
  <c r="X55" i="1"/>
  <c r="AB231" i="1"/>
  <c r="Y231" i="1"/>
  <c r="AB185" i="1"/>
  <c r="Y185" i="1"/>
  <c r="Y100" i="1"/>
  <c r="X98" i="1"/>
  <c r="Y98" i="1" s="1"/>
  <c r="AB103" i="1"/>
  <c r="Y103" i="1"/>
  <c r="AB173" i="1"/>
  <c r="Y173" i="1"/>
  <c r="X249" i="1"/>
  <c r="V249" i="1"/>
  <c r="U114" i="1"/>
  <c r="V114" i="1" s="1"/>
  <c r="V115" i="1"/>
  <c r="X115" i="1"/>
  <c r="X7" i="1"/>
  <c r="AB8" i="1"/>
  <c r="Y8" i="1"/>
  <c r="Y142" i="1"/>
  <c r="AB142" i="1"/>
  <c r="U14" i="1"/>
  <c r="V14" i="1" s="1"/>
  <c r="X15" i="1"/>
  <c r="V15" i="1"/>
  <c r="AB42" i="1"/>
  <c r="Y42" i="1"/>
  <c r="U52" i="1"/>
  <c r="X53" i="1"/>
  <c r="V53" i="1"/>
  <c r="AB120" i="1"/>
  <c r="Y120" i="1"/>
  <c r="V190" i="1"/>
  <c r="X190" i="1"/>
  <c r="Y117" i="1"/>
  <c r="AB117" i="1"/>
  <c r="AB203" i="1"/>
  <c r="Y203" i="1"/>
  <c r="V109" i="1"/>
  <c r="X109" i="1"/>
  <c r="V138" i="1"/>
  <c r="X138" i="1"/>
  <c r="AB227" i="1"/>
  <c r="Y227" i="1"/>
  <c r="Y253" i="1"/>
  <c r="AB253" i="1"/>
  <c r="AB207" i="1"/>
  <c r="Y207" i="1"/>
  <c r="V7" i="1"/>
  <c r="V31" i="1"/>
  <c r="X31" i="1"/>
  <c r="S52" i="1"/>
  <c r="R45" i="1"/>
  <c r="AB276" i="1"/>
  <c r="Y276" i="1"/>
  <c r="S24" i="1"/>
  <c r="R23" i="1"/>
  <c r="P155" i="1"/>
  <c r="O280" i="1"/>
  <c r="P45" i="1"/>
  <c r="P44" i="1" s="1"/>
  <c r="O44" i="1"/>
  <c r="O110" i="1" s="1"/>
  <c r="V180" i="1"/>
  <c r="X180" i="1"/>
  <c r="S135" i="1"/>
  <c r="AB22" i="1"/>
  <c r="Y22" i="1"/>
  <c r="AB188" i="1"/>
  <c r="Y188" i="1"/>
  <c r="AB258" i="1"/>
  <c r="Y258" i="1"/>
  <c r="AB264" i="1"/>
  <c r="Y264" i="1"/>
  <c r="X263" i="1"/>
  <c r="AB162" i="1"/>
  <c r="Y162" i="1"/>
  <c r="X41" i="1"/>
  <c r="V41" i="1"/>
  <c r="U39" i="1"/>
  <c r="V39" i="1" s="1"/>
  <c r="V269" i="1"/>
  <c r="X269" i="1"/>
  <c r="Y268" i="1"/>
  <c r="AB268" i="1"/>
  <c r="Y57" i="1"/>
  <c r="AB245" i="1"/>
  <c r="Y245" i="1"/>
  <c r="AB194" i="1"/>
  <c r="Y194" i="1"/>
  <c r="AB37" i="1"/>
  <c r="Y37" i="1"/>
  <c r="X36" i="1"/>
  <c r="L129" i="1"/>
  <c r="M110" i="1"/>
  <c r="R94" i="1"/>
  <c r="S94" i="1" s="1"/>
  <c r="S95" i="1"/>
  <c r="AB18" i="1"/>
  <c r="Y18" i="1"/>
  <c r="X17" i="1"/>
  <c r="V272" i="1"/>
  <c r="X272" i="1"/>
  <c r="X11" i="1"/>
  <c r="AB12" i="1"/>
  <c r="Y12" i="1"/>
  <c r="V161" i="1"/>
  <c r="X161" i="1"/>
  <c r="X159" i="1" s="1"/>
  <c r="Y79" i="1"/>
  <c r="AB79" i="1"/>
  <c r="AB160" i="1"/>
  <c r="Y160" i="1"/>
  <c r="V25" i="1"/>
  <c r="U24" i="1"/>
  <c r="X25" i="1"/>
  <c r="AB125" i="1"/>
  <c r="Y125" i="1"/>
  <c r="U214" i="1"/>
  <c r="V214" i="1" s="1"/>
  <c r="AB19" i="1"/>
  <c r="Y19" i="1"/>
  <c r="AB196" i="1"/>
  <c r="Y196" i="1"/>
  <c r="AB242" i="1"/>
  <c r="Y242" i="1"/>
  <c r="X149" i="1"/>
  <c r="Y150" i="1"/>
  <c r="AB150" i="1"/>
  <c r="V176" i="1"/>
  <c r="X176" i="1"/>
  <c r="AB29" i="1"/>
  <c r="Y29" i="1"/>
  <c r="Y181" i="1"/>
  <c r="AB181" i="1"/>
  <c r="AB62" i="1"/>
  <c r="Y62" i="1"/>
  <c r="AB118" i="1"/>
  <c r="Y118" i="1"/>
  <c r="V11" i="1"/>
  <c r="AB234" i="1"/>
  <c r="Y234" i="1"/>
  <c r="Y21" i="1"/>
  <c r="X20" i="1"/>
  <c r="U159" i="1"/>
  <c r="X74" i="1"/>
  <c r="V74" i="1"/>
  <c r="AB34" i="1"/>
  <c r="Y34" i="1"/>
  <c r="AB247" i="1"/>
  <c r="Y247" i="1"/>
  <c r="AB251" i="1"/>
  <c r="Y251" i="1"/>
  <c r="AB236" i="1"/>
  <c r="Y236" i="1"/>
  <c r="X235" i="1"/>
  <c r="Y215" i="1"/>
  <c r="AB215" i="1"/>
  <c r="AB163" i="1"/>
  <c r="Y163" i="1"/>
  <c r="V149" i="1"/>
  <c r="U148" i="1"/>
  <c r="V148" i="1" s="1"/>
  <c r="Y33" i="1"/>
  <c r="AB33" i="1"/>
  <c r="V97" i="1"/>
  <c r="X97" i="1"/>
  <c r="U95" i="1"/>
  <c r="U28" i="1"/>
  <c r="V28" i="1" s="1"/>
  <c r="V152" i="1"/>
  <c r="X152" i="1"/>
  <c r="Y27" i="1"/>
  <c r="AB27" i="1"/>
  <c r="R10" i="1"/>
  <c r="S10" i="1" s="1"/>
  <c r="S228" i="1"/>
  <c r="V147" i="1"/>
  <c r="X147" i="1"/>
  <c r="AB209" i="1"/>
  <c r="Y209" i="1"/>
  <c r="AB241" i="1"/>
  <c r="Y241" i="1"/>
  <c r="X239" i="1"/>
  <c r="X225" i="1"/>
  <c r="V116" i="1"/>
  <c r="X116" i="1"/>
  <c r="X56" i="1"/>
  <c r="V56" i="1"/>
  <c r="V16" i="1"/>
  <c r="X16" i="1"/>
  <c r="X205" i="1"/>
  <c r="AB281" i="1"/>
  <c r="Y281" i="1"/>
  <c r="X80" i="1"/>
  <c r="V80" i="1"/>
  <c r="AB81" i="1"/>
  <c r="Y81" i="1"/>
  <c r="V124" i="1"/>
  <c r="X124" i="1"/>
  <c r="Y124" i="1" s="1"/>
  <c r="AB26" i="1"/>
  <c r="Y26" i="1"/>
  <c r="Y59" i="1"/>
  <c r="AB59" i="1"/>
  <c r="AB72" i="1"/>
  <c r="Y72" i="1"/>
  <c r="U111" i="1"/>
  <c r="V111" i="1" s="1"/>
  <c r="X112" i="1"/>
  <c r="V112" i="1"/>
  <c r="Y192" i="1"/>
  <c r="AB192" i="1"/>
  <c r="U243" i="1"/>
  <c r="V243" i="1" s="1"/>
  <c r="V140" i="1"/>
  <c r="X140" i="1"/>
  <c r="U68" i="1"/>
  <c r="V68" i="1" s="1"/>
  <c r="Y213" i="1"/>
  <c r="AB213" i="1"/>
  <c r="Y174" i="1"/>
  <c r="AB174" i="1"/>
  <c r="X259" i="1"/>
  <c r="V259" i="1"/>
  <c r="X230" i="1"/>
  <c r="V230" i="1"/>
  <c r="U228" i="1"/>
  <c r="AB119" i="1"/>
  <c r="Y119" i="1"/>
  <c r="X123" i="1"/>
  <c r="V123" i="1"/>
  <c r="M280" i="1"/>
  <c r="L282" i="1"/>
  <c r="M282" i="1" s="1"/>
  <c r="AB13" i="1"/>
  <c r="Y13" i="1"/>
  <c r="AB275" i="1"/>
  <c r="Y275" i="1"/>
  <c r="X274" i="1"/>
  <c r="Y233" i="1"/>
  <c r="AB233" i="1"/>
  <c r="Y267" i="1"/>
  <c r="AB267" i="1"/>
  <c r="X266" i="1"/>
  <c r="R171" i="1"/>
  <c r="U10" i="1" l="1"/>
  <c r="V10" i="1" s="1"/>
  <c r="X214" i="1"/>
  <c r="X135" i="1"/>
  <c r="AB135" i="1" s="1"/>
  <c r="R223" i="1"/>
  <c r="S223" i="1" s="1"/>
  <c r="Y108" i="1"/>
  <c r="AB108" i="1"/>
  <c r="X105" i="1"/>
  <c r="AB229" i="1"/>
  <c r="Y229" i="1"/>
  <c r="Y77" i="1"/>
  <c r="AB77" i="1"/>
  <c r="AB92" i="1"/>
  <c r="Y92" i="1"/>
  <c r="X91" i="1"/>
  <c r="Y78" i="1"/>
  <c r="AB78" i="1"/>
  <c r="Y85" i="1"/>
  <c r="AB85" i="1"/>
  <c r="Y71" i="1"/>
  <c r="AB71" i="1"/>
  <c r="AB200" i="1"/>
  <c r="Y200" i="1"/>
  <c r="AB216" i="1"/>
  <c r="Y216" i="1"/>
  <c r="Y198" i="1"/>
  <c r="AB198" i="1"/>
  <c r="Y116" i="1"/>
  <c r="AB116" i="1"/>
  <c r="AB179" i="1"/>
  <c r="Y179" i="1"/>
  <c r="X177" i="1"/>
  <c r="X171" i="1" s="1"/>
  <c r="Y191" i="1"/>
  <c r="AB191" i="1"/>
  <c r="V211" i="1"/>
  <c r="U204" i="1"/>
  <c r="V204" i="1" s="1"/>
  <c r="Y36" i="1"/>
  <c r="AB36" i="1"/>
  <c r="V24" i="1"/>
  <c r="U23" i="1"/>
  <c r="V23" i="1" s="1"/>
  <c r="X101" i="1"/>
  <c r="AB102" i="1"/>
  <c r="Y102" i="1"/>
  <c r="S171" i="1"/>
  <c r="R155" i="1"/>
  <c r="Y239" i="1"/>
  <c r="AB239" i="1"/>
  <c r="AB17" i="1"/>
  <c r="Y17" i="1"/>
  <c r="Y180" i="1"/>
  <c r="AB180" i="1"/>
  <c r="R44" i="1"/>
  <c r="R110" i="1" s="1"/>
  <c r="S45" i="1"/>
  <c r="S44" i="1" s="1"/>
  <c r="Y153" i="1"/>
  <c r="AB153" i="1"/>
  <c r="Y230" i="1"/>
  <c r="AB230" i="1"/>
  <c r="X228" i="1"/>
  <c r="Y25" i="1"/>
  <c r="X24" i="1"/>
  <c r="AB25" i="1"/>
  <c r="Y15" i="1"/>
  <c r="X14" i="1"/>
  <c r="X10" i="1" s="1"/>
  <c r="AB15" i="1"/>
  <c r="AB225" i="1"/>
  <c r="Y225" i="1"/>
  <c r="Y80" i="1"/>
  <c r="AB80" i="1"/>
  <c r="AB152" i="1"/>
  <c r="Y152" i="1"/>
  <c r="Y159" i="1"/>
  <c r="AB159" i="1"/>
  <c r="Y266" i="1"/>
  <c r="AB266" i="1"/>
  <c r="U171" i="1"/>
  <c r="V171" i="1" s="1"/>
  <c r="Y74" i="1"/>
  <c r="AB74" i="1"/>
  <c r="Y263" i="1"/>
  <c r="AB263" i="1"/>
  <c r="AB41" i="1"/>
  <c r="Y41" i="1"/>
  <c r="X39" i="1"/>
  <c r="AB214" i="1"/>
  <c r="Y214" i="1"/>
  <c r="Y31" i="1"/>
  <c r="AB31" i="1"/>
  <c r="Y138" i="1"/>
  <c r="AB138" i="1"/>
  <c r="Y7" i="1"/>
  <c r="AB7" i="1"/>
  <c r="X260" i="1"/>
  <c r="AB261" i="1"/>
  <c r="Y261" i="1"/>
  <c r="S23" i="1"/>
  <c r="Y259" i="1"/>
  <c r="AB259" i="1"/>
  <c r="Y123" i="1"/>
  <c r="AB123" i="1"/>
  <c r="AB53" i="1"/>
  <c r="Y53" i="1"/>
  <c r="X52" i="1"/>
  <c r="X114" i="1"/>
  <c r="Y115" i="1"/>
  <c r="AB115" i="1"/>
  <c r="AB32" i="1"/>
  <c r="Y32" i="1"/>
  <c r="AB58" i="1"/>
  <c r="Y58" i="1"/>
  <c r="X68" i="1"/>
  <c r="O129" i="1"/>
  <c r="P110" i="1"/>
  <c r="Y190" i="1"/>
  <c r="AB190" i="1"/>
  <c r="X111" i="1"/>
  <c r="AB112" i="1"/>
  <c r="Y112" i="1"/>
  <c r="V95" i="1"/>
  <c r="U94" i="1"/>
  <c r="V94" i="1" s="1"/>
  <c r="Y140" i="1"/>
  <c r="AB140" i="1"/>
  <c r="Y205" i="1"/>
  <c r="AB205" i="1"/>
  <c r="AB97" i="1"/>
  <c r="Y97" i="1"/>
  <c r="X95" i="1"/>
  <c r="X28" i="1"/>
  <c r="AB161" i="1"/>
  <c r="Y161" i="1"/>
  <c r="U6" i="1"/>
  <c r="V6" i="1" s="1"/>
  <c r="AB109" i="1"/>
  <c r="Y109" i="1"/>
  <c r="V52" i="1"/>
  <c r="U45" i="1"/>
  <c r="AB144" i="1"/>
  <c r="Y144" i="1"/>
  <c r="Y249" i="1"/>
  <c r="AB249" i="1"/>
  <c r="Y56" i="1"/>
  <c r="AB56" i="1"/>
  <c r="AB212" i="1"/>
  <c r="Y212" i="1"/>
  <c r="X211" i="1"/>
  <c r="X204" i="1" s="1"/>
  <c r="Y149" i="1"/>
  <c r="X148" i="1"/>
  <c r="AB149" i="1"/>
  <c r="AB272" i="1"/>
  <c r="Y272" i="1"/>
  <c r="V159" i="1"/>
  <c r="Y235" i="1"/>
  <c r="AB235" i="1"/>
  <c r="Y20" i="1"/>
  <c r="AB20" i="1"/>
  <c r="Y16" i="1"/>
  <c r="AB16" i="1"/>
  <c r="AB147" i="1"/>
  <c r="Y147" i="1"/>
  <c r="AB217" i="1"/>
  <c r="Y217" i="1"/>
  <c r="Y246" i="1"/>
  <c r="AB246" i="1"/>
  <c r="U252" i="1"/>
  <c r="V252" i="1" s="1"/>
  <c r="Y11" i="1"/>
  <c r="AB11" i="1"/>
  <c r="Y135" i="1"/>
  <c r="Y274" i="1"/>
  <c r="AB274" i="1"/>
  <c r="V228" i="1"/>
  <c r="Y176" i="1"/>
  <c r="AB176" i="1"/>
  <c r="L283" i="1"/>
  <c r="M129" i="1"/>
  <c r="Y269" i="1"/>
  <c r="AB269" i="1"/>
  <c r="O282" i="1"/>
  <c r="P280" i="1"/>
  <c r="AB55" i="1"/>
  <c r="Y55" i="1"/>
  <c r="J283" i="1"/>
  <c r="AB219" i="1"/>
  <c r="Y219" i="1"/>
  <c r="X243" i="1"/>
  <c r="Y105" i="1" l="1"/>
  <c r="AB105" i="1"/>
  <c r="X6" i="1"/>
  <c r="Y91" i="1"/>
  <c r="AB91" i="1"/>
  <c r="U223" i="1"/>
  <c r="V223" i="1" s="1"/>
  <c r="Y204" i="1"/>
  <c r="AB204" i="1"/>
  <c r="S110" i="1"/>
  <c r="R129" i="1"/>
  <c r="X45" i="1"/>
  <c r="AB52" i="1"/>
  <c r="Y52" i="1"/>
  <c r="Y39" i="1"/>
  <c r="AB39" i="1"/>
  <c r="X94" i="1"/>
  <c r="Y95" i="1"/>
  <c r="AB95" i="1"/>
  <c r="O283" i="1"/>
  <c r="P129" i="1"/>
  <c r="Y111" i="1"/>
  <c r="AB111" i="1"/>
  <c r="Y68" i="1"/>
  <c r="AB68" i="1"/>
  <c r="Y177" i="1"/>
  <c r="AB177" i="1"/>
  <c r="Y28" i="1"/>
  <c r="AB28" i="1"/>
  <c r="Y260" i="1"/>
  <c r="AB260" i="1"/>
  <c r="AB228" i="1"/>
  <c r="Y228" i="1"/>
  <c r="Y101" i="1"/>
  <c r="AB101" i="1"/>
  <c r="S155" i="1"/>
  <c r="R280" i="1"/>
  <c r="Y114" i="1"/>
  <c r="AB114" i="1"/>
  <c r="Y243" i="1"/>
  <c r="AB243" i="1"/>
  <c r="Y10" i="1"/>
  <c r="AB10" i="1"/>
  <c r="Y171" i="1"/>
  <c r="AB171" i="1"/>
  <c r="Y14" i="1"/>
  <c r="AB14" i="1"/>
  <c r="P282" i="1"/>
  <c r="Y148" i="1"/>
  <c r="AB148" i="1"/>
  <c r="Y211" i="1"/>
  <c r="AB211" i="1"/>
  <c r="M283" i="1"/>
  <c r="X155" i="1"/>
  <c r="Y24" i="1"/>
  <c r="X23" i="1"/>
  <c r="AB24" i="1"/>
  <c r="Y6" i="1"/>
  <c r="AB6" i="1"/>
  <c r="V45" i="1"/>
  <c r="U44" i="1"/>
  <c r="U155" i="1"/>
  <c r="X252" i="1"/>
  <c r="S280" i="1" l="1"/>
  <c r="R282" i="1"/>
  <c r="V155" i="1"/>
  <c r="U280" i="1"/>
  <c r="R283" i="1"/>
  <c r="S129" i="1"/>
  <c r="Y252" i="1"/>
  <c r="AB252" i="1"/>
  <c r="X44" i="1"/>
  <c r="X110" i="1" s="1"/>
  <c r="Y45" i="1"/>
  <c r="AB45" i="1"/>
  <c r="X223" i="1"/>
  <c r="V44" i="1"/>
  <c r="U110" i="1"/>
  <c r="Y23" i="1"/>
  <c r="AB23" i="1"/>
  <c r="P283" i="1"/>
  <c r="Y94" i="1"/>
  <c r="AB94" i="1"/>
  <c r="Y155" i="1"/>
  <c r="AB155" i="1"/>
  <c r="X129" i="1" l="1"/>
  <c r="Y110" i="1"/>
  <c r="AB110" i="1"/>
  <c r="Y223" i="1"/>
  <c r="AB223" i="1"/>
  <c r="X280" i="1"/>
  <c r="V280" i="1"/>
  <c r="U282" i="1"/>
  <c r="Y44" i="1"/>
  <c r="AB44" i="1"/>
  <c r="U129" i="1"/>
  <c r="V110" i="1"/>
  <c r="S282" i="1"/>
  <c r="S283" i="1"/>
  <c r="V282" i="1" l="1"/>
  <c r="U283" i="1"/>
  <c r="V129" i="1"/>
  <c r="Y280" i="1"/>
  <c r="X282" i="1"/>
  <c r="AB280" i="1"/>
  <c r="X283" i="1"/>
  <c r="Y129" i="1"/>
  <c r="AB129" i="1"/>
  <c r="Y283" i="1" l="1"/>
  <c r="AB283" i="1"/>
  <c r="Y282" i="1"/>
  <c r="AB282" i="1"/>
  <c r="V28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Sarmīte Mūze</author>
    <author>Baiba Kanča</author>
  </authors>
  <commentList>
    <comment ref="F43" authorId="0" shapeId="0" xr:uid="{EB2B0D67-1004-4226-A11B-5E2C510C91B1}">
      <text>
        <r>
          <rPr>
            <b/>
            <sz val="9"/>
            <color indexed="81"/>
            <rFont val="Tahoma"/>
            <family val="2"/>
            <charset val="186"/>
          </rPr>
          <t>Sarmīte Mūze:</t>
        </r>
        <r>
          <rPr>
            <sz val="9"/>
            <color indexed="81"/>
            <rFont val="Tahoma"/>
            <family val="2"/>
            <charset val="186"/>
          </rPr>
          <t xml:space="preserve">
76'000 mežaudze vai koki; 46'000+73'000 Kadaga.</t>
        </r>
      </text>
    </comment>
    <comment ref="I43" authorId="0" shapeId="0" xr:uid="{704D667A-595A-40A9-9606-7B3F2A20EED1}">
      <text>
        <r>
          <rPr>
            <b/>
            <sz val="9"/>
            <color indexed="81"/>
            <rFont val="Tahoma"/>
            <family val="2"/>
            <charset val="186"/>
          </rPr>
          <t>Sarmīte Mūze:</t>
        </r>
        <r>
          <rPr>
            <sz val="9"/>
            <color indexed="81"/>
            <rFont val="Tahoma"/>
            <family val="2"/>
            <charset val="186"/>
          </rPr>
          <t xml:space="preserve">
76'000 mežaudze vai koki; 46'000+73'000 Kadaga.</t>
        </r>
      </text>
    </comment>
    <comment ref="L43" authorId="0" shapeId="0" xr:uid="{EA63D0D9-3E12-4752-BEAD-DF98846D34FF}">
      <text>
        <r>
          <rPr>
            <b/>
            <sz val="9"/>
            <color indexed="81"/>
            <rFont val="Tahoma"/>
            <family val="2"/>
            <charset val="186"/>
          </rPr>
          <t>Sarmīte Mūze:</t>
        </r>
        <r>
          <rPr>
            <sz val="9"/>
            <color indexed="81"/>
            <rFont val="Tahoma"/>
            <family val="2"/>
            <charset val="186"/>
          </rPr>
          <t xml:space="preserve">
76'000 mežaudze vai koki; 46'000+73'000 Kadaga.</t>
        </r>
      </text>
    </comment>
    <comment ref="O43" authorId="0" shapeId="0" xr:uid="{05066383-54F2-4196-ACBF-F96E32D1F902}">
      <text>
        <r>
          <rPr>
            <b/>
            <sz val="9"/>
            <color indexed="81"/>
            <rFont val="Tahoma"/>
            <family val="2"/>
            <charset val="186"/>
          </rPr>
          <t>Sarmīte Mūze:</t>
        </r>
        <r>
          <rPr>
            <sz val="9"/>
            <color indexed="81"/>
            <rFont val="Tahoma"/>
            <family val="2"/>
            <charset val="186"/>
          </rPr>
          <t xml:space="preserve">
76'000 mežaudze vai koki; 46'000+73'000 Kadaga.</t>
        </r>
      </text>
    </comment>
    <comment ref="R43" authorId="0" shapeId="0" xr:uid="{F877C55C-AE2B-47E2-A55C-85DB00089E2A}">
      <text>
        <r>
          <rPr>
            <b/>
            <sz val="9"/>
            <color indexed="81"/>
            <rFont val="Tahoma"/>
            <family val="2"/>
            <charset val="186"/>
          </rPr>
          <t>Sarmīte Mūze:</t>
        </r>
        <r>
          <rPr>
            <sz val="9"/>
            <color indexed="81"/>
            <rFont val="Tahoma"/>
            <family val="2"/>
            <charset val="186"/>
          </rPr>
          <t xml:space="preserve">
76'000 mežaudze vai koki; 46'000+73'000 Kadaga.</t>
        </r>
      </text>
    </comment>
    <comment ref="U43" authorId="0" shapeId="0" xr:uid="{2E23B4AE-FA58-4229-A297-C5BBFF6CEBB2}">
      <text>
        <r>
          <rPr>
            <b/>
            <sz val="9"/>
            <color indexed="81"/>
            <rFont val="Tahoma"/>
            <family val="2"/>
            <charset val="186"/>
          </rPr>
          <t>Sarmīte Mūze:</t>
        </r>
        <r>
          <rPr>
            <sz val="9"/>
            <color indexed="81"/>
            <rFont val="Tahoma"/>
            <family val="2"/>
            <charset val="186"/>
          </rPr>
          <t xml:space="preserve">
76'000 mežaudze vai koki; 46'000+73'000 Kadaga.</t>
        </r>
      </text>
    </comment>
    <comment ref="X43" authorId="0" shapeId="0" xr:uid="{9122B8EB-C4BF-484D-8FDB-A28F89A119D6}">
      <text>
        <r>
          <rPr>
            <b/>
            <sz val="9"/>
            <color indexed="81"/>
            <rFont val="Tahoma"/>
            <family val="2"/>
            <charset val="186"/>
          </rPr>
          <t>Sarmīte Mūze:</t>
        </r>
        <r>
          <rPr>
            <sz val="9"/>
            <color indexed="81"/>
            <rFont val="Tahoma"/>
            <family val="2"/>
            <charset val="186"/>
          </rPr>
          <t xml:space="preserve">
76'000 mežaudze vai koki; 46'000+73'000 Kadaga.</t>
        </r>
      </text>
    </comment>
    <comment ref="AA67" authorId="0" shapeId="0" xr:uid="{8FCFEB79-4C6E-43F8-A43E-D74E00A4CFDA}">
      <text>
        <r>
          <rPr>
            <b/>
            <sz val="9"/>
            <color indexed="81"/>
            <rFont val="Tahoma"/>
            <family val="2"/>
            <charset val="186"/>
          </rPr>
          <t>Sarmīte Mūze:</t>
        </r>
        <r>
          <rPr>
            <sz val="9"/>
            <color indexed="81"/>
            <rFont val="Tahoma"/>
            <family val="2"/>
            <charset val="186"/>
          </rPr>
          <t xml:space="preserve">
18.6.3.18. ES fin EUR 1756(0931); 18.6.3.20.ES fin EUR 2350 (0930);</t>
        </r>
      </text>
    </comment>
    <comment ref="AA180" authorId="0" shapeId="0" xr:uid="{6B7D1E6B-9F68-41C1-B3CD-FE439D9C432A}">
      <text>
        <r>
          <rPr>
            <b/>
            <sz val="9"/>
            <color indexed="81"/>
            <rFont val="Tahoma"/>
            <family val="2"/>
            <charset val="186"/>
          </rPr>
          <t>Sarmīte Mūze:</t>
        </r>
        <r>
          <rPr>
            <sz val="9"/>
            <color indexed="81"/>
            <rFont val="Tahoma"/>
            <family val="2"/>
            <charset val="186"/>
          </rPr>
          <t xml:space="preserve">
0643; 0645; 0648 izpilde-CKS dotācija 7230- samaksātais no Domes</t>
        </r>
      </text>
    </comment>
    <comment ref="D270" authorId="1" shapeId="0" xr:uid="{D6F9598F-3E1C-431C-91A4-368A34EC072E}">
      <text>
        <r>
          <rPr>
            <b/>
            <sz val="9"/>
            <color indexed="81"/>
            <rFont val="Tahoma"/>
            <family val="2"/>
            <charset val="186"/>
          </rPr>
          <t>Baiba Kanča:</t>
        </r>
        <r>
          <rPr>
            <sz val="9"/>
            <color indexed="81"/>
            <rFont val="Tahoma"/>
            <family val="2"/>
            <charset val="186"/>
          </rPr>
          <t xml:space="preserve">
Pārsaukt: Rezerve skolēnu līdzfinansējumam dalībai konkursos.</t>
        </r>
      </text>
    </comment>
    <comment ref="E273" authorId="0" shapeId="0" xr:uid="{96D493AE-1B81-43BF-BA5B-3DDAFAD8F9A8}">
      <text>
        <r>
          <rPr>
            <b/>
            <sz val="9"/>
            <color indexed="81"/>
            <rFont val="Tahoma"/>
            <family val="2"/>
            <charset val="186"/>
          </rPr>
          <t>Sarmīte Mūze:</t>
        </r>
        <r>
          <rPr>
            <sz val="9"/>
            <color indexed="81"/>
            <rFont val="Tahoma"/>
            <family val="2"/>
            <charset val="186"/>
          </rPr>
          <t xml:space="preserve">
Šis ir jāizņem no 0930 un jāliek 0982 algā.
</t>
        </r>
      </text>
    </comment>
    <comment ref="F273" authorId="0" shapeId="0" xr:uid="{2FFBDBB6-BCEE-4E72-A684-6D0C750B686E}">
      <text>
        <r>
          <rPr>
            <b/>
            <sz val="9"/>
            <color indexed="81"/>
            <rFont val="Tahoma"/>
            <family val="2"/>
            <charset val="186"/>
          </rPr>
          <t>Sarmīte Mūze:</t>
        </r>
        <r>
          <rPr>
            <sz val="9"/>
            <color indexed="81"/>
            <rFont val="Tahoma"/>
            <family val="2"/>
            <charset val="186"/>
          </rPr>
          <t xml:space="preserve">
Šis ir jāizņem no 0930 un jāliek 0982 algā.
</t>
        </r>
      </text>
    </comment>
    <comment ref="I273" authorId="0" shapeId="0" xr:uid="{8742A379-8EB2-4C52-848D-22A3234E27FE}">
      <text>
        <r>
          <rPr>
            <b/>
            <sz val="9"/>
            <color indexed="81"/>
            <rFont val="Tahoma"/>
            <family val="2"/>
            <charset val="186"/>
          </rPr>
          <t>Sarmīte Mūze:</t>
        </r>
        <r>
          <rPr>
            <sz val="9"/>
            <color indexed="81"/>
            <rFont val="Tahoma"/>
            <family val="2"/>
            <charset val="186"/>
          </rPr>
          <t xml:space="preserve">
Šis ir jāizņem no 0930 un jāliek 0982 algā.
</t>
        </r>
      </text>
    </comment>
    <comment ref="L273" authorId="0" shapeId="0" xr:uid="{1BF2ED8B-CF23-4D2B-8E25-5A43B1B48E70}">
      <text>
        <r>
          <rPr>
            <b/>
            <sz val="9"/>
            <color indexed="81"/>
            <rFont val="Tahoma"/>
            <family val="2"/>
            <charset val="186"/>
          </rPr>
          <t>Sarmīte Mūze:</t>
        </r>
        <r>
          <rPr>
            <sz val="9"/>
            <color indexed="81"/>
            <rFont val="Tahoma"/>
            <family val="2"/>
            <charset val="186"/>
          </rPr>
          <t xml:space="preserve">
Šis ir jāizņem no 0930 un jāliek 0982 algā.
</t>
        </r>
      </text>
    </comment>
    <comment ref="O273" authorId="0" shapeId="0" xr:uid="{DF37DBF7-2994-4BF7-8BED-200480CE0376}">
      <text>
        <r>
          <rPr>
            <b/>
            <sz val="9"/>
            <color indexed="81"/>
            <rFont val="Tahoma"/>
            <family val="2"/>
            <charset val="186"/>
          </rPr>
          <t>Sarmīte Mūze:</t>
        </r>
        <r>
          <rPr>
            <sz val="9"/>
            <color indexed="81"/>
            <rFont val="Tahoma"/>
            <family val="2"/>
            <charset val="186"/>
          </rPr>
          <t xml:space="preserve">
Šis ir jāizņem no 0930 un jāliek 0982 algā.
</t>
        </r>
      </text>
    </comment>
    <comment ref="R273" authorId="0" shapeId="0" xr:uid="{DB30A726-A8A1-4DA0-845E-AD4773536579}">
      <text>
        <r>
          <rPr>
            <b/>
            <sz val="9"/>
            <color indexed="81"/>
            <rFont val="Tahoma"/>
            <family val="2"/>
            <charset val="186"/>
          </rPr>
          <t>Sarmīte Mūze:</t>
        </r>
        <r>
          <rPr>
            <sz val="9"/>
            <color indexed="81"/>
            <rFont val="Tahoma"/>
            <family val="2"/>
            <charset val="186"/>
          </rPr>
          <t xml:space="preserve">
Šis ir jāizņem no 0930 un jāliek 0982 algā.
</t>
        </r>
      </text>
    </comment>
    <comment ref="U273" authorId="0" shapeId="0" xr:uid="{3E53B565-71DA-4F27-93EF-FF39A38666B5}">
      <text>
        <r>
          <rPr>
            <b/>
            <sz val="9"/>
            <color indexed="81"/>
            <rFont val="Tahoma"/>
            <family val="2"/>
            <charset val="186"/>
          </rPr>
          <t>Sarmīte Mūze:</t>
        </r>
        <r>
          <rPr>
            <sz val="9"/>
            <color indexed="81"/>
            <rFont val="Tahoma"/>
            <family val="2"/>
            <charset val="186"/>
          </rPr>
          <t xml:space="preserve">
Šis ir jāizņem no 0930 un jāliek 0982 algā.
</t>
        </r>
      </text>
    </comment>
    <comment ref="X273" authorId="0" shapeId="0" xr:uid="{E67AE2D1-4EF0-4D2D-BA3E-CDE7069F6E33}">
      <text>
        <r>
          <rPr>
            <b/>
            <sz val="9"/>
            <color indexed="81"/>
            <rFont val="Tahoma"/>
            <family val="2"/>
            <charset val="186"/>
          </rPr>
          <t>Sarmīte Mūze:</t>
        </r>
        <r>
          <rPr>
            <sz val="9"/>
            <color indexed="81"/>
            <rFont val="Tahoma"/>
            <family val="2"/>
            <charset val="186"/>
          </rPr>
          <t xml:space="preserve">
Šis ir jāizņem no 0930 un jāliek 0982 algā.
</t>
        </r>
      </text>
    </comment>
    <comment ref="AA273" authorId="0" shapeId="0" xr:uid="{14E3F620-8670-4A90-B1EB-D9EF8B26CEAD}">
      <text>
        <r>
          <rPr>
            <b/>
            <sz val="9"/>
            <color indexed="81"/>
            <rFont val="Tahoma"/>
            <family val="2"/>
            <charset val="186"/>
          </rPr>
          <t>Sarmīte Mūze:</t>
        </r>
        <r>
          <rPr>
            <sz val="9"/>
            <color indexed="81"/>
            <rFont val="Tahoma"/>
            <family val="2"/>
            <charset val="186"/>
          </rPr>
          <t xml:space="preserve">
Šis ir jāizņem no 0930 un jāliek 0982 algā.
</t>
        </r>
      </text>
    </comment>
  </commentList>
</comments>
</file>

<file path=xl/sharedStrings.xml><?xml version="1.0" encoding="utf-8"?>
<sst xmlns="http://schemas.openxmlformats.org/spreadsheetml/2006/main" count="1024" uniqueCount="786">
  <si>
    <t>Ādažu pašvaldības apvienotais budžets</t>
  </si>
  <si>
    <t>2023. gads</t>
  </si>
  <si>
    <t xml:space="preserve">Ieņēmumu daļa </t>
  </si>
  <si>
    <t xml:space="preserve">N.p.k. </t>
  </si>
  <si>
    <t>Sadaļa</t>
  </si>
  <si>
    <t>CKS</t>
  </si>
  <si>
    <t>2023. gada budžets</t>
  </si>
  <si>
    <t>23.03.2023. grozījumi</t>
  </si>
  <si>
    <t>Izmaiņa 23.03.2023. - 26.01.2023.</t>
  </si>
  <si>
    <t xml:space="preserve">Komentāri </t>
  </si>
  <si>
    <t>24.05.2023. grozījumi</t>
  </si>
  <si>
    <t>Izmaiņa 24.05.2023. -23.03.2023.</t>
  </si>
  <si>
    <t>28.06.2023. grozījumi</t>
  </si>
  <si>
    <t>Izmaiņa 28.06.2023. -24.05.2023.</t>
  </si>
  <si>
    <t>23.08.2023. grozījumi</t>
  </si>
  <si>
    <t>Izmaiņa 23.08.2023. -28.06.2023.</t>
  </si>
  <si>
    <t>26.10.2023. grozījumi</t>
  </si>
  <si>
    <t>Izmaiņa 26.10.2023. -23.08.2023.</t>
  </si>
  <si>
    <t>28.12.2023. grozījumi</t>
  </si>
  <si>
    <t>Izmaiņa 28.12.2023. -26.10.2023.</t>
  </si>
  <si>
    <t>25.01.2024. grozījumi</t>
  </si>
  <si>
    <t>Izmaiņa 25.01.2024. - 28.12.2023.</t>
  </si>
  <si>
    <t>31.12.2023. fakts</t>
  </si>
  <si>
    <t>31.12.2023. fakts (%) pret 2023. plānu</t>
  </si>
  <si>
    <t>Komentāri par izpildi</t>
  </si>
  <si>
    <t>1., 2., 3., 4., 5.1.</t>
  </si>
  <si>
    <t>Nodokļu ieņēmumi</t>
  </si>
  <si>
    <t>1.1.1.0.</t>
  </si>
  <si>
    <t>1.</t>
  </si>
  <si>
    <t>Iedzīvotāju ienākuma nodoklis</t>
  </si>
  <si>
    <t>PB</t>
  </si>
  <si>
    <t>01.1.1.2.</t>
  </si>
  <si>
    <t>1.1.</t>
  </si>
  <si>
    <t>pārskata gada</t>
  </si>
  <si>
    <t>Precizēta summa apstiprinātajos MK Nr.191 11.04.2023</t>
  </si>
  <si>
    <t>Pēc faktiskās izpildes lielāki IIN ieņēmumi</t>
  </si>
  <si>
    <t>Pēc faktiski prognozētā lielāki IIN ieņēmumi</t>
  </si>
  <si>
    <t>Pēc faktiski saņemtā lielāki IIN ieņēmumi</t>
  </si>
  <si>
    <t>1.2.</t>
  </si>
  <si>
    <t>saņemts no Valsts kases sadales konta iepriekšējā gada nesadalītais iedzīvotāju ienākuma nodokļa atlikums</t>
  </si>
  <si>
    <t>1., 2., 3., 4.</t>
  </si>
  <si>
    <t>Nekustamā īpašuma nodokļu ieņēmumi</t>
  </si>
  <si>
    <t>Pamatojoties uz MK noteikumiem Nr.262 "Nekustamā īpašuma nodokļa ieņēmuma prognozes noteikšanas kārtība" 8.punktu, pašvaldība prognozi  nākamajam taksācijas gadam nosaka neņemot vērā nodokļa likmi, kas noteikta saskaņā ar pašvaldības saistošajiem noteikumiem.</t>
  </si>
  <si>
    <t>4.1.1.0.</t>
  </si>
  <si>
    <t>2.</t>
  </si>
  <si>
    <t>Nekustamā īpašuma nodoklis par zemi</t>
  </si>
  <si>
    <t>Nodokļa  palielinājumu veido Saistošajos noteikumos Nr.37/2021 noteiktās likmes:</t>
  </si>
  <si>
    <t>04.1.1.1.</t>
  </si>
  <si>
    <t>2.1.</t>
  </si>
  <si>
    <t>1.ja nav deklarēta persona ēkā  - 1.5%;</t>
  </si>
  <si>
    <t>04.1.1.2.</t>
  </si>
  <si>
    <t>2.2.</t>
  </si>
  <si>
    <t>iepriekšējo gadu parādi</t>
  </si>
  <si>
    <t>2.ja deklarēta cita persona - 0.4%;</t>
  </si>
  <si>
    <t>4.1.2.0.</t>
  </si>
  <si>
    <t>3.</t>
  </si>
  <si>
    <t>Nekustamā īpašuma nodoklis par ēkām</t>
  </si>
  <si>
    <t>3.katru dienu skatāmies PMLP datus un veicam pārrēķinus, ja tas maina nodokļa likmi.</t>
  </si>
  <si>
    <t>04.1.2.1.</t>
  </si>
  <si>
    <t>3.1.</t>
  </si>
  <si>
    <t xml:space="preserve">pārskata gada </t>
  </si>
  <si>
    <t>04.1.2.2.</t>
  </si>
  <si>
    <t>3.2.</t>
  </si>
  <si>
    <t>4.1.3.0.</t>
  </si>
  <si>
    <t>4.</t>
  </si>
  <si>
    <t>Nekustamā īpašuma nodoklis par mājokļiem un inženierbūvēm</t>
  </si>
  <si>
    <t>04.1.3.1.</t>
  </si>
  <si>
    <t>4.1.</t>
  </si>
  <si>
    <t>04.1.3.2.</t>
  </si>
  <si>
    <t>4.2.</t>
  </si>
  <si>
    <t>5.</t>
  </si>
  <si>
    <t>Nodokļi un maksājumi par tiesībām lietot atsevišķas preces</t>
  </si>
  <si>
    <t>5.4.1.0.</t>
  </si>
  <si>
    <t>5.1.</t>
  </si>
  <si>
    <t>Azartspēļu nodoklis</t>
  </si>
  <si>
    <t>5.5.3.1.</t>
  </si>
  <si>
    <t>Dabas resursu nodoklis</t>
  </si>
  <si>
    <t>Plāns, balstoties uz 2022.gada izpildi.</t>
  </si>
  <si>
    <t>9.0.0.0.</t>
  </si>
  <si>
    <t>6.</t>
  </si>
  <si>
    <t>Valsts (pašvaldību) un kancelejas nodevas</t>
  </si>
  <si>
    <t>Izpildenedaudz pārsniedz plānoto.</t>
  </si>
  <si>
    <t>9.4.0.0.</t>
  </si>
  <si>
    <t>6.1.</t>
  </si>
  <si>
    <t>valsts nodevas</t>
  </si>
  <si>
    <t>09.4.2.0.</t>
  </si>
  <si>
    <t>6.1.1.</t>
  </si>
  <si>
    <t>t.sk.: - par apliecinājumiem un citu funkciju pildīšanu bāriņtiesā</t>
  </si>
  <si>
    <t>09.4.5.0.</t>
  </si>
  <si>
    <t>6.1.2.</t>
  </si>
  <si>
    <t>t.sk.: - par civilstāvokļa aktu reģistrēšanu, grozīšanu un papildināšanu</t>
  </si>
  <si>
    <t>09.4.9.0.</t>
  </si>
  <si>
    <t>6.1.3.</t>
  </si>
  <si>
    <t>t.sk.: - pārējās valsts nodevas, kuras ieskaita pašvaldību budžetā</t>
  </si>
  <si>
    <t>9.5.0.0.</t>
  </si>
  <si>
    <t>6.2.</t>
  </si>
  <si>
    <t>pašvaldību nodevas</t>
  </si>
  <si>
    <t>09.5.1.1.</t>
  </si>
  <si>
    <t>6.2.1.</t>
  </si>
  <si>
    <t>t.sk.: - nodeva par domes izstrādāto oficiālo dokumentu saņemšanu</t>
  </si>
  <si>
    <t>09.5.1.2.</t>
  </si>
  <si>
    <t>6.2.2.</t>
  </si>
  <si>
    <t>t.sk.: - nodeva par izklaidējoša rakstura pasākumu sarīkošanu publiskās vietās</t>
  </si>
  <si>
    <t>09.5.1.4.</t>
  </si>
  <si>
    <t>6.2.3.</t>
  </si>
  <si>
    <t>t.sk.: - nodeva par tirdzniecību publiskās vietās</t>
  </si>
  <si>
    <t>09.5.1.5.</t>
  </si>
  <si>
    <t>6.2.4.</t>
  </si>
  <si>
    <t>t.sk.: - nodeva par dzīvnieku turēšanu</t>
  </si>
  <si>
    <t>09.5.1.7.</t>
  </si>
  <si>
    <t>6.2.5.</t>
  </si>
  <si>
    <t>t.sk.: - nodeva par reklāmas, afišu un sludinājumu izvietošanu publiskās vietās</t>
  </si>
  <si>
    <t>09.5.2.1.</t>
  </si>
  <si>
    <t>6.2.6.</t>
  </si>
  <si>
    <t>t.sk.: - nodeva par būvatļaujas saņemšanu</t>
  </si>
  <si>
    <t>09.5.2.9.</t>
  </si>
  <si>
    <t>6.2.7.</t>
  </si>
  <si>
    <t>t.sk.: - pārējās nodevas</t>
  </si>
  <si>
    <t>10.0.0.0.</t>
  </si>
  <si>
    <t>7.</t>
  </si>
  <si>
    <t>Naudas sodi un sankcijas</t>
  </si>
  <si>
    <t>Izpilde lielāka kā plānots</t>
  </si>
  <si>
    <t>10.1.4.0.</t>
  </si>
  <si>
    <t>7.1.</t>
  </si>
  <si>
    <t>10.1.5.0.</t>
  </si>
  <si>
    <t>7.2.</t>
  </si>
  <si>
    <t>Naudas sodi, ko uzliek par pārkāpumiem ceļu satiksmē</t>
  </si>
  <si>
    <t>12.0.0.0.</t>
  </si>
  <si>
    <t>8.</t>
  </si>
  <si>
    <t>Pārējie nenodokļu ieņēmumi</t>
  </si>
  <si>
    <t>12.3.9.9.; 8.3.9.0.</t>
  </si>
  <si>
    <t>8.1.</t>
  </si>
  <si>
    <t>citi nenodokļu ieņēmumi</t>
  </si>
  <si>
    <t>SIA "Ādažu Namsaimnieks" dividendes, novirzīt caur 0950 izdevumi vidussk.apkures sist.pāreja uz atjaunoj.energoresursiem, Domes lēmums Nr.215.</t>
  </si>
  <si>
    <t>Ieņēmumi no apdrošināšanas prēmijas tiltam Carnikavā. (Liek CKS pie sevis)</t>
  </si>
  <si>
    <t>EUR 143'000 apdrošināšana par tilta bojājumu.</t>
  </si>
  <si>
    <t>12.3.9.5.</t>
  </si>
  <si>
    <t>8.2.</t>
  </si>
  <si>
    <t>līgumsodi un procentu maksājumi par saistību neizpildi</t>
  </si>
  <si>
    <t>8.3.</t>
  </si>
  <si>
    <t>ieņēmumi no zvejas tiesību nomas</t>
  </si>
  <si>
    <t>13.1.0.0.</t>
  </si>
  <si>
    <t>9.</t>
  </si>
  <si>
    <t>Ieņēmumi no pašvaldības īpašuma pārdošana</t>
  </si>
  <si>
    <t xml:space="preserve">NĪ daļas kompetencē. </t>
  </si>
  <si>
    <t>10.</t>
  </si>
  <si>
    <t>Valsts budžeta transferti un projektu finansējums</t>
  </si>
  <si>
    <t>10.1.</t>
  </si>
  <si>
    <t>Valsts budžeta transferti</t>
  </si>
  <si>
    <t>Pedagogu atvaļinājumu MD vasarai.</t>
  </si>
  <si>
    <t>mērķdotācija</t>
  </si>
  <si>
    <t>18.6.2.3.</t>
  </si>
  <si>
    <t>10.1.1.</t>
  </si>
  <si>
    <t>dotācija mākslas skolas algām</t>
  </si>
  <si>
    <t>Precizēts MD apjoms</t>
  </si>
  <si>
    <t>Precizēts mērķdotāciju apjoms sept. - dec.</t>
  </si>
  <si>
    <t>18.6.2.4.</t>
  </si>
  <si>
    <t>10.1.2.</t>
  </si>
  <si>
    <t>dotācija sporta skolai</t>
  </si>
  <si>
    <t>Saskaņā ar IZM rīkojumu EUR 13'302 pedagogu zemākās likmes paaugstināšanai.</t>
  </si>
  <si>
    <t>18.6.2.10.; 18.6.2.11</t>
  </si>
  <si>
    <t>10.1.3.</t>
  </si>
  <si>
    <t>dotācija skolēnu ēdināšanai</t>
  </si>
  <si>
    <t>Ēdināšanas MD Valdorfskolai + 5'192</t>
  </si>
  <si>
    <t>18.6.2.5.</t>
  </si>
  <si>
    <t>10.1.4.</t>
  </si>
  <si>
    <t>dotācija mācību līdzekļiem</t>
  </si>
  <si>
    <t xml:space="preserve">  10.1.4.1.</t>
  </si>
  <si>
    <t>t.sk.: - dotācija mācību grāmatām</t>
  </si>
  <si>
    <t>Valsts mērķdotācija mācību līdzekļiem izglītības iestādēs.</t>
  </si>
  <si>
    <t>Dotācija mazākumtautību izglītojamajiem pamatizglītības un interešu izglītības programmu apguvei ĀVS.</t>
  </si>
  <si>
    <t xml:space="preserve">  10.1.4.2.</t>
  </si>
  <si>
    <t>t.sk.: - dotācija digitālajiem mācību līdzekļiem</t>
  </si>
  <si>
    <t>18.6.2.0.</t>
  </si>
  <si>
    <t>10.1.5.</t>
  </si>
  <si>
    <t>dotācijas pedagogu algām (vsk., PII)</t>
  </si>
  <si>
    <t>18.6.2.2.</t>
  </si>
  <si>
    <t xml:space="preserve">  10.1.5.1.</t>
  </si>
  <si>
    <t>t.sk.: - piecgadīgo bērnu apmācība</t>
  </si>
  <si>
    <t>18.6.2.1.</t>
  </si>
  <si>
    <t xml:space="preserve">  10.1.5.2.</t>
  </si>
  <si>
    <t>t.sk.: - skolotāju algām</t>
  </si>
  <si>
    <t xml:space="preserve">  10.1.5.3.</t>
  </si>
  <si>
    <t>t.sk.: - interešu izglītība</t>
  </si>
  <si>
    <t>18.6.2.9.</t>
  </si>
  <si>
    <t>10.1.6.</t>
  </si>
  <si>
    <t>dotācija māksliniecisko kolektīvu vadītāju atalgojumam</t>
  </si>
  <si>
    <t>18.6.3.1.</t>
  </si>
  <si>
    <t>10.1.7.</t>
  </si>
  <si>
    <t>Projekts "Skolas soma" Ādaži</t>
  </si>
  <si>
    <t>Precizēta summa pēc līguma noslēgšanas</t>
  </si>
  <si>
    <t>Projekts "Skolas soma" - 2023./2024.gadam jauns līgums EUR 14'485 (ĀVS); EUR 3'997 (CPS)</t>
  </si>
  <si>
    <t>10.1.8.</t>
  </si>
  <si>
    <t>Projekts "Skolas soma" Carnikava</t>
  </si>
  <si>
    <t>18.6.2.7.</t>
  </si>
  <si>
    <t>10.1.9.</t>
  </si>
  <si>
    <t>dotācija asistenta pakalpojumu nodrošināšanai</t>
  </si>
  <si>
    <t>Balstoties uz faktiski saņemto dotāciju</t>
  </si>
  <si>
    <t>10.1.10.</t>
  </si>
  <si>
    <t>dotācija sociālajiem darbiniekiem, kuri strādā ar ģimenēm un bērniem</t>
  </si>
  <si>
    <t>AM līdzfinansējums Mežaparka ceļa izbūvei</t>
  </si>
  <si>
    <t>0420 (18.6.2.9.)</t>
  </si>
  <si>
    <t>10.1.11.</t>
  </si>
  <si>
    <t>valsts dotācija ceļu uzturēšanai</t>
  </si>
  <si>
    <t>Precizēts mērķdotācijas pajoms</t>
  </si>
  <si>
    <t>Papildus piešķirtā MD</t>
  </si>
  <si>
    <r>
      <t xml:space="preserve">Valsts finansējums projektu konkursā "Atbalsts jaunatnes politikas īstenošanai vietējā līmenī" </t>
    </r>
    <r>
      <rPr>
        <sz val="11"/>
        <color theme="8" tint="-0.249977111117893"/>
        <rFont val="Times New Roman"/>
        <family val="1"/>
        <charset val="186"/>
      </rPr>
      <t>Projekts "Mobilais darbs ar jaunatni Ādažu novadā"</t>
    </r>
  </si>
  <si>
    <t>10.1.12.</t>
  </si>
  <si>
    <t>Dotācijas Ukrainas pilsoņu atbalstam</t>
  </si>
  <si>
    <t>Precizēta summa balstoties uz faktisko izpildi</t>
  </si>
  <si>
    <t>Pēc faktiskās izpildes.</t>
  </si>
  <si>
    <t>10.1.13.</t>
  </si>
  <si>
    <t>Dotācijas "Energoresursu atbalsts"</t>
  </si>
  <si>
    <t>CKS precizēts kods ieņēmumiem - valsts atbalsts iedzīvotājiem</t>
  </si>
  <si>
    <t>10.1.14.</t>
  </si>
  <si>
    <t>AM līdzfinansējums Vecštāles ceļa pārbūvei</t>
  </si>
  <si>
    <t>Saskaņā ar AM lēmumu</t>
  </si>
  <si>
    <t>0630</t>
  </si>
  <si>
    <t>18.6.2.9.;</t>
  </si>
  <si>
    <t>10.1.15.</t>
  </si>
  <si>
    <t>pārējās dotācijas</t>
  </si>
  <si>
    <t>1) Noslēgts līgums par valsts līdzfinansējumu Dziesmu svētku dalībniekiem EUR 5840,91.
2) Apstiprināts dotācijas apjoms vienoto KAS uzturēšanai EUR 7'144.</t>
  </si>
  <si>
    <t>Soc. Pabalstu kompensācijas mazāk, jo maksājums ienāks 2024.gada sākumā</t>
  </si>
  <si>
    <t>10.2.</t>
  </si>
  <si>
    <t>ES struktūrfondu līdzekļi un aktivitāšu līdzfinansējumi</t>
  </si>
  <si>
    <t>Saskaņā ar projekta NP</t>
  </si>
  <si>
    <t>18.6.2.6.1.</t>
  </si>
  <si>
    <t>10.2.1.</t>
  </si>
  <si>
    <t>Dotācija nodarbinātības pasākumiem</t>
  </si>
  <si>
    <t>0634</t>
  </si>
  <si>
    <t>18.6.3.6.</t>
  </si>
  <si>
    <t>10.2.2.</t>
  </si>
  <si>
    <t>Plūdu risku projekts</t>
  </si>
  <si>
    <t>10.2.3.</t>
  </si>
  <si>
    <t>Apgaismojuma izbūve uz Salas aizsargdamja D-2 posmā, Carnikavas pagastā</t>
  </si>
  <si>
    <t>0632.6</t>
  </si>
  <si>
    <t>10.2.4.</t>
  </si>
  <si>
    <t>Eiropas Bauhaus pieejas piemērošana sabiedrisko ēku pārveidošanai</t>
  </si>
  <si>
    <t>Ieskaitīts projekta finansējums</t>
  </si>
  <si>
    <t>Ieskaitītas projekta naudas, uz 2024.gada 1.janvāri konta atlikumā.</t>
  </si>
  <si>
    <t xml:space="preserve">18.6.3.13. </t>
  </si>
  <si>
    <t>10.2.5.</t>
  </si>
  <si>
    <t>SAM 9.2.4.2. projekts "Pasākumi vietējās sabiedrības veselības veicināšanai Ādažu novadā"</t>
  </si>
  <si>
    <t xml:space="preserve">18.6.3.14.  </t>
  </si>
  <si>
    <t>10.2.6.</t>
  </si>
  <si>
    <t>VISA projekts "Atbalsts izglītojamo individuālo kompetenču attīstībai"</t>
  </si>
  <si>
    <t>10.2.8.</t>
  </si>
  <si>
    <t>SAM 9311 Deinstitucionalizācija - Dienas centrs - specializētās darbnīcas</t>
  </si>
  <si>
    <t>10.2.9.</t>
  </si>
  <si>
    <t>Dienas centrs - pakalpojumi (Ā)</t>
  </si>
  <si>
    <t>0632.2</t>
  </si>
  <si>
    <t xml:space="preserve">18.6.3.12. </t>
  </si>
  <si>
    <t>10.2.10.</t>
  </si>
  <si>
    <t>LAD projekts "Laivu ielas un tai piegulošā auto stāvlaukuma projektēšana un būvniecība"</t>
  </si>
  <si>
    <t>10.2.11.</t>
  </si>
  <si>
    <t>KF Ūdenssaimniecība 3.kārta Carnikavā</t>
  </si>
  <si>
    <t>10.2.12.</t>
  </si>
  <si>
    <t>ESF projekts Karjeras atbalsts vispārējās un profesionālās izglītības iestādēs ©</t>
  </si>
  <si>
    <t>10.2.13.</t>
  </si>
  <si>
    <t>ESF projekts Atbalsts priekšlaicīgas mācību pārtraukšanas samazināšanai ©</t>
  </si>
  <si>
    <t>18.6.3.20.</t>
  </si>
  <si>
    <t>10.2.14.</t>
  </si>
  <si>
    <t>SAM 5.5.1. Kultūras objektu būvniecība ©</t>
  </si>
  <si>
    <t>Plānots rudenī.</t>
  </si>
  <si>
    <t>10.2.15.</t>
  </si>
  <si>
    <t>ES projekts Eiropa pilsoņiem (diskriminētām personām) ©</t>
  </si>
  <si>
    <t>10.2.16.</t>
  </si>
  <si>
    <t>ERASMUS +; Nordplus projekti</t>
  </si>
  <si>
    <t>Precizēta projekta NP</t>
  </si>
  <si>
    <t>Saskaņā ar projektu pieteikumiem</t>
  </si>
  <si>
    <t>Finansējums vidēja termiņa projektiem.</t>
  </si>
  <si>
    <t>10.2.17.</t>
  </si>
  <si>
    <t xml:space="preserve"> ”Mobilitātes punkta infrastruktūras izveidošana Rīgas metropoles areālā – “Carnikava””</t>
  </si>
  <si>
    <t>10.2.18.</t>
  </si>
  <si>
    <t>Maģistrālā  veloceļa izbūve Rīga-Carnikava</t>
  </si>
  <si>
    <t>10.2.19.</t>
  </si>
  <si>
    <t>Ģimenes ārsta prakses izveide_Garā iela 20 (ERAF, SAM 9.3.2. 4.kārta)</t>
  </si>
  <si>
    <t>0633.6</t>
  </si>
  <si>
    <t>10.2.20.</t>
  </si>
  <si>
    <t>EKII projekts</t>
  </si>
  <si>
    <t>10.2.21.</t>
  </si>
  <si>
    <t>Katlu mājas pārbūve Carnikavā, Tulpju iela 5</t>
  </si>
  <si>
    <t>Saskaņā ar Domes 06.09.2023. lēmumu Nr. 339 projekta realizācija atcelta</t>
  </si>
  <si>
    <t>10.2.22.</t>
  </si>
  <si>
    <t>Noslēdzoties projekta realizācijai, saņemts LAD finansējums, kas jānovirza aizņēmuma atmaksai.</t>
  </si>
  <si>
    <t>18.6.4.0.</t>
  </si>
  <si>
    <t>10.2.23.</t>
  </si>
  <si>
    <t xml:space="preserve"> "Auto stāvlaukuma Lilastē paplašināšana, atpūtas vietu, labiekārtojuma, labierīcību, kempinga iespēju projektēšana un izbūve" ©</t>
  </si>
  <si>
    <t>11.</t>
  </si>
  <si>
    <t>Pašvaldību budžeta transferti</t>
  </si>
  <si>
    <t>19.2.1.0.</t>
  </si>
  <si>
    <t>11.1.</t>
  </si>
  <si>
    <t>no citām pašvaldībām izglītības funkciju nodrošināšanai</t>
  </si>
  <si>
    <t>Balstoties uz izpildes prognozi palielinājums EUR 47100. Palielinājums tiks novirzīts līdzfinansējuma nodrošināšanai audzēkņiem, kuri apmeklē privātās izglītības iestādes.</t>
  </si>
  <si>
    <t>Maksājumi tiek veikti par ceturksni. Pastāv iespēja, ka būs lielāka izpilde.</t>
  </si>
  <si>
    <t>19.2.2.0.</t>
  </si>
  <si>
    <t>11.2.</t>
  </si>
  <si>
    <t>citi ieņēmumi no citām pašvaldībam</t>
  </si>
  <si>
    <t>12.</t>
  </si>
  <si>
    <t>Budžeta iestāžu ieņēmumi</t>
  </si>
  <si>
    <t>21.3.5.0.</t>
  </si>
  <si>
    <t>12.1.</t>
  </si>
  <si>
    <t>maksa par izglītības pakalpojumiem</t>
  </si>
  <si>
    <t>21.3.5.2.</t>
  </si>
  <si>
    <t>12.1.1.</t>
  </si>
  <si>
    <t>ieņēmumi no vecāku maksām (PII)</t>
  </si>
  <si>
    <t>21.3.5.9.</t>
  </si>
  <si>
    <t>12.1.2.</t>
  </si>
  <si>
    <t>ieņēmumi no vecāku maksām (ĀMMS; BJSS)</t>
  </si>
  <si>
    <t>12.2.</t>
  </si>
  <si>
    <t>pārrobežu projektu ieņēmumi ©</t>
  </si>
  <si>
    <t>12.2.1.</t>
  </si>
  <si>
    <t>ES Padomes projekts LIFE COHABIT ©</t>
  </si>
  <si>
    <t>0630.2</t>
  </si>
  <si>
    <t>12.2.2.</t>
  </si>
  <si>
    <t>pārrobežu EST-LAT projekts "Militārais mantojums</t>
  </si>
  <si>
    <t>21.3.8.0.</t>
  </si>
  <si>
    <t>12.3.</t>
  </si>
  <si>
    <t>ieņēmumi par nomu un īri</t>
  </si>
  <si>
    <t>21.3.8.1.</t>
  </si>
  <si>
    <t>12.3.1.</t>
  </si>
  <si>
    <t>ieņēmumi par telpu nomu</t>
  </si>
  <si>
    <t>Palielinājums, balstoties uz faktisko izpildi.</t>
  </si>
  <si>
    <t>21.3.8.4.</t>
  </si>
  <si>
    <t>12.3.2.</t>
  </si>
  <si>
    <t>ieņēmumi par zemes nomu</t>
  </si>
  <si>
    <t>12.3.3.</t>
  </si>
  <si>
    <t>pārējie ieņēmumi par nomu ©</t>
  </si>
  <si>
    <t>21.3.9.0.</t>
  </si>
  <si>
    <t>12.4.</t>
  </si>
  <si>
    <t>budžeta iestāžu maksas pakalpojumi</t>
  </si>
  <si>
    <t>0812</t>
  </si>
  <si>
    <t>12.4.1.</t>
  </si>
  <si>
    <t>Ieņēmumu pārpilde (Sporta daļa), palielināt par EUR 5000</t>
  </si>
  <si>
    <t>12.4.2.</t>
  </si>
  <si>
    <t>ieņēmumi no biļešu realizācijas</t>
  </si>
  <si>
    <t>12.4.3.</t>
  </si>
  <si>
    <t>ieņēmumi no dzīvokļu un komunālajiem pakalpojumiem ©</t>
  </si>
  <si>
    <t>Samazinājums uz elektrību un apkuri</t>
  </si>
  <si>
    <t>Ziņo CKS</t>
  </si>
  <si>
    <t>21.3.5.9.; 21.4.9.9.</t>
  </si>
  <si>
    <t>12.6.</t>
  </si>
  <si>
    <t>pārējie ieņēmumi/stāvvietu ieņēmumi</t>
  </si>
  <si>
    <t>Stāvvietu ieņēmumi, kapu ieņēmumi utml.</t>
  </si>
  <si>
    <t>KOPĀ IEŅĒMUMI:</t>
  </si>
  <si>
    <t>13.</t>
  </si>
  <si>
    <t>Naudas līdzekļu atlikums gada sākumā</t>
  </si>
  <si>
    <t>13.1.</t>
  </si>
  <si>
    <t>Naudas atlikums iezīmētiem mērķiem</t>
  </si>
  <si>
    <t>13.2.</t>
  </si>
  <si>
    <t>Naudas atlikums pašvaldības līdzekļi</t>
  </si>
  <si>
    <t xml:space="preserve">14. </t>
  </si>
  <si>
    <t>Valsts Kases kredīti</t>
  </si>
  <si>
    <t>Par projektiem ziņo IDR</t>
  </si>
  <si>
    <t>14.1.</t>
  </si>
  <si>
    <t>14.2.</t>
  </si>
  <si>
    <t>14.3.</t>
  </si>
  <si>
    <t>Precizēta projekta naudas plūsma.</t>
  </si>
  <si>
    <t>Projekts noslēdzies.</t>
  </si>
  <si>
    <t>F40321210</t>
  </si>
  <si>
    <t>14.4.</t>
  </si>
  <si>
    <t>SAM 5.1.1. Pretplūdu pasākumi Ādažu centra polderī, Ādažu novadā</t>
  </si>
  <si>
    <t>14.5.</t>
  </si>
  <si>
    <t>14.6.</t>
  </si>
  <si>
    <t>Carnikavas stadiona rekonstrukcija</t>
  </si>
  <si>
    <t>14.7.</t>
  </si>
  <si>
    <t>Ādažu vidusskolas ēkas B korpusa un savienojuma daļas starp korpusiem (C un B) fasādes atjaunošana</t>
  </si>
  <si>
    <t>14.8.</t>
  </si>
  <si>
    <t>Kalngales NAI pārbūve</t>
  </si>
  <si>
    <t>Saskaņā ar Domes 28.09.2023. lēmumum Nr.289, projekts 2023.gadā netiks realizēts</t>
  </si>
  <si>
    <t>14.9.</t>
  </si>
  <si>
    <t>14.10.</t>
  </si>
  <si>
    <t>14.11.</t>
  </si>
  <si>
    <t>Ķiršu ielas III kārta no Saules ielas līdz Attekas ielai 0.17km</t>
  </si>
  <si>
    <t xml:space="preserve">Noslēdzies iepirkums par EUR 57'326 lielāka summa, kā plānots. Naudas plūsma precizēta atbilstoši Budžeta likumam, ka pašvaldības līdzfinansējums nav mazāks par 15%, budžetā sākotnēji plānots 30% līdzfinansējums. </t>
  </si>
  <si>
    <t>14.12.</t>
  </si>
  <si>
    <t>Draudzības iela posmā no Saules ielai līdz Podnieku ielai ar ietvi 0.35km</t>
  </si>
  <si>
    <t>Saskaņā ar Domes 28.09.2023. lēmumum Nr.289, Draudzības ielas rekonstrukcija - projekts netiks realizēts 2023.gadā. Aizņēmums EUR 126'000 netiks saņemts.</t>
  </si>
  <si>
    <t>14.13.</t>
  </si>
  <si>
    <t>Liepu aleja</t>
  </si>
  <si>
    <t>Atbalstīta projekta realizācija</t>
  </si>
  <si>
    <t>14.14.</t>
  </si>
  <si>
    <t xml:space="preserve">       Atpūtas ielas pārbūve</t>
  </si>
  <si>
    <t>Sākotnēji plānots no pašvaldības līdzekļiem, bet saskaņā ar likumu ir iespējams izmantot aizņēmuma līdzekļus.</t>
  </si>
  <si>
    <t>VK aizņēmums nav saņemts</t>
  </si>
  <si>
    <t>PAVISAM KOPĀ IEŅĒMUMI:</t>
  </si>
  <si>
    <t xml:space="preserve">Izdevumu daļa </t>
  </si>
  <si>
    <t>Komentāri</t>
  </si>
  <si>
    <t>Vispārējie valdības dienesti</t>
  </si>
  <si>
    <t>0110</t>
  </si>
  <si>
    <t>pārvalde</t>
  </si>
  <si>
    <t>EKK korekcija (algu ekonomija novirzīta uz KA, atbalstīto zemsvītras investīciju finansēšanai.)</t>
  </si>
  <si>
    <t>0111</t>
  </si>
  <si>
    <t>deputāti</t>
  </si>
  <si>
    <t>0130</t>
  </si>
  <si>
    <t>1.3.</t>
  </si>
  <si>
    <t>administratīvā komisija</t>
  </si>
  <si>
    <t>0140</t>
  </si>
  <si>
    <t>1.4.</t>
  </si>
  <si>
    <t>iepirkumu komisija</t>
  </si>
  <si>
    <t>0120</t>
  </si>
  <si>
    <t>1.5.</t>
  </si>
  <si>
    <t>vēlēšanu komisija</t>
  </si>
  <si>
    <t>0150</t>
  </si>
  <si>
    <t>1.6.</t>
  </si>
  <si>
    <t>pārējās komisijas</t>
  </si>
  <si>
    <t>EUR2000 uz PII Piejūra - balva par energotaupības rezultātiem</t>
  </si>
  <si>
    <t>1.7.</t>
  </si>
  <si>
    <t>aizņēmumu procentu maksājumi</t>
  </si>
  <si>
    <t>Lai kompensētu aizņēmumu likmju pieaugumu.</t>
  </si>
  <si>
    <t>Procentu maksājumu summas palielinājums (avots - IIN pārpilde)</t>
  </si>
  <si>
    <t>Procentu likmes turpina pieaugt, 3., 4. cet. ievērojami lielāki maksājumi.</t>
  </si>
  <si>
    <t>1.8.</t>
  </si>
  <si>
    <t>Iemaksas PFIF</t>
  </si>
  <si>
    <t>Pēc faktiski prognozētā lielāki IIN ieņēmumi, līdz ar to iemaksas PFIF</t>
  </si>
  <si>
    <t>0170</t>
  </si>
  <si>
    <t>1.9.</t>
  </si>
  <si>
    <t>Informācijas tehnoloģiju nodaļa, vispārējas nozīmes dienestu darbība un pakalpojumi - datortīkla uzturēšana ©</t>
  </si>
  <si>
    <t>Pārējie vispārēja rakstura transferti</t>
  </si>
  <si>
    <t>0610</t>
  </si>
  <si>
    <t>Izdevumi neparedzētiem gadījumiem</t>
  </si>
  <si>
    <t>0340</t>
  </si>
  <si>
    <t>Sabiedriskā kārtība un drošība</t>
  </si>
  <si>
    <t>Ekonomiskā darbība</t>
  </si>
  <si>
    <t>0490</t>
  </si>
  <si>
    <t>Sabiedriskās attiecības, laikraksts</t>
  </si>
  <si>
    <t>4.1.1.</t>
  </si>
  <si>
    <t>Sabiedrisko attiecību nodaļa</t>
  </si>
  <si>
    <t>4.1.2.</t>
  </si>
  <si>
    <t>Ādažu vēstis</t>
  </si>
  <si>
    <t>0420</t>
  </si>
  <si>
    <t>Autoceļu fonds</t>
  </si>
  <si>
    <t>Realizē CKS</t>
  </si>
  <si>
    <t>Vides aizsardzība</t>
  </si>
  <si>
    <t>0510</t>
  </si>
  <si>
    <t>Dabas resursu nodokļa izlietojums</t>
  </si>
  <si>
    <t>Saskaņā ar 13.12.2023. domes lēmumu</t>
  </si>
  <si>
    <t>Pašvldības DRN maksājums</t>
  </si>
  <si>
    <t>Pašvaldības teritoriju un mājokļu apsaimniekošana</t>
  </si>
  <si>
    <t>0620</t>
  </si>
  <si>
    <t>Būvvalde</t>
  </si>
  <si>
    <t>+ EUR 15'000 arhitektu plenērs izglītības kvartālam</t>
  </si>
  <si>
    <t>Arhitektu plenērs izglītības kvartālam Carnikavā EUR 16'000 nav realizēts.</t>
  </si>
  <si>
    <t>0660</t>
  </si>
  <si>
    <t>6.3.</t>
  </si>
  <si>
    <t>Teritorijas plānošanas nodaļa</t>
  </si>
  <si>
    <t>2ām lielajām investīcijām maksājumi pārceļas uz 2024.gadu. ( Ādažu novada teritorijas plānojuma transporta  plānam; ainavu plāns) EUR 78'000</t>
  </si>
  <si>
    <t>6.4.</t>
  </si>
  <si>
    <t>Attīstības un projektu nodaļa</t>
  </si>
  <si>
    <t>6.4.1.</t>
  </si>
  <si>
    <t>nodaļa</t>
  </si>
  <si>
    <t>Life CoHabit projekts noslēdzies - 2) EUR 5033 Gaujas-Baltezera projekta realizācijai (Lēmums #82)</t>
  </si>
  <si>
    <t>1. Papildus ģimenes ārsta prakses projekta realizācijas prasība - informatīvās plāksnes izgatavošana no attīstības daļas budžeta. (EUR 73 no 0630 uz 0633.5)
2. Saskaņā ar Domes 26.07.2023. lēmumu Nr. 291:
2.1. EUR 27'000 no Ķiršu ielas būvniecības plānotās summas Krastupes ielas projektēšanai.
2.2. EUR 8'000 no Draudzības ielas būvniecības plānotās summas Krastupes ielas projektēšanai.
2.3. EUR 50'000 no Dadzīšu ielas projektēšanas plānotās summas Krastupes ielas projektēšanai.
3. EUR 1000 no projekta konta atlikuma (projekts noslēdzies) uz zemas cenas īres mājokļu būvniecībai paredzētās teritorijas novērtēšanai (EKK 0630 (2239))</t>
  </si>
  <si>
    <t>1) Podnieku zemes iegāde EUR 232'064 no Attīstības daļas budžeta 0630/EKK 5217 uz Nekustamo īpašumu nodaļu 0670/EKK 5214;
2) Pārskaitīt EUR 8'445 CKS (no 0630/5240 uz 0645/7230) piekrastes projekta realizēšana</t>
  </si>
  <si>
    <t>Šajā pozīcijā EUR 317'936 PII projektēšanai - vēl nav realizēts. Neaizpildījās vakances.</t>
  </si>
  <si>
    <t>0630.1</t>
  </si>
  <si>
    <t>6.4.2.</t>
  </si>
  <si>
    <t>Projekts "Sabiedrība ar dvēseli"</t>
  </si>
  <si>
    <t>Saskaņā ar lēmumu, novirzīt EUR 1'630 no 0630.2 Pārrobežu EST-LAT projekts "Militārais mantojums uz 0630.1/3263 Sabiedrība ar dvēseli projektu realizācijai</t>
  </si>
  <si>
    <t>6.4.3.</t>
  </si>
  <si>
    <t>Iedzīvotāju iniciatīvas un konkursi.</t>
  </si>
  <si>
    <t>Daļa pārcelta uz 2024.gadu, jo pēdējais maksājums pārceļās.</t>
  </si>
  <si>
    <t>0632.5</t>
  </si>
  <si>
    <t>6.4.4.</t>
  </si>
  <si>
    <t>TEP “Atjaunojamo energoresursu izmantošana Ādažu novadā” (EUCF)</t>
  </si>
  <si>
    <t>EUR 18'000 no atlikuma uz TEP “Atjaunojamo energoresursu izmantošana Ādažu novadā” (EUCF) projektu priekšfinansējumam. (Lēmums #164)</t>
  </si>
  <si>
    <t>Par projekta gaitu ziņo izpilddirektors.</t>
  </si>
  <si>
    <t>0633.1</t>
  </si>
  <si>
    <t>6.4.5.</t>
  </si>
  <si>
    <t>”Mobilitātes punkta infrastruktūras izveidošana Rīgas metropoles areālā – “Carnikava””</t>
  </si>
  <si>
    <t>0633.2</t>
  </si>
  <si>
    <t>6.4.6.</t>
  </si>
  <si>
    <t>0632.4</t>
  </si>
  <si>
    <t>6.4.7.</t>
  </si>
  <si>
    <t>Projekts pabeigts.</t>
  </si>
  <si>
    <t>6.4.8.</t>
  </si>
  <si>
    <t>Life CoHabit projekts noslēdzies - 1) EUR 18'000 no atlikuma uz TEP “Atjaunojamo energoresursu izmantošana Ādažu novadā” (EUCF) projektu priekšfinansējumam. (Lēmums #164)
2) EUR 5033 Gaujas-Baltezera projekta realizācijai (Lēmums #82)</t>
  </si>
  <si>
    <t>Projekts noslēdzies</t>
  </si>
  <si>
    <t>6.4.9.</t>
  </si>
  <si>
    <t>Pārrobežu EST-LAT projekts "Militārais mantojums ©</t>
  </si>
  <si>
    <t>Noslēdzies iepirkums par kopsummu EUR 16'298. EUR 1'298 novirzīt no projekta Militārais mantojums (0630.2/2239) uz Ģimenes ārsta prakses izveide (0633.5/5240).</t>
  </si>
  <si>
    <t>EUR 1000 no projekta konta atlikuma (projekts noslēdzies) uz zemas cenas īres mājokļu būvniecībai paredzētās teritorijas novērtēšanai (EKK 0630 (2239))</t>
  </si>
  <si>
    <t>0633.5</t>
  </si>
  <si>
    <t>6.4.10.</t>
  </si>
  <si>
    <t>Papildus ģimenes ārsta prakses projekta realizācijas prasība - informatīvās plāksnes izgatavošana no attīstības daļas budžeta</t>
  </si>
  <si>
    <t>6.4.11.</t>
  </si>
  <si>
    <t>Jauns projekts. Finansējums KA uz 31.12.2023.</t>
  </si>
  <si>
    <t>6.5.</t>
  </si>
  <si>
    <t>Objektu un teritorijas apsaimniekošana un uzturēšana</t>
  </si>
  <si>
    <t>6.5.1.</t>
  </si>
  <si>
    <t>Nekustamo īpašumu uzturēšana (Ā)</t>
  </si>
  <si>
    <t>0670</t>
  </si>
  <si>
    <t xml:space="preserve">Nekustamā īpašumas nodaļa </t>
  </si>
  <si>
    <t>Podnieku zemes iegāde EUR 232'064 no Attīstības daļas budžeta 0630/EKK 5217 uz Nekustamo īpašumu nodaļu 0670/EKK 5214</t>
  </si>
  <si>
    <t>Nekustamā īpašuma iegāde skolas celtniecībai</t>
  </si>
  <si>
    <t>Lielu izpildi rada zemes iegāde PII.</t>
  </si>
  <si>
    <t>0649</t>
  </si>
  <si>
    <t>6.5.2.</t>
  </si>
  <si>
    <t>Mežaparka ceļš (Ā)</t>
  </si>
  <si>
    <t>6.5.3.</t>
  </si>
  <si>
    <t>CKS_apsaimniek</t>
  </si>
  <si>
    <t>6.5.4.</t>
  </si>
  <si>
    <t>Pašvaldības aģentūra "Carnikavas Komunālserviss"</t>
  </si>
  <si>
    <t>6.5.5.</t>
  </si>
  <si>
    <t>P/A "Carnikavas komunālserviss" teritorijas un īpašumu apsaimniekošana</t>
  </si>
  <si>
    <t>6.5.5.1</t>
  </si>
  <si>
    <t>Dotācija CKS teritorijas uzturēšanai</t>
  </si>
  <si>
    <t>1.-  EUR 18'000 uz 30.04. ekonomija uz vakancēm.
2. + EUR 16'000 uz CKS Garā 20 apkopējas atalgojums.
3. + EUR 21'000 uz CKS ārstu prakse Garā iela 20
4. + EUR 30'000 Smilšu ielas izbūves projektēšana
5. + EUR 5'000 Vecštāles caurtekas remonts
6. + 30'000 Dzirnupes ielas tilta projektēšanai
7. + 12'000 Caurteku rekonstrukcija (sabrukušas) Medus ielā
8. + 36'000 2 dzīvokļu remonts
9. + 180'000 Liepu aleja (ir tehniskais projekts) (EUR 54'000 pašvaldības līdzekļi; EUR 126'000 VK aizņēmums)
10. + 15'597 noslēdzies dubultās virsmas apstrādes iepirkums (Gaujmalas, Dārza, Kastaņu un Lazdu ielām)</t>
  </si>
  <si>
    <t>No CKS dotācijas uz Teritorijas uzturēšanu (Dome) par apsaimniekošanas līgumiem, kas noslēgti ar Domi</t>
  </si>
  <si>
    <t>1) EUR 50'000 no Dadzīšu ielas projektēšanas plānotās summas Krastupes ielas projektēšanai.
2) EUR 25'175 Atpūtas ielas rekonstrukcijai (Indikatīvās būvdarbu izmaksas saskaņā ar lēmumu)
3) EUR 54'000 no Liepu ielas būvniecības plānotās summas Kalngales NAI pārbūvei.
4) CKS grozījumi, kur pārceļam EUR 3700 uz pamatskolas budžetu, lai samaksātu virsstundas ēkas dežurantam, kas veidojas apkalpojot telpu nomniekus.</t>
  </si>
  <si>
    <t>1) Pārskaitīt EUR 8'445 CKS (no 0630/5240 uz 0645/7230) piekrastes projekta realizēšanai.
2) EUR 3'504 no Sporta daļas uz CKS vertikulēšanas un aerācijas aparāta iegādei sporta laukuma uzturēšanai.
3) No CKS dotācijas uz Teritorijas uzturēšanu (Dome) par apsaimniekošanas līgumiem, kas noslēgti ar Domi (EUR 19'591 - teritorija; EUR 20'707 - ceļu uzturēšana).</t>
  </si>
  <si>
    <t>1) - 358'140 - Pašvaldības dotācijas samazinājums (elektrības un apkures izmaksu samazinājums)
2) - 2'625 korekcija – ietaupījums sakarā ar īstenotajiem energotaupības pasākumiem novirzīt darbinieku prēmēšanai PII Riekstiņš par ikgadējās darbības novērtēšanas rezultātu
3) -15'471 Domes maksājumi par īpašumu uzturēšanu+piemaksas par darbinieku aizvietošanu no CKS siamnieciskie maksājumi no Domes</t>
  </si>
  <si>
    <t>6.5.5.2.</t>
  </si>
  <si>
    <t>Dotācija CKS ceļu uzturēšanai</t>
  </si>
  <si>
    <t>1) EUR 50'936 no CKS dotācijas uz Teritorijas uzturēšanu (Dome) par apsaimniekošanas līgumiem, kas noslēgti ar Domi. (EUR 23'016 uz teritorijas apsaimn. Dome un EUR 27'920 uz ceļu sadaļu)</t>
  </si>
  <si>
    <t>No CKS dotācijas uz Teritorijas uzturēšanu (Dome) par apsaimniekošanas līgumiem, kas noslēgti ar Domi (EUR 19'591 - teritorija; EUR 20'707 - ceļu uzturēšana).</t>
  </si>
  <si>
    <t>6.5.5.3.</t>
  </si>
  <si>
    <t>Teritorijas uzturēšana (Dome)</t>
  </si>
  <si>
    <t>+ EUR 7'921 - Noslēdzies iepirkums autobusa iegādei 2023.gada maksājumi EUR 27'121 (budžetā EUR 19'200)</t>
  </si>
  <si>
    <t>1) EUR 50'936 no CKS dotācijas uz Teritorijas uzturēšanu (Dome) par apsaimniekošanas līgumiem, kas noslēgti ar Domi. (EUR 23'016 uz teritorijas apsaimn. Dome un EUR 27'920 uz ceļu sadaļu)
2) Saskaņā ar līdzfinansējuma vērtēšanas komisijas ierosinājumu palielināt finanšu apjomu par EUR 20'000 daudzdzīvokļu māju siltināšanas līdzfinansējumam.</t>
  </si>
  <si>
    <t>No CKS dotācijas uz Teritorijas uzturēšanu (Dome) par apsaimniekošanas līgumiem, kas noslēgti ar Domi (EUR 19'591 - teritorija;  EUR 20'707 - ceļu uzturēšana). (EUR 5'506 apdrošināšana??)</t>
  </si>
  <si>
    <t xml:space="preserve"> 15'471 Domes maksājumi par īpašumu uzturēšanu+piemaksas par darbinieku aizvietošanu no CKS siamnieciskie maksājumi no Domes</t>
  </si>
  <si>
    <t>0650_4</t>
  </si>
  <si>
    <t>6.5.6.</t>
  </si>
  <si>
    <t>Ceļu, ielu infrastruktūras attīstības programma  - pašvaldības ieguldījums ©</t>
  </si>
  <si>
    <t>0633.3</t>
  </si>
  <si>
    <t>6.5.7.</t>
  </si>
  <si>
    <t>Auto stāvlaukuma Lilastē paplašināšanas un atpūtas vietu labiekārtojuma projektēšana un izbūve ©</t>
  </si>
  <si>
    <t>Projekts noslēdzies, precizēta naudas plūsma</t>
  </si>
  <si>
    <t>6.5.8.</t>
  </si>
  <si>
    <t>Rasiņu ielas seguma atjaunošana</t>
  </si>
  <si>
    <t>Realizēs caur Domes līgumu</t>
  </si>
  <si>
    <t>Projekts realizēts</t>
  </si>
  <si>
    <t>6.5.9.</t>
  </si>
  <si>
    <t>1) EUR 27'000 no Ķiršu ielas būvniecības plānotās summas Krastupes ielas projektēšanai. (Jūnija palielinājums EUR 57'326 no 0645/5240 uz 0645/7230)</t>
  </si>
  <si>
    <t>Par projekta gaitu ziņo CKS.</t>
  </si>
  <si>
    <t>6.5.10.</t>
  </si>
  <si>
    <t>1) EUR 8'000 no Draudzības ielas būvniecības plānotās summas Krastupes ielas projektēšanai.
2) EUR 7'875 no Draudzības ielas būvniecības plānotās summas Kalngales NAI pārbūvei.</t>
  </si>
  <si>
    <t>Saskaņā ar Domes 28.09.2023. lēmumum Nr.289, Draudzības ielas rekonstrukcija - projekts netiks realizēts 2023.gadā</t>
  </si>
  <si>
    <t>Projekts 2023.gadā netiks realizēts</t>
  </si>
  <si>
    <t>6.5.11.</t>
  </si>
  <si>
    <t>Uz gada beigām KA</t>
  </si>
  <si>
    <t>6.5.12.</t>
  </si>
  <si>
    <t>1) EUR 54'000 no Liepu ielas būvniecības plānotās summas Kalngales NAI pārbūvei.
2) EUR 7'875 no Draudzības ielas būvniecības plānotās summas Kalngales NAI pārbūvei.</t>
  </si>
  <si>
    <t>Saskaņā ar Domes 28.09.2023. lēmumum Nr.289, Kalngales NAI pārbūve - projekts 2023.gadā netiks realizēts</t>
  </si>
  <si>
    <t>6.5.13.</t>
  </si>
  <si>
    <t>6.5.14.</t>
  </si>
  <si>
    <t>0633.4</t>
  </si>
  <si>
    <t>6.5.15.</t>
  </si>
  <si>
    <t>KF Ūdenssaimniecības projekts Carnikavā, 3.kārta ©</t>
  </si>
  <si>
    <t>Atpūta, kultūra un reliģija</t>
  </si>
  <si>
    <t>Kultūra</t>
  </si>
  <si>
    <t>0841.1</t>
  </si>
  <si>
    <t>7.1.1.</t>
  </si>
  <si>
    <t xml:space="preserve">Ādažu kultūras centrs </t>
  </si>
  <si>
    <t>+ EUR 2'498 (49 austas rakstainās jostas korim SAKNES)</t>
  </si>
  <si>
    <r>
      <t>1) Saskaņā ar 05.04.23. lēmumu #129 Gaujas svētku ieņēmumus EUR 17'000 apmērā novirzīt uz izdevumu segšanu.
2)</t>
    </r>
    <r>
      <rPr>
        <b/>
        <sz val="11"/>
        <rFont val="Times New Roman"/>
        <family val="1"/>
        <charset val="186"/>
      </rPr>
      <t xml:space="preserve"> Iekš. groz.:</t>
    </r>
    <r>
      <rPr>
        <sz val="11"/>
        <rFont val="Times New Roman"/>
        <family val="1"/>
        <charset val="186"/>
      </rPr>
      <t xml:space="preserve"> EUR 9 000 no ĀNKC vadītājas vietnieces algas ietaupījuma uz EKK 2239 Gaujas svētku cilvēkresursu u.c. izdevumu apmaksai</t>
    </r>
  </si>
  <si>
    <t>0841.2</t>
  </si>
  <si>
    <t>7.1.2.</t>
  </si>
  <si>
    <t>Tautas nams "Ozolaine" ©</t>
  </si>
  <si>
    <t>Saskaņā ar 19.10.2023. FK protokollēmumu EUR 19'000 no EKK 2239/08412 uz EKK 2239/0841.2 (Ozolaine)</t>
  </si>
  <si>
    <t>0841.3</t>
  </si>
  <si>
    <t>7.1.3.</t>
  </si>
  <si>
    <t>Muzejs un Carnikavas novadpētniecības centrs</t>
  </si>
  <si>
    <t>08412</t>
  </si>
  <si>
    <t>Dziesmu svētki 2023</t>
  </si>
  <si>
    <t>EUR 20'000 papildus atobusu īrei Dziesmu un deju svētkos</t>
  </si>
  <si>
    <t>0844.1</t>
  </si>
  <si>
    <t>7.3.</t>
  </si>
  <si>
    <t>SAM 5.5.1. Kultūras objektu būvniecība (maksājumi projekta partneriem) ©</t>
  </si>
  <si>
    <t>0844.2</t>
  </si>
  <si>
    <t>7.4.</t>
  </si>
  <si>
    <t>0830</t>
  </si>
  <si>
    <t>7.5.</t>
  </si>
  <si>
    <t xml:space="preserve">Ādažu bibliotēka </t>
  </si>
  <si>
    <t>Saskaņā ar maija sēdes lēmumu par bibliotēkas paplašināšanos</t>
  </si>
  <si>
    <t>0831</t>
  </si>
  <si>
    <t>7.6.</t>
  </si>
  <si>
    <t xml:space="preserve">Carnikavas bibliotēka </t>
  </si>
  <si>
    <t>Papildus finansējums pakomāta iegādei</t>
  </si>
  <si>
    <t>7.8.</t>
  </si>
  <si>
    <t>Sporta daļa</t>
  </si>
  <si>
    <t>1) EUR 3'504 no Sporta daļas uz CKS vertikulēšanas un aerācijas aparāta iegādei sporta laukuma uzturēšanai.
2) No maksas pakalpojumu ieņēmumu palielinājuma EUR 5'000 āra trenažieru iegādei.
3) Carnikavas stadiona rekonstrukcijas ietvaros. Ūdensņemšanas vieta priekš sniega pūšanas (realizēts projekta ietvaros. Šos EUR 30'000 no 09823/5250 uz 0812/5239 (āra trenažieru iegādei)</t>
  </si>
  <si>
    <t>0880</t>
  </si>
  <si>
    <t>7.9.</t>
  </si>
  <si>
    <t>Evaņģēliski luteriskās draudzes</t>
  </si>
  <si>
    <t>0843</t>
  </si>
  <si>
    <t>7.10.</t>
  </si>
  <si>
    <t>Multihalle</t>
  </si>
  <si>
    <t>Sociālā aizsardzība</t>
  </si>
  <si>
    <t>Sociālais dienests</t>
  </si>
  <si>
    <t>8.1.1.</t>
  </si>
  <si>
    <t xml:space="preserve">Sociālās funkcijas nodrošināšana </t>
  </si>
  <si>
    <t>Saskaņā ar domes 24.05.2023. lēmumu Nr. 196 pārcelt finansējumu vakancei "Bērnu brīvā laika organizators" no soc. Dienesta budžeta uz Izglītības un jaunatnes nodaļu</t>
  </si>
  <si>
    <t>8.1.2.</t>
  </si>
  <si>
    <t>Pabalsti</t>
  </si>
  <si>
    <t>8.1.3.</t>
  </si>
  <si>
    <t>Mērķdotācija</t>
  </si>
  <si>
    <t>8.1.5.</t>
  </si>
  <si>
    <t>Asistentu pakalpojumi</t>
  </si>
  <si>
    <t>Decembra finansējums ienāk janvārī, kas nosegs šo izmaksu palielinājumu</t>
  </si>
  <si>
    <t>8.1.6.</t>
  </si>
  <si>
    <t>Sociālā centra "Kadiķis" uzturēšana</t>
  </si>
  <si>
    <t>Stipendiāti / bezdarbnieki</t>
  </si>
  <si>
    <t>8.2.1.</t>
  </si>
  <si>
    <t>Domes finansējums</t>
  </si>
  <si>
    <t>8.2.2.</t>
  </si>
  <si>
    <t>NVA finansējums</t>
  </si>
  <si>
    <t>SAM 9311 Deinstitucionalizācija - Dienas centrs</t>
  </si>
  <si>
    <t>1014.3</t>
  </si>
  <si>
    <t>8.3.1.</t>
  </si>
  <si>
    <t>DI centra uzturēšanas izdevumi</t>
  </si>
  <si>
    <t>Ekonomija uz neaizpildītajām vakancēm.</t>
  </si>
  <si>
    <t>8.3.2.</t>
  </si>
  <si>
    <t>DI projekts- specializētās darbnīcas</t>
  </si>
  <si>
    <t>1014.1</t>
  </si>
  <si>
    <t>8.3.3.</t>
  </si>
  <si>
    <t>DI centra pakalpojumi (projekts)</t>
  </si>
  <si>
    <t>8.4.</t>
  </si>
  <si>
    <t>Bāriņtiesa</t>
  </si>
  <si>
    <t>8.5.</t>
  </si>
  <si>
    <t>8.6.</t>
  </si>
  <si>
    <t>1013.1</t>
  </si>
  <si>
    <t>8.7.</t>
  </si>
  <si>
    <t>SAM 9.2.4.2. projekts "Pasākumi vietējās sabiedrības veselības veicināšanai Ādažu novada pašvaldības Ādažu pagastā"</t>
  </si>
  <si>
    <t>1013.2</t>
  </si>
  <si>
    <t>8.8.</t>
  </si>
  <si>
    <t>SAM 9.2.4.2. projekts "Pasākumi vietējās sabiedrības veselības veicināšanai Ādažu novada pašvaldības Carnikavas pagastā"</t>
  </si>
  <si>
    <t>Izglītība</t>
  </si>
  <si>
    <t>7210 (0940; 0970)</t>
  </si>
  <si>
    <t>9.1.</t>
  </si>
  <si>
    <t>Norēķini ar pašvaldību budžetiem par izglītības iestāžu pakalpojumiem</t>
  </si>
  <si>
    <t>EUR 220'908 no pašvaldību savstarpējiem norēķiniem uz līdzfinansējumu privātajām izgl.iest.</t>
  </si>
  <si>
    <t>EUR 5000 no 0940.1/EKK 7210 uz 0940.3/EKK 2239 līdzfinansējumam PII.</t>
  </si>
  <si>
    <t>9.2.</t>
  </si>
  <si>
    <t>Ādažu Pirmsskolas izglītības iestāde</t>
  </si>
  <si>
    <t>0911</t>
  </si>
  <si>
    <t>9.2.1.</t>
  </si>
  <si>
    <t>pedagogu algas, grāmatas (mērķdotācija)</t>
  </si>
  <si>
    <t>1) EUR 264 no PII "Strautiņš" piešķirtās MD mācību materiāliem novirzīts mācību materiālu iegādei PII "Piejūra".
2) Precizēts pedagogu MD apjoms starp iestādēm - EUR 50 no PII "Strautiņš" uz ĀVS PII</t>
  </si>
  <si>
    <t>0910</t>
  </si>
  <si>
    <t>9.2.2.</t>
  </si>
  <si>
    <t>pārējās izmaksas</t>
  </si>
  <si>
    <t>1. - EUR 7'910 korekcija (algu ekonomija novirzīta uz KA, atbalstīto zemsvītras investīciju finansēšanai.)
2. + EUR 20'000 ĀPII rotaļu laukums</t>
  </si>
  <si>
    <t>EUR 10'728 novirzīts no neapgūtā laukumu aprikojumam uz traktortehnikas iegādi teritorijas kopšanai</t>
  </si>
  <si>
    <t>9.3.</t>
  </si>
  <si>
    <t>Kadagas PII</t>
  </si>
  <si>
    <t>0921</t>
  </si>
  <si>
    <t>9.3.1.</t>
  </si>
  <si>
    <t>0920</t>
  </si>
  <si>
    <t>9.3.2.</t>
  </si>
  <si>
    <t>Elektroenerģijai, apkurei mazāka izpilde.</t>
  </si>
  <si>
    <t>9.4.</t>
  </si>
  <si>
    <t>Pirmsskolas izglītības iestāde "Riekstiņš"</t>
  </si>
  <si>
    <t>09011</t>
  </si>
  <si>
    <t>9.4.1.</t>
  </si>
  <si>
    <t>0901; 650_0901</t>
  </si>
  <si>
    <t>9.4.2.</t>
  </si>
  <si>
    <t>9.4.3.</t>
  </si>
  <si>
    <t>uzturēšanas izmaksas (CKS)</t>
  </si>
  <si>
    <t>2'625 korekcija – ietaupījums sakarā ar īstenotajiem energotaupības pasākumiem novirzīt darbinieku prēmēšanai PII Riekstiņš par ikgadējās darbības novērtēšanas rezultātu</t>
  </si>
  <si>
    <t>0902; 650_0902</t>
  </si>
  <si>
    <t>9.5.</t>
  </si>
  <si>
    <t>Pirmsskolas izglītības iestādes "Piejūra"</t>
  </si>
  <si>
    <t>09021</t>
  </si>
  <si>
    <t>9.5.1.</t>
  </si>
  <si>
    <t>EUR 264 no PII "Strautiņš" piešķirtās MD mācību materiāliem novirzīts mācību materiālu iegādei PII "Piejūra".</t>
  </si>
  <si>
    <t>9.5.2.</t>
  </si>
  <si>
    <t>EUR 2000 uz PII Piejūra - balva par energotaupības rezultātiem</t>
  </si>
  <si>
    <t>9.5.3.</t>
  </si>
  <si>
    <t>9.6.</t>
  </si>
  <si>
    <t>Privātās izglītības iestādes</t>
  </si>
  <si>
    <t>1) Palielinājums ieņēmumos EUR 47'100 novirzīts līdzfinansējuma nodrošināšanai audzēkņiem, kuri apmeklē privātās izglītības iestādes.
2) EUR 220'908 no pašvaldību savstarpējiem norēķiniem uz līdzfinansējumu privātajām izgl.iest.
3)  EUR 32'100 no KA uz līdzfinansējumu privātajām izgl.iest.</t>
  </si>
  <si>
    <t>0970</t>
  </si>
  <si>
    <t>9.6.1.</t>
  </si>
  <si>
    <t>ĀBVS</t>
  </si>
  <si>
    <r>
      <t xml:space="preserve">1) EUR 9'026 no 0954/1119 uz 0970/2239 interešu izglītības MD, kas attiecināma uz Valdorfskolu
</t>
    </r>
    <r>
      <rPr>
        <sz val="11"/>
        <rFont val="Times New Roman"/>
        <family val="1"/>
        <charset val="186"/>
      </rPr>
      <t>2) Ēdināšanas MD + 5'192 (no pašvaldības + 5'192)</t>
    </r>
  </si>
  <si>
    <t>0940</t>
  </si>
  <si>
    <t>9.6.2.</t>
  </si>
  <si>
    <t>Privātās skolas</t>
  </si>
  <si>
    <t>9.6.3.</t>
  </si>
  <si>
    <t>Pārējās privātās PII</t>
  </si>
  <si>
    <t>9.7.</t>
  </si>
  <si>
    <t>Carnikavas pamatskola</t>
  </si>
  <si>
    <t>09821</t>
  </si>
  <si>
    <t>9.7.1.</t>
  </si>
  <si>
    <t>Precizēts pedagogu MD apjoms starp iestādēm - EUR 3'750 no CPS uz ĀVS</t>
  </si>
  <si>
    <t>9.7.2.</t>
  </si>
  <si>
    <t>ēdināšana (mērķdotācija)</t>
  </si>
  <si>
    <t>0982; 0650_0982</t>
  </si>
  <si>
    <t>9.7.3.</t>
  </si>
  <si>
    <t>9.7.4.</t>
  </si>
  <si>
    <t>CKS grozījumi, kur pārceļam EUR 3700 uz pamatskolas budžetu, lai samaksātu virsstundas ēkas dežurantam, kas veidojas apkalpojot telpu nomniekus.</t>
  </si>
  <si>
    <t>09822</t>
  </si>
  <si>
    <t>9.7.5.</t>
  </si>
  <si>
    <t>projekts "Skolas soma"</t>
  </si>
  <si>
    <t>09825</t>
  </si>
  <si>
    <t>9.7.6.</t>
  </si>
  <si>
    <t>projekti Erasmus+; Nordplus</t>
  </si>
  <si>
    <t>0982</t>
  </si>
  <si>
    <t>9.7.7.</t>
  </si>
  <si>
    <t>mācību vides labiekārtošana</t>
  </si>
  <si>
    <t>09823</t>
  </si>
  <si>
    <t>9.8.</t>
  </si>
  <si>
    <t>Carnikavas stadiona rekonstrukcijas ietvaros. Ūdensņemšanas vieta priekš sniega pūšanas (realizēts projekta ietvaros. Šos EUR 30'000 no 09823/5250 uz 0812/5239 (āra trenažieru iegādei)</t>
  </si>
  <si>
    <t xml:space="preserve">Ziņo IDR. </t>
  </si>
  <si>
    <t>9.9.</t>
  </si>
  <si>
    <t>Ādažu vidusskola</t>
  </si>
  <si>
    <t>0954</t>
  </si>
  <si>
    <t>9.9.1.</t>
  </si>
  <si>
    <t>1) Dotācija mazākumtautību izglītojamajiem pamatizglītības un interešu izglītības programmas apguvei.
2) EUR 9'026 no 0954/1119 uz 0970/2239 interešu izglītības MD, kas attiecināma uz Valdorfskolu</t>
  </si>
  <si>
    <t>0950</t>
  </si>
  <si>
    <t>9.9.2.</t>
  </si>
  <si>
    <t>1. EUR 7'900 IZM piegādāto ChromeBook (IZM projekts datori 7-9 kl. skolēniem) uzglabāšanas, uzlādes skapji 5 gb. (32 datori vienā skapī). Šos no EKK 5238 uz EKK 5240.
2. EUR 10'864 SIA "Ādažu Namsaimnieks" dividendes, novirzīt caur 0950 izdevumi vidussk.apkures sist.pāreja uz atjaunoj.energoresursiem, Domes lēmums Nr.215.</t>
  </si>
  <si>
    <t>Ugunsdrošības un apziņošanas sistēmas ierīkošana Ādažu vidusskolas korpusā -2023.gadā gala maksājums EUR 43000 no konta atlikuma (nebija iekļauts budžeta plānā)</t>
  </si>
  <si>
    <t>20.09. FK protokols - EUR 9'300 no plānotā Chromebook apdrošināšanai un EUR 3'500 no plānotā profesionālās izaugsmes progr. (Transportlīdz. Vadīš. Apmācība) uz sākumskolu mācību līdzekļu iegādei.</t>
  </si>
  <si>
    <t>0957</t>
  </si>
  <si>
    <t>9.9.3.</t>
  </si>
  <si>
    <t>projekts Erasmus+</t>
  </si>
  <si>
    <t>Liels KA, jo nauda tiek ieskaitīta, bet projekti tiek realizēti vairāku gadu laikā.</t>
  </si>
  <si>
    <t>0951</t>
  </si>
  <si>
    <t>9.9.4.</t>
  </si>
  <si>
    <t>9.9.5.</t>
  </si>
  <si>
    <t>Ādažu vidusskolas ēkas B korpusa un savienojuma daļas starp korpusiem (C un B) fasādes atjaunošana - pašvaldības līdzfinansējuma daļa (aizņemšanās nosacījumi paredz 10% līdzfin.)</t>
  </si>
  <si>
    <t>Decembra maksājums pārceļas uz 2024.gadu.</t>
  </si>
  <si>
    <t>0981</t>
  </si>
  <si>
    <t>9.9.6.</t>
  </si>
  <si>
    <t>sākumskolas uzturēšanas izmaksas</t>
  </si>
  <si>
    <t>1. EUR 7'000 no apkures izmaksām (EKK 2221) uz EKK 5239 boilera uzstādīšanai, SIA "Namsaimnieks" nenodrošina silto ūdeni ārpus apkures sezonai.
2. EUR 166'307 pusdienu līdzfinansējums 1.-4.kl. (EKK korekcija)</t>
  </si>
  <si>
    <t>9.9.7.</t>
  </si>
  <si>
    <t>sākumskolas ēdināšana (mērķdotācija)</t>
  </si>
  <si>
    <t>Ir KA</t>
  </si>
  <si>
    <t>9.9.8.</t>
  </si>
  <si>
    <t xml:space="preserve">PII </t>
  </si>
  <si>
    <t>0952.1</t>
  </si>
  <si>
    <t>9.9.8.1.</t>
  </si>
  <si>
    <t>- pedagogu algas (mērķdotācija)</t>
  </si>
  <si>
    <t>Precizēts pedagogu MD apjoms starp iestādēm - EUR 50 no PII "Strautiņš" uz ĀVS PII</t>
  </si>
  <si>
    <t>0952</t>
  </si>
  <si>
    <t>9.9.8.2.</t>
  </si>
  <si>
    <t>-  uzturēšana</t>
  </si>
  <si>
    <t>9.10.</t>
  </si>
  <si>
    <t>Ādažu novada  Mākslu skola</t>
  </si>
  <si>
    <t>9.10.1.</t>
  </si>
  <si>
    <t>pedagogu algas (mērķdotācija)</t>
  </si>
  <si>
    <t>9.10.2.</t>
  </si>
  <si>
    <t>9.11.</t>
  </si>
  <si>
    <t>Sporta skola</t>
  </si>
  <si>
    <t>09651</t>
  </si>
  <si>
    <t>9.11.1.</t>
  </si>
  <si>
    <t>0965</t>
  </si>
  <si>
    <t>9.11.2.</t>
  </si>
  <si>
    <t>Pašvaldības finansējums</t>
  </si>
  <si>
    <t>0930</t>
  </si>
  <si>
    <t>9.12.</t>
  </si>
  <si>
    <t>Izglītības un jaunatnes nodaļa</t>
  </si>
  <si>
    <t>Precizējums EUR 5 no 0930 uz 0933</t>
  </si>
  <si>
    <t>9.13.</t>
  </si>
  <si>
    <t>Līdzfinansējums skolēnu dalībai konkursos</t>
  </si>
  <si>
    <t>0931</t>
  </si>
  <si>
    <t>9.14.</t>
  </si>
  <si>
    <t>ESF projekts Atbalsts priekšlaicīgas mācību pārtraukšanas samazināšanai © (Pumpurs)</t>
  </si>
  <si>
    <t>0932</t>
  </si>
  <si>
    <t>9.15.</t>
  </si>
  <si>
    <t>Projkts noslēdzies, konta atlikums.</t>
  </si>
  <si>
    <t>0933</t>
  </si>
  <si>
    <t>9.16.</t>
  </si>
  <si>
    <t>Valsts finansējums projektu konkursā "Atbalsts jaunatnes politikas īstenošanai vietējā līmenī"  projekts "Mobilais darbs ar jaunatni Ādažu novadā"</t>
  </si>
  <si>
    <t>Precizējums</t>
  </si>
  <si>
    <t>9.17.</t>
  </si>
  <si>
    <t>0956</t>
  </si>
  <si>
    <t>9.17.1.</t>
  </si>
  <si>
    <t>Ādaži</t>
  </si>
  <si>
    <t>09824</t>
  </si>
  <si>
    <t>9.17.2.</t>
  </si>
  <si>
    <t>Carnikava</t>
  </si>
  <si>
    <t>10</t>
  </si>
  <si>
    <t>Ieguldījumi uzņēmumu pamatkapitālā</t>
  </si>
  <si>
    <t>SIA "Ādažu ūdens"</t>
  </si>
  <si>
    <t>SIA "Garkalnes ūdens"</t>
  </si>
  <si>
    <t>KOPĀ IZDEVUMI:</t>
  </si>
  <si>
    <t>Kredītu pamatsummas atmaksa</t>
  </si>
  <si>
    <t>Atskaitīta 2u projektu (Lilastes stāvlaukums, Salas aizsargdambja apgaismojums) finansējums, jāveic aizņēmuma atmaksa.</t>
  </si>
  <si>
    <t>PAVISAM KOPĀ IZDEVUMI:</t>
  </si>
  <si>
    <t>-</t>
  </si>
  <si>
    <t>Naudas līdzekļu atlikums uz gada beigām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</si>
</sst>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6" x14ac:knownFonts="1">
    <font>
      <sz val="9"/>
      <color theme="1"/>
      <name val="Arial"/>
      <family val="2"/>
      <charset val="186"/>
    </font>
    <font>
      <sz val="11"/>
      <color theme="1"/>
      <name val="Calibri"/>
      <family val="2"/>
      <charset val="186"/>
      <scheme val="minor"/>
    </font>
    <font>
      <sz val="11"/>
      <name val="Times New Roman"/>
      <family val="1"/>
      <charset val="186"/>
    </font>
    <font>
      <b/>
      <sz val="20"/>
      <color indexed="8"/>
      <name val="Times New Roman"/>
      <family val="1"/>
      <charset val="186"/>
    </font>
    <font>
      <sz val="9"/>
      <color theme="1"/>
      <name val="Arial"/>
      <family val="2"/>
      <charset val="186"/>
    </font>
    <font>
      <sz val="11"/>
      <color indexed="8"/>
      <name val="Calibri"/>
      <family val="2"/>
      <charset val="186"/>
    </font>
    <font>
      <sz val="11"/>
      <color rgb="FFFF0000"/>
      <name val="Times New Roman"/>
      <family val="1"/>
      <charset val="186"/>
    </font>
    <font>
      <sz val="11"/>
      <color rgb="FF7030A0"/>
      <name val="Times New Roman"/>
      <family val="1"/>
      <charset val="186"/>
    </font>
    <font>
      <b/>
      <sz val="16"/>
      <color theme="1"/>
      <name val="Times New Roman"/>
      <family val="1"/>
      <charset val="186"/>
    </font>
    <font>
      <b/>
      <sz val="11"/>
      <name val="Times New Roman"/>
      <family val="1"/>
      <charset val="186"/>
    </font>
    <font>
      <b/>
      <sz val="11"/>
      <color rgb="FF7030A0"/>
      <name val="Times New Roman"/>
      <family val="1"/>
      <charset val="186"/>
    </font>
    <font>
      <u/>
      <sz val="9"/>
      <color theme="10"/>
      <name val="Arial"/>
      <family val="2"/>
      <charset val="186"/>
    </font>
    <font>
      <sz val="10"/>
      <name val="Arial"/>
      <family val="2"/>
      <charset val="186"/>
    </font>
    <font>
      <sz val="11"/>
      <color indexed="8"/>
      <name val="Times New Roman"/>
      <family val="1"/>
      <charset val="186"/>
    </font>
    <font>
      <sz val="10"/>
      <name val="Times New Roman"/>
      <family val="1"/>
      <charset val="186"/>
    </font>
    <font>
      <sz val="10"/>
      <color rgb="FF7030A0"/>
      <name val="Times New Roman"/>
      <family val="1"/>
      <charset val="186"/>
    </font>
    <font>
      <sz val="11"/>
      <color rgb="FFC00000"/>
      <name val="Times New Roman"/>
      <family val="1"/>
      <charset val="186"/>
    </font>
    <font>
      <sz val="11"/>
      <color theme="8" tint="-0.249977111117893"/>
      <name val="Times New Roman"/>
      <family val="1"/>
      <charset val="186"/>
    </font>
    <font>
      <sz val="11"/>
      <color indexed="10"/>
      <name val="Times New Roman"/>
      <family val="1"/>
      <charset val="186"/>
    </font>
    <font>
      <i/>
      <sz val="11"/>
      <name val="Times New Roman"/>
      <family val="1"/>
      <charset val="186"/>
    </font>
    <font>
      <i/>
      <sz val="11"/>
      <color rgb="FF7030A0"/>
      <name val="Times New Roman"/>
      <family val="1"/>
      <charset val="186"/>
    </font>
    <font>
      <sz val="11"/>
      <color theme="3"/>
      <name val="Times New Roman"/>
      <family val="1"/>
      <charset val="186"/>
    </font>
    <font>
      <b/>
      <sz val="11"/>
      <color theme="3"/>
      <name val="Times New Roman"/>
      <family val="1"/>
      <charset val="186"/>
    </font>
    <font>
      <b/>
      <sz val="11"/>
      <name val="Times New Roman"/>
      <family val="1"/>
    </font>
    <font>
      <b/>
      <sz val="9"/>
      <color indexed="81"/>
      <name val="Tahoma"/>
      <family val="2"/>
      <charset val="186"/>
    </font>
    <font>
      <sz val="9"/>
      <color indexed="81"/>
      <name val="Tahoma"/>
      <family val="2"/>
      <charset val="186"/>
    </font>
  </fonts>
  <fills count="20">
    <fill>
      <patternFill patternType="none"/>
    </fill>
    <fill>
      <patternFill patternType="gray125"/>
    </fill>
    <fill>
      <patternFill patternType="solid">
        <fgColor theme="9" tint="0.59999389629810485"/>
        <bgColor indexed="64"/>
      </patternFill>
    </fill>
    <fill>
      <patternFill patternType="solid">
        <fgColor indexed="22"/>
        <bgColor indexed="64"/>
      </patternFill>
    </fill>
    <fill>
      <patternFill patternType="solid">
        <fgColor indexed="50"/>
        <bgColor indexed="64"/>
      </patternFill>
    </fill>
    <fill>
      <patternFill patternType="solid">
        <fgColor indexed="9"/>
        <bgColor indexed="64"/>
      </patternFill>
    </fill>
    <fill>
      <patternFill patternType="solid">
        <fgColor theme="0" tint="-0.249977111117893"/>
        <bgColor indexed="64"/>
      </patternFill>
    </fill>
    <fill>
      <patternFill patternType="solid">
        <fgColor rgb="FFFFC000"/>
        <bgColor indexed="64"/>
      </patternFill>
    </fill>
    <fill>
      <patternFill patternType="solid">
        <fgColor indexed="47"/>
        <bgColor indexed="64"/>
      </patternFill>
    </fill>
    <fill>
      <patternFill patternType="solid">
        <fgColor indexed="42"/>
        <bgColor indexed="64"/>
      </patternFill>
    </fill>
    <fill>
      <patternFill patternType="solid">
        <fgColor rgb="FFFFFFCC"/>
        <bgColor indexed="64"/>
      </patternFill>
    </fill>
    <fill>
      <patternFill patternType="solid">
        <fgColor theme="4" tint="0.59999389629810485"/>
        <bgColor indexed="64"/>
      </patternFill>
    </fill>
    <fill>
      <patternFill patternType="solid">
        <fgColor rgb="FFFFFF00"/>
        <bgColor indexed="64"/>
      </patternFill>
    </fill>
    <fill>
      <patternFill patternType="solid">
        <fgColor theme="7" tint="0.39997558519241921"/>
        <bgColor indexed="64"/>
      </patternFill>
    </fill>
    <fill>
      <patternFill patternType="solid">
        <fgColor rgb="FFFF0000"/>
        <bgColor indexed="64"/>
      </patternFill>
    </fill>
    <fill>
      <patternFill patternType="solid">
        <fgColor theme="0"/>
        <bgColor indexed="64"/>
      </patternFill>
    </fill>
    <fill>
      <patternFill patternType="solid">
        <fgColor rgb="FF00B0F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59999389629810485"/>
        <bgColor indexed="64"/>
      </patternFill>
    </fill>
  </fills>
  <borders count="40">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auto="1"/>
      </left>
      <right/>
      <top style="thin">
        <color auto="1"/>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indexed="64"/>
      </left>
      <right style="medium">
        <color indexed="64"/>
      </right>
      <top style="medium">
        <color indexed="64"/>
      </top>
      <bottom style="thin">
        <color indexed="64"/>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s>
  <cellStyleXfs count="10">
    <xf numFmtId="0" fontId="0" fillId="0" borderId="0"/>
    <xf numFmtId="43" fontId="4" fillId="0" borderId="0" applyFont="0" applyFill="0" applyBorder="0" applyAlignment="0" applyProtection="0"/>
    <xf numFmtId="9" fontId="4" fillId="0" borderId="0" applyFont="0" applyFill="0" applyBorder="0" applyAlignment="0" applyProtection="0"/>
    <xf numFmtId="0" fontId="1" fillId="0" borderId="0"/>
    <xf numFmtId="0" fontId="1" fillId="0" borderId="0"/>
    <xf numFmtId="9" fontId="5" fillId="0" borderId="0" applyFont="0" applyFill="0" applyBorder="0" applyAlignment="0" applyProtection="0"/>
    <xf numFmtId="43" fontId="5" fillId="0" borderId="0" applyFont="0" applyFill="0" applyBorder="0" applyAlignment="0" applyProtection="0"/>
    <xf numFmtId="0" fontId="11" fillId="0" borderId="0" applyNumberFormat="0" applyFill="0" applyBorder="0" applyAlignment="0" applyProtection="0"/>
    <xf numFmtId="0" fontId="12" fillId="0" borderId="0"/>
    <xf numFmtId="9" fontId="5" fillId="0" borderId="0" applyFont="0" applyFill="0" applyBorder="0" applyAlignment="0" applyProtection="0"/>
  </cellStyleXfs>
  <cellXfs count="331">
    <xf numFmtId="0" fontId="0" fillId="0" borderId="0" xfId="0"/>
    <xf numFmtId="0" fontId="2" fillId="0" borderId="0" xfId="3" applyFont="1"/>
    <xf numFmtId="0" fontId="3" fillId="0" borderId="0" xfId="4" applyFont="1"/>
    <xf numFmtId="0" fontId="2" fillId="0" borderId="0" xfId="3" applyFont="1" applyAlignment="1">
      <alignment wrapText="1"/>
    </xf>
    <xf numFmtId="3" fontId="2" fillId="0" borderId="0" xfId="3" applyNumberFormat="1" applyFont="1"/>
    <xf numFmtId="164" fontId="2" fillId="0" borderId="0" xfId="1" applyNumberFormat="1" applyFont="1" applyAlignment="1">
      <alignment wrapText="1"/>
    </xf>
    <xf numFmtId="9" fontId="2" fillId="0" borderId="0" xfId="5" applyFont="1" applyAlignment="1">
      <alignment wrapText="1"/>
    </xf>
    <xf numFmtId="9" fontId="6" fillId="0" borderId="0" xfId="2" applyFont="1" applyAlignment="1">
      <alignment wrapText="1"/>
    </xf>
    <xf numFmtId="0" fontId="7" fillId="0" borderId="0" xfId="3" applyFont="1" applyAlignment="1">
      <alignment wrapText="1"/>
    </xf>
    <xf numFmtId="164" fontId="2" fillId="0" borderId="0" xfId="1" applyNumberFormat="1" applyFont="1"/>
    <xf numFmtId="1" fontId="2" fillId="0" borderId="0" xfId="5" applyNumberFormat="1" applyFont="1" applyFill="1"/>
    <xf numFmtId="43" fontId="2" fillId="0" borderId="0" xfId="1" applyFont="1"/>
    <xf numFmtId="3" fontId="6" fillId="0" borderId="0" xfId="3" applyNumberFormat="1" applyFont="1"/>
    <xf numFmtId="9" fontId="2" fillId="0" borderId="0" xfId="2" applyFont="1" applyFill="1"/>
    <xf numFmtId="9" fontId="6" fillId="0" borderId="0" xfId="2" applyFont="1" applyFill="1"/>
    <xf numFmtId="3" fontId="7" fillId="0" borderId="0" xfId="3" applyNumberFormat="1" applyFont="1"/>
    <xf numFmtId="164" fontId="9" fillId="0" borderId="0" xfId="6" applyNumberFormat="1" applyFont="1"/>
    <xf numFmtId="9" fontId="9" fillId="0" borderId="0" xfId="2" applyFont="1"/>
    <xf numFmtId="164" fontId="9" fillId="0" borderId="0" xfId="1" applyNumberFormat="1" applyFont="1"/>
    <xf numFmtId="9" fontId="2" fillId="0" borderId="0" xfId="5" applyFont="1"/>
    <xf numFmtId="9" fontId="2" fillId="0" borderId="0" xfId="2" applyFont="1"/>
    <xf numFmtId="164" fontId="10" fillId="0" borderId="0" xfId="6" applyNumberFormat="1" applyFont="1"/>
    <xf numFmtId="0" fontId="11" fillId="0" borderId="0" xfId="7"/>
    <xf numFmtId="164" fontId="6" fillId="0" borderId="0" xfId="1" applyNumberFormat="1" applyFont="1"/>
    <xf numFmtId="43" fontId="7" fillId="0" borderId="0" xfId="1" applyFont="1"/>
    <xf numFmtId="0" fontId="9" fillId="0" borderId="1" xfId="3" applyFont="1" applyBorder="1" applyAlignment="1">
      <alignment horizontal="center" vertical="center"/>
    </xf>
    <xf numFmtId="0" fontId="9" fillId="0" borderId="2" xfId="3" applyFont="1" applyBorder="1" applyAlignment="1">
      <alignment horizontal="center" vertical="center" wrapText="1"/>
    </xf>
    <xf numFmtId="0" fontId="9" fillId="0" borderId="3" xfId="8" applyFont="1" applyBorder="1" applyAlignment="1">
      <alignment horizontal="center" vertical="center" wrapText="1"/>
    </xf>
    <xf numFmtId="164" fontId="9" fillId="0" borderId="3" xfId="1" applyNumberFormat="1" applyFont="1" applyBorder="1" applyAlignment="1">
      <alignment horizontal="center" vertical="center" wrapText="1"/>
    </xf>
    <xf numFmtId="9" fontId="9" fillId="0" borderId="3" xfId="5" applyFont="1" applyBorder="1" applyAlignment="1">
      <alignment horizontal="center" vertical="center" wrapText="1"/>
    </xf>
    <xf numFmtId="9" fontId="9" fillId="0" borderId="3" xfId="2" applyFont="1" applyBorder="1" applyAlignment="1">
      <alignment horizontal="center" vertical="center" wrapText="1"/>
    </xf>
    <xf numFmtId="9" fontId="10" fillId="0" borderId="3" xfId="5" applyFont="1" applyBorder="1" applyAlignment="1">
      <alignment horizontal="center" vertical="center" wrapText="1"/>
    </xf>
    <xf numFmtId="0" fontId="9" fillId="3" borderId="4" xfId="3" applyFont="1" applyFill="1" applyBorder="1"/>
    <xf numFmtId="0" fontId="9" fillId="3" borderId="5" xfId="3" applyFont="1" applyFill="1" applyBorder="1" applyAlignment="1">
      <alignment wrapText="1"/>
    </xf>
    <xf numFmtId="164" fontId="9" fillId="3" borderId="6" xfId="1" applyNumberFormat="1" applyFont="1" applyFill="1" applyBorder="1"/>
    <xf numFmtId="3" fontId="9" fillId="3" borderId="6" xfId="3" applyNumberFormat="1" applyFont="1" applyFill="1" applyBorder="1"/>
    <xf numFmtId="9" fontId="2" fillId="3" borderId="6" xfId="5" applyFont="1" applyFill="1" applyBorder="1" applyAlignment="1">
      <alignment wrapText="1"/>
    </xf>
    <xf numFmtId="9" fontId="9" fillId="3" borderId="6" xfId="2" applyFont="1" applyFill="1" applyBorder="1"/>
    <xf numFmtId="164" fontId="7" fillId="3" borderId="6" xfId="1" applyNumberFormat="1" applyFont="1" applyFill="1" applyBorder="1" applyAlignment="1">
      <alignment wrapText="1"/>
    </xf>
    <xf numFmtId="0" fontId="9" fillId="4" borderId="4" xfId="3" quotePrefix="1" applyFont="1" applyFill="1" applyBorder="1"/>
    <xf numFmtId="0" fontId="9" fillId="4" borderId="5" xfId="3" applyFont="1" applyFill="1" applyBorder="1" applyAlignment="1">
      <alignment wrapText="1"/>
    </xf>
    <xf numFmtId="3" fontId="9" fillId="4" borderId="6" xfId="3" applyNumberFormat="1" applyFont="1" applyFill="1" applyBorder="1"/>
    <xf numFmtId="164" fontId="9" fillId="4" borderId="6" xfId="1" applyNumberFormat="1" applyFont="1" applyFill="1" applyBorder="1"/>
    <xf numFmtId="9" fontId="9" fillId="4" borderId="6" xfId="5" applyFont="1" applyFill="1" applyBorder="1"/>
    <xf numFmtId="9" fontId="9" fillId="4" borderId="6" xfId="2" applyFont="1" applyFill="1" applyBorder="1"/>
    <xf numFmtId="3" fontId="10" fillId="4" borderId="6" xfId="3" applyNumberFormat="1" applyFont="1" applyFill="1" applyBorder="1"/>
    <xf numFmtId="0" fontId="13" fillId="0" borderId="0" xfId="3" applyFont="1"/>
    <xf numFmtId="0" fontId="2" fillId="0" borderId="7" xfId="3" applyFont="1" applyBorder="1" applyAlignment="1">
      <alignment horizontal="left" indent="1"/>
    </xf>
    <xf numFmtId="0" fontId="2" fillId="0" borderId="8" xfId="3" applyFont="1" applyBorder="1" applyAlignment="1">
      <alignment horizontal="left" wrapText="1" indent="2"/>
    </xf>
    <xf numFmtId="3" fontId="2" fillId="0" borderId="9" xfId="3" applyNumberFormat="1" applyFont="1" applyBorder="1"/>
    <xf numFmtId="164" fontId="2" fillId="0" borderId="9" xfId="1" applyNumberFormat="1" applyFont="1" applyBorder="1"/>
    <xf numFmtId="9" fontId="2" fillId="0" borderId="9" xfId="5" applyFont="1" applyFill="1" applyBorder="1"/>
    <xf numFmtId="3" fontId="6" fillId="0" borderId="9" xfId="3" applyNumberFormat="1" applyFont="1" applyBorder="1"/>
    <xf numFmtId="9" fontId="2" fillId="0" borderId="9" xfId="2" applyFont="1" applyFill="1" applyBorder="1"/>
    <xf numFmtId="3" fontId="6" fillId="0" borderId="9" xfId="3" applyNumberFormat="1" applyFont="1" applyBorder="1" applyAlignment="1">
      <alignment wrapText="1"/>
    </xf>
    <xf numFmtId="3" fontId="7" fillId="0" borderId="9" xfId="3" applyNumberFormat="1" applyFont="1" applyBorder="1"/>
    <xf numFmtId="164" fontId="2" fillId="3" borderId="6" xfId="1" applyNumberFormat="1" applyFont="1" applyFill="1" applyBorder="1" applyAlignment="1">
      <alignment wrapText="1"/>
    </xf>
    <xf numFmtId="0" fontId="9" fillId="4" borderId="7" xfId="3" applyFont="1" applyFill="1" applyBorder="1"/>
    <xf numFmtId="0" fontId="9" fillId="4" borderId="8" xfId="3" applyFont="1" applyFill="1" applyBorder="1" applyAlignment="1">
      <alignment wrapText="1"/>
    </xf>
    <xf numFmtId="3" fontId="9" fillId="4" borderId="9" xfId="3" applyNumberFormat="1" applyFont="1" applyFill="1" applyBorder="1"/>
    <xf numFmtId="164" fontId="9" fillId="4" borderId="9" xfId="1" applyNumberFormat="1" applyFont="1" applyFill="1" applyBorder="1"/>
    <xf numFmtId="9" fontId="9" fillId="4" borderId="9" xfId="5" applyFont="1" applyFill="1" applyBorder="1"/>
    <xf numFmtId="9" fontId="9" fillId="4" borderId="9" xfId="2" applyFont="1" applyFill="1" applyBorder="1"/>
    <xf numFmtId="3" fontId="10" fillId="4" borderId="9" xfId="3" applyNumberFormat="1" applyFont="1" applyFill="1" applyBorder="1"/>
    <xf numFmtId="9" fontId="2" fillId="0" borderId="9" xfId="5" applyFont="1" applyBorder="1"/>
    <xf numFmtId="3" fontId="7" fillId="4" borderId="9" xfId="3" applyNumberFormat="1" applyFont="1" applyFill="1" applyBorder="1"/>
    <xf numFmtId="9" fontId="2" fillId="0" borderId="10" xfId="5" applyFont="1" applyFill="1" applyBorder="1"/>
    <xf numFmtId="0" fontId="1" fillId="0" borderId="0" xfId="3"/>
    <xf numFmtId="9" fontId="2" fillId="0" borderId="10" xfId="5" applyFont="1" applyFill="1" applyBorder="1" applyAlignment="1">
      <alignment wrapText="1"/>
    </xf>
    <xf numFmtId="3" fontId="2" fillId="4" borderId="9" xfId="3" applyNumberFormat="1" applyFont="1" applyFill="1" applyBorder="1"/>
    <xf numFmtId="9" fontId="2" fillId="0" borderId="9" xfId="2" applyFont="1" applyBorder="1"/>
    <xf numFmtId="0" fontId="14" fillId="0" borderId="7" xfId="3" applyFont="1" applyBorder="1" applyAlignment="1">
      <alignment horizontal="left" indent="2"/>
    </xf>
    <xf numFmtId="0" fontId="14" fillId="0" borderId="8" xfId="3" applyFont="1" applyBorder="1" applyAlignment="1">
      <alignment horizontal="left" wrapText="1" indent="3"/>
    </xf>
    <xf numFmtId="0" fontId="13" fillId="0" borderId="0" xfId="3" quotePrefix="1" applyFont="1"/>
    <xf numFmtId="3" fontId="2" fillId="2" borderId="9" xfId="3" applyNumberFormat="1" applyFont="1" applyFill="1" applyBorder="1"/>
    <xf numFmtId="9" fontId="2" fillId="4" borderId="9" xfId="5" applyFont="1" applyFill="1" applyBorder="1" applyAlignment="1">
      <alignment wrapText="1"/>
    </xf>
    <xf numFmtId="0" fontId="2" fillId="5" borderId="8" xfId="3" applyFont="1" applyFill="1" applyBorder="1" applyAlignment="1">
      <alignment horizontal="left" wrapText="1" indent="2"/>
    </xf>
    <xf numFmtId="9" fontId="2" fillId="0" borderId="9" xfId="5" applyFont="1" applyFill="1" applyBorder="1" applyAlignment="1">
      <alignment wrapText="1"/>
    </xf>
    <xf numFmtId="9" fontId="7" fillId="0" borderId="9" xfId="5" applyFont="1" applyFill="1" applyBorder="1" applyAlignment="1">
      <alignment wrapText="1"/>
    </xf>
    <xf numFmtId="3" fontId="2" fillId="0" borderId="9" xfId="3" applyNumberFormat="1" applyFont="1" applyBorder="1" applyAlignment="1">
      <alignment wrapText="1"/>
    </xf>
    <xf numFmtId="0" fontId="9" fillId="4" borderId="7" xfId="3" quotePrefix="1" applyFont="1" applyFill="1" applyBorder="1"/>
    <xf numFmtId="0" fontId="2" fillId="3" borderId="7" xfId="3" applyFont="1" applyFill="1" applyBorder="1" applyAlignment="1">
      <alignment horizontal="left" indent="1"/>
    </xf>
    <xf numFmtId="0" fontId="2" fillId="3" borderId="8" xfId="3" applyFont="1" applyFill="1" applyBorder="1" applyAlignment="1">
      <alignment horizontal="left" wrapText="1" indent="2"/>
    </xf>
    <xf numFmtId="3" fontId="2" fillId="3" borderId="9" xfId="3" applyNumberFormat="1" applyFont="1" applyFill="1" applyBorder="1"/>
    <xf numFmtId="164" fontId="2" fillId="6" borderId="9" xfId="1" applyNumberFormat="1" applyFont="1" applyFill="1" applyBorder="1"/>
    <xf numFmtId="3" fontId="2" fillId="6" borderId="9" xfId="3" applyNumberFormat="1" applyFont="1" applyFill="1" applyBorder="1"/>
    <xf numFmtId="9" fontId="6" fillId="0" borderId="9" xfId="5" applyFont="1" applyFill="1" applyBorder="1" applyAlignment="1">
      <alignment wrapText="1"/>
    </xf>
    <xf numFmtId="9" fontId="6" fillId="0" borderId="9" xfId="2" applyFont="1" applyFill="1" applyBorder="1"/>
    <xf numFmtId="3" fontId="2" fillId="7" borderId="9" xfId="3" applyNumberFormat="1" applyFont="1" applyFill="1" applyBorder="1"/>
    <xf numFmtId="164" fontId="2" fillId="7" borderId="9" xfId="1" applyNumberFormat="1" applyFont="1" applyFill="1" applyBorder="1"/>
    <xf numFmtId="3" fontId="2" fillId="7" borderId="9" xfId="3" applyNumberFormat="1" applyFont="1" applyFill="1" applyBorder="1" applyAlignment="1">
      <alignment wrapText="1"/>
    </xf>
    <xf numFmtId="9" fontId="2" fillId="7" borderId="9" xfId="2" applyFont="1" applyFill="1" applyBorder="1"/>
    <xf numFmtId="3" fontId="7" fillId="7" borderId="9" xfId="3" applyNumberFormat="1" applyFont="1" applyFill="1" applyBorder="1"/>
    <xf numFmtId="3" fontId="14" fillId="8" borderId="9" xfId="3" applyNumberFormat="1" applyFont="1" applyFill="1" applyBorder="1"/>
    <xf numFmtId="164" fontId="14" fillId="8" borderId="9" xfId="1" applyNumberFormat="1" applyFont="1" applyFill="1" applyBorder="1"/>
    <xf numFmtId="9" fontId="14" fillId="8" borderId="9" xfId="5" applyFont="1" applyFill="1" applyBorder="1" applyAlignment="1">
      <alignment wrapText="1"/>
    </xf>
    <xf numFmtId="9" fontId="14" fillId="8" borderId="9" xfId="2" applyFont="1" applyFill="1" applyBorder="1"/>
    <xf numFmtId="3" fontId="15" fillId="8" borderId="9" xfId="3" applyNumberFormat="1" applyFont="1" applyFill="1" applyBorder="1"/>
    <xf numFmtId="0" fontId="14" fillId="0" borderId="0" xfId="3" applyFont="1"/>
    <xf numFmtId="3" fontId="14" fillId="9" borderId="9" xfId="3" applyNumberFormat="1" applyFont="1" applyFill="1" applyBorder="1"/>
    <xf numFmtId="9" fontId="14" fillId="9" borderId="9" xfId="5" applyFont="1" applyFill="1" applyBorder="1"/>
    <xf numFmtId="9" fontId="14" fillId="9" borderId="9" xfId="5" applyFont="1" applyFill="1" applyBorder="1" applyAlignment="1">
      <alignment wrapText="1"/>
    </xf>
    <xf numFmtId="9" fontId="2" fillId="0" borderId="11" xfId="5" applyFont="1" applyFill="1" applyBorder="1" applyAlignment="1">
      <alignment wrapText="1"/>
    </xf>
    <xf numFmtId="3" fontId="7" fillId="11" borderId="9" xfId="3" applyNumberFormat="1" applyFont="1" applyFill="1" applyBorder="1"/>
    <xf numFmtId="9" fontId="2" fillId="12" borderId="9" xfId="5" applyFont="1" applyFill="1" applyBorder="1"/>
    <xf numFmtId="9" fontId="2" fillId="10" borderId="9" xfId="2" applyFont="1" applyFill="1" applyBorder="1"/>
    <xf numFmtId="0" fontId="2" fillId="0" borderId="0" xfId="3" quotePrefix="1" applyFont="1"/>
    <xf numFmtId="0" fontId="2" fillId="13" borderId="8" xfId="3" applyFont="1" applyFill="1" applyBorder="1" applyAlignment="1">
      <alignment horizontal="left" wrapText="1" indent="2"/>
    </xf>
    <xf numFmtId="9" fontId="16" fillId="12" borderId="9" xfId="5" applyFont="1" applyFill="1" applyBorder="1"/>
    <xf numFmtId="9" fontId="6" fillId="11" borderId="9" xfId="2" applyFont="1" applyFill="1" applyBorder="1"/>
    <xf numFmtId="3" fontId="2" fillId="11" borderId="9" xfId="3" applyNumberFormat="1" applyFont="1" applyFill="1" applyBorder="1"/>
    <xf numFmtId="3" fontId="2" fillId="14" borderId="9" xfId="3" applyNumberFormat="1" applyFont="1" applyFill="1" applyBorder="1"/>
    <xf numFmtId="9" fontId="2" fillId="11" borderId="9" xfId="2" applyFont="1" applyFill="1" applyBorder="1"/>
    <xf numFmtId="3" fontId="7" fillId="0" borderId="9" xfId="3" applyNumberFormat="1" applyFont="1" applyBorder="1" applyAlignment="1">
      <alignment wrapText="1"/>
    </xf>
    <xf numFmtId="164" fontId="2" fillId="3" borderId="9" xfId="1" applyNumberFormat="1" applyFont="1" applyFill="1" applyBorder="1"/>
    <xf numFmtId="9" fontId="2" fillId="3" borderId="9" xfId="5" applyFont="1" applyFill="1" applyBorder="1" applyAlignment="1">
      <alignment wrapText="1"/>
    </xf>
    <xf numFmtId="9" fontId="2" fillId="3" borderId="9" xfId="2" applyFont="1" applyFill="1" applyBorder="1"/>
    <xf numFmtId="0" fontId="2" fillId="0" borderId="8" xfId="3" applyFont="1" applyBorder="1" applyAlignment="1">
      <alignment horizontal="left" wrapText="1" indent="3"/>
    </xf>
    <xf numFmtId="9" fontId="2" fillId="15" borderId="9" xfId="5" applyFont="1" applyFill="1" applyBorder="1" applyAlignment="1">
      <alignment wrapText="1"/>
    </xf>
    <xf numFmtId="0" fontId="6" fillId="0" borderId="0" xfId="3" quotePrefix="1" applyFont="1"/>
    <xf numFmtId="9" fontId="2" fillId="0" borderId="13" xfId="5" applyFont="1" applyFill="1" applyBorder="1"/>
    <xf numFmtId="0" fontId="2" fillId="0" borderId="0" xfId="3" quotePrefix="1" applyFont="1" applyAlignment="1">
      <alignment wrapText="1"/>
    </xf>
    <xf numFmtId="0" fontId="2" fillId="13" borderId="8" xfId="3" applyFont="1" applyFill="1" applyBorder="1" applyAlignment="1">
      <alignment horizontal="left" wrapText="1" indent="3"/>
    </xf>
    <xf numFmtId="0" fontId="1" fillId="12" borderId="0" xfId="3" applyFill="1"/>
    <xf numFmtId="49" fontId="2" fillId="0" borderId="14" xfId="3" applyNumberFormat="1" applyFont="1" applyBorder="1" applyAlignment="1">
      <alignment horizontal="left" wrapText="1" indent="4"/>
    </xf>
    <xf numFmtId="3" fontId="7" fillId="4" borderId="9" xfId="3" applyNumberFormat="1" applyFont="1" applyFill="1" applyBorder="1" applyAlignment="1">
      <alignment wrapText="1"/>
    </xf>
    <xf numFmtId="0" fontId="2" fillId="5" borderId="7" xfId="3" applyFont="1" applyFill="1" applyBorder="1" applyAlignment="1">
      <alignment horizontal="left" indent="2"/>
    </xf>
    <xf numFmtId="0" fontId="2" fillId="5" borderId="8" xfId="3" applyFont="1" applyFill="1" applyBorder="1" applyAlignment="1">
      <alignment horizontal="left" wrapText="1" indent="3"/>
    </xf>
    <xf numFmtId="1" fontId="2" fillId="0" borderId="9" xfId="5" applyNumberFormat="1" applyFont="1" applyFill="1" applyBorder="1"/>
    <xf numFmtId="3" fontId="2" fillId="16" borderId="9" xfId="3" applyNumberFormat="1" applyFont="1" applyFill="1" applyBorder="1"/>
    <xf numFmtId="0" fontId="9" fillId="0" borderId="15" xfId="3" applyFont="1" applyBorder="1"/>
    <xf numFmtId="0" fontId="9" fillId="0" borderId="16" xfId="3" applyFont="1" applyBorder="1" applyAlignment="1">
      <alignment horizontal="right" wrapText="1"/>
    </xf>
    <xf numFmtId="3" fontId="9" fillId="0" borderId="3" xfId="3" applyNumberFormat="1" applyFont="1" applyBorder="1"/>
    <xf numFmtId="164" fontId="9" fillId="0" borderId="3" xfId="1" applyNumberFormat="1" applyFont="1" applyBorder="1"/>
    <xf numFmtId="9" fontId="9" fillId="0" borderId="3" xfId="5" applyFont="1" applyBorder="1"/>
    <xf numFmtId="9" fontId="9" fillId="0" borderId="3" xfId="2" applyFont="1" applyBorder="1"/>
    <xf numFmtId="3" fontId="7" fillId="0" borderId="3" xfId="3" applyNumberFormat="1" applyFont="1" applyBorder="1" applyAlignment="1">
      <alignment wrapText="1"/>
    </xf>
    <xf numFmtId="0" fontId="9" fillId="0" borderId="17" xfId="3" quotePrefix="1" applyFont="1" applyBorder="1"/>
    <xf numFmtId="0" fontId="9" fillId="0" borderId="18" xfId="3" applyFont="1" applyBorder="1" applyAlignment="1">
      <alignment wrapText="1"/>
    </xf>
    <xf numFmtId="3" fontId="9" fillId="0" borderId="19" xfId="3" applyNumberFormat="1" applyFont="1" applyBorder="1"/>
    <xf numFmtId="164" fontId="9" fillId="0" borderId="19" xfId="1" applyNumberFormat="1" applyFont="1" applyBorder="1"/>
    <xf numFmtId="9" fontId="9" fillId="0" borderId="19" xfId="5" applyFont="1" applyFill="1" applyBorder="1"/>
    <xf numFmtId="9" fontId="9" fillId="0" borderId="19" xfId="2" applyFont="1" applyFill="1" applyBorder="1"/>
    <xf numFmtId="3" fontId="10" fillId="0" borderId="19" xfId="3" applyNumberFormat="1" applyFont="1" applyBorder="1"/>
    <xf numFmtId="0" fontId="9" fillId="4" borderId="14" xfId="3" applyFont="1" applyFill="1" applyBorder="1" applyAlignment="1">
      <alignment wrapText="1"/>
    </xf>
    <xf numFmtId="3" fontId="9" fillId="4" borderId="13" xfId="3" applyNumberFormat="1" applyFont="1" applyFill="1" applyBorder="1"/>
    <xf numFmtId="164" fontId="9" fillId="4" borderId="13" xfId="1" applyNumberFormat="1" applyFont="1" applyFill="1" applyBorder="1"/>
    <xf numFmtId="9" fontId="9" fillId="4" borderId="13" xfId="2" applyFont="1" applyFill="1" applyBorder="1"/>
    <xf numFmtId="3" fontId="2" fillId="0" borderId="13" xfId="3" applyNumberFormat="1" applyFont="1" applyBorder="1"/>
    <xf numFmtId="3" fontId="2" fillId="0" borderId="14" xfId="3" applyNumberFormat="1" applyFont="1" applyBorder="1"/>
    <xf numFmtId="9" fontId="2" fillId="0" borderId="13" xfId="2" applyFont="1" applyFill="1" applyBorder="1"/>
    <xf numFmtId="3" fontId="7" fillId="0" borderId="13" xfId="3" applyNumberFormat="1" applyFont="1" applyBorder="1" applyAlignment="1">
      <alignment wrapText="1"/>
    </xf>
    <xf numFmtId="49" fontId="2" fillId="10" borderId="14" xfId="3" applyNumberFormat="1" applyFont="1" applyFill="1" applyBorder="1" applyAlignment="1">
      <alignment horizontal="left" wrapText="1" indent="4"/>
    </xf>
    <xf numFmtId="3" fontId="6" fillId="0" borderId="14" xfId="3" applyNumberFormat="1" applyFont="1" applyBorder="1"/>
    <xf numFmtId="9" fontId="2" fillId="10" borderId="13" xfId="2" applyFont="1" applyFill="1" applyBorder="1"/>
    <xf numFmtId="3" fontId="2" fillId="0" borderId="13" xfId="3" applyNumberFormat="1" applyFont="1" applyBorder="1" applyAlignment="1">
      <alignment wrapText="1"/>
    </xf>
    <xf numFmtId="3" fontId="7" fillId="0" borderId="13" xfId="3" applyNumberFormat="1" applyFont="1" applyBorder="1"/>
    <xf numFmtId="164" fontId="2" fillId="0" borderId="13" xfId="1" applyNumberFormat="1" applyFont="1" applyBorder="1"/>
    <xf numFmtId="3" fontId="2" fillId="0" borderId="20" xfId="3" applyNumberFormat="1" applyFont="1" applyBorder="1"/>
    <xf numFmtId="9" fontId="2" fillId="0" borderId="21" xfId="5" applyFont="1" applyFill="1" applyBorder="1"/>
    <xf numFmtId="49" fontId="2" fillId="0" borderId="22" xfId="3" applyNumberFormat="1" applyFont="1" applyBorder="1" applyAlignment="1">
      <alignment horizontal="left" wrapText="1" indent="4"/>
    </xf>
    <xf numFmtId="164" fontId="2" fillId="0" borderId="23" xfId="1" applyNumberFormat="1" applyFont="1" applyBorder="1"/>
    <xf numFmtId="49" fontId="2" fillId="0" borderId="8" xfId="3" applyNumberFormat="1" applyFont="1" applyBorder="1" applyAlignment="1">
      <alignment horizontal="left" wrapText="1" indent="4"/>
    </xf>
    <xf numFmtId="164" fontId="2" fillId="17" borderId="8" xfId="1" applyNumberFormat="1" applyFont="1" applyFill="1" applyBorder="1"/>
    <xf numFmtId="164" fontId="2" fillId="0" borderId="8" xfId="1" applyNumberFormat="1" applyFont="1" applyBorder="1"/>
    <xf numFmtId="9" fontId="2" fillId="0" borderId="8" xfId="5" applyFont="1" applyFill="1" applyBorder="1"/>
    <xf numFmtId="0" fontId="2" fillId="5" borderId="24" xfId="3" applyFont="1" applyFill="1" applyBorder="1" applyAlignment="1">
      <alignment horizontal="left" indent="2"/>
    </xf>
    <xf numFmtId="49" fontId="2" fillId="10" borderId="8" xfId="3" applyNumberFormat="1" applyFont="1" applyFill="1" applyBorder="1" applyAlignment="1">
      <alignment horizontal="left" wrapText="1" indent="4"/>
    </xf>
    <xf numFmtId="9" fontId="2" fillId="0" borderId="8" xfId="5" applyFont="1" applyFill="1" applyBorder="1" applyAlignment="1">
      <alignment wrapText="1"/>
    </xf>
    <xf numFmtId="49" fontId="2" fillId="0" borderId="25" xfId="3" applyNumberFormat="1" applyFont="1" applyBorder="1" applyAlignment="1">
      <alignment horizontal="left" wrapText="1" indent="4"/>
    </xf>
    <xf numFmtId="9" fontId="2" fillId="0" borderId="6" xfId="5" applyFont="1" applyFill="1" applyBorder="1"/>
    <xf numFmtId="3" fontId="2" fillId="0" borderId="10" xfId="3" applyNumberFormat="1" applyFont="1" applyBorder="1"/>
    <xf numFmtId="0" fontId="2" fillId="5" borderId="26" xfId="3" applyFont="1" applyFill="1" applyBorder="1" applyAlignment="1">
      <alignment horizontal="left" indent="2"/>
    </xf>
    <xf numFmtId="49" fontId="2" fillId="0" borderId="27" xfId="3" applyNumberFormat="1" applyFont="1" applyBorder="1" applyAlignment="1">
      <alignment horizontal="left" vertical="center" wrapText="1"/>
    </xf>
    <xf numFmtId="164" fontId="2" fillId="0" borderId="27" xfId="1" applyNumberFormat="1" applyFont="1" applyBorder="1" applyAlignment="1">
      <alignment vertical="center"/>
    </xf>
    <xf numFmtId="164" fontId="2" fillId="0" borderId="28" xfId="1" applyNumberFormat="1" applyFont="1" applyBorder="1" applyAlignment="1">
      <alignment vertical="center"/>
    </xf>
    <xf numFmtId="3" fontId="2" fillId="0" borderId="21" xfId="3" applyNumberFormat="1" applyFont="1" applyBorder="1" applyAlignment="1">
      <alignment vertical="center"/>
    </xf>
    <xf numFmtId="9" fontId="2" fillId="0" borderId="21" xfId="5" applyFont="1" applyFill="1" applyBorder="1" applyAlignment="1">
      <alignment vertical="center"/>
    </xf>
    <xf numFmtId="3" fontId="2" fillId="0" borderId="28" xfId="3" applyNumberFormat="1" applyFont="1" applyBorder="1" applyAlignment="1">
      <alignment vertical="center"/>
    </xf>
    <xf numFmtId="9" fontId="2" fillId="0" borderId="12" xfId="5" applyFont="1" applyFill="1" applyBorder="1" applyAlignment="1">
      <alignment vertical="center" wrapText="1"/>
    </xf>
    <xf numFmtId="9" fontId="2" fillId="0" borderId="27" xfId="5" applyFont="1" applyFill="1" applyBorder="1" applyAlignment="1">
      <alignment vertical="center"/>
    </xf>
    <xf numFmtId="3" fontId="2" fillId="0" borderId="10" xfId="3" applyNumberFormat="1" applyFont="1" applyBorder="1" applyAlignment="1">
      <alignment vertical="center"/>
    </xf>
    <xf numFmtId="9" fontId="2" fillId="0" borderId="10" xfId="5" applyFont="1" applyFill="1" applyBorder="1" applyAlignment="1">
      <alignment vertical="center" wrapText="1"/>
    </xf>
    <xf numFmtId="0" fontId="9" fillId="0" borderId="29" xfId="3" applyFont="1" applyBorder="1"/>
    <xf numFmtId="0" fontId="9" fillId="0" borderId="30" xfId="3" applyFont="1" applyBorder="1" applyAlignment="1">
      <alignment horizontal="right" wrapText="1"/>
    </xf>
    <xf numFmtId="9" fontId="9" fillId="0" borderId="19" xfId="5" applyFont="1" applyBorder="1"/>
    <xf numFmtId="9" fontId="9" fillId="0" borderId="19" xfId="2" applyFont="1" applyBorder="1"/>
    <xf numFmtId="0" fontId="9" fillId="0" borderId="0" xfId="3" applyFont="1"/>
    <xf numFmtId="0" fontId="6" fillId="0" borderId="0" xfId="3" applyFont="1"/>
    <xf numFmtId="9" fontId="6" fillId="0" borderId="0" xfId="2" applyFont="1"/>
    <xf numFmtId="0" fontId="7" fillId="0" borderId="0" xfId="3" applyFont="1"/>
    <xf numFmtId="10" fontId="2" fillId="0" borderId="0" xfId="9" applyNumberFormat="1" applyFont="1"/>
    <xf numFmtId="10" fontId="7" fillId="0" borderId="0" xfId="9" applyNumberFormat="1" applyFont="1"/>
    <xf numFmtId="49" fontId="9" fillId="4" borderId="31" xfId="3" applyNumberFormat="1" applyFont="1" applyFill="1" applyBorder="1" applyAlignment="1">
      <alignment horizontal="left" indent="2"/>
    </xf>
    <xf numFmtId="49" fontId="9" fillId="4" borderId="32" xfId="3" applyNumberFormat="1" applyFont="1" applyFill="1" applyBorder="1" applyAlignment="1">
      <alignment wrapText="1"/>
    </xf>
    <xf numFmtId="3" fontId="9" fillId="4" borderId="33" xfId="3" applyNumberFormat="1" applyFont="1" applyFill="1" applyBorder="1"/>
    <xf numFmtId="164" fontId="9" fillId="4" borderId="33" xfId="1" applyNumberFormat="1" applyFont="1" applyFill="1" applyBorder="1"/>
    <xf numFmtId="9" fontId="9" fillId="4" borderId="33" xfId="5" applyFont="1" applyFill="1" applyBorder="1"/>
    <xf numFmtId="9" fontId="9" fillId="4" borderId="33" xfId="2" applyFont="1" applyFill="1" applyBorder="1"/>
    <xf numFmtId="3" fontId="10" fillId="4" borderId="33" xfId="3" applyNumberFormat="1" applyFont="1" applyFill="1" applyBorder="1"/>
    <xf numFmtId="49" fontId="2" fillId="3" borderId="7" xfId="3" applyNumberFormat="1" applyFont="1" applyFill="1" applyBorder="1" applyAlignment="1">
      <alignment horizontal="left" indent="1"/>
    </xf>
    <xf numFmtId="49" fontId="2" fillId="3" borderId="8" xfId="3" applyNumberFormat="1" applyFont="1" applyFill="1" applyBorder="1" applyAlignment="1">
      <alignment horizontal="left" wrapText="1" indent="2"/>
    </xf>
    <xf numFmtId="3" fontId="7" fillId="3" borderId="9" xfId="3" applyNumberFormat="1" applyFont="1" applyFill="1" applyBorder="1"/>
    <xf numFmtId="9" fontId="7" fillId="3" borderId="9" xfId="5" applyFont="1" applyFill="1" applyBorder="1" applyAlignment="1">
      <alignment wrapText="1"/>
    </xf>
    <xf numFmtId="9" fontId="2" fillId="3" borderId="9" xfId="5" applyFont="1" applyFill="1" applyBorder="1"/>
    <xf numFmtId="3" fontId="6" fillId="3" borderId="9" xfId="3" applyNumberFormat="1" applyFont="1" applyFill="1" applyBorder="1"/>
    <xf numFmtId="49" fontId="9" fillId="4" borderId="7" xfId="3" applyNumberFormat="1" applyFont="1" applyFill="1" applyBorder="1"/>
    <xf numFmtId="49" fontId="9" fillId="4" borderId="8" xfId="3" applyNumberFormat="1" applyFont="1" applyFill="1" applyBorder="1" applyAlignment="1">
      <alignment wrapText="1"/>
    </xf>
    <xf numFmtId="3" fontId="7" fillId="3" borderId="9" xfId="3" applyNumberFormat="1" applyFont="1" applyFill="1" applyBorder="1" applyAlignment="1">
      <alignment wrapText="1"/>
    </xf>
    <xf numFmtId="9" fontId="7" fillId="4" borderId="9" xfId="5" applyFont="1" applyFill="1" applyBorder="1" applyAlignment="1">
      <alignment wrapText="1"/>
    </xf>
    <xf numFmtId="3" fontId="6" fillId="4" borderId="9" xfId="3" applyNumberFormat="1" applyFont="1" applyFill="1" applyBorder="1"/>
    <xf numFmtId="0" fontId="18" fillId="0" borderId="0" xfId="3" applyFont="1"/>
    <xf numFmtId="49" fontId="2" fillId="0" borderId="7" xfId="3" applyNumberFormat="1" applyFont="1" applyBorder="1" applyAlignment="1">
      <alignment horizontal="left" indent="2"/>
    </xf>
    <xf numFmtId="49" fontId="2" fillId="0" borderId="8" xfId="3" applyNumberFormat="1" applyFont="1" applyBorder="1" applyAlignment="1">
      <alignment horizontal="left" wrapText="1" indent="2"/>
    </xf>
    <xf numFmtId="49" fontId="9" fillId="3" borderId="8" xfId="3" applyNumberFormat="1" applyFont="1" applyFill="1" applyBorder="1" applyAlignment="1">
      <alignment horizontal="left" wrapText="1" indent="2"/>
    </xf>
    <xf numFmtId="3" fontId="9" fillId="3" borderId="9" xfId="3" applyNumberFormat="1" applyFont="1" applyFill="1" applyBorder="1"/>
    <xf numFmtId="164" fontId="9" fillId="3" borderId="9" xfId="1" applyNumberFormat="1" applyFont="1" applyFill="1" applyBorder="1"/>
    <xf numFmtId="3" fontId="10" fillId="3" borderId="9" xfId="3" applyNumberFormat="1" applyFont="1" applyFill="1" applyBorder="1"/>
    <xf numFmtId="9" fontId="7" fillId="3" borderId="9" xfId="5" quotePrefix="1" applyFont="1" applyFill="1" applyBorder="1" applyAlignment="1">
      <alignment wrapText="1"/>
    </xf>
    <xf numFmtId="9" fontId="2" fillId="3" borderId="9" xfId="5" quotePrefix="1" applyFont="1" applyFill="1" applyBorder="1" applyAlignment="1">
      <alignment wrapText="1"/>
    </xf>
    <xf numFmtId="9" fontId="9" fillId="3" borderId="9" xfId="2" applyFont="1" applyFill="1" applyBorder="1"/>
    <xf numFmtId="3" fontId="2" fillId="3" borderId="9" xfId="3" applyNumberFormat="1" applyFont="1" applyFill="1" applyBorder="1" applyAlignment="1">
      <alignment wrapText="1"/>
    </xf>
    <xf numFmtId="9" fontId="2" fillId="0" borderId="9" xfId="5" applyFont="1" applyBorder="1" applyAlignment="1">
      <alignment wrapText="1"/>
    </xf>
    <xf numFmtId="9" fontId="7" fillId="0" borderId="9" xfId="5" applyFont="1" applyBorder="1" applyAlignment="1">
      <alignment wrapText="1"/>
    </xf>
    <xf numFmtId="49" fontId="7" fillId="0" borderId="8" xfId="3" applyNumberFormat="1" applyFont="1" applyBorder="1" applyAlignment="1">
      <alignment horizontal="left" wrapText="1" indent="4"/>
    </xf>
    <xf numFmtId="49" fontId="2" fillId="18" borderId="7" xfId="3" applyNumberFormat="1" applyFont="1" applyFill="1" applyBorder="1" applyAlignment="1">
      <alignment horizontal="left" indent="2"/>
    </xf>
    <xf numFmtId="0" fontId="7" fillId="0" borderId="8" xfId="3" applyFont="1" applyBorder="1" applyAlignment="1">
      <alignment horizontal="left" wrapText="1" indent="3"/>
    </xf>
    <xf numFmtId="0" fontId="7" fillId="15" borderId="8" xfId="3" applyFont="1" applyFill="1" applyBorder="1" applyAlignment="1">
      <alignment horizontal="left" wrapText="1" indent="3"/>
    </xf>
    <xf numFmtId="9" fontId="2" fillId="0" borderId="12" xfId="5" applyFont="1" applyBorder="1" applyAlignment="1">
      <alignment wrapText="1"/>
    </xf>
    <xf numFmtId="9" fontId="2" fillId="0" borderId="28" xfId="5" applyFont="1" applyBorder="1" applyAlignment="1">
      <alignment horizontal="left" wrapText="1"/>
    </xf>
    <xf numFmtId="9" fontId="2" fillId="0" borderId="28" xfId="5" applyFont="1" applyBorder="1" applyAlignment="1">
      <alignment wrapText="1"/>
    </xf>
    <xf numFmtId="9" fontId="9" fillId="3" borderId="9" xfId="5" applyFont="1" applyFill="1" applyBorder="1"/>
    <xf numFmtId="49" fontId="6" fillId="0" borderId="7" xfId="3" applyNumberFormat="1" applyFont="1" applyBorder="1" applyAlignment="1">
      <alignment horizontal="left" indent="2"/>
    </xf>
    <xf numFmtId="0" fontId="6" fillId="15" borderId="8" xfId="3" applyFont="1" applyFill="1" applyBorder="1" applyAlignment="1">
      <alignment horizontal="left" wrapText="1" indent="3"/>
    </xf>
    <xf numFmtId="9" fontId="2" fillId="0" borderId="10" xfId="5" applyFont="1" applyBorder="1" applyAlignment="1">
      <alignment wrapText="1"/>
    </xf>
    <xf numFmtId="0" fontId="2" fillId="15" borderId="8" xfId="3" applyFont="1" applyFill="1" applyBorder="1" applyAlignment="1">
      <alignment horizontal="left" wrapText="1" indent="3"/>
    </xf>
    <xf numFmtId="9" fontId="2" fillId="0" borderId="12" xfId="5" applyFont="1" applyFill="1" applyBorder="1" applyAlignment="1">
      <alignment wrapText="1"/>
    </xf>
    <xf numFmtId="3" fontId="2" fillId="19" borderId="9" xfId="3" applyNumberFormat="1" applyFont="1" applyFill="1" applyBorder="1"/>
    <xf numFmtId="164" fontId="2" fillId="16" borderId="9" xfId="1" applyNumberFormat="1" applyFont="1" applyFill="1" applyBorder="1"/>
    <xf numFmtId="9" fontId="2" fillId="16" borderId="9" xfId="2" applyFont="1" applyFill="1" applyBorder="1"/>
    <xf numFmtId="49" fontId="19" fillId="0" borderId="7" xfId="3" applyNumberFormat="1" applyFont="1" applyBorder="1" applyAlignment="1">
      <alignment horizontal="left" indent="3"/>
    </xf>
    <xf numFmtId="0" fontId="19" fillId="15" borderId="8" xfId="3" applyFont="1" applyFill="1" applyBorder="1" applyAlignment="1">
      <alignment horizontal="left" wrapText="1" indent="6"/>
    </xf>
    <xf numFmtId="9" fontId="6" fillId="0" borderId="9" xfId="5" applyFont="1" applyBorder="1" applyAlignment="1">
      <alignment wrapText="1"/>
    </xf>
    <xf numFmtId="3" fontId="2" fillId="15" borderId="9" xfId="3" applyNumberFormat="1" applyFont="1" applyFill="1" applyBorder="1"/>
    <xf numFmtId="3" fontId="2" fillId="10" borderId="9" xfId="3" applyNumberFormat="1" applyFont="1" applyFill="1" applyBorder="1"/>
    <xf numFmtId="0" fontId="2" fillId="19" borderId="8" xfId="3" applyFont="1" applyFill="1" applyBorder="1" applyAlignment="1">
      <alignment horizontal="left" wrapText="1" indent="3"/>
    </xf>
    <xf numFmtId="3" fontId="2" fillId="13" borderId="9" xfId="3" applyNumberFormat="1" applyFont="1" applyFill="1" applyBorder="1"/>
    <xf numFmtId="9" fontId="7" fillId="0" borderId="9" xfId="5" quotePrefix="1" applyFont="1" applyBorder="1" applyAlignment="1">
      <alignment wrapText="1"/>
    </xf>
    <xf numFmtId="9" fontId="2" fillId="0" borderId="9" xfId="5" quotePrefix="1" applyFont="1" applyBorder="1" applyAlignment="1">
      <alignment wrapText="1"/>
    </xf>
    <xf numFmtId="49" fontId="2" fillId="18" borderId="7" xfId="3" applyNumberFormat="1" applyFont="1" applyFill="1" applyBorder="1" applyAlignment="1">
      <alignment horizontal="left" indent="1"/>
    </xf>
    <xf numFmtId="9" fontId="19" fillId="3" borderId="9" xfId="5" applyFont="1" applyFill="1" applyBorder="1" applyAlignment="1">
      <alignment wrapText="1"/>
    </xf>
    <xf numFmtId="9" fontId="20" fillId="3" borderId="9" xfId="5" applyFont="1" applyFill="1" applyBorder="1" applyAlignment="1">
      <alignment wrapText="1"/>
    </xf>
    <xf numFmtId="0" fontId="13" fillId="15" borderId="0" xfId="3" applyFont="1" applyFill="1"/>
    <xf numFmtId="0" fontId="13" fillId="15" borderId="8" xfId="3" applyFont="1" applyFill="1" applyBorder="1" applyAlignment="1">
      <alignment horizontal="left" indent="2"/>
    </xf>
    <xf numFmtId="0" fontId="2" fillId="15" borderId="34" xfId="3" applyFont="1" applyFill="1" applyBorder="1" applyAlignment="1">
      <alignment horizontal="left" indent="3"/>
    </xf>
    <xf numFmtId="164" fontId="2" fillId="15" borderId="9" xfId="1" applyNumberFormat="1" applyFont="1" applyFill="1" applyBorder="1"/>
    <xf numFmtId="9" fontId="2" fillId="15" borderId="9" xfId="5" applyFont="1" applyFill="1" applyBorder="1"/>
    <xf numFmtId="3" fontId="7" fillId="15" borderId="9" xfId="3" applyNumberFormat="1" applyFont="1" applyFill="1" applyBorder="1"/>
    <xf numFmtId="9" fontId="2" fillId="15" borderId="9" xfId="2" applyFont="1" applyFill="1" applyBorder="1"/>
    <xf numFmtId="9" fontId="2" fillId="6" borderId="9" xfId="2" applyFont="1" applyFill="1" applyBorder="1"/>
    <xf numFmtId="3" fontId="7" fillId="6" borderId="9" xfId="3" applyNumberFormat="1" applyFont="1" applyFill="1" applyBorder="1"/>
    <xf numFmtId="0" fontId="13" fillId="0" borderId="8" xfId="3" applyFont="1" applyBorder="1" applyAlignment="1">
      <alignment horizontal="left" indent="2"/>
    </xf>
    <xf numFmtId="0" fontId="2" fillId="0" borderId="34" xfId="3" applyFont="1" applyBorder="1" applyAlignment="1">
      <alignment horizontal="left" indent="3"/>
    </xf>
    <xf numFmtId="0" fontId="13" fillId="18" borderId="8" xfId="3" applyFont="1" applyFill="1" applyBorder="1" applyAlignment="1">
      <alignment horizontal="left" indent="2"/>
    </xf>
    <xf numFmtId="9" fontId="6" fillId="3" borderId="9" xfId="5" applyFont="1" applyFill="1" applyBorder="1"/>
    <xf numFmtId="0" fontId="2" fillId="0" borderId="0" xfId="3" applyFont="1" applyAlignment="1">
      <alignment horizontal="right"/>
    </xf>
    <xf numFmtId="3" fontId="2" fillId="5" borderId="9" xfId="3" applyNumberFormat="1" applyFont="1" applyFill="1" applyBorder="1"/>
    <xf numFmtId="164" fontId="2" fillId="5" borderId="9" xfId="1" applyNumberFormat="1" applyFont="1" applyFill="1" applyBorder="1"/>
    <xf numFmtId="9" fontId="2" fillId="5" borderId="9" xfId="2" applyFont="1" applyFill="1" applyBorder="1"/>
    <xf numFmtId="3" fontId="7" fillId="5" borderId="9" xfId="3" applyNumberFormat="1" applyFont="1" applyFill="1" applyBorder="1"/>
    <xf numFmtId="9" fontId="2" fillId="5" borderId="9" xfId="5" applyFont="1" applyFill="1" applyBorder="1" applyAlignment="1">
      <alignment wrapText="1"/>
    </xf>
    <xf numFmtId="49" fontId="9" fillId="3" borderId="7" xfId="3" applyNumberFormat="1" applyFont="1" applyFill="1" applyBorder="1" applyAlignment="1">
      <alignment horizontal="left" indent="1"/>
    </xf>
    <xf numFmtId="0" fontId="2" fillId="5" borderId="0" xfId="3" quotePrefix="1" applyFont="1" applyFill="1"/>
    <xf numFmtId="0" fontId="2" fillId="5" borderId="0" xfId="3" applyFont="1" applyFill="1"/>
    <xf numFmtId="49" fontId="2" fillId="5" borderId="7" xfId="3" applyNumberFormat="1" applyFont="1" applyFill="1" applyBorder="1" applyAlignment="1">
      <alignment horizontal="left" indent="2"/>
    </xf>
    <xf numFmtId="49" fontId="2" fillId="5" borderId="8" xfId="3" applyNumberFormat="1" applyFont="1" applyFill="1" applyBorder="1" applyAlignment="1">
      <alignment horizontal="left" wrapText="1" indent="4"/>
    </xf>
    <xf numFmtId="3" fontId="6" fillId="5" borderId="9" xfId="3" applyNumberFormat="1" applyFont="1" applyFill="1" applyBorder="1"/>
    <xf numFmtId="9" fontId="2" fillId="0" borderId="10" xfId="2" applyFont="1" applyFill="1" applyBorder="1" applyAlignment="1"/>
    <xf numFmtId="3" fontId="2" fillId="0" borderId="12" xfId="3" applyNumberFormat="1" applyFont="1" applyBorder="1"/>
    <xf numFmtId="9" fontId="2" fillId="0" borderId="12" xfId="2" applyFont="1" applyFill="1" applyBorder="1" applyAlignment="1"/>
    <xf numFmtId="0" fontId="21" fillId="0" borderId="0" xfId="3" applyFont="1"/>
    <xf numFmtId="0" fontId="21" fillId="0" borderId="0" xfId="3" quotePrefix="1" applyFont="1"/>
    <xf numFmtId="49" fontId="9" fillId="0" borderId="7" xfId="3" applyNumberFormat="1" applyFont="1" applyBorder="1" applyAlignment="1">
      <alignment horizontal="left" indent="2"/>
    </xf>
    <xf numFmtId="49" fontId="9" fillId="0" borderId="8" xfId="3" applyNumberFormat="1" applyFont="1" applyBorder="1" applyAlignment="1">
      <alignment horizontal="left" wrapText="1" indent="4"/>
    </xf>
    <xf numFmtId="3" fontId="9" fillId="0" borderId="9" xfId="3" applyNumberFormat="1" applyFont="1" applyBorder="1"/>
    <xf numFmtId="164" fontId="9" fillId="0" borderId="9" xfId="1" applyNumberFormat="1" applyFont="1" applyBorder="1"/>
    <xf numFmtId="9" fontId="9" fillId="0" borderId="9" xfId="2" applyFont="1" applyFill="1" applyBorder="1"/>
    <xf numFmtId="3" fontId="10" fillId="0" borderId="9" xfId="3" applyNumberFormat="1" applyFont="1" applyBorder="1"/>
    <xf numFmtId="0" fontId="22" fillId="0" borderId="0" xfId="3" applyFont="1"/>
    <xf numFmtId="49" fontId="2" fillId="0" borderId="7" xfId="3" applyNumberFormat="1" applyFont="1" applyBorder="1" applyAlignment="1">
      <alignment horizontal="left" indent="3"/>
    </xf>
    <xf numFmtId="9" fontId="14" fillId="0" borderId="9" xfId="5" applyFont="1" applyFill="1" applyBorder="1" applyAlignment="1">
      <alignment wrapText="1"/>
    </xf>
    <xf numFmtId="49" fontId="23" fillId="3" borderId="7" xfId="3" applyNumberFormat="1" applyFont="1" applyFill="1" applyBorder="1" applyAlignment="1">
      <alignment horizontal="left" indent="1"/>
    </xf>
    <xf numFmtId="9" fontId="2" fillId="12" borderId="9" xfId="5" applyFont="1" applyFill="1" applyBorder="1" applyAlignment="1">
      <alignment wrapText="1"/>
    </xf>
    <xf numFmtId="49" fontId="9" fillId="0" borderId="15" xfId="3" applyNumberFormat="1" applyFont="1" applyBorder="1"/>
    <xf numFmtId="49" fontId="9" fillId="0" borderId="16" xfId="3" applyNumberFormat="1" applyFont="1" applyBorder="1" applyAlignment="1">
      <alignment horizontal="right" wrapText="1"/>
    </xf>
    <xf numFmtId="3" fontId="9" fillId="0" borderId="35" xfId="3" applyNumberFormat="1" applyFont="1" applyBorder="1"/>
    <xf numFmtId="164" fontId="9" fillId="0" borderId="35" xfId="1" applyNumberFormat="1" applyFont="1" applyBorder="1"/>
    <xf numFmtId="9" fontId="9" fillId="0" borderId="35" xfId="5" applyFont="1" applyBorder="1"/>
    <xf numFmtId="9" fontId="9" fillId="0" borderId="35" xfId="2" applyFont="1" applyBorder="1"/>
    <xf numFmtId="3" fontId="10" fillId="0" borderId="35" xfId="3" applyNumberFormat="1" applyFont="1" applyBorder="1"/>
    <xf numFmtId="3" fontId="9" fillId="0" borderId="36" xfId="3" applyNumberFormat="1" applyFont="1" applyBorder="1"/>
    <xf numFmtId="164" fontId="9" fillId="0" borderId="36" xfId="1" applyNumberFormat="1" applyFont="1" applyBorder="1"/>
    <xf numFmtId="9" fontId="2" fillId="0" borderId="36" xfId="5" applyFont="1" applyBorder="1"/>
    <xf numFmtId="9" fontId="9" fillId="0" borderId="36" xfId="2" applyFont="1" applyBorder="1"/>
    <xf numFmtId="3" fontId="10" fillId="0" borderId="36" xfId="3" applyNumberFormat="1" applyFont="1" applyBorder="1"/>
    <xf numFmtId="49" fontId="9" fillId="4" borderId="37" xfId="3" applyNumberFormat="1" applyFont="1" applyFill="1" applyBorder="1" applyAlignment="1">
      <alignment horizontal="center"/>
    </xf>
    <xf numFmtId="49" fontId="9" fillId="4" borderId="38" xfId="3" applyNumberFormat="1" applyFont="1" applyFill="1" applyBorder="1" applyAlignment="1">
      <alignment wrapText="1"/>
    </xf>
    <xf numFmtId="3" fontId="9" fillId="4" borderId="39" xfId="3" applyNumberFormat="1" applyFont="1" applyFill="1" applyBorder="1"/>
    <xf numFmtId="164" fontId="9" fillId="4" borderId="39" xfId="1" applyNumberFormat="1" applyFont="1" applyFill="1" applyBorder="1"/>
    <xf numFmtId="9" fontId="9" fillId="4" borderId="39" xfId="5" applyFont="1" applyFill="1" applyBorder="1"/>
    <xf numFmtId="9" fontId="9" fillId="4" borderId="39" xfId="2" applyFont="1" applyFill="1" applyBorder="1"/>
    <xf numFmtId="3" fontId="10" fillId="4" borderId="39" xfId="3" applyNumberFormat="1" applyFont="1" applyFill="1" applyBorder="1"/>
    <xf numFmtId="0" fontId="3" fillId="0" borderId="0" xfId="4" applyFont="1"/>
    <xf numFmtId="0" fontId="8" fillId="0" borderId="0" xfId="4" applyFont="1"/>
    <xf numFmtId="3" fontId="14" fillId="8" borderId="11" xfId="3" applyNumberFormat="1" applyFont="1" applyFill="1" applyBorder="1" applyAlignment="1">
      <alignment horizontal="right" vertical="center"/>
    </xf>
    <xf numFmtId="3" fontId="14" fillId="8" borderId="12" xfId="3" applyNumberFormat="1" applyFont="1" applyFill="1" applyBorder="1" applyAlignment="1">
      <alignment horizontal="right" vertical="center"/>
    </xf>
    <xf numFmtId="9" fontId="14" fillId="8" borderId="11" xfId="2" applyFont="1" applyFill="1" applyBorder="1" applyAlignment="1">
      <alignment horizontal="right" vertical="center"/>
    </xf>
    <xf numFmtId="9" fontId="14" fillId="8" borderId="12" xfId="2" applyFont="1" applyFill="1" applyBorder="1" applyAlignment="1">
      <alignment horizontal="right" vertical="center"/>
    </xf>
    <xf numFmtId="9" fontId="2" fillId="0" borderId="11" xfId="5" applyFont="1" applyFill="1" applyBorder="1" applyAlignment="1">
      <alignment horizontal="left" wrapText="1"/>
    </xf>
    <xf numFmtId="9" fontId="2" fillId="0" borderId="12" xfId="5" applyFont="1" applyFill="1" applyBorder="1" applyAlignment="1">
      <alignment horizontal="left" wrapText="1"/>
    </xf>
    <xf numFmtId="3" fontId="2" fillId="0" borderId="11" xfId="3" applyNumberFormat="1" applyFont="1" applyBorder="1" applyAlignment="1">
      <alignment horizontal="right" vertical="center"/>
    </xf>
    <xf numFmtId="3" fontId="2" fillId="0" borderId="12" xfId="3" applyNumberFormat="1" applyFont="1" applyBorder="1" applyAlignment="1">
      <alignment horizontal="right" vertical="center"/>
    </xf>
    <xf numFmtId="9" fontId="2" fillId="10" borderId="11" xfId="2" applyFont="1" applyFill="1" applyBorder="1" applyAlignment="1">
      <alignment horizontal="right" vertical="center"/>
    </xf>
    <xf numFmtId="9" fontId="2" fillId="10" borderId="12" xfId="2" applyFont="1" applyFill="1" applyBorder="1" applyAlignment="1">
      <alignment horizontal="right" vertical="center"/>
    </xf>
    <xf numFmtId="0" fontId="1" fillId="0" borderId="0" xfId="3"/>
    <xf numFmtId="9" fontId="2" fillId="0" borderId="11" xfId="2" applyFont="1" applyBorder="1" applyAlignment="1">
      <alignment horizontal="right" vertical="center" wrapText="1"/>
    </xf>
    <xf numFmtId="9" fontId="2" fillId="0" borderId="12" xfId="2" applyFont="1" applyBorder="1" applyAlignment="1">
      <alignment horizontal="right" vertical="center" wrapText="1"/>
    </xf>
    <xf numFmtId="9" fontId="2" fillId="0" borderId="11" xfId="5" applyFont="1" applyBorder="1" applyAlignment="1">
      <alignment horizontal="left" wrapText="1"/>
    </xf>
    <xf numFmtId="9" fontId="2" fillId="0" borderId="12" xfId="5" applyFont="1" applyBorder="1" applyAlignment="1">
      <alignment horizontal="left" wrapText="1"/>
    </xf>
    <xf numFmtId="43" fontId="2" fillId="0" borderId="9" xfId="1" applyFont="1" applyBorder="1"/>
    <xf numFmtId="3" fontId="2" fillId="0" borderId="9" xfId="3" applyNumberFormat="1" applyFont="1" applyFill="1" applyBorder="1"/>
  </cellXfs>
  <cellStyles count="10">
    <cellStyle name="Comma" xfId="1" builtinId="3"/>
    <cellStyle name="Hyperlink" xfId="7" builtinId="8"/>
    <cellStyle name="Komats 10" xfId="6" xr:uid="{A3B370ED-5FE7-41EA-A532-2A78663377E1}"/>
    <cellStyle name="Normal" xfId="0" builtinId="0"/>
    <cellStyle name="Normal 2 2" xfId="8" xr:uid="{616F359C-DEEE-41CD-A45E-2BD94D263957}"/>
    <cellStyle name="Parasts 2 2 5" xfId="3" xr:uid="{DAAC48D1-3042-4E0C-BF28-F25A778BD45A}"/>
    <cellStyle name="Parasts 2 2 5 2" xfId="4" xr:uid="{30D21F8F-89AD-4EAA-88A6-89A7CE2881E2}"/>
    <cellStyle name="Percent" xfId="2" builtinId="5"/>
    <cellStyle name="Percent 4" xfId="9" xr:uid="{31ECC2DA-0FA9-4815-AA31-47E034DEEFC7}"/>
    <cellStyle name="Procenti 2 3" xfId="5" xr:uid="{6BED9840-370E-429E-B54C-A06989BF8CEA}"/>
  </cellStyles>
  <dxfs count="8">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Users\sarmite\Desktop\2010\2014\22.12.2014\Budzeta_projekts%202014_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ARNIS\formas\dok_registrs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ARNIS\formas\dok_registrs2011.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Sarmite.Muze\Nextcloud\Finansu%20nodala%20kopmape\12_2023\1_Budzets_2023_actual_12_2023.xlsx" TargetMode="External"/><Relationship Id="rId1" Type="http://schemas.openxmlformats.org/officeDocument/2006/relationships/externalLinkPath" Target="1_Budzets_2023_actual_12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pielikums_Saist_apm_EUR_fakts"/>
      <sheetName val="4.pielikums_Saist_apmērs_ap EUR"/>
      <sheetName val="EKK_saturs"/>
      <sheetName val="2014.gada budzeta plans"/>
      <sheetName val="Groz_NIN_12_2014"/>
      <sheetName val="Grafiki"/>
      <sheetName val="KA_31122013"/>
      <sheetName val="Vertetie_ienemumi_2014"/>
      <sheetName val="Saturs2014"/>
      <sheetName val="Investicijas_aktivitates"/>
      <sheetName val="Kopsavilkums"/>
      <sheetName val="Rolling"/>
      <sheetName val="Gaujas_svetki"/>
      <sheetName val="Parvalde"/>
      <sheetName val="Celi"/>
      <sheetName val="LegGold2013"/>
      <sheetName val="Alga_01_2014"/>
      <sheetName val="2014_85%"/>
      <sheetName val="Deputāti"/>
      <sheetName val="Iepirk_komisija"/>
      <sheetName val="Adm_komisija"/>
      <sheetName val="Nepilngad_lietu_komisija"/>
      <sheetName val="Avizes izmaksas"/>
      <sheetName val="Projekti_2014"/>
      <sheetName val="PrivatasII"/>
      <sheetName val="KA_31122012"/>
      <sheetName val="Edinasana"/>
      <sheetName val="Sheet2"/>
      <sheetName val="Spec_budz"/>
      <sheetName val="Neielikts_2013"/>
      <sheetName val="Sports2013"/>
      <sheetName val="Lapa1 (2)"/>
      <sheetName val="4_pielikums_Saist_apm_EUR_fakts"/>
      <sheetName val="4_pielikums_Saist_apmērs_ap_EUR"/>
      <sheetName val="2014_gada_budzeta_plans"/>
      <sheetName val="Avizes_izmaksas"/>
      <sheetName val="Lapa1_(2)"/>
    </sheetNames>
    <sheetDataSet>
      <sheetData sheetId="0"/>
      <sheetData sheetId="1"/>
      <sheetData sheetId="2"/>
      <sheetData sheetId="3">
        <row r="44">
          <cell r="Q44">
            <v>240644.61784508912</v>
          </cell>
        </row>
      </sheetData>
      <sheetData sheetId="4">
        <row r="32">
          <cell r="F32">
            <v>905997</v>
          </cell>
        </row>
      </sheetData>
      <sheetData sheetId="5"/>
      <sheetData sheetId="6"/>
      <sheetData sheetId="7">
        <row r="36">
          <cell r="C36">
            <v>5078304.9348664423</v>
          </cell>
        </row>
      </sheetData>
      <sheetData sheetId="8">
        <row r="14">
          <cell r="Q14">
            <v>430025</v>
          </cell>
        </row>
      </sheetData>
      <sheetData sheetId="9"/>
      <sheetData sheetId="10">
        <row r="2130">
          <cell r="I2130">
            <v>90500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44">
          <cell r="Q44">
            <v>240644.61784508912</v>
          </cell>
        </row>
      </sheetData>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v>0</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v>0</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row r="1">
          <cell r="A1">
            <v>0</v>
          </cell>
        </row>
        <row r="2">
          <cell r="A2" t="str">
            <v>par izdarīto darbu</v>
          </cell>
        </row>
        <row r="3">
          <cell r="A3" t="str">
            <v>pēc rēķina</v>
          </cell>
        </row>
        <row r="4">
          <cell r="A4" t="str">
            <v>mēnesī</v>
          </cell>
        </row>
        <row r="5">
          <cell r="A5" t="str">
            <v>pēc PPR</v>
          </cell>
        </row>
        <row r="6">
          <cell r="A6" t="str">
            <v>par reizi</v>
          </cell>
        </row>
        <row r="7">
          <cell r="A7" t="str">
            <v>mēnesī par km**2</v>
          </cell>
        </row>
        <row r="8">
          <cell r="A8" t="str">
            <v>pēc specifikācijas</v>
          </cell>
        </row>
        <row r="9">
          <cell r="A9" t="str">
            <v>gadā</v>
          </cell>
        </row>
        <row r="10">
          <cell r="A10" t="str">
            <v>stundā</v>
          </cell>
        </row>
        <row r="11">
          <cell r="A11" t="str">
            <v>par 1 bērnu</v>
          </cell>
        </row>
        <row r="12">
          <cell r="A12" t="str">
            <v>45 minūtes</v>
          </cell>
        </row>
        <row r="13">
          <cell r="A13" t="str">
            <v>diennakts</v>
          </cell>
        </row>
        <row r="14">
          <cell r="A14" t="str">
            <v>e-pasta rēķins</v>
          </cell>
        </row>
        <row r="15">
          <cell r="A15" t="str">
            <v>ceļazīme</v>
          </cell>
        </row>
        <row r="16">
          <cell r="A16" t="str">
            <v>par kvadrātmetru</v>
          </cell>
        </row>
        <row r="17">
          <cell r="A17" t="str">
            <v>kopējā līguma summa</v>
          </cell>
        </row>
        <row r="18">
          <cell r="A18" t="str">
            <v>par 1 lietas apstrādi</v>
          </cell>
        </row>
        <row r="19">
          <cell r="A19" t="str">
            <v>mēnesi  par m2</v>
          </cell>
        </row>
        <row r="20">
          <cell r="A20" t="str">
            <v>Dāvinājums</v>
          </cell>
        </row>
        <row r="21">
          <cell r="A21" t="str">
            <v>Ls/kWh</v>
          </cell>
        </row>
        <row r="22">
          <cell r="A22" t="str">
            <v>papildus darbi</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t="str">
            <v xml:space="preserve"> </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zvērināta advokāte 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t="str">
            <v xml:space="preserve"> </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row r="1">
          <cell r="A1" t="str">
            <v xml:space="preserve">   </v>
          </cell>
        </row>
        <row r="2">
          <cell r="A2" t="str">
            <v>par izdarīto darbu</v>
          </cell>
        </row>
        <row r="3">
          <cell r="A3" t="str">
            <v>pēc rēķina</v>
          </cell>
        </row>
        <row r="4">
          <cell r="A4" t="str">
            <v>mēnesī</v>
          </cell>
        </row>
        <row r="5">
          <cell r="A5" t="str">
            <v>pēc PPR</v>
          </cell>
        </row>
        <row r="6">
          <cell r="A6" t="str">
            <v>par reizi</v>
          </cell>
        </row>
        <row r="7">
          <cell r="A7" t="str">
            <v>mēnesī par km**2</v>
          </cell>
        </row>
        <row r="8">
          <cell r="A8" t="str">
            <v>pēc specifikācijas</v>
          </cell>
        </row>
        <row r="9">
          <cell r="A9" t="str">
            <v>gadā</v>
          </cell>
        </row>
        <row r="10">
          <cell r="A10" t="str">
            <v>stundā</v>
          </cell>
        </row>
        <row r="11">
          <cell r="A11" t="str">
            <v>par 1 bērnu</v>
          </cell>
        </row>
        <row r="12">
          <cell r="A12" t="str">
            <v>45 minūtes</v>
          </cell>
        </row>
        <row r="13">
          <cell r="A13" t="str">
            <v>diennakts</v>
          </cell>
        </row>
        <row r="14">
          <cell r="A14" t="str">
            <v>e-pasta rēķins</v>
          </cell>
        </row>
        <row r="15">
          <cell r="A15" t="str">
            <v>ceļazīme</v>
          </cell>
        </row>
        <row r="16">
          <cell r="A16" t="str">
            <v>par kvadrātmetru</v>
          </cell>
        </row>
        <row r="17">
          <cell r="A17" t="str">
            <v>kopējā līguma summa</v>
          </cell>
        </row>
        <row r="18">
          <cell r="A18" t="str">
            <v>par 1 lietas apstrādi</v>
          </cell>
        </row>
        <row r="19">
          <cell r="A19" t="str">
            <v>mēnesi  par m2</v>
          </cell>
        </row>
        <row r="20">
          <cell r="A20" t="str">
            <v>Dāvinājums</v>
          </cell>
        </row>
        <row r="21">
          <cell r="A21" t="str">
            <v>Ls/kWh</v>
          </cell>
        </row>
        <row r="22">
          <cell r="A22" t="str">
            <v>papildus darbi</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ibai"/>
      <sheetName val="Jautajumi"/>
      <sheetName val="Budžeta faila apraksts"/>
      <sheetName val="check"/>
      <sheetName val="Grafiki_2023"/>
      <sheetName val="Skaidrojumi"/>
      <sheetName val="Tames"/>
      <sheetName val="PIVOT_2023"/>
      <sheetName val="Investīcijas_2023"/>
      <sheetName val="Pivot_invest_2023"/>
      <sheetName val="PFIF prognoze"/>
      <sheetName val="2022-2027"/>
      <sheetName val="2023.gada budzeta plans_apvieno"/>
      <sheetName val="Grafiki_budžeta_izpilde"/>
      <sheetName val="Grafiki"/>
      <sheetName val="INPUT"/>
      <sheetName val="Filtri"/>
      <sheetName val="31122022_final"/>
      <sheetName val="Pivot_Saraksts"/>
      <sheetName val="0841"/>
      <sheetName val="0841.1_Gaujas svetki"/>
      <sheetName val="0841.4_Dziesmu svētki"/>
      <sheetName val="0812_Sport"/>
      <sheetName val="0812 _Trenažieri"/>
      <sheetName val="0630_dekori"/>
      <sheetName val="Priekšlikumi ārtelpas projekt"/>
      <sheetName val="EKK"/>
      <sheetName val="Ieņēmumi"/>
      <sheetName val="KA_31122022"/>
      <sheetName val="Algas_2023"/>
      <sheetName val="4.piel_Saistibas"/>
      <sheetName val="4.piel_Saistibas (%likmes)"/>
      <sheetName val="Saistibas_VK_prognoze"/>
      <sheetName val="5.piel.EKK"/>
      <sheetName val="Deputāti"/>
      <sheetName val="Velesanu_komis_loc"/>
      <sheetName val="Adm_komisija"/>
      <sheetName val="Iepirk_komisija"/>
      <sheetName val="Komisijas"/>
      <sheetName val="1_Budzets_2023_actual_12_2023"/>
    </sheetNames>
    <sheetDataSet>
      <sheetData sheetId="0"/>
      <sheetData sheetId="1"/>
      <sheetData sheetId="2"/>
      <sheetData sheetId="3"/>
      <sheetData sheetId="4"/>
      <sheetData sheetId="5"/>
      <sheetData sheetId="6"/>
      <sheetData sheetId="7">
        <row r="4">
          <cell r="H4">
            <v>28441559</v>
          </cell>
        </row>
      </sheetData>
      <sheetData sheetId="8">
        <row r="52">
          <cell r="L52">
            <v>59922</v>
          </cell>
        </row>
      </sheetData>
      <sheetData sheetId="9">
        <row r="4">
          <cell r="E4">
            <v>11000</v>
          </cell>
        </row>
      </sheetData>
      <sheetData sheetId="10"/>
      <sheetData sheetId="11"/>
      <sheetData sheetId="12"/>
      <sheetData sheetId="13"/>
      <sheetData sheetId="14"/>
      <sheetData sheetId="15"/>
      <sheetData sheetId="16"/>
      <sheetData sheetId="17">
        <row r="7">
          <cell r="E7">
            <v>185312.71</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row r="206">
          <cell r="X206">
            <v>3601890.1379218102</v>
          </cell>
        </row>
      </sheetData>
      <sheetData sheetId="31"/>
      <sheetData sheetId="32"/>
      <sheetData sheetId="33"/>
      <sheetData sheetId="34"/>
      <sheetData sheetId="35"/>
      <sheetData sheetId="36"/>
      <sheetData sheetId="37"/>
      <sheetData sheetId="38"/>
      <sheetData sheetId="3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468DB-29B5-4271-B707-322163EE0D3C}">
  <sheetPr>
    <tabColor rgb="FF92D050"/>
    <pageSetUpPr fitToPage="1"/>
  </sheetPr>
  <dimension ref="A1:AD283"/>
  <sheetViews>
    <sheetView tabSelected="1" zoomScaleNormal="100" zoomScaleSheetLayoutView="80" workbookViewId="0">
      <pane xSplit="4" ySplit="5" topLeftCell="O6" activePane="bottomRight" state="frozen"/>
      <selection activeCell="C1" sqref="C1"/>
      <selection pane="topRight" activeCell="E1" sqref="E1"/>
      <selection pane="bottomLeft" activeCell="C6" sqref="C6"/>
      <selection pane="bottomRight" activeCell="Z2" sqref="Z2"/>
    </sheetView>
  </sheetViews>
  <sheetFormatPr defaultRowHeight="13.8" outlineLevelRow="1" outlineLevelCol="2" x14ac:dyDescent="0.25"/>
  <cols>
    <col min="1" max="1" width="7.875" style="1" hidden="1" customWidth="1" outlineLevel="2"/>
    <col min="2" max="2" width="11.375" style="1" hidden="1" customWidth="1" outlineLevel="2"/>
    <col min="3" max="3" width="15" style="187" customWidth="1" collapsed="1"/>
    <col min="4" max="4" width="48.625" style="3" customWidth="1"/>
    <col min="5" max="5" width="14.875" style="9" customWidth="1"/>
    <col min="6" max="6" width="14.875" style="9" customWidth="1" collapsed="1"/>
    <col min="7" max="7" width="14.875" style="1" hidden="1" customWidth="1" outlineLevel="1"/>
    <col min="8" max="8" width="54" style="19" hidden="1" customWidth="1" outlineLevel="1" collapsed="1"/>
    <col min="9" max="9" width="14.875" style="1" customWidth="1" collapsed="1"/>
    <col min="10" max="10" width="14.875" style="1" hidden="1" customWidth="1" outlineLevel="1"/>
    <col min="11" max="11" width="56.375" style="19" hidden="1" customWidth="1" outlineLevel="1" collapsed="1"/>
    <col min="12" max="12" width="14.875" style="1" customWidth="1" collapsed="1"/>
    <col min="13" max="13" width="14.875" style="1" hidden="1" customWidth="1" outlineLevel="1"/>
    <col min="14" max="14" width="56.375" style="19" hidden="1" customWidth="1" outlineLevel="1" collapsed="1"/>
    <col min="15" max="15" width="14.875" style="1" customWidth="1" collapsed="1"/>
    <col min="16" max="16" width="14.875" style="1" hidden="1" customWidth="1" outlineLevel="1"/>
    <col min="17" max="17" width="56.375" style="19" hidden="1" customWidth="1" outlineLevel="1" collapsed="1"/>
    <col min="18" max="18" width="14.875" style="1" customWidth="1" collapsed="1"/>
    <col min="19" max="19" width="14.875" style="1" hidden="1" customWidth="1" outlineLevel="1"/>
    <col min="20" max="20" width="56.375" style="19" hidden="1" customWidth="1" outlineLevel="1" collapsed="1"/>
    <col min="21" max="21" width="14.875" style="1" customWidth="1" collapsed="1"/>
    <col min="22" max="22" width="14.875" style="1" hidden="1" customWidth="1" outlineLevel="1"/>
    <col min="23" max="23" width="56.375" style="19" hidden="1" customWidth="1" outlineLevel="1" collapsed="1"/>
    <col min="24" max="24" width="14.875" style="1" customWidth="1" collapsed="1"/>
    <col min="25" max="25" width="14.875" style="1" customWidth="1"/>
    <col min="26" max="26" width="52.25" style="19" customWidth="1" collapsed="1"/>
    <col min="27" max="27" width="14.875" style="1" hidden="1" customWidth="1" outlineLevel="1"/>
    <col min="28" max="28" width="14.875" style="189" hidden="1" customWidth="1" outlineLevel="1" collapsed="1"/>
    <col min="29" max="29" width="52.875" style="190" hidden="1" customWidth="1" outlineLevel="1" collapsed="1"/>
    <col min="30" max="30" width="9" style="1" collapsed="1"/>
    <col min="31" max="180" width="9" style="1"/>
    <col min="181" max="182" width="0" style="1" hidden="1" customWidth="1"/>
    <col min="183" max="183" width="13.75" style="1" customWidth="1"/>
    <col min="184" max="184" width="52.875" style="1" customWidth="1"/>
    <col min="185" max="224" width="0" style="1" hidden="1" customWidth="1"/>
    <col min="225" max="226" width="14.875" style="1" customWidth="1"/>
    <col min="227" max="228" width="0" style="1" hidden="1" customWidth="1"/>
    <col min="229" max="229" width="14.875" style="1" customWidth="1"/>
    <col min="230" max="231" width="0" style="1" hidden="1" customWidth="1"/>
    <col min="232" max="232" width="14.875" style="1" customWidth="1"/>
    <col min="233" max="234" width="0" style="1" hidden="1" customWidth="1"/>
    <col min="235" max="235" width="14.875" style="1" customWidth="1"/>
    <col min="236" max="237" width="0" style="1" hidden="1" customWidth="1"/>
    <col min="238" max="238" width="14.875" style="1" customWidth="1"/>
    <col min="239" max="240" width="0" style="1" hidden="1" customWidth="1"/>
    <col min="241" max="242" width="14.875" style="1" customWidth="1"/>
    <col min="243" max="243" width="44.375" style="1" customWidth="1"/>
    <col min="244" max="248" width="14.875" style="1" customWidth="1"/>
    <col min="249" max="249" width="63.875" style="1" customWidth="1"/>
    <col min="250" max="250" width="13.25" style="1" customWidth="1"/>
    <col min="251" max="436" width="9" style="1"/>
    <col min="437" max="438" width="0" style="1" hidden="1" customWidth="1"/>
    <col min="439" max="439" width="13.75" style="1" customWidth="1"/>
    <col min="440" max="440" width="52.875" style="1" customWidth="1"/>
    <col min="441" max="480" width="0" style="1" hidden="1" customWidth="1"/>
    <col min="481" max="482" width="14.875" style="1" customWidth="1"/>
    <col min="483" max="484" width="0" style="1" hidden="1" customWidth="1"/>
    <col min="485" max="485" width="14.875" style="1" customWidth="1"/>
    <col min="486" max="487" width="0" style="1" hidden="1" customWidth="1"/>
    <col min="488" max="488" width="14.875" style="1" customWidth="1"/>
    <col min="489" max="490" width="0" style="1" hidden="1" customWidth="1"/>
    <col min="491" max="491" width="14.875" style="1" customWidth="1"/>
    <col min="492" max="493" width="0" style="1" hidden="1" customWidth="1"/>
    <col min="494" max="494" width="14.875" style="1" customWidth="1"/>
    <col min="495" max="496" width="0" style="1" hidden="1" customWidth="1"/>
    <col min="497" max="498" width="14.875" style="1" customWidth="1"/>
    <col min="499" max="499" width="44.375" style="1" customWidth="1"/>
    <col min="500" max="504" width="14.875" style="1" customWidth="1"/>
    <col min="505" max="505" width="63.875" style="1" customWidth="1"/>
    <col min="506" max="506" width="13.25" style="1" customWidth="1"/>
    <col min="507" max="692" width="9" style="1"/>
    <col min="693" max="694" width="0" style="1" hidden="1" customWidth="1"/>
    <col min="695" max="695" width="13.75" style="1" customWidth="1"/>
    <col min="696" max="696" width="52.875" style="1" customWidth="1"/>
    <col min="697" max="736" width="0" style="1" hidden="1" customWidth="1"/>
    <col min="737" max="738" width="14.875" style="1" customWidth="1"/>
    <col min="739" max="740" width="0" style="1" hidden="1" customWidth="1"/>
    <col min="741" max="741" width="14.875" style="1" customWidth="1"/>
    <col min="742" max="743" width="0" style="1" hidden="1" customWidth="1"/>
    <col min="744" max="744" width="14.875" style="1" customWidth="1"/>
    <col min="745" max="746" width="0" style="1" hidden="1" customWidth="1"/>
    <col min="747" max="747" width="14.875" style="1" customWidth="1"/>
    <col min="748" max="749" width="0" style="1" hidden="1" customWidth="1"/>
    <col min="750" max="750" width="14.875" style="1" customWidth="1"/>
    <col min="751" max="752" width="0" style="1" hidden="1" customWidth="1"/>
    <col min="753" max="754" width="14.875" style="1" customWidth="1"/>
    <col min="755" max="755" width="44.375" style="1" customWidth="1"/>
    <col min="756" max="760" width="14.875" style="1" customWidth="1"/>
    <col min="761" max="761" width="63.875" style="1" customWidth="1"/>
    <col min="762" max="762" width="13.25" style="1" customWidth="1"/>
    <col min="763" max="948" width="9" style="1"/>
    <col min="949" max="950" width="0" style="1" hidden="1" customWidth="1"/>
    <col min="951" max="951" width="13.75" style="1" customWidth="1"/>
    <col min="952" max="952" width="52.875" style="1" customWidth="1"/>
    <col min="953" max="992" width="0" style="1" hidden="1" customWidth="1"/>
    <col min="993" max="994" width="14.875" style="1" customWidth="1"/>
    <col min="995" max="996" width="0" style="1" hidden="1" customWidth="1"/>
    <col min="997" max="997" width="14.875" style="1" customWidth="1"/>
    <col min="998" max="999" width="0" style="1" hidden="1" customWidth="1"/>
    <col min="1000" max="1000" width="14.875" style="1" customWidth="1"/>
    <col min="1001" max="1002" width="0" style="1" hidden="1" customWidth="1"/>
    <col min="1003" max="1003" width="14.875" style="1" customWidth="1"/>
    <col min="1004" max="1005" width="0" style="1" hidden="1" customWidth="1"/>
    <col min="1006" max="1006" width="14.875" style="1" customWidth="1"/>
    <col min="1007" max="1008" width="0" style="1" hidden="1" customWidth="1"/>
    <col min="1009" max="1010" width="14.875" style="1" customWidth="1"/>
    <col min="1011" max="1011" width="44.375" style="1" customWidth="1"/>
    <col min="1012" max="1016" width="14.875" style="1" customWidth="1"/>
    <col min="1017" max="1017" width="63.875" style="1" customWidth="1"/>
    <col min="1018" max="1018" width="13.25" style="1" customWidth="1"/>
    <col min="1019" max="1204" width="9" style="1"/>
    <col min="1205" max="1206" width="0" style="1" hidden="1" customWidth="1"/>
    <col min="1207" max="1207" width="13.75" style="1" customWidth="1"/>
    <col min="1208" max="1208" width="52.875" style="1" customWidth="1"/>
    <col min="1209" max="1248" width="0" style="1" hidden="1" customWidth="1"/>
    <col min="1249" max="1250" width="14.875" style="1" customWidth="1"/>
    <col min="1251" max="1252" width="0" style="1" hidden="1" customWidth="1"/>
    <col min="1253" max="1253" width="14.875" style="1" customWidth="1"/>
    <col min="1254" max="1255" width="0" style="1" hidden="1" customWidth="1"/>
    <col min="1256" max="1256" width="14.875" style="1" customWidth="1"/>
    <col min="1257" max="1258" width="0" style="1" hidden="1" customWidth="1"/>
    <col min="1259" max="1259" width="14.875" style="1" customWidth="1"/>
    <col min="1260" max="1261" width="0" style="1" hidden="1" customWidth="1"/>
    <col min="1262" max="1262" width="14.875" style="1" customWidth="1"/>
    <col min="1263" max="1264" width="0" style="1" hidden="1" customWidth="1"/>
    <col min="1265" max="1266" width="14.875" style="1" customWidth="1"/>
    <col min="1267" max="1267" width="44.375" style="1" customWidth="1"/>
    <col min="1268" max="1272" width="14.875" style="1" customWidth="1"/>
    <col min="1273" max="1273" width="63.875" style="1" customWidth="1"/>
    <col min="1274" max="1274" width="13.25" style="1" customWidth="1"/>
    <col min="1275" max="1460" width="9" style="1"/>
    <col min="1461" max="1462" width="0" style="1" hidden="1" customWidth="1"/>
    <col min="1463" max="1463" width="13.75" style="1" customWidth="1"/>
    <col min="1464" max="1464" width="52.875" style="1" customWidth="1"/>
    <col min="1465" max="1504" width="0" style="1" hidden="1" customWidth="1"/>
    <col min="1505" max="1506" width="14.875" style="1" customWidth="1"/>
    <col min="1507" max="1508" width="0" style="1" hidden="1" customWidth="1"/>
    <col min="1509" max="1509" width="14.875" style="1" customWidth="1"/>
    <col min="1510" max="1511" width="0" style="1" hidden="1" customWidth="1"/>
    <col min="1512" max="1512" width="14.875" style="1" customWidth="1"/>
    <col min="1513" max="1514" width="0" style="1" hidden="1" customWidth="1"/>
    <col min="1515" max="1515" width="14.875" style="1" customWidth="1"/>
    <col min="1516" max="1517" width="0" style="1" hidden="1" customWidth="1"/>
    <col min="1518" max="1518" width="14.875" style="1" customWidth="1"/>
    <col min="1519" max="1520" width="0" style="1" hidden="1" customWidth="1"/>
    <col min="1521" max="1522" width="14.875" style="1" customWidth="1"/>
    <col min="1523" max="1523" width="44.375" style="1" customWidth="1"/>
    <col min="1524" max="1528" width="14.875" style="1" customWidth="1"/>
    <col min="1529" max="1529" width="63.875" style="1" customWidth="1"/>
    <col min="1530" max="1530" width="13.25" style="1" customWidth="1"/>
    <col min="1531" max="1716" width="9" style="1"/>
    <col min="1717" max="1718" width="0" style="1" hidden="1" customWidth="1"/>
    <col min="1719" max="1719" width="13.75" style="1" customWidth="1"/>
    <col min="1720" max="1720" width="52.875" style="1" customWidth="1"/>
    <col min="1721" max="1760" width="0" style="1" hidden="1" customWidth="1"/>
    <col min="1761" max="1762" width="14.875" style="1" customWidth="1"/>
    <col min="1763" max="1764" width="0" style="1" hidden="1" customWidth="1"/>
    <col min="1765" max="1765" width="14.875" style="1" customWidth="1"/>
    <col min="1766" max="1767" width="0" style="1" hidden="1" customWidth="1"/>
    <col min="1768" max="1768" width="14.875" style="1" customWidth="1"/>
    <col min="1769" max="1770" width="0" style="1" hidden="1" customWidth="1"/>
    <col min="1771" max="1771" width="14.875" style="1" customWidth="1"/>
    <col min="1772" max="1773" width="0" style="1" hidden="1" customWidth="1"/>
    <col min="1774" max="1774" width="14.875" style="1" customWidth="1"/>
    <col min="1775" max="1776" width="0" style="1" hidden="1" customWidth="1"/>
    <col min="1777" max="1778" width="14.875" style="1" customWidth="1"/>
    <col min="1779" max="1779" width="44.375" style="1" customWidth="1"/>
    <col min="1780" max="1784" width="14.875" style="1" customWidth="1"/>
    <col min="1785" max="1785" width="63.875" style="1" customWidth="1"/>
    <col min="1786" max="1786" width="13.25" style="1" customWidth="1"/>
    <col min="1787" max="1972" width="9" style="1"/>
    <col min="1973" max="1974" width="0" style="1" hidden="1" customWidth="1"/>
    <col min="1975" max="1975" width="13.75" style="1" customWidth="1"/>
    <col min="1976" max="1976" width="52.875" style="1" customWidth="1"/>
    <col min="1977" max="2016" width="0" style="1" hidden="1" customWidth="1"/>
    <col min="2017" max="2018" width="14.875" style="1" customWidth="1"/>
    <col min="2019" max="2020" width="0" style="1" hidden="1" customWidth="1"/>
    <col min="2021" max="2021" width="14.875" style="1" customWidth="1"/>
    <col min="2022" max="2023" width="0" style="1" hidden="1" customWidth="1"/>
    <col min="2024" max="2024" width="14.875" style="1" customWidth="1"/>
    <col min="2025" max="2026" width="0" style="1" hidden="1" customWidth="1"/>
    <col min="2027" max="2027" width="14.875" style="1" customWidth="1"/>
    <col min="2028" max="2029" width="0" style="1" hidden="1" customWidth="1"/>
    <col min="2030" max="2030" width="14.875" style="1" customWidth="1"/>
    <col min="2031" max="2032" width="0" style="1" hidden="1" customWidth="1"/>
    <col min="2033" max="2034" width="14.875" style="1" customWidth="1"/>
    <col min="2035" max="2035" width="44.375" style="1" customWidth="1"/>
    <col min="2036" max="2040" width="14.875" style="1" customWidth="1"/>
    <col min="2041" max="2041" width="63.875" style="1" customWidth="1"/>
    <col min="2042" max="2042" width="13.25" style="1" customWidth="1"/>
    <col min="2043" max="2228" width="9" style="1"/>
    <col min="2229" max="2230" width="0" style="1" hidden="1" customWidth="1"/>
    <col min="2231" max="2231" width="13.75" style="1" customWidth="1"/>
    <col min="2232" max="2232" width="52.875" style="1" customWidth="1"/>
    <col min="2233" max="2272" width="0" style="1" hidden="1" customWidth="1"/>
    <col min="2273" max="2274" width="14.875" style="1" customWidth="1"/>
    <col min="2275" max="2276" width="0" style="1" hidden="1" customWidth="1"/>
    <col min="2277" max="2277" width="14.875" style="1" customWidth="1"/>
    <col min="2278" max="2279" width="0" style="1" hidden="1" customWidth="1"/>
    <col min="2280" max="2280" width="14.875" style="1" customWidth="1"/>
    <col min="2281" max="2282" width="0" style="1" hidden="1" customWidth="1"/>
    <col min="2283" max="2283" width="14.875" style="1" customWidth="1"/>
    <col min="2284" max="2285" width="0" style="1" hidden="1" customWidth="1"/>
    <col min="2286" max="2286" width="14.875" style="1" customWidth="1"/>
    <col min="2287" max="2288" width="0" style="1" hidden="1" customWidth="1"/>
    <col min="2289" max="2290" width="14.875" style="1" customWidth="1"/>
    <col min="2291" max="2291" width="44.375" style="1" customWidth="1"/>
    <col min="2292" max="2296" width="14.875" style="1" customWidth="1"/>
    <col min="2297" max="2297" width="63.875" style="1" customWidth="1"/>
    <col min="2298" max="2298" width="13.25" style="1" customWidth="1"/>
    <col min="2299" max="2484" width="9" style="1"/>
    <col min="2485" max="2486" width="0" style="1" hidden="1" customWidth="1"/>
    <col min="2487" max="2487" width="13.75" style="1" customWidth="1"/>
    <col min="2488" max="2488" width="52.875" style="1" customWidth="1"/>
    <col min="2489" max="2528" width="0" style="1" hidden="1" customWidth="1"/>
    <col min="2529" max="2530" width="14.875" style="1" customWidth="1"/>
    <col min="2531" max="2532" width="0" style="1" hidden="1" customWidth="1"/>
    <col min="2533" max="2533" width="14.875" style="1" customWidth="1"/>
    <col min="2534" max="2535" width="0" style="1" hidden="1" customWidth="1"/>
    <col min="2536" max="2536" width="14.875" style="1" customWidth="1"/>
    <col min="2537" max="2538" width="0" style="1" hidden="1" customWidth="1"/>
    <col min="2539" max="2539" width="14.875" style="1" customWidth="1"/>
    <col min="2540" max="2541" width="0" style="1" hidden="1" customWidth="1"/>
    <col min="2542" max="2542" width="14.875" style="1" customWidth="1"/>
    <col min="2543" max="2544" width="0" style="1" hidden="1" customWidth="1"/>
    <col min="2545" max="2546" width="14.875" style="1" customWidth="1"/>
    <col min="2547" max="2547" width="44.375" style="1" customWidth="1"/>
    <col min="2548" max="2552" width="14.875" style="1" customWidth="1"/>
    <col min="2553" max="2553" width="63.875" style="1" customWidth="1"/>
    <col min="2554" max="2554" width="13.25" style="1" customWidth="1"/>
    <col min="2555" max="2740" width="9" style="1"/>
    <col min="2741" max="2742" width="0" style="1" hidden="1" customWidth="1"/>
    <col min="2743" max="2743" width="13.75" style="1" customWidth="1"/>
    <col min="2744" max="2744" width="52.875" style="1" customWidth="1"/>
    <col min="2745" max="2784" width="0" style="1" hidden="1" customWidth="1"/>
    <col min="2785" max="2786" width="14.875" style="1" customWidth="1"/>
    <col min="2787" max="2788" width="0" style="1" hidden="1" customWidth="1"/>
    <col min="2789" max="2789" width="14.875" style="1" customWidth="1"/>
    <col min="2790" max="2791" width="0" style="1" hidden="1" customWidth="1"/>
    <col min="2792" max="2792" width="14.875" style="1" customWidth="1"/>
    <col min="2793" max="2794" width="0" style="1" hidden="1" customWidth="1"/>
    <col min="2795" max="2795" width="14.875" style="1" customWidth="1"/>
    <col min="2796" max="2797" width="0" style="1" hidden="1" customWidth="1"/>
    <col min="2798" max="2798" width="14.875" style="1" customWidth="1"/>
    <col min="2799" max="2800" width="0" style="1" hidden="1" customWidth="1"/>
    <col min="2801" max="2802" width="14.875" style="1" customWidth="1"/>
    <col min="2803" max="2803" width="44.375" style="1" customWidth="1"/>
    <col min="2804" max="2808" width="14.875" style="1" customWidth="1"/>
    <col min="2809" max="2809" width="63.875" style="1" customWidth="1"/>
    <col min="2810" max="2810" width="13.25" style="1" customWidth="1"/>
    <col min="2811" max="2996" width="9" style="1"/>
    <col min="2997" max="2998" width="0" style="1" hidden="1" customWidth="1"/>
    <col min="2999" max="2999" width="13.75" style="1" customWidth="1"/>
    <col min="3000" max="3000" width="52.875" style="1" customWidth="1"/>
    <col min="3001" max="3040" width="0" style="1" hidden="1" customWidth="1"/>
    <col min="3041" max="3042" width="14.875" style="1" customWidth="1"/>
    <col min="3043" max="3044" width="0" style="1" hidden="1" customWidth="1"/>
    <col min="3045" max="3045" width="14.875" style="1" customWidth="1"/>
    <col min="3046" max="3047" width="0" style="1" hidden="1" customWidth="1"/>
    <col min="3048" max="3048" width="14.875" style="1" customWidth="1"/>
    <col min="3049" max="3050" width="0" style="1" hidden="1" customWidth="1"/>
    <col min="3051" max="3051" width="14.875" style="1" customWidth="1"/>
    <col min="3052" max="3053" width="0" style="1" hidden="1" customWidth="1"/>
    <col min="3054" max="3054" width="14.875" style="1" customWidth="1"/>
    <col min="3055" max="3056" width="0" style="1" hidden="1" customWidth="1"/>
    <col min="3057" max="3058" width="14.875" style="1" customWidth="1"/>
    <col min="3059" max="3059" width="44.375" style="1" customWidth="1"/>
    <col min="3060" max="3064" width="14.875" style="1" customWidth="1"/>
    <col min="3065" max="3065" width="63.875" style="1" customWidth="1"/>
    <col min="3066" max="3066" width="13.25" style="1" customWidth="1"/>
    <col min="3067" max="3252" width="9" style="1"/>
    <col min="3253" max="3254" width="0" style="1" hidden="1" customWidth="1"/>
    <col min="3255" max="3255" width="13.75" style="1" customWidth="1"/>
    <col min="3256" max="3256" width="52.875" style="1" customWidth="1"/>
    <col min="3257" max="3296" width="0" style="1" hidden="1" customWidth="1"/>
    <col min="3297" max="3298" width="14.875" style="1" customWidth="1"/>
    <col min="3299" max="3300" width="0" style="1" hidden="1" customWidth="1"/>
    <col min="3301" max="3301" width="14.875" style="1" customWidth="1"/>
    <col min="3302" max="3303" width="0" style="1" hidden="1" customWidth="1"/>
    <col min="3304" max="3304" width="14.875" style="1" customWidth="1"/>
    <col min="3305" max="3306" width="0" style="1" hidden="1" customWidth="1"/>
    <col min="3307" max="3307" width="14.875" style="1" customWidth="1"/>
    <col min="3308" max="3309" width="0" style="1" hidden="1" customWidth="1"/>
    <col min="3310" max="3310" width="14.875" style="1" customWidth="1"/>
    <col min="3311" max="3312" width="0" style="1" hidden="1" customWidth="1"/>
    <col min="3313" max="3314" width="14.875" style="1" customWidth="1"/>
    <col min="3315" max="3315" width="44.375" style="1" customWidth="1"/>
    <col min="3316" max="3320" width="14.875" style="1" customWidth="1"/>
    <col min="3321" max="3321" width="63.875" style="1" customWidth="1"/>
    <col min="3322" max="3322" width="13.25" style="1" customWidth="1"/>
    <col min="3323" max="3508" width="9" style="1"/>
    <col min="3509" max="3510" width="0" style="1" hidden="1" customWidth="1"/>
    <col min="3511" max="3511" width="13.75" style="1" customWidth="1"/>
    <col min="3512" max="3512" width="52.875" style="1" customWidth="1"/>
    <col min="3513" max="3552" width="0" style="1" hidden="1" customWidth="1"/>
    <col min="3553" max="3554" width="14.875" style="1" customWidth="1"/>
    <col min="3555" max="3556" width="0" style="1" hidden="1" customWidth="1"/>
    <col min="3557" max="3557" width="14.875" style="1" customWidth="1"/>
    <col min="3558" max="3559" width="0" style="1" hidden="1" customWidth="1"/>
    <col min="3560" max="3560" width="14.875" style="1" customWidth="1"/>
    <col min="3561" max="3562" width="0" style="1" hidden="1" customWidth="1"/>
    <col min="3563" max="3563" width="14.875" style="1" customWidth="1"/>
    <col min="3564" max="3565" width="0" style="1" hidden="1" customWidth="1"/>
    <col min="3566" max="3566" width="14.875" style="1" customWidth="1"/>
    <col min="3567" max="3568" width="0" style="1" hidden="1" customWidth="1"/>
    <col min="3569" max="3570" width="14.875" style="1" customWidth="1"/>
    <col min="3571" max="3571" width="44.375" style="1" customWidth="1"/>
    <col min="3572" max="3576" width="14.875" style="1" customWidth="1"/>
    <col min="3577" max="3577" width="63.875" style="1" customWidth="1"/>
    <col min="3578" max="3578" width="13.25" style="1" customWidth="1"/>
    <col min="3579" max="3764" width="9" style="1"/>
    <col min="3765" max="3766" width="0" style="1" hidden="1" customWidth="1"/>
    <col min="3767" max="3767" width="13.75" style="1" customWidth="1"/>
    <col min="3768" max="3768" width="52.875" style="1" customWidth="1"/>
    <col min="3769" max="3808" width="0" style="1" hidden="1" customWidth="1"/>
    <col min="3809" max="3810" width="14.875" style="1" customWidth="1"/>
    <col min="3811" max="3812" width="0" style="1" hidden="1" customWidth="1"/>
    <col min="3813" max="3813" width="14.875" style="1" customWidth="1"/>
    <col min="3814" max="3815" width="0" style="1" hidden="1" customWidth="1"/>
    <col min="3816" max="3816" width="14.875" style="1" customWidth="1"/>
    <col min="3817" max="3818" width="0" style="1" hidden="1" customWidth="1"/>
    <col min="3819" max="3819" width="14.875" style="1" customWidth="1"/>
    <col min="3820" max="3821" width="0" style="1" hidden="1" customWidth="1"/>
    <col min="3822" max="3822" width="14.875" style="1" customWidth="1"/>
    <col min="3823" max="3824" width="0" style="1" hidden="1" customWidth="1"/>
    <col min="3825" max="3826" width="14.875" style="1" customWidth="1"/>
    <col min="3827" max="3827" width="44.375" style="1" customWidth="1"/>
    <col min="3828" max="3832" width="14.875" style="1" customWidth="1"/>
    <col min="3833" max="3833" width="63.875" style="1" customWidth="1"/>
    <col min="3834" max="3834" width="13.25" style="1" customWidth="1"/>
    <col min="3835" max="4020" width="9" style="1"/>
    <col min="4021" max="4022" width="0" style="1" hidden="1" customWidth="1"/>
    <col min="4023" max="4023" width="13.75" style="1" customWidth="1"/>
    <col min="4024" max="4024" width="52.875" style="1" customWidth="1"/>
    <col min="4025" max="4064" width="0" style="1" hidden="1" customWidth="1"/>
    <col min="4065" max="4066" width="14.875" style="1" customWidth="1"/>
    <col min="4067" max="4068" width="0" style="1" hidden="1" customWidth="1"/>
    <col min="4069" max="4069" width="14.875" style="1" customWidth="1"/>
    <col min="4070" max="4071" width="0" style="1" hidden="1" customWidth="1"/>
    <col min="4072" max="4072" width="14.875" style="1" customWidth="1"/>
    <col min="4073" max="4074" width="0" style="1" hidden="1" customWidth="1"/>
    <col min="4075" max="4075" width="14.875" style="1" customWidth="1"/>
    <col min="4076" max="4077" width="0" style="1" hidden="1" customWidth="1"/>
    <col min="4078" max="4078" width="14.875" style="1" customWidth="1"/>
    <col min="4079" max="4080" width="0" style="1" hidden="1" customWidth="1"/>
    <col min="4081" max="4082" width="14.875" style="1" customWidth="1"/>
    <col min="4083" max="4083" width="44.375" style="1" customWidth="1"/>
    <col min="4084" max="4088" width="14.875" style="1" customWidth="1"/>
    <col min="4089" max="4089" width="63.875" style="1" customWidth="1"/>
    <col min="4090" max="4090" width="13.25" style="1" customWidth="1"/>
    <col min="4091" max="4276" width="9" style="1"/>
    <col min="4277" max="4278" width="0" style="1" hidden="1" customWidth="1"/>
    <col min="4279" max="4279" width="13.75" style="1" customWidth="1"/>
    <col min="4280" max="4280" width="52.875" style="1" customWidth="1"/>
    <col min="4281" max="4320" width="0" style="1" hidden="1" customWidth="1"/>
    <col min="4321" max="4322" width="14.875" style="1" customWidth="1"/>
    <col min="4323" max="4324" width="0" style="1" hidden="1" customWidth="1"/>
    <col min="4325" max="4325" width="14.875" style="1" customWidth="1"/>
    <col min="4326" max="4327" width="0" style="1" hidden="1" customWidth="1"/>
    <col min="4328" max="4328" width="14.875" style="1" customWidth="1"/>
    <col min="4329" max="4330" width="0" style="1" hidden="1" customWidth="1"/>
    <col min="4331" max="4331" width="14.875" style="1" customWidth="1"/>
    <col min="4332" max="4333" width="0" style="1" hidden="1" customWidth="1"/>
    <col min="4334" max="4334" width="14.875" style="1" customWidth="1"/>
    <col min="4335" max="4336" width="0" style="1" hidden="1" customWidth="1"/>
    <col min="4337" max="4338" width="14.875" style="1" customWidth="1"/>
    <col min="4339" max="4339" width="44.375" style="1" customWidth="1"/>
    <col min="4340" max="4344" width="14.875" style="1" customWidth="1"/>
    <col min="4345" max="4345" width="63.875" style="1" customWidth="1"/>
    <col min="4346" max="4346" width="13.25" style="1" customWidth="1"/>
    <col min="4347" max="4532" width="9" style="1"/>
    <col min="4533" max="4534" width="0" style="1" hidden="1" customWidth="1"/>
    <col min="4535" max="4535" width="13.75" style="1" customWidth="1"/>
    <col min="4536" max="4536" width="52.875" style="1" customWidth="1"/>
    <col min="4537" max="4576" width="0" style="1" hidden="1" customWidth="1"/>
    <col min="4577" max="4578" width="14.875" style="1" customWidth="1"/>
    <col min="4579" max="4580" width="0" style="1" hidden="1" customWidth="1"/>
    <col min="4581" max="4581" width="14.875" style="1" customWidth="1"/>
    <col min="4582" max="4583" width="0" style="1" hidden="1" customWidth="1"/>
    <col min="4584" max="4584" width="14.875" style="1" customWidth="1"/>
    <col min="4585" max="4586" width="0" style="1" hidden="1" customWidth="1"/>
    <col min="4587" max="4587" width="14.875" style="1" customWidth="1"/>
    <col min="4588" max="4589" width="0" style="1" hidden="1" customWidth="1"/>
    <col min="4590" max="4590" width="14.875" style="1" customWidth="1"/>
    <col min="4591" max="4592" width="0" style="1" hidden="1" customWidth="1"/>
    <col min="4593" max="4594" width="14.875" style="1" customWidth="1"/>
    <col min="4595" max="4595" width="44.375" style="1" customWidth="1"/>
    <col min="4596" max="4600" width="14.875" style="1" customWidth="1"/>
    <col min="4601" max="4601" width="63.875" style="1" customWidth="1"/>
    <col min="4602" max="4602" width="13.25" style="1" customWidth="1"/>
    <col min="4603" max="4788" width="9" style="1"/>
    <col min="4789" max="4790" width="0" style="1" hidden="1" customWidth="1"/>
    <col min="4791" max="4791" width="13.75" style="1" customWidth="1"/>
    <col min="4792" max="4792" width="52.875" style="1" customWidth="1"/>
    <col min="4793" max="4832" width="0" style="1" hidden="1" customWidth="1"/>
    <col min="4833" max="4834" width="14.875" style="1" customWidth="1"/>
    <col min="4835" max="4836" width="0" style="1" hidden="1" customWidth="1"/>
    <col min="4837" max="4837" width="14.875" style="1" customWidth="1"/>
    <col min="4838" max="4839" width="0" style="1" hidden="1" customWidth="1"/>
    <col min="4840" max="4840" width="14.875" style="1" customWidth="1"/>
    <col min="4841" max="4842" width="0" style="1" hidden="1" customWidth="1"/>
    <col min="4843" max="4843" width="14.875" style="1" customWidth="1"/>
    <col min="4844" max="4845" width="0" style="1" hidden="1" customWidth="1"/>
    <col min="4846" max="4846" width="14.875" style="1" customWidth="1"/>
    <col min="4847" max="4848" width="0" style="1" hidden="1" customWidth="1"/>
    <col min="4849" max="4850" width="14.875" style="1" customWidth="1"/>
    <col min="4851" max="4851" width="44.375" style="1" customWidth="1"/>
    <col min="4852" max="4856" width="14.875" style="1" customWidth="1"/>
    <col min="4857" max="4857" width="63.875" style="1" customWidth="1"/>
    <col min="4858" max="4858" width="13.25" style="1" customWidth="1"/>
    <col min="4859" max="5044" width="9" style="1"/>
    <col min="5045" max="5046" width="0" style="1" hidden="1" customWidth="1"/>
    <col min="5047" max="5047" width="13.75" style="1" customWidth="1"/>
    <col min="5048" max="5048" width="52.875" style="1" customWidth="1"/>
    <col min="5049" max="5088" width="0" style="1" hidden="1" customWidth="1"/>
    <col min="5089" max="5090" width="14.875" style="1" customWidth="1"/>
    <col min="5091" max="5092" width="0" style="1" hidden="1" customWidth="1"/>
    <col min="5093" max="5093" width="14.875" style="1" customWidth="1"/>
    <col min="5094" max="5095" width="0" style="1" hidden="1" customWidth="1"/>
    <col min="5096" max="5096" width="14.875" style="1" customWidth="1"/>
    <col min="5097" max="5098" width="0" style="1" hidden="1" customWidth="1"/>
    <col min="5099" max="5099" width="14.875" style="1" customWidth="1"/>
    <col min="5100" max="5101" width="0" style="1" hidden="1" customWidth="1"/>
    <col min="5102" max="5102" width="14.875" style="1" customWidth="1"/>
    <col min="5103" max="5104" width="0" style="1" hidden="1" customWidth="1"/>
    <col min="5105" max="5106" width="14.875" style="1" customWidth="1"/>
    <col min="5107" max="5107" width="44.375" style="1" customWidth="1"/>
    <col min="5108" max="5112" width="14.875" style="1" customWidth="1"/>
    <col min="5113" max="5113" width="63.875" style="1" customWidth="1"/>
    <col min="5114" max="5114" width="13.25" style="1" customWidth="1"/>
    <col min="5115" max="5300" width="9" style="1"/>
    <col min="5301" max="5302" width="0" style="1" hidden="1" customWidth="1"/>
    <col min="5303" max="5303" width="13.75" style="1" customWidth="1"/>
    <col min="5304" max="5304" width="52.875" style="1" customWidth="1"/>
    <col min="5305" max="5344" width="0" style="1" hidden="1" customWidth="1"/>
    <col min="5345" max="5346" width="14.875" style="1" customWidth="1"/>
    <col min="5347" max="5348" width="0" style="1" hidden="1" customWidth="1"/>
    <col min="5349" max="5349" width="14.875" style="1" customWidth="1"/>
    <col min="5350" max="5351" width="0" style="1" hidden="1" customWidth="1"/>
    <col min="5352" max="5352" width="14.875" style="1" customWidth="1"/>
    <col min="5353" max="5354" width="0" style="1" hidden="1" customWidth="1"/>
    <col min="5355" max="5355" width="14.875" style="1" customWidth="1"/>
    <col min="5356" max="5357" width="0" style="1" hidden="1" customWidth="1"/>
    <col min="5358" max="5358" width="14.875" style="1" customWidth="1"/>
    <col min="5359" max="5360" width="0" style="1" hidden="1" customWidth="1"/>
    <col min="5361" max="5362" width="14.875" style="1" customWidth="1"/>
    <col min="5363" max="5363" width="44.375" style="1" customWidth="1"/>
    <col min="5364" max="5368" width="14.875" style="1" customWidth="1"/>
    <col min="5369" max="5369" width="63.875" style="1" customWidth="1"/>
    <col min="5370" max="5370" width="13.25" style="1" customWidth="1"/>
    <col min="5371" max="5556" width="9" style="1"/>
    <col min="5557" max="5558" width="0" style="1" hidden="1" customWidth="1"/>
    <col min="5559" max="5559" width="13.75" style="1" customWidth="1"/>
    <col min="5560" max="5560" width="52.875" style="1" customWidth="1"/>
    <col min="5561" max="5600" width="0" style="1" hidden="1" customWidth="1"/>
    <col min="5601" max="5602" width="14.875" style="1" customWidth="1"/>
    <col min="5603" max="5604" width="0" style="1" hidden="1" customWidth="1"/>
    <col min="5605" max="5605" width="14.875" style="1" customWidth="1"/>
    <col min="5606" max="5607" width="0" style="1" hidden="1" customWidth="1"/>
    <col min="5608" max="5608" width="14.875" style="1" customWidth="1"/>
    <col min="5609" max="5610" width="0" style="1" hidden="1" customWidth="1"/>
    <col min="5611" max="5611" width="14.875" style="1" customWidth="1"/>
    <col min="5612" max="5613" width="0" style="1" hidden="1" customWidth="1"/>
    <col min="5614" max="5614" width="14.875" style="1" customWidth="1"/>
    <col min="5615" max="5616" width="0" style="1" hidden="1" customWidth="1"/>
    <col min="5617" max="5618" width="14.875" style="1" customWidth="1"/>
    <col min="5619" max="5619" width="44.375" style="1" customWidth="1"/>
    <col min="5620" max="5624" width="14.875" style="1" customWidth="1"/>
    <col min="5625" max="5625" width="63.875" style="1" customWidth="1"/>
    <col min="5626" max="5626" width="13.25" style="1" customWidth="1"/>
    <col min="5627" max="5812" width="9" style="1"/>
    <col min="5813" max="5814" width="0" style="1" hidden="1" customWidth="1"/>
    <col min="5815" max="5815" width="13.75" style="1" customWidth="1"/>
    <col min="5816" max="5816" width="52.875" style="1" customWidth="1"/>
    <col min="5817" max="5856" width="0" style="1" hidden="1" customWidth="1"/>
    <col min="5857" max="5858" width="14.875" style="1" customWidth="1"/>
    <col min="5859" max="5860" width="0" style="1" hidden="1" customWidth="1"/>
    <col min="5861" max="5861" width="14.875" style="1" customWidth="1"/>
    <col min="5862" max="5863" width="0" style="1" hidden="1" customWidth="1"/>
    <col min="5864" max="5864" width="14.875" style="1" customWidth="1"/>
    <col min="5865" max="5866" width="0" style="1" hidden="1" customWidth="1"/>
    <col min="5867" max="5867" width="14.875" style="1" customWidth="1"/>
    <col min="5868" max="5869" width="0" style="1" hidden="1" customWidth="1"/>
    <col min="5870" max="5870" width="14.875" style="1" customWidth="1"/>
    <col min="5871" max="5872" width="0" style="1" hidden="1" customWidth="1"/>
    <col min="5873" max="5874" width="14.875" style="1" customWidth="1"/>
    <col min="5875" max="5875" width="44.375" style="1" customWidth="1"/>
    <col min="5876" max="5880" width="14.875" style="1" customWidth="1"/>
    <col min="5881" max="5881" width="63.875" style="1" customWidth="1"/>
    <col min="5882" max="5882" width="13.25" style="1" customWidth="1"/>
    <col min="5883" max="6068" width="9" style="1"/>
    <col min="6069" max="6070" width="0" style="1" hidden="1" customWidth="1"/>
    <col min="6071" max="6071" width="13.75" style="1" customWidth="1"/>
    <col min="6072" max="6072" width="52.875" style="1" customWidth="1"/>
    <col min="6073" max="6112" width="0" style="1" hidden="1" customWidth="1"/>
    <col min="6113" max="6114" width="14.875" style="1" customWidth="1"/>
    <col min="6115" max="6116" width="0" style="1" hidden="1" customWidth="1"/>
    <col min="6117" max="6117" width="14.875" style="1" customWidth="1"/>
    <col min="6118" max="6119" width="0" style="1" hidden="1" customWidth="1"/>
    <col min="6120" max="6120" width="14.875" style="1" customWidth="1"/>
    <col min="6121" max="6122" width="0" style="1" hidden="1" customWidth="1"/>
    <col min="6123" max="6123" width="14.875" style="1" customWidth="1"/>
    <col min="6124" max="6125" width="0" style="1" hidden="1" customWidth="1"/>
    <col min="6126" max="6126" width="14.875" style="1" customWidth="1"/>
    <col min="6127" max="6128" width="0" style="1" hidden="1" customWidth="1"/>
    <col min="6129" max="6130" width="14.875" style="1" customWidth="1"/>
    <col min="6131" max="6131" width="44.375" style="1" customWidth="1"/>
    <col min="6132" max="6136" width="14.875" style="1" customWidth="1"/>
    <col min="6137" max="6137" width="63.875" style="1" customWidth="1"/>
    <col min="6138" max="6138" width="13.25" style="1" customWidth="1"/>
    <col min="6139" max="6324" width="9" style="1"/>
    <col min="6325" max="6326" width="0" style="1" hidden="1" customWidth="1"/>
    <col min="6327" max="6327" width="13.75" style="1" customWidth="1"/>
    <col min="6328" max="6328" width="52.875" style="1" customWidth="1"/>
    <col min="6329" max="6368" width="0" style="1" hidden="1" customWidth="1"/>
    <col min="6369" max="6370" width="14.875" style="1" customWidth="1"/>
    <col min="6371" max="6372" width="0" style="1" hidden="1" customWidth="1"/>
    <col min="6373" max="6373" width="14.875" style="1" customWidth="1"/>
    <col min="6374" max="6375" width="0" style="1" hidden="1" customWidth="1"/>
    <col min="6376" max="6376" width="14.875" style="1" customWidth="1"/>
    <col min="6377" max="6378" width="0" style="1" hidden="1" customWidth="1"/>
    <col min="6379" max="6379" width="14.875" style="1" customWidth="1"/>
    <col min="6380" max="6381" width="0" style="1" hidden="1" customWidth="1"/>
    <col min="6382" max="6382" width="14.875" style="1" customWidth="1"/>
    <col min="6383" max="6384" width="0" style="1" hidden="1" customWidth="1"/>
    <col min="6385" max="6386" width="14.875" style="1" customWidth="1"/>
    <col min="6387" max="6387" width="44.375" style="1" customWidth="1"/>
    <col min="6388" max="6392" width="14.875" style="1" customWidth="1"/>
    <col min="6393" max="6393" width="63.875" style="1" customWidth="1"/>
    <col min="6394" max="6394" width="13.25" style="1" customWidth="1"/>
    <col min="6395" max="6580" width="9" style="1"/>
    <col min="6581" max="6582" width="0" style="1" hidden="1" customWidth="1"/>
    <col min="6583" max="6583" width="13.75" style="1" customWidth="1"/>
    <col min="6584" max="6584" width="52.875" style="1" customWidth="1"/>
    <col min="6585" max="6624" width="0" style="1" hidden="1" customWidth="1"/>
    <col min="6625" max="6626" width="14.875" style="1" customWidth="1"/>
    <col min="6627" max="6628" width="0" style="1" hidden="1" customWidth="1"/>
    <col min="6629" max="6629" width="14.875" style="1" customWidth="1"/>
    <col min="6630" max="6631" width="0" style="1" hidden="1" customWidth="1"/>
    <col min="6632" max="6632" width="14.875" style="1" customWidth="1"/>
    <col min="6633" max="6634" width="0" style="1" hidden="1" customWidth="1"/>
    <col min="6635" max="6635" width="14.875" style="1" customWidth="1"/>
    <col min="6636" max="6637" width="0" style="1" hidden="1" customWidth="1"/>
    <col min="6638" max="6638" width="14.875" style="1" customWidth="1"/>
    <col min="6639" max="6640" width="0" style="1" hidden="1" customWidth="1"/>
    <col min="6641" max="6642" width="14.875" style="1" customWidth="1"/>
    <col min="6643" max="6643" width="44.375" style="1" customWidth="1"/>
    <col min="6644" max="6648" width="14.875" style="1" customWidth="1"/>
    <col min="6649" max="6649" width="63.875" style="1" customWidth="1"/>
    <col min="6650" max="6650" width="13.25" style="1" customWidth="1"/>
    <col min="6651" max="6836" width="9" style="1"/>
    <col min="6837" max="6838" width="0" style="1" hidden="1" customWidth="1"/>
    <col min="6839" max="6839" width="13.75" style="1" customWidth="1"/>
    <col min="6840" max="6840" width="52.875" style="1" customWidth="1"/>
    <col min="6841" max="6880" width="0" style="1" hidden="1" customWidth="1"/>
    <col min="6881" max="6882" width="14.875" style="1" customWidth="1"/>
    <col min="6883" max="6884" width="0" style="1" hidden="1" customWidth="1"/>
    <col min="6885" max="6885" width="14.875" style="1" customWidth="1"/>
    <col min="6886" max="6887" width="0" style="1" hidden="1" customWidth="1"/>
    <col min="6888" max="6888" width="14.875" style="1" customWidth="1"/>
    <col min="6889" max="6890" width="0" style="1" hidden="1" customWidth="1"/>
    <col min="6891" max="6891" width="14.875" style="1" customWidth="1"/>
    <col min="6892" max="6893" width="0" style="1" hidden="1" customWidth="1"/>
    <col min="6894" max="6894" width="14.875" style="1" customWidth="1"/>
    <col min="6895" max="6896" width="0" style="1" hidden="1" customWidth="1"/>
    <col min="6897" max="6898" width="14.875" style="1" customWidth="1"/>
    <col min="6899" max="6899" width="44.375" style="1" customWidth="1"/>
    <col min="6900" max="6904" width="14.875" style="1" customWidth="1"/>
    <col min="6905" max="6905" width="63.875" style="1" customWidth="1"/>
    <col min="6906" max="6906" width="13.25" style="1" customWidth="1"/>
    <col min="6907" max="7092" width="9" style="1"/>
    <col min="7093" max="7094" width="0" style="1" hidden="1" customWidth="1"/>
    <col min="7095" max="7095" width="13.75" style="1" customWidth="1"/>
    <col min="7096" max="7096" width="52.875" style="1" customWidth="1"/>
    <col min="7097" max="7136" width="0" style="1" hidden="1" customWidth="1"/>
    <col min="7137" max="7138" width="14.875" style="1" customWidth="1"/>
    <col min="7139" max="7140" width="0" style="1" hidden="1" customWidth="1"/>
    <col min="7141" max="7141" width="14.875" style="1" customWidth="1"/>
    <col min="7142" max="7143" width="0" style="1" hidden="1" customWidth="1"/>
    <col min="7144" max="7144" width="14.875" style="1" customWidth="1"/>
    <col min="7145" max="7146" width="0" style="1" hidden="1" customWidth="1"/>
    <col min="7147" max="7147" width="14.875" style="1" customWidth="1"/>
    <col min="7148" max="7149" width="0" style="1" hidden="1" customWidth="1"/>
    <col min="7150" max="7150" width="14.875" style="1" customWidth="1"/>
    <col min="7151" max="7152" width="0" style="1" hidden="1" customWidth="1"/>
    <col min="7153" max="7154" width="14.875" style="1" customWidth="1"/>
    <col min="7155" max="7155" width="44.375" style="1" customWidth="1"/>
    <col min="7156" max="7160" width="14.875" style="1" customWidth="1"/>
    <col min="7161" max="7161" width="63.875" style="1" customWidth="1"/>
    <col min="7162" max="7162" width="13.25" style="1" customWidth="1"/>
    <col min="7163" max="7348" width="9" style="1"/>
    <col min="7349" max="7350" width="0" style="1" hidden="1" customWidth="1"/>
    <col min="7351" max="7351" width="13.75" style="1" customWidth="1"/>
    <col min="7352" max="7352" width="52.875" style="1" customWidth="1"/>
    <col min="7353" max="7392" width="0" style="1" hidden="1" customWidth="1"/>
    <col min="7393" max="7394" width="14.875" style="1" customWidth="1"/>
    <col min="7395" max="7396" width="0" style="1" hidden="1" customWidth="1"/>
    <col min="7397" max="7397" width="14.875" style="1" customWidth="1"/>
    <col min="7398" max="7399" width="0" style="1" hidden="1" customWidth="1"/>
    <col min="7400" max="7400" width="14.875" style="1" customWidth="1"/>
    <col min="7401" max="7402" width="0" style="1" hidden="1" customWidth="1"/>
    <col min="7403" max="7403" width="14.875" style="1" customWidth="1"/>
    <col min="7404" max="7405" width="0" style="1" hidden="1" customWidth="1"/>
    <col min="7406" max="7406" width="14.875" style="1" customWidth="1"/>
    <col min="7407" max="7408" width="0" style="1" hidden="1" customWidth="1"/>
    <col min="7409" max="7410" width="14.875" style="1" customWidth="1"/>
    <col min="7411" max="7411" width="44.375" style="1" customWidth="1"/>
    <col min="7412" max="7416" width="14.875" style="1" customWidth="1"/>
    <col min="7417" max="7417" width="63.875" style="1" customWidth="1"/>
    <col min="7418" max="7418" width="13.25" style="1" customWidth="1"/>
    <col min="7419" max="7604" width="9" style="1"/>
    <col min="7605" max="7606" width="0" style="1" hidden="1" customWidth="1"/>
    <col min="7607" max="7607" width="13.75" style="1" customWidth="1"/>
    <col min="7608" max="7608" width="52.875" style="1" customWidth="1"/>
    <col min="7609" max="7648" width="0" style="1" hidden="1" customWidth="1"/>
    <col min="7649" max="7650" width="14.875" style="1" customWidth="1"/>
    <col min="7651" max="7652" width="0" style="1" hidden="1" customWidth="1"/>
    <col min="7653" max="7653" width="14.875" style="1" customWidth="1"/>
    <col min="7654" max="7655" width="0" style="1" hidden="1" customWidth="1"/>
    <col min="7656" max="7656" width="14.875" style="1" customWidth="1"/>
    <col min="7657" max="7658" width="0" style="1" hidden="1" customWidth="1"/>
    <col min="7659" max="7659" width="14.875" style="1" customWidth="1"/>
    <col min="7660" max="7661" width="0" style="1" hidden="1" customWidth="1"/>
    <col min="7662" max="7662" width="14.875" style="1" customWidth="1"/>
    <col min="7663" max="7664" width="0" style="1" hidden="1" customWidth="1"/>
    <col min="7665" max="7666" width="14.875" style="1" customWidth="1"/>
    <col min="7667" max="7667" width="44.375" style="1" customWidth="1"/>
    <col min="7668" max="7672" width="14.875" style="1" customWidth="1"/>
    <col min="7673" max="7673" width="63.875" style="1" customWidth="1"/>
    <col min="7674" max="7674" width="13.25" style="1" customWidth="1"/>
    <col min="7675" max="7860" width="9" style="1"/>
    <col min="7861" max="7862" width="0" style="1" hidden="1" customWidth="1"/>
    <col min="7863" max="7863" width="13.75" style="1" customWidth="1"/>
    <col min="7864" max="7864" width="52.875" style="1" customWidth="1"/>
    <col min="7865" max="7904" width="0" style="1" hidden="1" customWidth="1"/>
    <col min="7905" max="7906" width="14.875" style="1" customWidth="1"/>
    <col min="7907" max="7908" width="0" style="1" hidden="1" customWidth="1"/>
    <col min="7909" max="7909" width="14.875" style="1" customWidth="1"/>
    <col min="7910" max="7911" width="0" style="1" hidden="1" customWidth="1"/>
    <col min="7912" max="7912" width="14.875" style="1" customWidth="1"/>
    <col min="7913" max="7914" width="0" style="1" hidden="1" customWidth="1"/>
    <col min="7915" max="7915" width="14.875" style="1" customWidth="1"/>
    <col min="7916" max="7917" width="0" style="1" hidden="1" customWidth="1"/>
    <col min="7918" max="7918" width="14.875" style="1" customWidth="1"/>
    <col min="7919" max="7920" width="0" style="1" hidden="1" customWidth="1"/>
    <col min="7921" max="7922" width="14.875" style="1" customWidth="1"/>
    <col min="7923" max="7923" width="44.375" style="1" customWidth="1"/>
    <col min="7924" max="7928" width="14.875" style="1" customWidth="1"/>
    <col min="7929" max="7929" width="63.875" style="1" customWidth="1"/>
    <col min="7930" max="7930" width="13.25" style="1" customWidth="1"/>
    <col min="7931" max="8116" width="9" style="1"/>
    <col min="8117" max="8118" width="0" style="1" hidden="1" customWidth="1"/>
    <col min="8119" max="8119" width="13.75" style="1" customWidth="1"/>
    <col min="8120" max="8120" width="52.875" style="1" customWidth="1"/>
    <col min="8121" max="8160" width="0" style="1" hidden="1" customWidth="1"/>
    <col min="8161" max="8162" width="14.875" style="1" customWidth="1"/>
    <col min="8163" max="8164" width="0" style="1" hidden="1" customWidth="1"/>
    <col min="8165" max="8165" width="14.875" style="1" customWidth="1"/>
    <col min="8166" max="8167" width="0" style="1" hidden="1" customWidth="1"/>
    <col min="8168" max="8168" width="14.875" style="1" customWidth="1"/>
    <col min="8169" max="8170" width="0" style="1" hidden="1" customWidth="1"/>
    <col min="8171" max="8171" width="14.875" style="1" customWidth="1"/>
    <col min="8172" max="8173" width="0" style="1" hidden="1" customWidth="1"/>
    <col min="8174" max="8174" width="14.875" style="1" customWidth="1"/>
    <col min="8175" max="8176" width="0" style="1" hidden="1" customWidth="1"/>
    <col min="8177" max="8178" width="14.875" style="1" customWidth="1"/>
    <col min="8179" max="8179" width="44.375" style="1" customWidth="1"/>
    <col min="8180" max="8184" width="14.875" style="1" customWidth="1"/>
    <col min="8185" max="8185" width="63.875" style="1" customWidth="1"/>
    <col min="8186" max="8186" width="13.25" style="1" customWidth="1"/>
    <col min="8187" max="8372" width="9" style="1"/>
    <col min="8373" max="8374" width="0" style="1" hidden="1" customWidth="1"/>
    <col min="8375" max="8375" width="13.75" style="1" customWidth="1"/>
    <col min="8376" max="8376" width="52.875" style="1" customWidth="1"/>
    <col min="8377" max="8416" width="0" style="1" hidden="1" customWidth="1"/>
    <col min="8417" max="8418" width="14.875" style="1" customWidth="1"/>
    <col min="8419" max="8420" width="0" style="1" hidden="1" customWidth="1"/>
    <col min="8421" max="8421" width="14.875" style="1" customWidth="1"/>
    <col min="8422" max="8423" width="0" style="1" hidden="1" customWidth="1"/>
    <col min="8424" max="8424" width="14.875" style="1" customWidth="1"/>
    <col min="8425" max="8426" width="0" style="1" hidden="1" customWidth="1"/>
    <col min="8427" max="8427" width="14.875" style="1" customWidth="1"/>
    <col min="8428" max="8429" width="0" style="1" hidden="1" customWidth="1"/>
    <col min="8430" max="8430" width="14.875" style="1" customWidth="1"/>
    <col min="8431" max="8432" width="0" style="1" hidden="1" customWidth="1"/>
    <col min="8433" max="8434" width="14.875" style="1" customWidth="1"/>
    <col min="8435" max="8435" width="44.375" style="1" customWidth="1"/>
    <col min="8436" max="8440" width="14.875" style="1" customWidth="1"/>
    <col min="8441" max="8441" width="63.875" style="1" customWidth="1"/>
    <col min="8442" max="8442" width="13.25" style="1" customWidth="1"/>
    <col min="8443" max="8628" width="9" style="1"/>
    <col min="8629" max="8630" width="0" style="1" hidden="1" customWidth="1"/>
    <col min="8631" max="8631" width="13.75" style="1" customWidth="1"/>
    <col min="8632" max="8632" width="52.875" style="1" customWidth="1"/>
    <col min="8633" max="8672" width="0" style="1" hidden="1" customWidth="1"/>
    <col min="8673" max="8674" width="14.875" style="1" customWidth="1"/>
    <col min="8675" max="8676" width="0" style="1" hidden="1" customWidth="1"/>
    <col min="8677" max="8677" width="14.875" style="1" customWidth="1"/>
    <col min="8678" max="8679" width="0" style="1" hidden="1" customWidth="1"/>
    <col min="8680" max="8680" width="14.875" style="1" customWidth="1"/>
    <col min="8681" max="8682" width="0" style="1" hidden="1" customWidth="1"/>
    <col min="8683" max="8683" width="14.875" style="1" customWidth="1"/>
    <col min="8684" max="8685" width="0" style="1" hidden="1" customWidth="1"/>
    <col min="8686" max="8686" width="14.875" style="1" customWidth="1"/>
    <col min="8687" max="8688" width="0" style="1" hidden="1" customWidth="1"/>
    <col min="8689" max="8690" width="14.875" style="1" customWidth="1"/>
    <col min="8691" max="8691" width="44.375" style="1" customWidth="1"/>
    <col min="8692" max="8696" width="14.875" style="1" customWidth="1"/>
    <col min="8697" max="8697" width="63.875" style="1" customWidth="1"/>
    <col min="8698" max="8698" width="13.25" style="1" customWidth="1"/>
    <col min="8699" max="8884" width="9" style="1"/>
    <col min="8885" max="8886" width="0" style="1" hidden="1" customWidth="1"/>
    <col min="8887" max="8887" width="13.75" style="1" customWidth="1"/>
    <col min="8888" max="8888" width="52.875" style="1" customWidth="1"/>
    <col min="8889" max="8928" width="0" style="1" hidden="1" customWidth="1"/>
    <col min="8929" max="8930" width="14.875" style="1" customWidth="1"/>
    <col min="8931" max="8932" width="0" style="1" hidden="1" customWidth="1"/>
    <col min="8933" max="8933" width="14.875" style="1" customWidth="1"/>
    <col min="8934" max="8935" width="0" style="1" hidden="1" customWidth="1"/>
    <col min="8936" max="8936" width="14.875" style="1" customWidth="1"/>
    <col min="8937" max="8938" width="0" style="1" hidden="1" customWidth="1"/>
    <col min="8939" max="8939" width="14.875" style="1" customWidth="1"/>
    <col min="8940" max="8941" width="0" style="1" hidden="1" customWidth="1"/>
    <col min="8942" max="8942" width="14.875" style="1" customWidth="1"/>
    <col min="8943" max="8944" width="0" style="1" hidden="1" customWidth="1"/>
    <col min="8945" max="8946" width="14.875" style="1" customWidth="1"/>
    <col min="8947" max="8947" width="44.375" style="1" customWidth="1"/>
    <col min="8948" max="8952" width="14.875" style="1" customWidth="1"/>
    <col min="8953" max="8953" width="63.875" style="1" customWidth="1"/>
    <col min="8954" max="8954" width="13.25" style="1" customWidth="1"/>
    <col min="8955" max="9140" width="9" style="1"/>
    <col min="9141" max="9142" width="0" style="1" hidden="1" customWidth="1"/>
    <col min="9143" max="9143" width="13.75" style="1" customWidth="1"/>
    <col min="9144" max="9144" width="52.875" style="1" customWidth="1"/>
    <col min="9145" max="9184" width="0" style="1" hidden="1" customWidth="1"/>
    <col min="9185" max="9186" width="14.875" style="1" customWidth="1"/>
    <col min="9187" max="9188" width="0" style="1" hidden="1" customWidth="1"/>
    <col min="9189" max="9189" width="14.875" style="1" customWidth="1"/>
    <col min="9190" max="9191" width="0" style="1" hidden="1" customWidth="1"/>
    <col min="9192" max="9192" width="14.875" style="1" customWidth="1"/>
    <col min="9193" max="9194" width="0" style="1" hidden="1" customWidth="1"/>
    <col min="9195" max="9195" width="14.875" style="1" customWidth="1"/>
    <col min="9196" max="9197" width="0" style="1" hidden="1" customWidth="1"/>
    <col min="9198" max="9198" width="14.875" style="1" customWidth="1"/>
    <col min="9199" max="9200" width="0" style="1" hidden="1" customWidth="1"/>
    <col min="9201" max="9202" width="14.875" style="1" customWidth="1"/>
    <col min="9203" max="9203" width="44.375" style="1" customWidth="1"/>
    <col min="9204" max="9208" width="14.875" style="1" customWidth="1"/>
    <col min="9209" max="9209" width="63.875" style="1" customWidth="1"/>
    <col min="9210" max="9210" width="13.25" style="1" customWidth="1"/>
    <col min="9211" max="9396" width="9" style="1"/>
    <col min="9397" max="9398" width="0" style="1" hidden="1" customWidth="1"/>
    <col min="9399" max="9399" width="13.75" style="1" customWidth="1"/>
    <col min="9400" max="9400" width="52.875" style="1" customWidth="1"/>
    <col min="9401" max="9440" width="0" style="1" hidden="1" customWidth="1"/>
    <col min="9441" max="9442" width="14.875" style="1" customWidth="1"/>
    <col min="9443" max="9444" width="0" style="1" hidden="1" customWidth="1"/>
    <col min="9445" max="9445" width="14.875" style="1" customWidth="1"/>
    <col min="9446" max="9447" width="0" style="1" hidden="1" customWidth="1"/>
    <col min="9448" max="9448" width="14.875" style="1" customWidth="1"/>
    <col min="9449" max="9450" width="0" style="1" hidden="1" customWidth="1"/>
    <col min="9451" max="9451" width="14.875" style="1" customWidth="1"/>
    <col min="9452" max="9453" width="0" style="1" hidden="1" customWidth="1"/>
    <col min="9454" max="9454" width="14.875" style="1" customWidth="1"/>
    <col min="9455" max="9456" width="0" style="1" hidden="1" customWidth="1"/>
    <col min="9457" max="9458" width="14.875" style="1" customWidth="1"/>
    <col min="9459" max="9459" width="44.375" style="1" customWidth="1"/>
    <col min="9460" max="9464" width="14.875" style="1" customWidth="1"/>
    <col min="9465" max="9465" width="63.875" style="1" customWidth="1"/>
    <col min="9466" max="9466" width="13.25" style="1" customWidth="1"/>
    <col min="9467" max="9652" width="9" style="1"/>
    <col min="9653" max="9654" width="0" style="1" hidden="1" customWidth="1"/>
    <col min="9655" max="9655" width="13.75" style="1" customWidth="1"/>
    <col min="9656" max="9656" width="52.875" style="1" customWidth="1"/>
    <col min="9657" max="9696" width="0" style="1" hidden="1" customWidth="1"/>
    <col min="9697" max="9698" width="14.875" style="1" customWidth="1"/>
    <col min="9699" max="9700" width="0" style="1" hidden="1" customWidth="1"/>
    <col min="9701" max="9701" width="14.875" style="1" customWidth="1"/>
    <col min="9702" max="9703" width="0" style="1" hidden="1" customWidth="1"/>
    <col min="9704" max="9704" width="14.875" style="1" customWidth="1"/>
    <col min="9705" max="9706" width="0" style="1" hidden="1" customWidth="1"/>
    <col min="9707" max="9707" width="14.875" style="1" customWidth="1"/>
    <col min="9708" max="9709" width="0" style="1" hidden="1" customWidth="1"/>
    <col min="9710" max="9710" width="14.875" style="1" customWidth="1"/>
    <col min="9711" max="9712" width="0" style="1" hidden="1" customWidth="1"/>
    <col min="9713" max="9714" width="14.875" style="1" customWidth="1"/>
    <col min="9715" max="9715" width="44.375" style="1" customWidth="1"/>
    <col min="9716" max="9720" width="14.875" style="1" customWidth="1"/>
    <col min="9721" max="9721" width="63.875" style="1" customWidth="1"/>
    <col min="9722" max="9722" width="13.25" style="1" customWidth="1"/>
    <col min="9723" max="9908" width="9" style="1"/>
    <col min="9909" max="9910" width="0" style="1" hidden="1" customWidth="1"/>
    <col min="9911" max="9911" width="13.75" style="1" customWidth="1"/>
    <col min="9912" max="9912" width="52.875" style="1" customWidth="1"/>
    <col min="9913" max="9952" width="0" style="1" hidden="1" customWidth="1"/>
    <col min="9953" max="9954" width="14.875" style="1" customWidth="1"/>
    <col min="9955" max="9956" width="0" style="1" hidden="1" customWidth="1"/>
    <col min="9957" max="9957" width="14.875" style="1" customWidth="1"/>
    <col min="9958" max="9959" width="0" style="1" hidden="1" customWidth="1"/>
    <col min="9960" max="9960" width="14.875" style="1" customWidth="1"/>
    <col min="9961" max="9962" width="0" style="1" hidden="1" customWidth="1"/>
    <col min="9963" max="9963" width="14.875" style="1" customWidth="1"/>
    <col min="9964" max="9965" width="0" style="1" hidden="1" customWidth="1"/>
    <col min="9966" max="9966" width="14.875" style="1" customWidth="1"/>
    <col min="9967" max="9968" width="0" style="1" hidden="1" customWidth="1"/>
    <col min="9969" max="9970" width="14.875" style="1" customWidth="1"/>
    <col min="9971" max="9971" width="44.375" style="1" customWidth="1"/>
    <col min="9972" max="9976" width="14.875" style="1" customWidth="1"/>
    <col min="9977" max="9977" width="63.875" style="1" customWidth="1"/>
    <col min="9978" max="9978" width="13.25" style="1" customWidth="1"/>
    <col min="9979" max="10164" width="9" style="1"/>
    <col min="10165" max="10166" width="0" style="1" hidden="1" customWidth="1"/>
    <col min="10167" max="10167" width="13.75" style="1" customWidth="1"/>
    <col min="10168" max="10168" width="52.875" style="1" customWidth="1"/>
    <col min="10169" max="10208" width="0" style="1" hidden="1" customWidth="1"/>
    <col min="10209" max="10210" width="14.875" style="1" customWidth="1"/>
    <col min="10211" max="10212" width="0" style="1" hidden="1" customWidth="1"/>
    <col min="10213" max="10213" width="14.875" style="1" customWidth="1"/>
    <col min="10214" max="10215" width="0" style="1" hidden="1" customWidth="1"/>
    <col min="10216" max="10216" width="14.875" style="1" customWidth="1"/>
    <col min="10217" max="10218" width="0" style="1" hidden="1" customWidth="1"/>
    <col min="10219" max="10219" width="14.875" style="1" customWidth="1"/>
    <col min="10220" max="10221" width="0" style="1" hidden="1" customWidth="1"/>
    <col min="10222" max="10222" width="14.875" style="1" customWidth="1"/>
    <col min="10223" max="10224" width="0" style="1" hidden="1" customWidth="1"/>
    <col min="10225" max="10226" width="14.875" style="1" customWidth="1"/>
    <col min="10227" max="10227" width="44.375" style="1" customWidth="1"/>
    <col min="10228" max="10232" width="14.875" style="1" customWidth="1"/>
    <col min="10233" max="10233" width="63.875" style="1" customWidth="1"/>
    <col min="10234" max="10234" width="13.25" style="1" customWidth="1"/>
    <col min="10235" max="10420" width="9" style="1"/>
    <col min="10421" max="10422" width="0" style="1" hidden="1" customWidth="1"/>
    <col min="10423" max="10423" width="13.75" style="1" customWidth="1"/>
    <col min="10424" max="10424" width="52.875" style="1" customWidth="1"/>
    <col min="10425" max="10464" width="0" style="1" hidden="1" customWidth="1"/>
    <col min="10465" max="10466" width="14.875" style="1" customWidth="1"/>
    <col min="10467" max="10468" width="0" style="1" hidden="1" customWidth="1"/>
    <col min="10469" max="10469" width="14.875" style="1" customWidth="1"/>
    <col min="10470" max="10471" width="0" style="1" hidden="1" customWidth="1"/>
    <col min="10472" max="10472" width="14.875" style="1" customWidth="1"/>
    <col min="10473" max="10474" width="0" style="1" hidden="1" customWidth="1"/>
    <col min="10475" max="10475" width="14.875" style="1" customWidth="1"/>
    <col min="10476" max="10477" width="0" style="1" hidden="1" customWidth="1"/>
    <col min="10478" max="10478" width="14.875" style="1" customWidth="1"/>
    <col min="10479" max="10480" width="0" style="1" hidden="1" customWidth="1"/>
    <col min="10481" max="10482" width="14.875" style="1" customWidth="1"/>
    <col min="10483" max="10483" width="44.375" style="1" customWidth="1"/>
    <col min="10484" max="10488" width="14.875" style="1" customWidth="1"/>
    <col min="10489" max="10489" width="63.875" style="1" customWidth="1"/>
    <col min="10490" max="10490" width="13.25" style="1" customWidth="1"/>
    <col min="10491" max="10676" width="9" style="1"/>
    <col min="10677" max="10678" width="0" style="1" hidden="1" customWidth="1"/>
    <col min="10679" max="10679" width="13.75" style="1" customWidth="1"/>
    <col min="10680" max="10680" width="52.875" style="1" customWidth="1"/>
    <col min="10681" max="10720" width="0" style="1" hidden="1" customWidth="1"/>
    <col min="10721" max="10722" width="14.875" style="1" customWidth="1"/>
    <col min="10723" max="10724" width="0" style="1" hidden="1" customWidth="1"/>
    <col min="10725" max="10725" width="14.875" style="1" customWidth="1"/>
    <col min="10726" max="10727" width="0" style="1" hidden="1" customWidth="1"/>
    <col min="10728" max="10728" width="14.875" style="1" customWidth="1"/>
    <col min="10729" max="10730" width="0" style="1" hidden="1" customWidth="1"/>
    <col min="10731" max="10731" width="14.875" style="1" customWidth="1"/>
    <col min="10732" max="10733" width="0" style="1" hidden="1" customWidth="1"/>
    <col min="10734" max="10734" width="14.875" style="1" customWidth="1"/>
    <col min="10735" max="10736" width="0" style="1" hidden="1" customWidth="1"/>
    <col min="10737" max="10738" width="14.875" style="1" customWidth="1"/>
    <col min="10739" max="10739" width="44.375" style="1" customWidth="1"/>
    <col min="10740" max="10744" width="14.875" style="1" customWidth="1"/>
    <col min="10745" max="10745" width="63.875" style="1" customWidth="1"/>
    <col min="10746" max="10746" width="13.25" style="1" customWidth="1"/>
    <col min="10747" max="10932" width="9" style="1"/>
    <col min="10933" max="10934" width="0" style="1" hidden="1" customWidth="1"/>
    <col min="10935" max="10935" width="13.75" style="1" customWidth="1"/>
    <col min="10936" max="10936" width="52.875" style="1" customWidth="1"/>
    <col min="10937" max="10976" width="0" style="1" hidden="1" customWidth="1"/>
    <col min="10977" max="10978" width="14.875" style="1" customWidth="1"/>
    <col min="10979" max="10980" width="0" style="1" hidden="1" customWidth="1"/>
    <col min="10981" max="10981" width="14.875" style="1" customWidth="1"/>
    <col min="10982" max="10983" width="0" style="1" hidden="1" customWidth="1"/>
    <col min="10984" max="10984" width="14.875" style="1" customWidth="1"/>
    <col min="10985" max="10986" width="0" style="1" hidden="1" customWidth="1"/>
    <col min="10987" max="10987" width="14.875" style="1" customWidth="1"/>
    <col min="10988" max="10989" width="0" style="1" hidden="1" customWidth="1"/>
    <col min="10990" max="10990" width="14.875" style="1" customWidth="1"/>
    <col min="10991" max="10992" width="0" style="1" hidden="1" customWidth="1"/>
    <col min="10993" max="10994" width="14.875" style="1" customWidth="1"/>
    <col min="10995" max="10995" width="44.375" style="1" customWidth="1"/>
    <col min="10996" max="11000" width="14.875" style="1" customWidth="1"/>
    <col min="11001" max="11001" width="63.875" style="1" customWidth="1"/>
    <col min="11002" max="11002" width="13.25" style="1" customWidth="1"/>
    <col min="11003" max="11188" width="9" style="1"/>
    <col min="11189" max="11190" width="0" style="1" hidden="1" customWidth="1"/>
    <col min="11191" max="11191" width="13.75" style="1" customWidth="1"/>
    <col min="11192" max="11192" width="52.875" style="1" customWidth="1"/>
    <col min="11193" max="11232" width="0" style="1" hidden="1" customWidth="1"/>
    <col min="11233" max="11234" width="14.875" style="1" customWidth="1"/>
    <col min="11235" max="11236" width="0" style="1" hidden="1" customWidth="1"/>
    <col min="11237" max="11237" width="14.875" style="1" customWidth="1"/>
    <col min="11238" max="11239" width="0" style="1" hidden="1" customWidth="1"/>
    <col min="11240" max="11240" width="14.875" style="1" customWidth="1"/>
    <col min="11241" max="11242" width="0" style="1" hidden="1" customWidth="1"/>
    <col min="11243" max="11243" width="14.875" style="1" customWidth="1"/>
    <col min="11244" max="11245" width="0" style="1" hidden="1" customWidth="1"/>
    <col min="11246" max="11246" width="14.875" style="1" customWidth="1"/>
    <col min="11247" max="11248" width="0" style="1" hidden="1" customWidth="1"/>
    <col min="11249" max="11250" width="14.875" style="1" customWidth="1"/>
    <col min="11251" max="11251" width="44.375" style="1" customWidth="1"/>
    <col min="11252" max="11256" width="14.875" style="1" customWidth="1"/>
    <col min="11257" max="11257" width="63.875" style="1" customWidth="1"/>
    <col min="11258" max="11258" width="13.25" style="1" customWidth="1"/>
    <col min="11259" max="11444" width="9" style="1"/>
    <col min="11445" max="11446" width="0" style="1" hidden="1" customWidth="1"/>
    <col min="11447" max="11447" width="13.75" style="1" customWidth="1"/>
    <col min="11448" max="11448" width="52.875" style="1" customWidth="1"/>
    <col min="11449" max="11488" width="0" style="1" hidden="1" customWidth="1"/>
    <col min="11489" max="11490" width="14.875" style="1" customWidth="1"/>
    <col min="11491" max="11492" width="0" style="1" hidden="1" customWidth="1"/>
    <col min="11493" max="11493" width="14.875" style="1" customWidth="1"/>
    <col min="11494" max="11495" width="0" style="1" hidden="1" customWidth="1"/>
    <col min="11496" max="11496" width="14.875" style="1" customWidth="1"/>
    <col min="11497" max="11498" width="0" style="1" hidden="1" customWidth="1"/>
    <col min="11499" max="11499" width="14.875" style="1" customWidth="1"/>
    <col min="11500" max="11501" width="0" style="1" hidden="1" customWidth="1"/>
    <col min="11502" max="11502" width="14.875" style="1" customWidth="1"/>
    <col min="11503" max="11504" width="0" style="1" hidden="1" customWidth="1"/>
    <col min="11505" max="11506" width="14.875" style="1" customWidth="1"/>
    <col min="11507" max="11507" width="44.375" style="1" customWidth="1"/>
    <col min="11508" max="11512" width="14.875" style="1" customWidth="1"/>
    <col min="11513" max="11513" width="63.875" style="1" customWidth="1"/>
    <col min="11514" max="11514" width="13.25" style="1" customWidth="1"/>
    <col min="11515" max="11700" width="9" style="1"/>
    <col min="11701" max="11702" width="0" style="1" hidden="1" customWidth="1"/>
    <col min="11703" max="11703" width="13.75" style="1" customWidth="1"/>
    <col min="11704" max="11704" width="52.875" style="1" customWidth="1"/>
    <col min="11705" max="11744" width="0" style="1" hidden="1" customWidth="1"/>
    <col min="11745" max="11746" width="14.875" style="1" customWidth="1"/>
    <col min="11747" max="11748" width="0" style="1" hidden="1" customWidth="1"/>
    <col min="11749" max="11749" width="14.875" style="1" customWidth="1"/>
    <col min="11750" max="11751" width="0" style="1" hidden="1" customWidth="1"/>
    <col min="11752" max="11752" width="14.875" style="1" customWidth="1"/>
    <col min="11753" max="11754" width="0" style="1" hidden="1" customWidth="1"/>
    <col min="11755" max="11755" width="14.875" style="1" customWidth="1"/>
    <col min="11756" max="11757" width="0" style="1" hidden="1" customWidth="1"/>
    <col min="11758" max="11758" width="14.875" style="1" customWidth="1"/>
    <col min="11759" max="11760" width="0" style="1" hidden="1" customWidth="1"/>
    <col min="11761" max="11762" width="14.875" style="1" customWidth="1"/>
    <col min="11763" max="11763" width="44.375" style="1" customWidth="1"/>
    <col min="11764" max="11768" width="14.875" style="1" customWidth="1"/>
    <col min="11769" max="11769" width="63.875" style="1" customWidth="1"/>
    <col min="11770" max="11770" width="13.25" style="1" customWidth="1"/>
    <col min="11771" max="11956" width="9" style="1"/>
    <col min="11957" max="11958" width="0" style="1" hidden="1" customWidth="1"/>
    <col min="11959" max="11959" width="13.75" style="1" customWidth="1"/>
    <col min="11960" max="11960" width="52.875" style="1" customWidth="1"/>
    <col min="11961" max="12000" width="0" style="1" hidden="1" customWidth="1"/>
    <col min="12001" max="12002" width="14.875" style="1" customWidth="1"/>
    <col min="12003" max="12004" width="0" style="1" hidden="1" customWidth="1"/>
    <col min="12005" max="12005" width="14.875" style="1" customWidth="1"/>
    <col min="12006" max="12007" width="0" style="1" hidden="1" customWidth="1"/>
    <col min="12008" max="12008" width="14.875" style="1" customWidth="1"/>
    <col min="12009" max="12010" width="0" style="1" hidden="1" customWidth="1"/>
    <col min="12011" max="12011" width="14.875" style="1" customWidth="1"/>
    <col min="12012" max="12013" width="0" style="1" hidden="1" customWidth="1"/>
    <col min="12014" max="12014" width="14.875" style="1" customWidth="1"/>
    <col min="12015" max="12016" width="0" style="1" hidden="1" customWidth="1"/>
    <col min="12017" max="12018" width="14.875" style="1" customWidth="1"/>
    <col min="12019" max="12019" width="44.375" style="1" customWidth="1"/>
    <col min="12020" max="12024" width="14.875" style="1" customWidth="1"/>
    <col min="12025" max="12025" width="63.875" style="1" customWidth="1"/>
    <col min="12026" max="12026" width="13.25" style="1" customWidth="1"/>
    <col min="12027" max="12212" width="9" style="1"/>
    <col min="12213" max="12214" width="0" style="1" hidden="1" customWidth="1"/>
    <col min="12215" max="12215" width="13.75" style="1" customWidth="1"/>
    <col min="12216" max="12216" width="52.875" style="1" customWidth="1"/>
    <col min="12217" max="12256" width="0" style="1" hidden="1" customWidth="1"/>
    <col min="12257" max="12258" width="14.875" style="1" customWidth="1"/>
    <col min="12259" max="12260" width="0" style="1" hidden="1" customWidth="1"/>
    <col min="12261" max="12261" width="14.875" style="1" customWidth="1"/>
    <col min="12262" max="12263" width="0" style="1" hidden="1" customWidth="1"/>
    <col min="12264" max="12264" width="14.875" style="1" customWidth="1"/>
    <col min="12265" max="12266" width="0" style="1" hidden="1" customWidth="1"/>
    <col min="12267" max="12267" width="14.875" style="1" customWidth="1"/>
    <col min="12268" max="12269" width="0" style="1" hidden="1" customWidth="1"/>
    <col min="12270" max="12270" width="14.875" style="1" customWidth="1"/>
    <col min="12271" max="12272" width="0" style="1" hidden="1" customWidth="1"/>
    <col min="12273" max="12274" width="14.875" style="1" customWidth="1"/>
    <col min="12275" max="12275" width="44.375" style="1" customWidth="1"/>
    <col min="12276" max="12280" width="14.875" style="1" customWidth="1"/>
    <col min="12281" max="12281" width="63.875" style="1" customWidth="1"/>
    <col min="12282" max="12282" width="13.25" style="1" customWidth="1"/>
    <col min="12283" max="12468" width="9" style="1"/>
    <col min="12469" max="12470" width="0" style="1" hidden="1" customWidth="1"/>
    <col min="12471" max="12471" width="13.75" style="1" customWidth="1"/>
    <col min="12472" max="12472" width="52.875" style="1" customWidth="1"/>
    <col min="12473" max="12512" width="0" style="1" hidden="1" customWidth="1"/>
    <col min="12513" max="12514" width="14.875" style="1" customWidth="1"/>
    <col min="12515" max="12516" width="0" style="1" hidden="1" customWidth="1"/>
    <col min="12517" max="12517" width="14.875" style="1" customWidth="1"/>
    <col min="12518" max="12519" width="0" style="1" hidden="1" customWidth="1"/>
    <col min="12520" max="12520" width="14.875" style="1" customWidth="1"/>
    <col min="12521" max="12522" width="0" style="1" hidden="1" customWidth="1"/>
    <col min="12523" max="12523" width="14.875" style="1" customWidth="1"/>
    <col min="12524" max="12525" width="0" style="1" hidden="1" customWidth="1"/>
    <col min="12526" max="12526" width="14.875" style="1" customWidth="1"/>
    <col min="12527" max="12528" width="0" style="1" hidden="1" customWidth="1"/>
    <col min="12529" max="12530" width="14.875" style="1" customWidth="1"/>
    <col min="12531" max="12531" width="44.375" style="1" customWidth="1"/>
    <col min="12532" max="12536" width="14.875" style="1" customWidth="1"/>
    <col min="12537" max="12537" width="63.875" style="1" customWidth="1"/>
    <col min="12538" max="12538" width="13.25" style="1" customWidth="1"/>
    <col min="12539" max="12724" width="9" style="1"/>
    <col min="12725" max="12726" width="0" style="1" hidden="1" customWidth="1"/>
    <col min="12727" max="12727" width="13.75" style="1" customWidth="1"/>
    <col min="12728" max="12728" width="52.875" style="1" customWidth="1"/>
    <col min="12729" max="12768" width="0" style="1" hidden="1" customWidth="1"/>
    <col min="12769" max="12770" width="14.875" style="1" customWidth="1"/>
    <col min="12771" max="12772" width="0" style="1" hidden="1" customWidth="1"/>
    <col min="12773" max="12773" width="14.875" style="1" customWidth="1"/>
    <col min="12774" max="12775" width="0" style="1" hidden="1" customWidth="1"/>
    <col min="12776" max="12776" width="14.875" style="1" customWidth="1"/>
    <col min="12777" max="12778" width="0" style="1" hidden="1" customWidth="1"/>
    <col min="12779" max="12779" width="14.875" style="1" customWidth="1"/>
    <col min="12780" max="12781" width="0" style="1" hidden="1" customWidth="1"/>
    <col min="12782" max="12782" width="14.875" style="1" customWidth="1"/>
    <col min="12783" max="12784" width="0" style="1" hidden="1" customWidth="1"/>
    <col min="12785" max="12786" width="14.875" style="1" customWidth="1"/>
    <col min="12787" max="12787" width="44.375" style="1" customWidth="1"/>
    <col min="12788" max="12792" width="14.875" style="1" customWidth="1"/>
    <col min="12793" max="12793" width="63.875" style="1" customWidth="1"/>
    <col min="12794" max="12794" width="13.25" style="1" customWidth="1"/>
    <col min="12795" max="12980" width="9" style="1"/>
    <col min="12981" max="12982" width="0" style="1" hidden="1" customWidth="1"/>
    <col min="12983" max="12983" width="13.75" style="1" customWidth="1"/>
    <col min="12984" max="12984" width="52.875" style="1" customWidth="1"/>
    <col min="12985" max="13024" width="0" style="1" hidden="1" customWidth="1"/>
    <col min="13025" max="13026" width="14.875" style="1" customWidth="1"/>
    <col min="13027" max="13028" width="0" style="1" hidden="1" customWidth="1"/>
    <col min="13029" max="13029" width="14.875" style="1" customWidth="1"/>
    <col min="13030" max="13031" width="0" style="1" hidden="1" customWidth="1"/>
    <col min="13032" max="13032" width="14.875" style="1" customWidth="1"/>
    <col min="13033" max="13034" width="0" style="1" hidden="1" customWidth="1"/>
    <col min="13035" max="13035" width="14.875" style="1" customWidth="1"/>
    <col min="13036" max="13037" width="0" style="1" hidden="1" customWidth="1"/>
    <col min="13038" max="13038" width="14.875" style="1" customWidth="1"/>
    <col min="13039" max="13040" width="0" style="1" hidden="1" customWidth="1"/>
    <col min="13041" max="13042" width="14.875" style="1" customWidth="1"/>
    <col min="13043" max="13043" width="44.375" style="1" customWidth="1"/>
    <col min="13044" max="13048" width="14.875" style="1" customWidth="1"/>
    <col min="13049" max="13049" width="63.875" style="1" customWidth="1"/>
    <col min="13050" max="13050" width="13.25" style="1" customWidth="1"/>
    <col min="13051" max="13236" width="9" style="1"/>
    <col min="13237" max="13238" width="0" style="1" hidden="1" customWidth="1"/>
    <col min="13239" max="13239" width="13.75" style="1" customWidth="1"/>
    <col min="13240" max="13240" width="52.875" style="1" customWidth="1"/>
    <col min="13241" max="13280" width="0" style="1" hidden="1" customWidth="1"/>
    <col min="13281" max="13282" width="14.875" style="1" customWidth="1"/>
    <col min="13283" max="13284" width="0" style="1" hidden="1" customWidth="1"/>
    <col min="13285" max="13285" width="14.875" style="1" customWidth="1"/>
    <col min="13286" max="13287" width="0" style="1" hidden="1" customWidth="1"/>
    <col min="13288" max="13288" width="14.875" style="1" customWidth="1"/>
    <col min="13289" max="13290" width="0" style="1" hidden="1" customWidth="1"/>
    <col min="13291" max="13291" width="14.875" style="1" customWidth="1"/>
    <col min="13292" max="13293" width="0" style="1" hidden="1" customWidth="1"/>
    <col min="13294" max="13294" width="14.875" style="1" customWidth="1"/>
    <col min="13295" max="13296" width="0" style="1" hidden="1" customWidth="1"/>
    <col min="13297" max="13298" width="14.875" style="1" customWidth="1"/>
    <col min="13299" max="13299" width="44.375" style="1" customWidth="1"/>
    <col min="13300" max="13304" width="14.875" style="1" customWidth="1"/>
    <col min="13305" max="13305" width="63.875" style="1" customWidth="1"/>
    <col min="13306" max="13306" width="13.25" style="1" customWidth="1"/>
    <col min="13307" max="13492" width="9" style="1"/>
    <col min="13493" max="13494" width="0" style="1" hidden="1" customWidth="1"/>
    <col min="13495" max="13495" width="13.75" style="1" customWidth="1"/>
    <col min="13496" max="13496" width="52.875" style="1" customWidth="1"/>
    <col min="13497" max="13536" width="0" style="1" hidden="1" customWidth="1"/>
    <col min="13537" max="13538" width="14.875" style="1" customWidth="1"/>
    <col min="13539" max="13540" width="0" style="1" hidden="1" customWidth="1"/>
    <col min="13541" max="13541" width="14.875" style="1" customWidth="1"/>
    <col min="13542" max="13543" width="0" style="1" hidden="1" customWidth="1"/>
    <col min="13544" max="13544" width="14.875" style="1" customWidth="1"/>
    <col min="13545" max="13546" width="0" style="1" hidden="1" customWidth="1"/>
    <col min="13547" max="13547" width="14.875" style="1" customWidth="1"/>
    <col min="13548" max="13549" width="0" style="1" hidden="1" customWidth="1"/>
    <col min="13550" max="13550" width="14.875" style="1" customWidth="1"/>
    <col min="13551" max="13552" width="0" style="1" hidden="1" customWidth="1"/>
    <col min="13553" max="13554" width="14.875" style="1" customWidth="1"/>
    <col min="13555" max="13555" width="44.375" style="1" customWidth="1"/>
    <col min="13556" max="13560" width="14.875" style="1" customWidth="1"/>
    <col min="13561" max="13561" width="63.875" style="1" customWidth="1"/>
    <col min="13562" max="13562" width="13.25" style="1" customWidth="1"/>
    <col min="13563" max="13748" width="9" style="1"/>
    <col min="13749" max="13750" width="0" style="1" hidden="1" customWidth="1"/>
    <col min="13751" max="13751" width="13.75" style="1" customWidth="1"/>
    <col min="13752" max="13752" width="52.875" style="1" customWidth="1"/>
    <col min="13753" max="13792" width="0" style="1" hidden="1" customWidth="1"/>
    <col min="13793" max="13794" width="14.875" style="1" customWidth="1"/>
    <col min="13795" max="13796" width="0" style="1" hidden="1" customWidth="1"/>
    <col min="13797" max="13797" width="14.875" style="1" customWidth="1"/>
    <col min="13798" max="13799" width="0" style="1" hidden="1" customWidth="1"/>
    <col min="13800" max="13800" width="14.875" style="1" customWidth="1"/>
    <col min="13801" max="13802" width="0" style="1" hidden="1" customWidth="1"/>
    <col min="13803" max="13803" width="14.875" style="1" customWidth="1"/>
    <col min="13804" max="13805" width="0" style="1" hidden="1" customWidth="1"/>
    <col min="13806" max="13806" width="14.875" style="1" customWidth="1"/>
    <col min="13807" max="13808" width="0" style="1" hidden="1" customWidth="1"/>
    <col min="13809" max="13810" width="14.875" style="1" customWidth="1"/>
    <col min="13811" max="13811" width="44.375" style="1" customWidth="1"/>
    <col min="13812" max="13816" width="14.875" style="1" customWidth="1"/>
    <col min="13817" max="13817" width="63.875" style="1" customWidth="1"/>
    <col min="13818" max="13818" width="13.25" style="1" customWidth="1"/>
    <col min="13819" max="14004" width="9" style="1"/>
    <col min="14005" max="14006" width="0" style="1" hidden="1" customWidth="1"/>
    <col min="14007" max="14007" width="13.75" style="1" customWidth="1"/>
    <col min="14008" max="14008" width="52.875" style="1" customWidth="1"/>
    <col min="14009" max="14048" width="0" style="1" hidden="1" customWidth="1"/>
    <col min="14049" max="14050" width="14.875" style="1" customWidth="1"/>
    <col min="14051" max="14052" width="0" style="1" hidden="1" customWidth="1"/>
    <col min="14053" max="14053" width="14.875" style="1" customWidth="1"/>
    <col min="14054" max="14055" width="0" style="1" hidden="1" customWidth="1"/>
    <col min="14056" max="14056" width="14.875" style="1" customWidth="1"/>
    <col min="14057" max="14058" width="0" style="1" hidden="1" customWidth="1"/>
    <col min="14059" max="14059" width="14.875" style="1" customWidth="1"/>
    <col min="14060" max="14061" width="0" style="1" hidden="1" customWidth="1"/>
    <col min="14062" max="14062" width="14.875" style="1" customWidth="1"/>
    <col min="14063" max="14064" width="0" style="1" hidden="1" customWidth="1"/>
    <col min="14065" max="14066" width="14.875" style="1" customWidth="1"/>
    <col min="14067" max="14067" width="44.375" style="1" customWidth="1"/>
    <col min="14068" max="14072" width="14.875" style="1" customWidth="1"/>
    <col min="14073" max="14073" width="63.875" style="1" customWidth="1"/>
    <col min="14074" max="14074" width="13.25" style="1" customWidth="1"/>
    <col min="14075" max="14260" width="9" style="1"/>
    <col min="14261" max="14262" width="0" style="1" hidden="1" customWidth="1"/>
    <col min="14263" max="14263" width="13.75" style="1" customWidth="1"/>
    <col min="14264" max="14264" width="52.875" style="1" customWidth="1"/>
    <col min="14265" max="14304" width="0" style="1" hidden="1" customWidth="1"/>
    <col min="14305" max="14306" width="14.875" style="1" customWidth="1"/>
    <col min="14307" max="14308" width="0" style="1" hidden="1" customWidth="1"/>
    <col min="14309" max="14309" width="14.875" style="1" customWidth="1"/>
    <col min="14310" max="14311" width="0" style="1" hidden="1" customWidth="1"/>
    <col min="14312" max="14312" width="14.875" style="1" customWidth="1"/>
    <col min="14313" max="14314" width="0" style="1" hidden="1" customWidth="1"/>
    <col min="14315" max="14315" width="14.875" style="1" customWidth="1"/>
    <col min="14316" max="14317" width="0" style="1" hidden="1" customWidth="1"/>
    <col min="14318" max="14318" width="14.875" style="1" customWidth="1"/>
    <col min="14319" max="14320" width="0" style="1" hidden="1" customWidth="1"/>
    <col min="14321" max="14322" width="14.875" style="1" customWidth="1"/>
    <col min="14323" max="14323" width="44.375" style="1" customWidth="1"/>
    <col min="14324" max="14328" width="14.875" style="1" customWidth="1"/>
    <col min="14329" max="14329" width="63.875" style="1" customWidth="1"/>
    <col min="14330" max="14330" width="13.25" style="1" customWidth="1"/>
    <col min="14331" max="14516" width="9" style="1"/>
    <col min="14517" max="14518" width="0" style="1" hidden="1" customWidth="1"/>
    <col min="14519" max="14519" width="13.75" style="1" customWidth="1"/>
    <col min="14520" max="14520" width="52.875" style="1" customWidth="1"/>
    <col min="14521" max="14560" width="0" style="1" hidden="1" customWidth="1"/>
    <col min="14561" max="14562" width="14.875" style="1" customWidth="1"/>
    <col min="14563" max="14564" width="0" style="1" hidden="1" customWidth="1"/>
    <col min="14565" max="14565" width="14.875" style="1" customWidth="1"/>
    <col min="14566" max="14567" width="0" style="1" hidden="1" customWidth="1"/>
    <col min="14568" max="14568" width="14.875" style="1" customWidth="1"/>
    <col min="14569" max="14570" width="0" style="1" hidden="1" customWidth="1"/>
    <col min="14571" max="14571" width="14.875" style="1" customWidth="1"/>
    <col min="14572" max="14573" width="0" style="1" hidden="1" customWidth="1"/>
    <col min="14574" max="14574" width="14.875" style="1" customWidth="1"/>
    <col min="14575" max="14576" width="0" style="1" hidden="1" customWidth="1"/>
    <col min="14577" max="14578" width="14.875" style="1" customWidth="1"/>
    <col min="14579" max="14579" width="44.375" style="1" customWidth="1"/>
    <col min="14580" max="14584" width="14.875" style="1" customWidth="1"/>
    <col min="14585" max="14585" width="63.875" style="1" customWidth="1"/>
    <col min="14586" max="14586" width="13.25" style="1" customWidth="1"/>
    <col min="14587" max="14772" width="9" style="1"/>
    <col min="14773" max="14774" width="0" style="1" hidden="1" customWidth="1"/>
    <col min="14775" max="14775" width="13.75" style="1" customWidth="1"/>
    <col min="14776" max="14776" width="52.875" style="1" customWidth="1"/>
    <col min="14777" max="14816" width="0" style="1" hidden="1" customWidth="1"/>
    <col min="14817" max="14818" width="14.875" style="1" customWidth="1"/>
    <col min="14819" max="14820" width="0" style="1" hidden="1" customWidth="1"/>
    <col min="14821" max="14821" width="14.875" style="1" customWidth="1"/>
    <col min="14822" max="14823" width="0" style="1" hidden="1" customWidth="1"/>
    <col min="14824" max="14824" width="14.875" style="1" customWidth="1"/>
    <col min="14825" max="14826" width="0" style="1" hidden="1" customWidth="1"/>
    <col min="14827" max="14827" width="14.875" style="1" customWidth="1"/>
    <col min="14828" max="14829" width="0" style="1" hidden="1" customWidth="1"/>
    <col min="14830" max="14830" width="14.875" style="1" customWidth="1"/>
    <col min="14831" max="14832" width="0" style="1" hidden="1" customWidth="1"/>
    <col min="14833" max="14834" width="14.875" style="1" customWidth="1"/>
    <col min="14835" max="14835" width="44.375" style="1" customWidth="1"/>
    <col min="14836" max="14840" width="14.875" style="1" customWidth="1"/>
    <col min="14841" max="14841" width="63.875" style="1" customWidth="1"/>
    <col min="14842" max="14842" width="13.25" style="1" customWidth="1"/>
    <col min="14843" max="15028" width="9" style="1"/>
    <col min="15029" max="15030" width="0" style="1" hidden="1" customWidth="1"/>
    <col min="15031" max="15031" width="13.75" style="1" customWidth="1"/>
    <col min="15032" max="15032" width="52.875" style="1" customWidth="1"/>
    <col min="15033" max="15072" width="0" style="1" hidden="1" customWidth="1"/>
    <col min="15073" max="15074" width="14.875" style="1" customWidth="1"/>
    <col min="15075" max="15076" width="0" style="1" hidden="1" customWidth="1"/>
    <col min="15077" max="15077" width="14.875" style="1" customWidth="1"/>
    <col min="15078" max="15079" width="0" style="1" hidden="1" customWidth="1"/>
    <col min="15080" max="15080" width="14.875" style="1" customWidth="1"/>
    <col min="15081" max="15082" width="0" style="1" hidden="1" customWidth="1"/>
    <col min="15083" max="15083" width="14.875" style="1" customWidth="1"/>
    <col min="15084" max="15085" width="0" style="1" hidden="1" customWidth="1"/>
    <col min="15086" max="15086" width="14.875" style="1" customWidth="1"/>
    <col min="15087" max="15088" width="0" style="1" hidden="1" customWidth="1"/>
    <col min="15089" max="15090" width="14.875" style="1" customWidth="1"/>
    <col min="15091" max="15091" width="44.375" style="1" customWidth="1"/>
    <col min="15092" max="15096" width="14.875" style="1" customWidth="1"/>
    <col min="15097" max="15097" width="63.875" style="1" customWidth="1"/>
    <col min="15098" max="15098" width="13.25" style="1" customWidth="1"/>
    <col min="15099" max="15284" width="9" style="1"/>
    <col min="15285" max="15286" width="0" style="1" hidden="1" customWidth="1"/>
    <col min="15287" max="15287" width="13.75" style="1" customWidth="1"/>
    <col min="15288" max="15288" width="52.875" style="1" customWidth="1"/>
    <col min="15289" max="15328" width="0" style="1" hidden="1" customWidth="1"/>
    <col min="15329" max="15330" width="14.875" style="1" customWidth="1"/>
    <col min="15331" max="15332" width="0" style="1" hidden="1" customWidth="1"/>
    <col min="15333" max="15333" width="14.875" style="1" customWidth="1"/>
    <col min="15334" max="15335" width="0" style="1" hidden="1" customWidth="1"/>
    <col min="15336" max="15336" width="14.875" style="1" customWidth="1"/>
    <col min="15337" max="15338" width="0" style="1" hidden="1" customWidth="1"/>
    <col min="15339" max="15339" width="14.875" style="1" customWidth="1"/>
    <col min="15340" max="15341" width="0" style="1" hidden="1" customWidth="1"/>
    <col min="15342" max="15342" width="14.875" style="1" customWidth="1"/>
    <col min="15343" max="15344" width="0" style="1" hidden="1" customWidth="1"/>
    <col min="15345" max="15346" width="14.875" style="1" customWidth="1"/>
    <col min="15347" max="15347" width="44.375" style="1" customWidth="1"/>
    <col min="15348" max="15352" width="14.875" style="1" customWidth="1"/>
    <col min="15353" max="15353" width="63.875" style="1" customWidth="1"/>
    <col min="15354" max="15354" width="13.25" style="1" customWidth="1"/>
    <col min="15355" max="15540" width="9" style="1"/>
    <col min="15541" max="15542" width="0" style="1" hidden="1" customWidth="1"/>
    <col min="15543" max="15543" width="13.75" style="1" customWidth="1"/>
    <col min="15544" max="15544" width="52.875" style="1" customWidth="1"/>
    <col min="15545" max="15584" width="0" style="1" hidden="1" customWidth="1"/>
    <col min="15585" max="15586" width="14.875" style="1" customWidth="1"/>
    <col min="15587" max="15588" width="0" style="1" hidden="1" customWidth="1"/>
    <col min="15589" max="15589" width="14.875" style="1" customWidth="1"/>
    <col min="15590" max="15591" width="0" style="1" hidden="1" customWidth="1"/>
    <col min="15592" max="15592" width="14.875" style="1" customWidth="1"/>
    <col min="15593" max="15594" width="0" style="1" hidden="1" customWidth="1"/>
    <col min="15595" max="15595" width="14.875" style="1" customWidth="1"/>
    <col min="15596" max="15597" width="0" style="1" hidden="1" customWidth="1"/>
    <col min="15598" max="15598" width="14.875" style="1" customWidth="1"/>
    <col min="15599" max="15600" width="0" style="1" hidden="1" customWidth="1"/>
    <col min="15601" max="15602" width="14.875" style="1" customWidth="1"/>
    <col min="15603" max="15603" width="44.375" style="1" customWidth="1"/>
    <col min="15604" max="15608" width="14.875" style="1" customWidth="1"/>
    <col min="15609" max="15609" width="63.875" style="1" customWidth="1"/>
    <col min="15610" max="15610" width="13.25" style="1" customWidth="1"/>
    <col min="15611" max="15796" width="9" style="1"/>
    <col min="15797" max="15798" width="0" style="1" hidden="1" customWidth="1"/>
    <col min="15799" max="15799" width="13.75" style="1" customWidth="1"/>
    <col min="15800" max="15800" width="52.875" style="1" customWidth="1"/>
    <col min="15801" max="15840" width="0" style="1" hidden="1" customWidth="1"/>
    <col min="15841" max="15842" width="14.875" style="1" customWidth="1"/>
    <col min="15843" max="15844" width="0" style="1" hidden="1" customWidth="1"/>
    <col min="15845" max="15845" width="14.875" style="1" customWidth="1"/>
    <col min="15846" max="15847" width="0" style="1" hidden="1" customWidth="1"/>
    <col min="15848" max="15848" width="14.875" style="1" customWidth="1"/>
    <col min="15849" max="15850" width="0" style="1" hidden="1" customWidth="1"/>
    <col min="15851" max="15851" width="14.875" style="1" customWidth="1"/>
    <col min="15852" max="15853" width="0" style="1" hidden="1" customWidth="1"/>
    <col min="15854" max="15854" width="14.875" style="1" customWidth="1"/>
    <col min="15855" max="15856" width="0" style="1" hidden="1" customWidth="1"/>
    <col min="15857" max="15858" width="14.875" style="1" customWidth="1"/>
    <col min="15859" max="15859" width="44.375" style="1" customWidth="1"/>
    <col min="15860" max="15864" width="14.875" style="1" customWidth="1"/>
    <col min="15865" max="15865" width="63.875" style="1" customWidth="1"/>
    <col min="15866" max="15866" width="13.25" style="1" customWidth="1"/>
    <col min="15867" max="16052" width="9" style="1"/>
    <col min="16053" max="16054" width="0" style="1" hidden="1" customWidth="1"/>
    <col min="16055" max="16055" width="13.75" style="1" customWidth="1"/>
    <col min="16056" max="16056" width="52.875" style="1" customWidth="1"/>
    <col min="16057" max="16096" width="0" style="1" hidden="1" customWidth="1"/>
    <col min="16097" max="16098" width="14.875" style="1" customWidth="1"/>
    <col min="16099" max="16100" width="0" style="1" hidden="1" customWidth="1"/>
    <col min="16101" max="16101" width="14.875" style="1" customWidth="1"/>
    <col min="16102" max="16103" width="0" style="1" hidden="1" customWidth="1"/>
    <col min="16104" max="16104" width="14.875" style="1" customWidth="1"/>
    <col min="16105" max="16106" width="0" style="1" hidden="1" customWidth="1"/>
    <col min="16107" max="16107" width="14.875" style="1" customWidth="1"/>
    <col min="16108" max="16109" width="0" style="1" hidden="1" customWidth="1"/>
    <col min="16110" max="16110" width="14.875" style="1" customWidth="1"/>
    <col min="16111" max="16112" width="0" style="1" hidden="1" customWidth="1"/>
    <col min="16113" max="16114" width="14.875" style="1" customWidth="1"/>
    <col min="16115" max="16115" width="44.375" style="1" customWidth="1"/>
    <col min="16116" max="16120" width="14.875" style="1" customWidth="1"/>
    <col min="16121" max="16121" width="63.875" style="1" customWidth="1"/>
    <col min="16122" max="16122" width="13.25" style="1" customWidth="1"/>
    <col min="16123" max="16321" width="9" style="1"/>
    <col min="16322" max="16384" width="9.125" style="1" customWidth="1"/>
  </cols>
  <sheetData>
    <row r="1" spans="1:29" ht="24.6" outlineLevel="1" x14ac:dyDescent="0.4">
      <c r="C1" s="2" t="s">
        <v>0</v>
      </c>
      <c r="D1" s="2"/>
      <c r="E1" s="5"/>
      <c r="F1" s="5"/>
      <c r="G1" s="3"/>
      <c r="H1" s="6"/>
      <c r="I1" s="3"/>
      <c r="J1" s="3"/>
      <c r="K1" s="6"/>
      <c r="L1" s="3"/>
      <c r="M1" s="3"/>
      <c r="N1" s="6"/>
      <c r="O1" s="3"/>
      <c r="P1" s="3"/>
      <c r="Q1" s="6"/>
      <c r="R1" s="3"/>
      <c r="S1" s="3"/>
      <c r="T1" s="6"/>
      <c r="U1" s="3"/>
      <c r="V1" s="3"/>
      <c r="W1" s="6"/>
      <c r="X1" s="3"/>
      <c r="Y1" s="3"/>
      <c r="Z1" s="6"/>
      <c r="AA1" s="3"/>
      <c r="AB1" s="7"/>
      <c r="AC1" s="8"/>
    </row>
    <row r="2" spans="1:29" ht="24.6" outlineLevel="1" x14ac:dyDescent="0.4">
      <c r="C2" s="312" t="s">
        <v>1</v>
      </c>
      <c r="D2" s="312"/>
      <c r="G2" s="4"/>
      <c r="H2" s="10"/>
      <c r="I2" s="4"/>
      <c r="J2" s="4"/>
      <c r="K2" s="10"/>
      <c r="L2" s="4"/>
      <c r="M2" s="4"/>
      <c r="N2" s="10"/>
      <c r="O2" s="11"/>
      <c r="P2" s="4"/>
      <c r="Q2" s="10"/>
      <c r="R2" s="12"/>
      <c r="S2" s="4"/>
      <c r="T2" s="10"/>
      <c r="U2" s="12"/>
      <c r="V2" s="4"/>
      <c r="W2" s="13"/>
      <c r="X2" s="12"/>
      <c r="Y2" s="4"/>
      <c r="Z2" s="13"/>
      <c r="AA2" s="4"/>
      <c r="AB2" s="14"/>
      <c r="AC2" s="15"/>
    </row>
    <row r="3" spans="1:29" ht="20.399999999999999" outlineLevel="1" x14ac:dyDescent="0.35">
      <c r="C3" s="313" t="s">
        <v>2</v>
      </c>
      <c r="D3" s="313"/>
      <c r="E3" s="17"/>
      <c r="F3" s="18"/>
      <c r="G3" s="16"/>
      <c r="I3" s="16"/>
      <c r="J3" s="16"/>
      <c r="L3" s="16"/>
      <c r="M3" s="16"/>
      <c r="O3" s="16"/>
      <c r="P3" s="16"/>
      <c r="R3" s="16"/>
      <c r="S3" s="16"/>
      <c r="U3" s="16"/>
      <c r="V3" s="16"/>
      <c r="X3" s="16"/>
      <c r="Y3" s="16"/>
      <c r="AA3" s="16"/>
      <c r="AB3" s="20"/>
      <c r="AC3" s="21"/>
    </row>
    <row r="4" spans="1:29" ht="14.4" outlineLevel="1" thickBot="1" x14ac:dyDescent="0.3">
      <c r="C4" s="22"/>
      <c r="E4" s="18"/>
      <c r="F4" s="18"/>
      <c r="G4" s="19"/>
      <c r="I4" s="18"/>
      <c r="J4" s="19"/>
      <c r="L4" s="18"/>
      <c r="M4" s="19"/>
      <c r="O4" s="18"/>
      <c r="P4" s="19"/>
      <c r="R4" s="18"/>
      <c r="S4" s="19"/>
      <c r="U4" s="18"/>
      <c r="V4" s="19"/>
      <c r="X4" s="18"/>
      <c r="Y4" s="19"/>
      <c r="AA4" s="18"/>
      <c r="AB4" s="23"/>
      <c r="AC4" s="24"/>
    </row>
    <row r="5" spans="1:29" ht="55.2" customHeight="1" thickBot="1" x14ac:dyDescent="0.3">
      <c r="C5" s="25" t="s">
        <v>3</v>
      </c>
      <c r="D5" s="26" t="s">
        <v>4</v>
      </c>
      <c r="E5" s="28" t="s">
        <v>6</v>
      </c>
      <c r="F5" s="28" t="s">
        <v>7</v>
      </c>
      <c r="G5" s="27" t="s">
        <v>8</v>
      </c>
      <c r="H5" s="29" t="s">
        <v>9</v>
      </c>
      <c r="I5" s="27" t="s">
        <v>10</v>
      </c>
      <c r="J5" s="27" t="s">
        <v>11</v>
      </c>
      <c r="K5" s="29" t="s">
        <v>9</v>
      </c>
      <c r="L5" s="27" t="s">
        <v>12</v>
      </c>
      <c r="M5" s="27" t="s">
        <v>13</v>
      </c>
      <c r="N5" s="29" t="s">
        <v>9</v>
      </c>
      <c r="O5" s="27" t="s">
        <v>14</v>
      </c>
      <c r="P5" s="27" t="s">
        <v>15</v>
      </c>
      <c r="Q5" s="29" t="s">
        <v>9</v>
      </c>
      <c r="R5" s="27" t="s">
        <v>16</v>
      </c>
      <c r="S5" s="27" t="s">
        <v>17</v>
      </c>
      <c r="T5" s="29" t="s">
        <v>9</v>
      </c>
      <c r="U5" s="27" t="s">
        <v>18</v>
      </c>
      <c r="V5" s="27" t="s">
        <v>19</v>
      </c>
      <c r="W5" s="29" t="s">
        <v>9</v>
      </c>
      <c r="X5" s="27" t="s">
        <v>20</v>
      </c>
      <c r="Y5" s="27" t="s">
        <v>21</v>
      </c>
      <c r="Z5" s="29" t="s">
        <v>9</v>
      </c>
      <c r="AA5" s="27" t="s">
        <v>22</v>
      </c>
      <c r="AB5" s="30" t="s">
        <v>23</v>
      </c>
      <c r="AC5" s="31" t="s">
        <v>24</v>
      </c>
    </row>
    <row r="6" spans="1:29" x14ac:dyDescent="0.25">
      <c r="C6" s="32" t="s">
        <v>25</v>
      </c>
      <c r="D6" s="33" t="s">
        <v>26</v>
      </c>
      <c r="E6" s="34">
        <v>31414871</v>
      </c>
      <c r="F6" s="34">
        <f t="shared" ref="F6" si="0">ROUND((F7+F11+F14+F17+F20),0)</f>
        <v>31414871</v>
      </c>
      <c r="G6" s="35">
        <f>F6-E6</f>
        <v>0</v>
      </c>
      <c r="H6" s="36"/>
      <c r="I6" s="34">
        <f>ROUND((I7+I11+I14+I17+I20),0)</f>
        <v>31582267</v>
      </c>
      <c r="J6" s="35">
        <f>I6-F6</f>
        <v>167396</v>
      </c>
      <c r="K6" s="36"/>
      <c r="L6" s="34">
        <f>ROUND((L7+L11+L14+L17+L20),0)</f>
        <v>31582267</v>
      </c>
      <c r="M6" s="35">
        <f>L6-I6</f>
        <v>0</v>
      </c>
      <c r="N6" s="36"/>
      <c r="O6" s="34">
        <f>ROUND((O7+O11+O14+O17+O20),0)</f>
        <v>31582267</v>
      </c>
      <c r="P6" s="35">
        <f>O6-L6</f>
        <v>0</v>
      </c>
      <c r="Q6" s="36"/>
      <c r="R6" s="34">
        <f>ROUND((R7+R11+R14+R17+R20),0)</f>
        <v>31732267</v>
      </c>
      <c r="S6" s="35">
        <f>R6-O6</f>
        <v>150000</v>
      </c>
      <c r="T6" s="36"/>
      <c r="U6" s="34">
        <f>ROUND((U7+U11+U14+U17+U20),0)</f>
        <v>32432465</v>
      </c>
      <c r="V6" s="35">
        <f>U6-R6</f>
        <v>700198</v>
      </c>
      <c r="W6" s="36"/>
      <c r="X6" s="34">
        <f>ROUND((X7+X11+X14+X17+X20),0)</f>
        <v>33319244</v>
      </c>
      <c r="Y6" s="35">
        <f>X6-U6</f>
        <v>886779</v>
      </c>
      <c r="Z6" s="36"/>
      <c r="AA6" s="34">
        <f>ROUND((AA7+AA11+AA14+AA17+AA20),0)</f>
        <v>33753739</v>
      </c>
      <c r="AB6" s="37">
        <f>AA6/X6</f>
        <v>1.013040361900168</v>
      </c>
      <c r="AC6" s="38"/>
    </row>
    <row r="7" spans="1:29" x14ac:dyDescent="0.25">
      <c r="B7" s="1" t="s">
        <v>27</v>
      </c>
      <c r="C7" s="39" t="s">
        <v>28</v>
      </c>
      <c r="D7" s="40" t="s">
        <v>29</v>
      </c>
      <c r="E7" s="42">
        <v>28441559</v>
      </c>
      <c r="F7" s="42">
        <f>SUM(F8:F9)</f>
        <v>28441559</v>
      </c>
      <c r="G7" s="41">
        <f t="shared" ref="G7:G72" si="1">F7-E7</f>
        <v>0</v>
      </c>
      <c r="H7" s="43"/>
      <c r="I7" s="41">
        <f>SUM(I8:I9)</f>
        <v>28608955</v>
      </c>
      <c r="J7" s="41">
        <f>I7-F7</f>
        <v>167396</v>
      </c>
      <c r="K7" s="43"/>
      <c r="L7" s="41">
        <f>SUM(L8:L9)</f>
        <v>28608955</v>
      </c>
      <c r="M7" s="41">
        <f>L7-I7</f>
        <v>0</v>
      </c>
      <c r="N7" s="43"/>
      <c r="O7" s="41">
        <f>SUM(O8:O9)</f>
        <v>28608955</v>
      </c>
      <c r="P7" s="41">
        <f>O7-L7</f>
        <v>0</v>
      </c>
      <c r="Q7" s="43"/>
      <c r="R7" s="41">
        <f>SUM(R8:R9)</f>
        <v>28758955</v>
      </c>
      <c r="S7" s="41">
        <f>R7-O7</f>
        <v>150000</v>
      </c>
      <c r="T7" s="43"/>
      <c r="U7" s="41">
        <f>SUM(U8:U9)</f>
        <v>29459153</v>
      </c>
      <c r="V7" s="41">
        <f>U7-R7</f>
        <v>700198</v>
      </c>
      <c r="W7" s="43"/>
      <c r="X7" s="41">
        <f>SUM(X8:X9)</f>
        <v>30345932</v>
      </c>
      <c r="Y7" s="41">
        <f>X7-U7</f>
        <v>886779</v>
      </c>
      <c r="Z7" s="43"/>
      <c r="AA7" s="41">
        <f>SUM(AA8:AA9)</f>
        <v>30345932</v>
      </c>
      <c r="AB7" s="44">
        <f t="shared" ref="AB7:AB70" si="2">AA7/X7</f>
        <v>1</v>
      </c>
      <c r="AC7" s="45"/>
    </row>
    <row r="8" spans="1:29" x14ac:dyDescent="0.25">
      <c r="A8" s="1" t="s">
        <v>30</v>
      </c>
      <c r="B8" s="46" t="s">
        <v>31</v>
      </c>
      <c r="C8" s="47" t="s">
        <v>32</v>
      </c>
      <c r="D8" s="48" t="s">
        <v>33</v>
      </c>
      <c r="E8" s="50">
        <v>28441559</v>
      </c>
      <c r="F8" s="50">
        <f>ROUND(E8,0)</f>
        <v>28441559</v>
      </c>
      <c r="G8" s="49">
        <f t="shared" si="1"/>
        <v>0</v>
      </c>
      <c r="H8" s="51"/>
      <c r="I8" s="49">
        <f>ROUND(F8,0)+167396</f>
        <v>28608955</v>
      </c>
      <c r="J8" s="49">
        <f>I8-F8</f>
        <v>167396</v>
      </c>
      <c r="K8" s="51" t="s">
        <v>34</v>
      </c>
      <c r="L8" s="49">
        <f>ROUND(I8,0)</f>
        <v>28608955</v>
      </c>
      <c r="M8" s="49">
        <f>L8-I8</f>
        <v>0</v>
      </c>
      <c r="N8" s="51"/>
      <c r="O8" s="49">
        <f>ROUND(L8,0)</f>
        <v>28608955</v>
      </c>
      <c r="P8" s="49">
        <f>O8-L8</f>
        <v>0</v>
      </c>
      <c r="Q8" s="51"/>
      <c r="R8" s="49">
        <f>ROUND(O8,0)+150000</f>
        <v>28758955</v>
      </c>
      <c r="S8" s="49">
        <f>R8-O8</f>
        <v>150000</v>
      </c>
      <c r="T8" s="51" t="s">
        <v>35</v>
      </c>
      <c r="U8" s="49">
        <f>ROUND(R8,0)+700198</f>
        <v>29459153</v>
      </c>
      <c r="V8" s="52">
        <f>U8-R8</f>
        <v>700198</v>
      </c>
      <c r="W8" s="51" t="s">
        <v>36</v>
      </c>
      <c r="X8" s="49">
        <f>ROUND(U8,0)+886779</f>
        <v>30345932</v>
      </c>
      <c r="Y8" s="49">
        <f>X8-U8</f>
        <v>886779</v>
      </c>
      <c r="Z8" s="51" t="s">
        <v>37</v>
      </c>
      <c r="AA8" s="49">
        <v>30345932</v>
      </c>
      <c r="AB8" s="53">
        <f t="shared" si="2"/>
        <v>1</v>
      </c>
      <c r="AC8" s="54"/>
    </row>
    <row r="9" spans="1:29" ht="27.75" hidden="1" customHeight="1" outlineLevel="1" x14ac:dyDescent="0.25">
      <c r="B9" s="46"/>
      <c r="C9" s="47" t="s">
        <v>38</v>
      </c>
      <c r="D9" s="48" t="s">
        <v>39</v>
      </c>
      <c r="E9" s="50">
        <v>0</v>
      </c>
      <c r="F9" s="50">
        <f>ROUND(E9,0)</f>
        <v>0</v>
      </c>
      <c r="G9" s="49">
        <f t="shared" si="1"/>
        <v>0</v>
      </c>
      <c r="H9" s="51"/>
      <c r="I9" s="49">
        <f>ROUND(H9,0)</f>
        <v>0</v>
      </c>
      <c r="J9" s="49">
        <f t="shared" ref="J9:J73" si="3">I9-F9</f>
        <v>0</v>
      </c>
      <c r="K9" s="51"/>
      <c r="L9" s="49">
        <f>ROUND(K9,0)</f>
        <v>0</v>
      </c>
      <c r="M9" s="49">
        <f t="shared" ref="M9:M73" si="4">L9-I9</f>
        <v>0</v>
      </c>
      <c r="N9" s="51"/>
      <c r="O9" s="49">
        <f>ROUND(N9,0)</f>
        <v>0</v>
      </c>
      <c r="P9" s="49">
        <f t="shared" ref="P9:P73" si="5">O9-L9</f>
        <v>0</v>
      </c>
      <c r="Q9" s="51"/>
      <c r="R9" s="49">
        <f>ROUND(Q9,0)</f>
        <v>0</v>
      </c>
      <c r="S9" s="49">
        <f t="shared" ref="S9:S73" si="6">R9-O9</f>
        <v>0</v>
      </c>
      <c r="T9" s="51"/>
      <c r="U9" s="49">
        <f>ROUND(T9,0)</f>
        <v>0</v>
      </c>
      <c r="V9" s="49">
        <f t="shared" ref="V9:V73" si="7">U9-R9</f>
        <v>0</v>
      </c>
      <c r="W9" s="51"/>
      <c r="X9" s="49">
        <f>ROUND(W9,0)</f>
        <v>0</v>
      </c>
      <c r="Y9" s="49">
        <f t="shared" ref="Y9:Y73" si="8">X9-U9</f>
        <v>0</v>
      </c>
      <c r="Z9" s="51"/>
      <c r="AA9" s="49">
        <f>ROUND(H9,0)</f>
        <v>0</v>
      </c>
      <c r="AB9" s="53" t="e">
        <f t="shared" si="2"/>
        <v>#DIV/0!</v>
      </c>
      <c r="AC9" s="55"/>
    </row>
    <row r="10" spans="1:29" ht="32.4" customHeight="1" collapsed="1" x14ac:dyDescent="0.25">
      <c r="C10" s="32" t="s">
        <v>40</v>
      </c>
      <c r="D10" s="33" t="s">
        <v>41</v>
      </c>
      <c r="E10" s="34">
        <v>2903312</v>
      </c>
      <c r="F10" s="34">
        <f>F11+F14+F17</f>
        <v>2903312</v>
      </c>
      <c r="G10" s="35">
        <f t="shared" si="1"/>
        <v>0</v>
      </c>
      <c r="H10" s="36"/>
      <c r="I10" s="34">
        <f>I11+I14+I17</f>
        <v>2903312</v>
      </c>
      <c r="J10" s="35">
        <f t="shared" si="3"/>
        <v>0</v>
      </c>
      <c r="K10" s="36"/>
      <c r="L10" s="34">
        <f>L11+L14+L17</f>
        <v>2903312</v>
      </c>
      <c r="M10" s="35">
        <f t="shared" si="4"/>
        <v>0</v>
      </c>
      <c r="N10" s="36"/>
      <c r="O10" s="34">
        <f>O11+O14+O17</f>
        <v>2903312</v>
      </c>
      <c r="P10" s="35">
        <f t="shared" si="5"/>
        <v>0</v>
      </c>
      <c r="Q10" s="36"/>
      <c r="R10" s="34">
        <f>R11+R14+R17</f>
        <v>2903312</v>
      </c>
      <c r="S10" s="35">
        <f t="shared" si="6"/>
        <v>0</v>
      </c>
      <c r="T10" s="36"/>
      <c r="U10" s="34">
        <f>U11+U14+U17</f>
        <v>2903312</v>
      </c>
      <c r="V10" s="35">
        <f t="shared" si="7"/>
        <v>0</v>
      </c>
      <c r="W10" s="36"/>
      <c r="X10" s="34">
        <f>X11+X14+X17</f>
        <v>2903312</v>
      </c>
      <c r="Y10" s="35">
        <f t="shared" si="8"/>
        <v>0</v>
      </c>
      <c r="Z10" s="36"/>
      <c r="AA10" s="34">
        <f>AA11+AA14+AA17</f>
        <v>3332421</v>
      </c>
      <c r="AB10" s="37">
        <f t="shared" si="2"/>
        <v>1.1477998230985853</v>
      </c>
      <c r="AC10" s="56" t="s">
        <v>42</v>
      </c>
    </row>
    <row r="11" spans="1:29" x14ac:dyDescent="0.25">
      <c r="B11" s="1" t="s">
        <v>43</v>
      </c>
      <c r="C11" s="57" t="s">
        <v>44</v>
      </c>
      <c r="D11" s="58" t="s">
        <v>45</v>
      </c>
      <c r="E11" s="60">
        <v>1998295</v>
      </c>
      <c r="F11" s="60">
        <f>SUM(F12:F13)</f>
        <v>1998295</v>
      </c>
      <c r="G11" s="59">
        <f t="shared" si="1"/>
        <v>0</v>
      </c>
      <c r="H11" s="61"/>
      <c r="I11" s="59">
        <f>SUM(I12:I13)</f>
        <v>1998295</v>
      </c>
      <c r="J11" s="59">
        <f t="shared" si="3"/>
        <v>0</v>
      </c>
      <c r="K11" s="61"/>
      <c r="L11" s="59">
        <f>SUM(L12:L13)</f>
        <v>1998295</v>
      </c>
      <c r="M11" s="59">
        <f t="shared" si="4"/>
        <v>0</v>
      </c>
      <c r="N11" s="61"/>
      <c r="O11" s="59">
        <f>SUM(O12:O13)</f>
        <v>1998295</v>
      </c>
      <c r="P11" s="59">
        <f t="shared" si="5"/>
        <v>0</v>
      </c>
      <c r="Q11" s="61"/>
      <c r="R11" s="59">
        <f>SUM(R12:R13)</f>
        <v>1998295</v>
      </c>
      <c r="S11" s="59">
        <f t="shared" si="6"/>
        <v>0</v>
      </c>
      <c r="T11" s="61"/>
      <c r="U11" s="59">
        <f>SUM(U12:U13)</f>
        <v>1998295</v>
      </c>
      <c r="V11" s="59">
        <f t="shared" si="7"/>
        <v>0</v>
      </c>
      <c r="W11" s="61"/>
      <c r="X11" s="59">
        <f>SUM(X12:X13)</f>
        <v>1998295</v>
      </c>
      <c r="Y11" s="59">
        <f t="shared" si="8"/>
        <v>0</v>
      </c>
      <c r="Z11" s="61"/>
      <c r="AA11" s="59">
        <f>SUM(AA12:AA13)</f>
        <v>2118345</v>
      </c>
      <c r="AB11" s="62">
        <f t="shared" si="2"/>
        <v>1.0600762149732648</v>
      </c>
      <c r="AC11" s="63" t="s">
        <v>46</v>
      </c>
    </row>
    <row r="12" spans="1:29" x14ac:dyDescent="0.25">
      <c r="A12" s="1" t="s">
        <v>30</v>
      </c>
      <c r="B12" s="46" t="s">
        <v>47</v>
      </c>
      <c r="C12" s="47" t="s">
        <v>48</v>
      </c>
      <c r="D12" s="48" t="s">
        <v>33</v>
      </c>
      <c r="E12" s="50">
        <v>1807872</v>
      </c>
      <c r="F12" s="50">
        <f>ROUND(E12,0)</f>
        <v>1807872</v>
      </c>
      <c r="G12" s="49">
        <f t="shared" si="1"/>
        <v>0</v>
      </c>
      <c r="H12" s="64"/>
      <c r="I12" s="49">
        <f>ROUND(F12,0)</f>
        <v>1807872</v>
      </c>
      <c r="J12" s="49">
        <f t="shared" si="3"/>
        <v>0</v>
      </c>
      <c r="K12" s="64"/>
      <c r="L12" s="49">
        <f>ROUND(I12,0)</f>
        <v>1807872</v>
      </c>
      <c r="M12" s="49">
        <f t="shared" si="4"/>
        <v>0</v>
      </c>
      <c r="N12" s="64"/>
      <c r="O12" s="49">
        <f>ROUND(L12,0)</f>
        <v>1807872</v>
      </c>
      <c r="P12" s="49">
        <f t="shared" si="5"/>
        <v>0</v>
      </c>
      <c r="Q12" s="64"/>
      <c r="R12" s="49">
        <f>ROUND(O12,0)</f>
        <v>1807872</v>
      </c>
      <c r="S12" s="49">
        <f t="shared" si="6"/>
        <v>0</v>
      </c>
      <c r="T12" s="64"/>
      <c r="U12" s="49">
        <f>ROUND(R12,0)</f>
        <v>1807872</v>
      </c>
      <c r="V12" s="49">
        <f t="shared" si="7"/>
        <v>0</v>
      </c>
      <c r="W12" s="64"/>
      <c r="X12" s="49">
        <f>ROUND(U12,0)</f>
        <v>1807872</v>
      </c>
      <c r="Y12" s="49">
        <f t="shared" si="8"/>
        <v>0</v>
      </c>
      <c r="Z12" s="64"/>
      <c r="AA12" s="49">
        <v>1950990</v>
      </c>
      <c r="AB12" s="53">
        <f t="shared" si="2"/>
        <v>1.0791637903568394</v>
      </c>
      <c r="AC12" s="55" t="s">
        <v>49</v>
      </c>
    </row>
    <row r="13" spans="1:29" x14ac:dyDescent="0.25">
      <c r="A13" s="1" t="s">
        <v>30</v>
      </c>
      <c r="B13" s="46" t="s">
        <v>50</v>
      </c>
      <c r="C13" s="47" t="s">
        <v>51</v>
      </c>
      <c r="D13" s="48" t="s">
        <v>52</v>
      </c>
      <c r="E13" s="50">
        <v>190423</v>
      </c>
      <c r="F13" s="50">
        <f>ROUND(E13,0)</f>
        <v>190423</v>
      </c>
      <c r="G13" s="49">
        <f t="shared" si="1"/>
        <v>0</v>
      </c>
      <c r="H13" s="51"/>
      <c r="I13" s="49">
        <f>ROUND(F13,0)</f>
        <v>190423</v>
      </c>
      <c r="J13" s="49">
        <f t="shared" si="3"/>
        <v>0</v>
      </c>
      <c r="K13" s="51"/>
      <c r="L13" s="49">
        <f>ROUND(I13,0)</f>
        <v>190423</v>
      </c>
      <c r="M13" s="49">
        <f t="shared" si="4"/>
        <v>0</v>
      </c>
      <c r="N13" s="51"/>
      <c r="O13" s="49">
        <f>ROUND(L13,0)</f>
        <v>190423</v>
      </c>
      <c r="P13" s="49">
        <f t="shared" si="5"/>
        <v>0</v>
      </c>
      <c r="Q13" s="51"/>
      <c r="R13" s="49">
        <f>ROUND(O13,0)</f>
        <v>190423</v>
      </c>
      <c r="S13" s="49">
        <f t="shared" si="6"/>
        <v>0</v>
      </c>
      <c r="T13" s="51"/>
      <c r="U13" s="49">
        <f>ROUND(R13,0)</f>
        <v>190423</v>
      </c>
      <c r="V13" s="49">
        <f t="shared" si="7"/>
        <v>0</v>
      </c>
      <c r="W13" s="51"/>
      <c r="X13" s="49">
        <f>ROUND(U13,0)</f>
        <v>190423</v>
      </c>
      <c r="Y13" s="49">
        <f t="shared" si="8"/>
        <v>0</v>
      </c>
      <c r="Z13" s="51"/>
      <c r="AA13" s="49">
        <v>167355</v>
      </c>
      <c r="AB13" s="53">
        <f t="shared" si="2"/>
        <v>0.87885917142362002</v>
      </c>
      <c r="AC13" s="55" t="s">
        <v>53</v>
      </c>
    </row>
    <row r="14" spans="1:29" x14ac:dyDescent="0.25">
      <c r="B14" s="1" t="s">
        <v>54</v>
      </c>
      <c r="C14" s="57" t="s">
        <v>55</v>
      </c>
      <c r="D14" s="58" t="s">
        <v>56</v>
      </c>
      <c r="E14" s="60">
        <v>412472</v>
      </c>
      <c r="F14" s="60">
        <f>SUM(F15:F16)</f>
        <v>412472</v>
      </c>
      <c r="G14" s="59">
        <f t="shared" si="1"/>
        <v>0</v>
      </c>
      <c r="H14" s="61"/>
      <c r="I14" s="59">
        <f>SUM(I15:I16)</f>
        <v>412472</v>
      </c>
      <c r="J14" s="59">
        <f t="shared" si="3"/>
        <v>0</v>
      </c>
      <c r="K14" s="61"/>
      <c r="L14" s="59">
        <f>SUM(L15:L16)</f>
        <v>412472</v>
      </c>
      <c r="M14" s="59">
        <f t="shared" si="4"/>
        <v>0</v>
      </c>
      <c r="N14" s="61"/>
      <c r="O14" s="59">
        <f>SUM(O15:O16)</f>
        <v>412472</v>
      </c>
      <c r="P14" s="59">
        <f t="shared" si="5"/>
        <v>0</v>
      </c>
      <c r="Q14" s="61"/>
      <c r="R14" s="59">
        <f>SUM(R15:R16)</f>
        <v>412472</v>
      </c>
      <c r="S14" s="59">
        <f t="shared" si="6"/>
        <v>0</v>
      </c>
      <c r="T14" s="61"/>
      <c r="U14" s="59">
        <f>SUM(U15:U16)</f>
        <v>412472</v>
      </c>
      <c r="V14" s="59">
        <f t="shared" si="7"/>
        <v>0</v>
      </c>
      <c r="W14" s="61"/>
      <c r="X14" s="59">
        <f>SUM(X15:X16)</f>
        <v>412472</v>
      </c>
      <c r="Y14" s="59">
        <f t="shared" si="8"/>
        <v>0</v>
      </c>
      <c r="Z14" s="61"/>
      <c r="AA14" s="59">
        <f>SUM(AA15:AA16)</f>
        <v>429112</v>
      </c>
      <c r="AB14" s="62">
        <f t="shared" si="2"/>
        <v>1.040342132314436</v>
      </c>
      <c r="AC14" s="65" t="s">
        <v>57</v>
      </c>
    </row>
    <row r="15" spans="1:29" x14ac:dyDescent="0.25">
      <c r="A15" s="1" t="s">
        <v>30</v>
      </c>
      <c r="B15" s="46" t="s">
        <v>58</v>
      </c>
      <c r="C15" s="47" t="s">
        <v>59</v>
      </c>
      <c r="D15" s="48" t="s">
        <v>60</v>
      </c>
      <c r="E15" s="50">
        <v>326353</v>
      </c>
      <c r="F15" s="50">
        <f>ROUND(E15,0)</f>
        <v>326353</v>
      </c>
      <c r="G15" s="49">
        <f t="shared" si="1"/>
        <v>0</v>
      </c>
      <c r="H15" s="66"/>
      <c r="I15" s="49">
        <f>ROUND(F15,0)</f>
        <v>326353</v>
      </c>
      <c r="J15" s="49">
        <f t="shared" si="3"/>
        <v>0</v>
      </c>
      <c r="K15" s="66"/>
      <c r="L15" s="49">
        <f>ROUND(I15,0)</f>
        <v>326353</v>
      </c>
      <c r="M15" s="49">
        <f t="shared" si="4"/>
        <v>0</v>
      </c>
      <c r="N15" s="66"/>
      <c r="O15" s="49">
        <f>ROUND(L15,0)</f>
        <v>326353</v>
      </c>
      <c r="P15" s="49">
        <f t="shared" si="5"/>
        <v>0</v>
      </c>
      <c r="Q15" s="66"/>
      <c r="R15" s="49">
        <f>ROUND(O15,0)</f>
        <v>326353</v>
      </c>
      <c r="S15" s="49">
        <f t="shared" si="6"/>
        <v>0</v>
      </c>
      <c r="T15" s="66"/>
      <c r="U15" s="49">
        <f>ROUND(R15,0)</f>
        <v>326353</v>
      </c>
      <c r="V15" s="49">
        <f t="shared" si="7"/>
        <v>0</v>
      </c>
      <c r="W15" s="66"/>
      <c r="X15" s="49">
        <f>ROUND(U15,0)</f>
        <v>326353</v>
      </c>
      <c r="Y15" s="49">
        <f t="shared" si="8"/>
        <v>0</v>
      </c>
      <c r="Z15" s="66"/>
      <c r="AA15" s="49">
        <v>378741</v>
      </c>
      <c r="AB15" s="53">
        <f t="shared" si="2"/>
        <v>1.1605255658749882</v>
      </c>
      <c r="AC15" s="55"/>
    </row>
    <row r="16" spans="1:29" x14ac:dyDescent="0.25">
      <c r="A16" s="1" t="s">
        <v>30</v>
      </c>
      <c r="B16" s="46" t="s">
        <v>61</v>
      </c>
      <c r="C16" s="47" t="s">
        <v>62</v>
      </c>
      <c r="D16" s="48" t="s">
        <v>52</v>
      </c>
      <c r="E16" s="50">
        <v>86119</v>
      </c>
      <c r="F16" s="50">
        <f>ROUND(E16,0)</f>
        <v>86119</v>
      </c>
      <c r="G16" s="49">
        <f t="shared" si="1"/>
        <v>0</v>
      </c>
      <c r="H16" s="51"/>
      <c r="I16" s="49">
        <f>ROUND(F16,0)</f>
        <v>86119</v>
      </c>
      <c r="J16" s="49">
        <f t="shared" si="3"/>
        <v>0</v>
      </c>
      <c r="K16" s="51"/>
      <c r="L16" s="49">
        <f>ROUND(I16,0)</f>
        <v>86119</v>
      </c>
      <c r="M16" s="49">
        <f t="shared" si="4"/>
        <v>0</v>
      </c>
      <c r="N16" s="51"/>
      <c r="O16" s="49">
        <f>ROUND(L16,0)</f>
        <v>86119</v>
      </c>
      <c r="P16" s="49">
        <f t="shared" si="5"/>
        <v>0</v>
      </c>
      <c r="Q16" s="51"/>
      <c r="R16" s="49">
        <f>ROUND(O16,0)</f>
        <v>86119</v>
      </c>
      <c r="S16" s="49">
        <f t="shared" si="6"/>
        <v>0</v>
      </c>
      <c r="T16" s="51"/>
      <c r="U16" s="49">
        <f>ROUND(R16,0)</f>
        <v>86119</v>
      </c>
      <c r="V16" s="49">
        <f t="shared" si="7"/>
        <v>0</v>
      </c>
      <c r="W16" s="51"/>
      <c r="X16" s="49">
        <f>ROUND(U16,0)</f>
        <v>86119</v>
      </c>
      <c r="Y16" s="49">
        <f t="shared" si="8"/>
        <v>0</v>
      </c>
      <c r="Z16" s="51"/>
      <c r="AA16" s="49">
        <v>50371</v>
      </c>
      <c r="AB16" s="53">
        <f t="shared" si="2"/>
        <v>0.5848999640032978</v>
      </c>
      <c r="AC16" s="55"/>
    </row>
    <row r="17" spans="1:29" ht="27.6" x14ac:dyDescent="0.25">
      <c r="B17" s="1" t="s">
        <v>63</v>
      </c>
      <c r="C17" s="57" t="s">
        <v>64</v>
      </c>
      <c r="D17" s="58" t="s">
        <v>65</v>
      </c>
      <c r="E17" s="60">
        <v>492545</v>
      </c>
      <c r="F17" s="60">
        <f>SUM(F18:F19)</f>
        <v>492545</v>
      </c>
      <c r="G17" s="59">
        <f t="shared" si="1"/>
        <v>0</v>
      </c>
      <c r="H17" s="61"/>
      <c r="I17" s="59">
        <f>SUM(I18:I19)</f>
        <v>492545</v>
      </c>
      <c r="J17" s="59">
        <f t="shared" si="3"/>
        <v>0</v>
      </c>
      <c r="K17" s="61"/>
      <c r="L17" s="59">
        <f>SUM(L18:L19)</f>
        <v>492545</v>
      </c>
      <c r="M17" s="59">
        <f t="shared" si="4"/>
        <v>0</v>
      </c>
      <c r="N17" s="61"/>
      <c r="O17" s="59">
        <f>SUM(O18:O19)</f>
        <v>492545</v>
      </c>
      <c r="P17" s="59">
        <f t="shared" si="5"/>
        <v>0</v>
      </c>
      <c r="Q17" s="61"/>
      <c r="R17" s="59">
        <f>SUM(R18:R19)</f>
        <v>492545</v>
      </c>
      <c r="S17" s="59">
        <f t="shared" si="6"/>
        <v>0</v>
      </c>
      <c r="T17" s="61"/>
      <c r="U17" s="59">
        <f>SUM(U18:U19)</f>
        <v>492545</v>
      </c>
      <c r="V17" s="59">
        <f t="shared" si="7"/>
        <v>0</v>
      </c>
      <c r="W17" s="61"/>
      <c r="X17" s="59">
        <f>SUM(X18:X19)</f>
        <v>492545</v>
      </c>
      <c r="Y17" s="59">
        <f t="shared" si="8"/>
        <v>0</v>
      </c>
      <c r="Z17" s="61"/>
      <c r="AA17" s="59">
        <f>SUM(AA18:AA19)</f>
        <v>784964</v>
      </c>
      <c r="AB17" s="62">
        <f t="shared" si="2"/>
        <v>1.5936899166573613</v>
      </c>
      <c r="AC17" s="63"/>
    </row>
    <row r="18" spans="1:29" ht="18.75" customHeight="1" x14ac:dyDescent="0.25">
      <c r="A18" s="1" t="s">
        <v>30</v>
      </c>
      <c r="B18" s="46" t="s">
        <v>66</v>
      </c>
      <c r="C18" s="47" t="s">
        <v>67</v>
      </c>
      <c r="D18" s="48" t="s">
        <v>60</v>
      </c>
      <c r="E18" s="50">
        <v>431787</v>
      </c>
      <c r="F18" s="50">
        <f>ROUND(E18,0)</f>
        <v>431787</v>
      </c>
      <c r="G18" s="49">
        <f t="shared" si="1"/>
        <v>0</v>
      </c>
      <c r="H18" s="66"/>
      <c r="I18" s="49">
        <f>ROUND(F18,0)</f>
        <v>431787</v>
      </c>
      <c r="J18" s="49">
        <f t="shared" si="3"/>
        <v>0</v>
      </c>
      <c r="K18" s="66"/>
      <c r="L18" s="49">
        <f>ROUND(I18,0)</f>
        <v>431787</v>
      </c>
      <c r="M18" s="49">
        <f t="shared" si="4"/>
        <v>0</v>
      </c>
      <c r="N18" s="66"/>
      <c r="O18" s="49">
        <f>ROUND(L18,0)</f>
        <v>431787</v>
      </c>
      <c r="P18" s="49">
        <f t="shared" si="5"/>
        <v>0</v>
      </c>
      <c r="Q18" s="66"/>
      <c r="R18" s="49">
        <f>ROUND(O18,0)</f>
        <v>431787</v>
      </c>
      <c r="S18" s="49">
        <f t="shared" si="6"/>
        <v>0</v>
      </c>
      <c r="T18" s="66"/>
      <c r="U18" s="49">
        <f>ROUND(R18,0)</f>
        <v>431787</v>
      </c>
      <c r="V18" s="49">
        <f t="shared" si="7"/>
        <v>0</v>
      </c>
      <c r="W18" s="66"/>
      <c r="X18" s="49">
        <f>ROUND(U18,0)</f>
        <v>431787</v>
      </c>
      <c r="Y18" s="49">
        <f t="shared" si="8"/>
        <v>0</v>
      </c>
      <c r="Z18" s="66"/>
      <c r="AA18" s="49">
        <v>711955</v>
      </c>
      <c r="AB18" s="53">
        <f t="shared" si="2"/>
        <v>1.6488569595657119</v>
      </c>
      <c r="AC18" s="55"/>
    </row>
    <row r="19" spans="1:29" x14ac:dyDescent="0.25">
      <c r="A19" s="1" t="s">
        <v>30</v>
      </c>
      <c r="B19" s="46" t="s">
        <v>68</v>
      </c>
      <c r="C19" s="47" t="s">
        <v>69</v>
      </c>
      <c r="D19" s="48" t="s">
        <v>52</v>
      </c>
      <c r="E19" s="50">
        <v>60758</v>
      </c>
      <c r="F19" s="50">
        <f>ROUND(E19,0)</f>
        <v>60758</v>
      </c>
      <c r="G19" s="49">
        <f t="shared" si="1"/>
        <v>0</v>
      </c>
      <c r="H19" s="64"/>
      <c r="I19" s="49">
        <f>ROUND(F19,0)</f>
        <v>60758</v>
      </c>
      <c r="J19" s="49">
        <f t="shared" si="3"/>
        <v>0</v>
      </c>
      <c r="K19" s="64"/>
      <c r="L19" s="49">
        <f>ROUND(I19,0)</f>
        <v>60758</v>
      </c>
      <c r="M19" s="49">
        <f t="shared" si="4"/>
        <v>0</v>
      </c>
      <c r="N19" s="64"/>
      <c r="O19" s="49">
        <f>ROUND(L19,0)</f>
        <v>60758</v>
      </c>
      <c r="P19" s="49">
        <f t="shared" si="5"/>
        <v>0</v>
      </c>
      <c r="Q19" s="64"/>
      <c r="R19" s="49">
        <f>ROUND(O19,0)</f>
        <v>60758</v>
      </c>
      <c r="S19" s="49">
        <f t="shared" si="6"/>
        <v>0</v>
      </c>
      <c r="T19" s="64"/>
      <c r="U19" s="49">
        <f>ROUND(R19,0)</f>
        <v>60758</v>
      </c>
      <c r="V19" s="49">
        <f t="shared" si="7"/>
        <v>0</v>
      </c>
      <c r="W19" s="64"/>
      <c r="X19" s="49">
        <f>ROUND(U19,0)</f>
        <v>60758</v>
      </c>
      <c r="Y19" s="49">
        <f t="shared" si="8"/>
        <v>0</v>
      </c>
      <c r="Z19" s="64"/>
      <c r="AA19" s="49">
        <v>73009</v>
      </c>
      <c r="AB19" s="53">
        <f t="shared" si="2"/>
        <v>1.2016359985516312</v>
      </c>
      <c r="AC19" s="55"/>
    </row>
    <row r="20" spans="1:29" ht="28.2" x14ac:dyDescent="0.3">
      <c r="B20" s="67"/>
      <c r="C20" s="57" t="s">
        <v>70</v>
      </c>
      <c r="D20" s="58" t="s">
        <v>71</v>
      </c>
      <c r="E20" s="60">
        <v>70000</v>
      </c>
      <c r="F20" s="60">
        <f t="shared" ref="F20" si="9">SUM(F21:F22)</f>
        <v>70000</v>
      </c>
      <c r="G20" s="59">
        <f t="shared" si="1"/>
        <v>0</v>
      </c>
      <c r="H20" s="61"/>
      <c r="I20" s="59">
        <f>SUM(I21:I22)</f>
        <v>70000</v>
      </c>
      <c r="J20" s="59">
        <f t="shared" si="3"/>
        <v>0</v>
      </c>
      <c r="K20" s="61"/>
      <c r="L20" s="59">
        <f>SUM(L21:L22)</f>
        <v>70000</v>
      </c>
      <c r="M20" s="59">
        <f t="shared" si="4"/>
        <v>0</v>
      </c>
      <c r="N20" s="61"/>
      <c r="O20" s="59">
        <f>SUM(O21:O22)</f>
        <v>70000</v>
      </c>
      <c r="P20" s="59">
        <f t="shared" si="5"/>
        <v>0</v>
      </c>
      <c r="Q20" s="61"/>
      <c r="R20" s="59">
        <f>SUM(R21:R22)</f>
        <v>70000</v>
      </c>
      <c r="S20" s="59">
        <f t="shared" si="6"/>
        <v>0</v>
      </c>
      <c r="T20" s="61"/>
      <c r="U20" s="59">
        <f>SUM(U21:U22)</f>
        <v>70000</v>
      </c>
      <c r="V20" s="59">
        <f t="shared" si="7"/>
        <v>0</v>
      </c>
      <c r="W20" s="61"/>
      <c r="X20" s="59">
        <f>SUM(X21:X22)</f>
        <v>70000</v>
      </c>
      <c r="Y20" s="59">
        <f t="shared" si="8"/>
        <v>0</v>
      </c>
      <c r="Z20" s="61"/>
      <c r="AA20" s="59">
        <f>SUM(AA21:AA22)</f>
        <v>75386</v>
      </c>
      <c r="AB20" s="62">
        <f t="shared" si="2"/>
        <v>1.0769428571428572</v>
      </c>
      <c r="AC20" s="63"/>
    </row>
    <row r="21" spans="1:29" ht="14.4" customHeight="1" outlineLevel="1" x14ac:dyDescent="0.25">
      <c r="B21" s="46" t="s">
        <v>72</v>
      </c>
      <c r="C21" s="47" t="s">
        <v>73</v>
      </c>
      <c r="D21" s="48" t="s">
        <v>74</v>
      </c>
      <c r="E21" s="50">
        <v>0</v>
      </c>
      <c r="F21" s="50">
        <f>ROUND(E21,0)</f>
        <v>0</v>
      </c>
      <c r="G21" s="49">
        <f t="shared" si="1"/>
        <v>0</v>
      </c>
      <c r="H21" s="66"/>
      <c r="I21" s="49">
        <f>ROUND(F21,0)</f>
        <v>0</v>
      </c>
      <c r="J21" s="49">
        <f t="shared" si="3"/>
        <v>0</v>
      </c>
      <c r="K21" s="66"/>
      <c r="L21" s="49">
        <f>ROUND(I21,0)</f>
        <v>0</v>
      </c>
      <c r="M21" s="49">
        <f t="shared" si="4"/>
        <v>0</v>
      </c>
      <c r="N21" s="66"/>
      <c r="O21" s="49">
        <f>ROUND(L21,0)</f>
        <v>0</v>
      </c>
      <c r="P21" s="49">
        <f t="shared" si="5"/>
        <v>0</v>
      </c>
      <c r="Q21" s="66"/>
      <c r="R21" s="49">
        <f>ROUND(O21,0)</f>
        <v>0</v>
      </c>
      <c r="S21" s="49">
        <f t="shared" si="6"/>
        <v>0</v>
      </c>
      <c r="T21" s="66"/>
      <c r="U21" s="49">
        <f>ROUND(R21,0)</f>
        <v>0</v>
      </c>
      <c r="V21" s="49">
        <f t="shared" si="7"/>
        <v>0</v>
      </c>
      <c r="W21" s="66"/>
      <c r="X21" s="49">
        <f>ROUND(U21,0)</f>
        <v>0</v>
      </c>
      <c r="Y21" s="49">
        <f t="shared" si="8"/>
        <v>0</v>
      </c>
      <c r="Z21" s="66"/>
      <c r="AA21" s="49">
        <v>5474</v>
      </c>
      <c r="AB21" s="53"/>
      <c r="AC21" s="55"/>
    </row>
    <row r="22" spans="1:29" ht="15.6" customHeight="1" x14ac:dyDescent="0.25">
      <c r="B22" s="46" t="s">
        <v>75</v>
      </c>
      <c r="C22" s="47" t="s">
        <v>73</v>
      </c>
      <c r="D22" s="48" t="s">
        <v>76</v>
      </c>
      <c r="E22" s="50">
        <v>70000</v>
      </c>
      <c r="F22" s="50">
        <f>ROUND(E22,0)</f>
        <v>70000</v>
      </c>
      <c r="G22" s="49">
        <f t="shared" si="1"/>
        <v>0</v>
      </c>
      <c r="H22" s="68"/>
      <c r="I22" s="49">
        <f>ROUND(F22,0)</f>
        <v>70000</v>
      </c>
      <c r="J22" s="49">
        <f t="shared" si="3"/>
        <v>0</v>
      </c>
      <c r="K22" s="68"/>
      <c r="L22" s="49">
        <f>ROUND(I22,0)</f>
        <v>70000</v>
      </c>
      <c r="M22" s="49">
        <f t="shared" si="4"/>
        <v>0</v>
      </c>
      <c r="N22" s="68"/>
      <c r="O22" s="49">
        <f>ROUND(L22,0)</f>
        <v>70000</v>
      </c>
      <c r="P22" s="49">
        <f t="shared" si="5"/>
        <v>0</v>
      </c>
      <c r="Q22" s="68"/>
      <c r="R22" s="49">
        <f>ROUND(O22,0)</f>
        <v>70000</v>
      </c>
      <c r="S22" s="49">
        <f t="shared" si="6"/>
        <v>0</v>
      </c>
      <c r="T22" s="68"/>
      <c r="U22" s="49">
        <f>ROUND(R22,0)</f>
        <v>70000</v>
      </c>
      <c r="V22" s="49">
        <f t="shared" si="7"/>
        <v>0</v>
      </c>
      <c r="W22" s="68"/>
      <c r="X22" s="49">
        <f>ROUND(U22,0)</f>
        <v>70000</v>
      </c>
      <c r="Y22" s="49">
        <f t="shared" si="8"/>
        <v>0</v>
      </c>
      <c r="Z22" s="68"/>
      <c r="AA22" s="49">
        <v>69912</v>
      </c>
      <c r="AB22" s="53">
        <f t="shared" si="2"/>
        <v>0.99874285714285715</v>
      </c>
      <c r="AC22" s="49" t="s">
        <v>77</v>
      </c>
    </row>
    <row r="23" spans="1:29" ht="15.75" customHeight="1" x14ac:dyDescent="0.25">
      <c r="B23" s="1" t="s">
        <v>78</v>
      </c>
      <c r="C23" s="57" t="s">
        <v>79</v>
      </c>
      <c r="D23" s="58" t="s">
        <v>80</v>
      </c>
      <c r="E23" s="60">
        <v>160000</v>
      </c>
      <c r="F23" s="60">
        <f t="shared" ref="F23" si="10">F24+F28</f>
        <v>160000</v>
      </c>
      <c r="G23" s="59">
        <f t="shared" si="1"/>
        <v>0</v>
      </c>
      <c r="H23" s="61"/>
      <c r="I23" s="59">
        <f>I24+I28</f>
        <v>160000</v>
      </c>
      <c r="J23" s="59">
        <f t="shared" si="3"/>
        <v>0</v>
      </c>
      <c r="K23" s="61"/>
      <c r="L23" s="59">
        <f>L24+L28</f>
        <v>160000</v>
      </c>
      <c r="M23" s="59">
        <f t="shared" si="4"/>
        <v>0</v>
      </c>
      <c r="N23" s="61"/>
      <c r="O23" s="59">
        <f>O24+O28</f>
        <v>160000</v>
      </c>
      <c r="P23" s="59">
        <f t="shared" si="5"/>
        <v>0</v>
      </c>
      <c r="Q23" s="61"/>
      <c r="R23" s="59">
        <f>R24+R28</f>
        <v>160000</v>
      </c>
      <c r="S23" s="59">
        <f t="shared" si="6"/>
        <v>0</v>
      </c>
      <c r="T23" s="61"/>
      <c r="U23" s="59">
        <f>U24+U28</f>
        <v>160000</v>
      </c>
      <c r="V23" s="59">
        <f t="shared" si="7"/>
        <v>0</v>
      </c>
      <c r="W23" s="61"/>
      <c r="X23" s="59">
        <f>X24+X28</f>
        <v>160000</v>
      </c>
      <c r="Y23" s="59">
        <f t="shared" si="8"/>
        <v>0</v>
      </c>
      <c r="Z23" s="61"/>
      <c r="AA23" s="59">
        <f>AA24+AA28</f>
        <v>178255</v>
      </c>
      <c r="AB23" s="62">
        <f t="shared" si="2"/>
        <v>1.1140937500000001</v>
      </c>
      <c r="AC23" s="69" t="s">
        <v>81</v>
      </c>
    </row>
    <row r="24" spans="1:29" x14ac:dyDescent="0.25">
      <c r="A24" s="1" t="s">
        <v>30</v>
      </c>
      <c r="B24" s="1" t="s">
        <v>82</v>
      </c>
      <c r="C24" s="47" t="s">
        <v>83</v>
      </c>
      <c r="D24" s="48" t="s">
        <v>84</v>
      </c>
      <c r="E24" s="50">
        <v>6700</v>
      </c>
      <c r="F24" s="50">
        <f>F25+F26+F27</f>
        <v>6700</v>
      </c>
      <c r="G24" s="49">
        <f t="shared" si="1"/>
        <v>0</v>
      </c>
      <c r="H24" s="64"/>
      <c r="I24" s="49">
        <f>I25+I26+I27</f>
        <v>6700</v>
      </c>
      <c r="J24" s="49">
        <f t="shared" si="3"/>
        <v>0</v>
      </c>
      <c r="K24" s="64"/>
      <c r="L24" s="49">
        <f>L25+L26+L27</f>
        <v>6700</v>
      </c>
      <c r="M24" s="49">
        <f t="shared" si="4"/>
        <v>0</v>
      </c>
      <c r="N24" s="64"/>
      <c r="O24" s="49">
        <f>O25+O26+O27</f>
        <v>6700</v>
      </c>
      <c r="P24" s="49">
        <f t="shared" si="5"/>
        <v>0</v>
      </c>
      <c r="Q24" s="64"/>
      <c r="R24" s="49">
        <f>R25+R26+R27</f>
        <v>6700</v>
      </c>
      <c r="S24" s="49">
        <f t="shared" si="6"/>
        <v>0</v>
      </c>
      <c r="T24" s="64"/>
      <c r="U24" s="49">
        <f>U25+U26+U27</f>
        <v>6700</v>
      </c>
      <c r="V24" s="49">
        <f t="shared" si="7"/>
        <v>0</v>
      </c>
      <c r="W24" s="64"/>
      <c r="X24" s="49">
        <f>X25+X26+X27</f>
        <v>6700</v>
      </c>
      <c r="Y24" s="49">
        <f t="shared" si="8"/>
        <v>0</v>
      </c>
      <c r="Z24" s="64"/>
      <c r="AA24" s="49">
        <f>AA25+AA26+AA27</f>
        <v>6530</v>
      </c>
      <c r="AB24" s="70">
        <f t="shared" si="2"/>
        <v>0.97462686567164181</v>
      </c>
      <c r="AC24" s="55"/>
    </row>
    <row r="25" spans="1:29" ht="26.4" x14ac:dyDescent="0.25">
      <c r="B25" s="46" t="s">
        <v>85</v>
      </c>
      <c r="C25" s="71" t="s">
        <v>86</v>
      </c>
      <c r="D25" s="72" t="s">
        <v>87</v>
      </c>
      <c r="E25" s="50">
        <v>1700</v>
      </c>
      <c r="F25" s="50">
        <f>ROUND(E25,0)</f>
        <v>1700</v>
      </c>
      <c r="G25" s="49">
        <f t="shared" si="1"/>
        <v>0</v>
      </c>
      <c r="H25" s="64"/>
      <c r="I25" s="49">
        <f>ROUND(F25,0)</f>
        <v>1700</v>
      </c>
      <c r="J25" s="49">
        <f t="shared" si="3"/>
        <v>0</v>
      </c>
      <c r="K25" s="64"/>
      <c r="L25" s="49">
        <f>ROUND(I25,0)</f>
        <v>1700</v>
      </c>
      <c r="M25" s="49">
        <f t="shared" si="4"/>
        <v>0</v>
      </c>
      <c r="N25" s="64"/>
      <c r="O25" s="49">
        <f>ROUND(L25,0)</f>
        <v>1700</v>
      </c>
      <c r="P25" s="49">
        <f t="shared" si="5"/>
        <v>0</v>
      </c>
      <c r="Q25" s="64"/>
      <c r="R25" s="49">
        <f>ROUND(O25,0)</f>
        <v>1700</v>
      </c>
      <c r="S25" s="49">
        <f t="shared" si="6"/>
        <v>0</v>
      </c>
      <c r="T25" s="64"/>
      <c r="U25" s="49">
        <f>ROUND(R25,0)</f>
        <v>1700</v>
      </c>
      <c r="V25" s="49">
        <f t="shared" si="7"/>
        <v>0</v>
      </c>
      <c r="W25" s="64"/>
      <c r="X25" s="49">
        <f>ROUND(U25,0)</f>
        <v>1700</v>
      </c>
      <c r="Y25" s="49">
        <f t="shared" si="8"/>
        <v>0</v>
      </c>
      <c r="Z25" s="64"/>
      <c r="AA25" s="49">
        <v>1208</v>
      </c>
      <c r="AB25" s="53">
        <f t="shared" si="2"/>
        <v>0.71058823529411763</v>
      </c>
      <c r="AC25" s="55"/>
    </row>
    <row r="26" spans="1:29" ht="26.4" x14ac:dyDescent="0.25">
      <c r="B26" s="46" t="s">
        <v>88</v>
      </c>
      <c r="C26" s="71" t="s">
        <v>89</v>
      </c>
      <c r="D26" s="72" t="s">
        <v>90</v>
      </c>
      <c r="E26" s="50">
        <v>4500</v>
      </c>
      <c r="F26" s="50">
        <f>ROUND(E26,0)</f>
        <v>4500</v>
      </c>
      <c r="G26" s="49">
        <f t="shared" si="1"/>
        <v>0</v>
      </c>
      <c r="H26" s="64"/>
      <c r="I26" s="49">
        <f>ROUND(F26,0)</f>
        <v>4500</v>
      </c>
      <c r="J26" s="49">
        <f t="shared" si="3"/>
        <v>0</v>
      </c>
      <c r="K26" s="64"/>
      <c r="L26" s="49">
        <f>ROUND(I26,0)</f>
        <v>4500</v>
      </c>
      <c r="M26" s="49">
        <f t="shared" si="4"/>
        <v>0</v>
      </c>
      <c r="N26" s="64"/>
      <c r="O26" s="49">
        <f>ROUND(L26,0)</f>
        <v>4500</v>
      </c>
      <c r="P26" s="49">
        <f t="shared" si="5"/>
        <v>0</v>
      </c>
      <c r="Q26" s="64"/>
      <c r="R26" s="49">
        <f>ROUND(O26,0)</f>
        <v>4500</v>
      </c>
      <c r="S26" s="49">
        <f t="shared" si="6"/>
        <v>0</v>
      </c>
      <c r="T26" s="64"/>
      <c r="U26" s="49">
        <f>ROUND(R26,0)</f>
        <v>4500</v>
      </c>
      <c r="V26" s="49">
        <f t="shared" si="7"/>
        <v>0</v>
      </c>
      <c r="W26" s="64"/>
      <c r="X26" s="49">
        <f>ROUND(U26,0)</f>
        <v>4500</v>
      </c>
      <c r="Y26" s="49">
        <f t="shared" si="8"/>
        <v>0</v>
      </c>
      <c r="Z26" s="64"/>
      <c r="AA26" s="49">
        <v>4896</v>
      </c>
      <c r="AB26" s="53">
        <f t="shared" si="2"/>
        <v>1.0880000000000001</v>
      </c>
      <c r="AC26" s="55"/>
    </row>
    <row r="27" spans="1:29" ht="26.4" x14ac:dyDescent="0.25">
      <c r="B27" s="46" t="s">
        <v>91</v>
      </c>
      <c r="C27" s="71" t="s">
        <v>92</v>
      </c>
      <c r="D27" s="72" t="s">
        <v>93</v>
      </c>
      <c r="E27" s="50">
        <v>500</v>
      </c>
      <c r="F27" s="50">
        <f>ROUND(E27,0)</f>
        <v>500</v>
      </c>
      <c r="G27" s="49">
        <f t="shared" si="1"/>
        <v>0</v>
      </c>
      <c r="H27" s="64"/>
      <c r="I27" s="49">
        <f>ROUND(F27,0)</f>
        <v>500</v>
      </c>
      <c r="J27" s="49">
        <f t="shared" si="3"/>
        <v>0</v>
      </c>
      <c r="K27" s="64"/>
      <c r="L27" s="49">
        <f>ROUND(I27,0)</f>
        <v>500</v>
      </c>
      <c r="M27" s="49">
        <f t="shared" si="4"/>
        <v>0</v>
      </c>
      <c r="N27" s="64"/>
      <c r="O27" s="49">
        <f>ROUND(L27,0)</f>
        <v>500</v>
      </c>
      <c r="P27" s="49">
        <f t="shared" si="5"/>
        <v>0</v>
      </c>
      <c r="Q27" s="64"/>
      <c r="R27" s="49">
        <f>ROUND(O27,0)</f>
        <v>500</v>
      </c>
      <c r="S27" s="49">
        <f t="shared" si="6"/>
        <v>0</v>
      </c>
      <c r="T27" s="64"/>
      <c r="U27" s="49">
        <f>ROUND(R27,0)</f>
        <v>500</v>
      </c>
      <c r="V27" s="49">
        <f t="shared" si="7"/>
        <v>0</v>
      </c>
      <c r="W27" s="64"/>
      <c r="X27" s="49">
        <f>ROUND(U27,0)</f>
        <v>500</v>
      </c>
      <c r="Y27" s="49">
        <f t="shared" si="8"/>
        <v>0</v>
      </c>
      <c r="Z27" s="64"/>
      <c r="AA27" s="49">
        <f>14+213+199</f>
        <v>426</v>
      </c>
      <c r="AB27" s="53">
        <f t="shared" si="2"/>
        <v>0.85199999999999998</v>
      </c>
      <c r="AC27" s="55"/>
    </row>
    <row r="28" spans="1:29" x14ac:dyDescent="0.25">
      <c r="A28" s="1" t="s">
        <v>30</v>
      </c>
      <c r="B28" s="1" t="s">
        <v>94</v>
      </c>
      <c r="C28" s="47" t="s">
        <v>95</v>
      </c>
      <c r="D28" s="48" t="s">
        <v>96</v>
      </c>
      <c r="E28" s="50">
        <v>153300</v>
      </c>
      <c r="F28" s="50">
        <f>SUM(F29:F35)</f>
        <v>153300</v>
      </c>
      <c r="G28" s="49">
        <f t="shared" si="1"/>
        <v>0</v>
      </c>
      <c r="H28" s="64"/>
      <c r="I28" s="49">
        <f>SUM(I29:I35)</f>
        <v>153300</v>
      </c>
      <c r="J28" s="49">
        <f t="shared" si="3"/>
        <v>0</v>
      </c>
      <c r="K28" s="64"/>
      <c r="L28" s="49">
        <f>SUM(L29:L35)</f>
        <v>153300</v>
      </c>
      <c r="M28" s="49">
        <f t="shared" si="4"/>
        <v>0</v>
      </c>
      <c r="N28" s="64"/>
      <c r="O28" s="49">
        <f>SUM(O29:O35)</f>
        <v>153300</v>
      </c>
      <c r="P28" s="49">
        <f t="shared" si="5"/>
        <v>0</v>
      </c>
      <c r="Q28" s="64"/>
      <c r="R28" s="49">
        <f>SUM(R29:R35)</f>
        <v>153300</v>
      </c>
      <c r="S28" s="49">
        <f t="shared" si="6"/>
        <v>0</v>
      </c>
      <c r="T28" s="64"/>
      <c r="U28" s="49">
        <f>SUM(U29:U35)</f>
        <v>153300</v>
      </c>
      <c r="V28" s="49">
        <f t="shared" si="7"/>
        <v>0</v>
      </c>
      <c r="W28" s="64"/>
      <c r="X28" s="49">
        <f>SUM(X29:X35)</f>
        <v>153300</v>
      </c>
      <c r="Y28" s="49">
        <f t="shared" si="8"/>
        <v>0</v>
      </c>
      <c r="Z28" s="64"/>
      <c r="AA28" s="49">
        <f>SUM(AA29:AA35)</f>
        <v>171725</v>
      </c>
      <c r="AB28" s="70">
        <f t="shared" si="2"/>
        <v>1.1201891715590346</v>
      </c>
      <c r="AC28" s="55"/>
    </row>
    <row r="29" spans="1:29" ht="26.4" x14ac:dyDescent="0.25">
      <c r="B29" s="46" t="s">
        <v>97</v>
      </c>
      <c r="C29" s="71" t="s">
        <v>98</v>
      </c>
      <c r="D29" s="72" t="s">
        <v>99</v>
      </c>
      <c r="E29" s="50">
        <v>350</v>
      </c>
      <c r="F29" s="50">
        <f t="shared" ref="F29:F35" si="11">ROUND(E29,0)</f>
        <v>350</v>
      </c>
      <c r="G29" s="49">
        <f t="shared" si="1"/>
        <v>0</v>
      </c>
      <c r="H29" s="64"/>
      <c r="I29" s="49">
        <f t="shared" ref="I29:I35" si="12">ROUND(F29,0)</f>
        <v>350</v>
      </c>
      <c r="J29" s="49">
        <f t="shared" si="3"/>
        <v>0</v>
      </c>
      <c r="K29" s="64"/>
      <c r="L29" s="49">
        <f t="shared" ref="L29:L35" si="13">ROUND(I29,0)</f>
        <v>350</v>
      </c>
      <c r="M29" s="49">
        <f t="shared" si="4"/>
        <v>0</v>
      </c>
      <c r="N29" s="64"/>
      <c r="O29" s="49">
        <f t="shared" ref="O29:O35" si="14">ROUND(L29,0)</f>
        <v>350</v>
      </c>
      <c r="P29" s="49">
        <f t="shared" si="5"/>
        <v>0</v>
      </c>
      <c r="Q29" s="64"/>
      <c r="R29" s="49">
        <f t="shared" ref="R29:R35" si="15">ROUND(O29,0)</f>
        <v>350</v>
      </c>
      <c r="S29" s="49">
        <f t="shared" si="6"/>
        <v>0</v>
      </c>
      <c r="T29" s="64"/>
      <c r="U29" s="49">
        <f t="shared" ref="U29:U35" si="16">ROUND(R29,0)</f>
        <v>350</v>
      </c>
      <c r="V29" s="49">
        <f t="shared" si="7"/>
        <v>0</v>
      </c>
      <c r="W29" s="64"/>
      <c r="X29" s="49">
        <f t="shared" ref="X29:X35" si="17">ROUND(U29,0)</f>
        <v>350</v>
      </c>
      <c r="Y29" s="49">
        <f t="shared" si="8"/>
        <v>0</v>
      </c>
      <c r="Z29" s="64"/>
      <c r="AA29" s="49">
        <v>86</v>
      </c>
      <c r="AB29" s="53">
        <f t="shared" si="2"/>
        <v>0.24571428571428572</v>
      </c>
      <c r="AC29" s="55"/>
    </row>
    <row r="30" spans="1:29" ht="26.4" x14ac:dyDescent="0.25">
      <c r="B30" s="73" t="s">
        <v>100</v>
      </c>
      <c r="C30" s="71" t="s">
        <v>101</v>
      </c>
      <c r="D30" s="72" t="s">
        <v>102</v>
      </c>
      <c r="E30" s="50">
        <v>1100</v>
      </c>
      <c r="F30" s="50">
        <f t="shared" si="11"/>
        <v>1100</v>
      </c>
      <c r="G30" s="49">
        <f t="shared" si="1"/>
        <v>0</v>
      </c>
      <c r="H30" s="64"/>
      <c r="I30" s="49">
        <f t="shared" si="12"/>
        <v>1100</v>
      </c>
      <c r="J30" s="49">
        <f t="shared" si="3"/>
        <v>0</v>
      </c>
      <c r="K30" s="64"/>
      <c r="L30" s="49">
        <f t="shared" si="13"/>
        <v>1100</v>
      </c>
      <c r="M30" s="49">
        <f t="shared" si="4"/>
        <v>0</v>
      </c>
      <c r="N30" s="64"/>
      <c r="O30" s="49">
        <f t="shared" si="14"/>
        <v>1100</v>
      </c>
      <c r="P30" s="49">
        <f t="shared" si="5"/>
        <v>0</v>
      </c>
      <c r="Q30" s="64"/>
      <c r="R30" s="49">
        <f t="shared" si="15"/>
        <v>1100</v>
      </c>
      <c r="S30" s="49">
        <f t="shared" si="6"/>
        <v>0</v>
      </c>
      <c r="T30" s="64"/>
      <c r="U30" s="49">
        <f t="shared" si="16"/>
        <v>1100</v>
      </c>
      <c r="V30" s="49">
        <f t="shared" si="7"/>
        <v>0</v>
      </c>
      <c r="W30" s="64"/>
      <c r="X30" s="49">
        <f t="shared" si="17"/>
        <v>1100</v>
      </c>
      <c r="Y30" s="49">
        <f t="shared" si="8"/>
        <v>0</v>
      </c>
      <c r="Z30" s="64"/>
      <c r="AA30" s="49">
        <v>2261</v>
      </c>
      <c r="AB30" s="53">
        <f t="shared" si="2"/>
        <v>2.0554545454545456</v>
      </c>
      <c r="AC30" s="55"/>
    </row>
    <row r="31" spans="1:29" x14ac:dyDescent="0.25">
      <c r="B31" s="46" t="s">
        <v>103</v>
      </c>
      <c r="C31" s="71" t="s">
        <v>104</v>
      </c>
      <c r="D31" s="72" t="s">
        <v>105</v>
      </c>
      <c r="E31" s="50">
        <v>27000</v>
      </c>
      <c r="F31" s="50">
        <f t="shared" si="11"/>
        <v>27000</v>
      </c>
      <c r="G31" s="49">
        <f t="shared" si="1"/>
        <v>0</v>
      </c>
      <c r="H31" s="64"/>
      <c r="I31" s="49">
        <f t="shared" si="12"/>
        <v>27000</v>
      </c>
      <c r="J31" s="49">
        <f t="shared" si="3"/>
        <v>0</v>
      </c>
      <c r="K31" s="64"/>
      <c r="L31" s="49">
        <f t="shared" si="13"/>
        <v>27000</v>
      </c>
      <c r="M31" s="49">
        <f t="shared" si="4"/>
        <v>0</v>
      </c>
      <c r="N31" s="64"/>
      <c r="O31" s="49">
        <f t="shared" si="14"/>
        <v>27000</v>
      </c>
      <c r="P31" s="49">
        <f t="shared" si="5"/>
        <v>0</v>
      </c>
      <c r="Q31" s="64"/>
      <c r="R31" s="49">
        <f t="shared" si="15"/>
        <v>27000</v>
      </c>
      <c r="S31" s="49">
        <f t="shared" si="6"/>
        <v>0</v>
      </c>
      <c r="T31" s="64"/>
      <c r="U31" s="49">
        <f t="shared" si="16"/>
        <v>27000</v>
      </c>
      <c r="V31" s="49">
        <f t="shared" si="7"/>
        <v>0</v>
      </c>
      <c r="W31" s="64"/>
      <c r="X31" s="49">
        <f t="shared" si="17"/>
        <v>27000</v>
      </c>
      <c r="Y31" s="49">
        <f t="shared" si="8"/>
        <v>0</v>
      </c>
      <c r="Z31" s="64"/>
      <c r="AA31" s="74">
        <v>38372</v>
      </c>
      <c r="AB31" s="53">
        <f t="shared" si="2"/>
        <v>1.4211851851851851</v>
      </c>
      <c r="AC31" s="55"/>
    </row>
    <row r="32" spans="1:29" x14ac:dyDescent="0.25">
      <c r="B32" s="46" t="s">
        <v>106</v>
      </c>
      <c r="C32" s="71" t="s">
        <v>107</v>
      </c>
      <c r="D32" s="72" t="s">
        <v>108</v>
      </c>
      <c r="E32" s="50">
        <v>0</v>
      </c>
      <c r="F32" s="50">
        <f t="shared" si="11"/>
        <v>0</v>
      </c>
      <c r="G32" s="49">
        <f t="shared" si="1"/>
        <v>0</v>
      </c>
      <c r="H32" s="64"/>
      <c r="I32" s="49">
        <f t="shared" si="12"/>
        <v>0</v>
      </c>
      <c r="J32" s="49">
        <f t="shared" si="3"/>
        <v>0</v>
      </c>
      <c r="K32" s="64"/>
      <c r="L32" s="49">
        <f t="shared" si="13"/>
        <v>0</v>
      </c>
      <c r="M32" s="49">
        <f t="shared" si="4"/>
        <v>0</v>
      </c>
      <c r="N32" s="64"/>
      <c r="O32" s="49">
        <f t="shared" si="14"/>
        <v>0</v>
      </c>
      <c r="P32" s="49">
        <f t="shared" si="5"/>
        <v>0</v>
      </c>
      <c r="Q32" s="64"/>
      <c r="R32" s="49">
        <f t="shared" si="15"/>
        <v>0</v>
      </c>
      <c r="S32" s="49">
        <f t="shared" si="6"/>
        <v>0</v>
      </c>
      <c r="T32" s="64"/>
      <c r="U32" s="49">
        <f t="shared" si="16"/>
        <v>0</v>
      </c>
      <c r="V32" s="49">
        <f t="shared" si="7"/>
        <v>0</v>
      </c>
      <c r="W32" s="64"/>
      <c r="X32" s="49">
        <f t="shared" si="17"/>
        <v>0</v>
      </c>
      <c r="Y32" s="49">
        <f t="shared" si="8"/>
        <v>0</v>
      </c>
      <c r="Z32" s="64"/>
      <c r="AA32" s="49">
        <v>0</v>
      </c>
      <c r="AB32" s="53" t="e">
        <f t="shared" si="2"/>
        <v>#DIV/0!</v>
      </c>
      <c r="AC32" s="55"/>
    </row>
    <row r="33" spans="1:29" ht="26.4" x14ac:dyDescent="0.25">
      <c r="B33" s="46" t="s">
        <v>109</v>
      </c>
      <c r="C33" s="71" t="s">
        <v>110</v>
      </c>
      <c r="D33" s="72" t="s">
        <v>111</v>
      </c>
      <c r="E33" s="50">
        <v>11500</v>
      </c>
      <c r="F33" s="50">
        <f t="shared" si="11"/>
        <v>11500</v>
      </c>
      <c r="G33" s="49">
        <f t="shared" si="1"/>
        <v>0</v>
      </c>
      <c r="H33" s="64"/>
      <c r="I33" s="49">
        <f t="shared" si="12"/>
        <v>11500</v>
      </c>
      <c r="J33" s="49">
        <f t="shared" si="3"/>
        <v>0</v>
      </c>
      <c r="K33" s="64"/>
      <c r="L33" s="49">
        <f t="shared" si="13"/>
        <v>11500</v>
      </c>
      <c r="M33" s="49">
        <f t="shared" si="4"/>
        <v>0</v>
      </c>
      <c r="N33" s="64"/>
      <c r="O33" s="49">
        <f t="shared" si="14"/>
        <v>11500</v>
      </c>
      <c r="P33" s="49">
        <f t="shared" si="5"/>
        <v>0</v>
      </c>
      <c r="Q33" s="64"/>
      <c r="R33" s="49">
        <f t="shared" si="15"/>
        <v>11500</v>
      </c>
      <c r="S33" s="49">
        <f t="shared" si="6"/>
        <v>0</v>
      </c>
      <c r="T33" s="64"/>
      <c r="U33" s="49">
        <f t="shared" si="16"/>
        <v>11500</v>
      </c>
      <c r="V33" s="49">
        <f t="shared" si="7"/>
        <v>0</v>
      </c>
      <c r="W33" s="64"/>
      <c r="X33" s="49">
        <f t="shared" si="17"/>
        <v>11500</v>
      </c>
      <c r="Y33" s="49">
        <f t="shared" si="8"/>
        <v>0</v>
      </c>
      <c r="Z33" s="64"/>
      <c r="AA33" s="74">
        <v>16794</v>
      </c>
      <c r="AB33" s="53">
        <f t="shared" si="2"/>
        <v>1.4603478260869565</v>
      </c>
      <c r="AC33" s="55"/>
    </row>
    <row r="34" spans="1:29" x14ac:dyDescent="0.25">
      <c r="B34" s="46" t="s">
        <v>112</v>
      </c>
      <c r="C34" s="71" t="s">
        <v>113</v>
      </c>
      <c r="D34" s="72" t="s">
        <v>114</v>
      </c>
      <c r="E34" s="50">
        <v>106350</v>
      </c>
      <c r="F34" s="50">
        <f t="shared" si="11"/>
        <v>106350</v>
      </c>
      <c r="G34" s="49">
        <f t="shared" si="1"/>
        <v>0</v>
      </c>
      <c r="H34" s="64"/>
      <c r="I34" s="49">
        <f t="shared" si="12"/>
        <v>106350</v>
      </c>
      <c r="J34" s="49">
        <f t="shared" si="3"/>
        <v>0</v>
      </c>
      <c r="K34" s="64"/>
      <c r="L34" s="49">
        <f t="shared" si="13"/>
        <v>106350</v>
      </c>
      <c r="M34" s="49">
        <f t="shared" si="4"/>
        <v>0</v>
      </c>
      <c r="N34" s="64"/>
      <c r="O34" s="49">
        <f t="shared" si="14"/>
        <v>106350</v>
      </c>
      <c r="P34" s="49">
        <f t="shared" si="5"/>
        <v>0</v>
      </c>
      <c r="Q34" s="64"/>
      <c r="R34" s="49">
        <f t="shared" si="15"/>
        <v>106350</v>
      </c>
      <c r="S34" s="49">
        <f t="shared" si="6"/>
        <v>0</v>
      </c>
      <c r="T34" s="64"/>
      <c r="U34" s="49">
        <f t="shared" si="16"/>
        <v>106350</v>
      </c>
      <c r="V34" s="49">
        <f t="shared" si="7"/>
        <v>0</v>
      </c>
      <c r="W34" s="64"/>
      <c r="X34" s="49">
        <f t="shared" si="17"/>
        <v>106350</v>
      </c>
      <c r="Y34" s="49">
        <f t="shared" si="8"/>
        <v>0</v>
      </c>
      <c r="Z34" s="64"/>
      <c r="AA34" s="74">
        <v>109555</v>
      </c>
      <c r="AB34" s="53">
        <f t="shared" si="2"/>
        <v>1.0301363422661025</v>
      </c>
      <c r="AC34" s="55"/>
    </row>
    <row r="35" spans="1:29" x14ac:dyDescent="0.25">
      <c r="B35" s="46" t="s">
        <v>115</v>
      </c>
      <c r="C35" s="71" t="s">
        <v>116</v>
      </c>
      <c r="D35" s="72" t="s">
        <v>117</v>
      </c>
      <c r="E35" s="50">
        <v>7000</v>
      </c>
      <c r="F35" s="50">
        <f t="shared" si="11"/>
        <v>7000</v>
      </c>
      <c r="G35" s="49">
        <f t="shared" si="1"/>
        <v>0</v>
      </c>
      <c r="H35" s="64"/>
      <c r="I35" s="49">
        <f t="shared" si="12"/>
        <v>7000</v>
      </c>
      <c r="J35" s="49">
        <f t="shared" si="3"/>
        <v>0</v>
      </c>
      <c r="K35" s="64"/>
      <c r="L35" s="49">
        <f t="shared" si="13"/>
        <v>7000</v>
      </c>
      <c r="M35" s="49">
        <f t="shared" si="4"/>
        <v>0</v>
      </c>
      <c r="N35" s="64"/>
      <c r="O35" s="49">
        <f t="shared" si="14"/>
        <v>7000</v>
      </c>
      <c r="P35" s="49">
        <f t="shared" si="5"/>
        <v>0</v>
      </c>
      <c r="Q35" s="64"/>
      <c r="R35" s="49">
        <f t="shared" si="15"/>
        <v>7000</v>
      </c>
      <c r="S35" s="49">
        <f t="shared" si="6"/>
        <v>0</v>
      </c>
      <c r="T35" s="64"/>
      <c r="U35" s="49">
        <f t="shared" si="16"/>
        <v>7000</v>
      </c>
      <c r="V35" s="49">
        <f t="shared" si="7"/>
        <v>0</v>
      </c>
      <c r="W35" s="64"/>
      <c r="X35" s="49">
        <f t="shared" si="17"/>
        <v>7000</v>
      </c>
      <c r="Y35" s="49">
        <f t="shared" si="8"/>
        <v>0</v>
      </c>
      <c r="Z35" s="64"/>
      <c r="AA35" s="49">
        <v>4657</v>
      </c>
      <c r="AB35" s="53">
        <f t="shared" si="2"/>
        <v>0.66528571428571426</v>
      </c>
      <c r="AC35" s="55"/>
    </row>
    <row r="36" spans="1:29" ht="18" customHeight="1" x14ac:dyDescent="0.25">
      <c r="B36" s="1" t="s">
        <v>118</v>
      </c>
      <c r="C36" s="57" t="s">
        <v>119</v>
      </c>
      <c r="D36" s="58" t="s">
        <v>120</v>
      </c>
      <c r="E36" s="60">
        <v>65000</v>
      </c>
      <c r="F36" s="60">
        <f>F37+F38</f>
        <v>65000</v>
      </c>
      <c r="G36" s="59">
        <f t="shared" si="1"/>
        <v>0</v>
      </c>
      <c r="H36" s="75"/>
      <c r="I36" s="59">
        <f>I37+I38</f>
        <v>65000</v>
      </c>
      <c r="J36" s="59">
        <f t="shared" si="3"/>
        <v>0</v>
      </c>
      <c r="K36" s="75"/>
      <c r="L36" s="59">
        <f>L37+L38</f>
        <v>65000</v>
      </c>
      <c r="M36" s="59">
        <f t="shared" si="4"/>
        <v>0</v>
      </c>
      <c r="N36" s="75"/>
      <c r="O36" s="59">
        <f>O37+O38</f>
        <v>65000</v>
      </c>
      <c r="P36" s="59">
        <f t="shared" si="5"/>
        <v>0</v>
      </c>
      <c r="Q36" s="75"/>
      <c r="R36" s="59">
        <f>R37+R38</f>
        <v>65000</v>
      </c>
      <c r="S36" s="59">
        <f t="shared" si="6"/>
        <v>0</v>
      </c>
      <c r="T36" s="75"/>
      <c r="U36" s="59">
        <f>U37+U38</f>
        <v>65000</v>
      </c>
      <c r="V36" s="59">
        <f t="shared" si="7"/>
        <v>0</v>
      </c>
      <c r="W36" s="75"/>
      <c r="X36" s="59">
        <f>X37+X38</f>
        <v>65000</v>
      </c>
      <c r="Y36" s="59">
        <f t="shared" si="8"/>
        <v>0</v>
      </c>
      <c r="Z36" s="75"/>
      <c r="AA36" s="59">
        <f>AA37+AA38</f>
        <v>82288</v>
      </c>
      <c r="AB36" s="62">
        <f t="shared" si="2"/>
        <v>1.2659692307692307</v>
      </c>
      <c r="AC36" s="69" t="s">
        <v>121</v>
      </c>
    </row>
    <row r="37" spans="1:29" ht="16.5" customHeight="1" x14ac:dyDescent="0.3">
      <c r="B37" s="67" t="s">
        <v>122</v>
      </c>
      <c r="C37" s="47" t="s">
        <v>123</v>
      </c>
      <c r="D37" s="48" t="s">
        <v>120</v>
      </c>
      <c r="E37" s="50">
        <v>31000</v>
      </c>
      <c r="F37" s="50">
        <f>ROUND(E37,0)</f>
        <v>31000</v>
      </c>
      <c r="G37" s="49">
        <f t="shared" si="1"/>
        <v>0</v>
      </c>
      <c r="H37" s="51"/>
      <c r="I37" s="49">
        <f>ROUND(F37,0)</f>
        <v>31000</v>
      </c>
      <c r="J37" s="49">
        <f t="shared" si="3"/>
        <v>0</v>
      </c>
      <c r="K37" s="51"/>
      <c r="L37" s="49">
        <f>ROUND(I37,0)</f>
        <v>31000</v>
      </c>
      <c r="M37" s="49">
        <f t="shared" si="4"/>
        <v>0</v>
      </c>
      <c r="N37" s="51"/>
      <c r="O37" s="49">
        <f>ROUND(L37,0)</f>
        <v>31000</v>
      </c>
      <c r="P37" s="49">
        <f t="shared" si="5"/>
        <v>0</v>
      </c>
      <c r="Q37" s="51"/>
      <c r="R37" s="49">
        <f>ROUND(O37,0)</f>
        <v>31000</v>
      </c>
      <c r="S37" s="49">
        <f t="shared" si="6"/>
        <v>0</v>
      </c>
      <c r="T37" s="51"/>
      <c r="U37" s="49">
        <f>ROUND(R37,0)</f>
        <v>31000</v>
      </c>
      <c r="V37" s="49">
        <f t="shared" si="7"/>
        <v>0</v>
      </c>
      <c r="W37" s="51"/>
      <c r="X37" s="49">
        <f>ROUND(U37,0)</f>
        <v>31000</v>
      </c>
      <c r="Y37" s="49">
        <f t="shared" si="8"/>
        <v>0</v>
      </c>
      <c r="Z37" s="51"/>
      <c r="AA37" s="49">
        <v>41371</v>
      </c>
      <c r="AB37" s="53">
        <f t="shared" si="2"/>
        <v>1.3345483870967743</v>
      </c>
      <c r="AC37" s="55"/>
    </row>
    <row r="38" spans="1:29" ht="28.2" x14ac:dyDescent="0.3">
      <c r="B38" s="67" t="s">
        <v>124</v>
      </c>
      <c r="C38" s="47" t="s">
        <v>125</v>
      </c>
      <c r="D38" s="48" t="s">
        <v>126</v>
      </c>
      <c r="E38" s="50">
        <v>34000</v>
      </c>
      <c r="F38" s="50">
        <f>ROUND(E38,0)</f>
        <v>34000</v>
      </c>
      <c r="G38" s="49">
        <f t="shared" si="1"/>
        <v>0</v>
      </c>
      <c r="H38" s="51"/>
      <c r="I38" s="49">
        <f>ROUND(F38,0)</f>
        <v>34000</v>
      </c>
      <c r="J38" s="49">
        <f t="shared" si="3"/>
        <v>0</v>
      </c>
      <c r="K38" s="51"/>
      <c r="L38" s="49">
        <f>ROUND(I38,0)</f>
        <v>34000</v>
      </c>
      <c r="M38" s="49">
        <f t="shared" si="4"/>
        <v>0</v>
      </c>
      <c r="N38" s="51"/>
      <c r="O38" s="49">
        <f>ROUND(L38,0)</f>
        <v>34000</v>
      </c>
      <c r="P38" s="49">
        <f t="shared" si="5"/>
        <v>0</v>
      </c>
      <c r="Q38" s="51"/>
      <c r="R38" s="49">
        <f>ROUND(O38,0)</f>
        <v>34000</v>
      </c>
      <c r="S38" s="49">
        <f t="shared" si="6"/>
        <v>0</v>
      </c>
      <c r="T38" s="51"/>
      <c r="U38" s="49">
        <f>ROUND(R38,0)</f>
        <v>34000</v>
      </c>
      <c r="V38" s="49">
        <f t="shared" si="7"/>
        <v>0</v>
      </c>
      <c r="W38" s="51"/>
      <c r="X38" s="49">
        <f>ROUND(U38,0)</f>
        <v>34000</v>
      </c>
      <c r="Y38" s="49">
        <f t="shared" si="8"/>
        <v>0</v>
      </c>
      <c r="Z38" s="51"/>
      <c r="AA38" s="49">
        <v>40917</v>
      </c>
      <c r="AB38" s="53">
        <f t="shared" si="2"/>
        <v>1.2034411764705881</v>
      </c>
      <c r="AC38" s="55"/>
    </row>
    <row r="39" spans="1:29" x14ac:dyDescent="0.25">
      <c r="B39" s="1" t="s">
        <v>127</v>
      </c>
      <c r="C39" s="57" t="s">
        <v>128</v>
      </c>
      <c r="D39" s="58" t="s">
        <v>129</v>
      </c>
      <c r="E39" s="60">
        <v>22453</v>
      </c>
      <c r="F39" s="60">
        <f>F40+F41+F42</f>
        <v>33317</v>
      </c>
      <c r="G39" s="59">
        <f t="shared" si="1"/>
        <v>10864</v>
      </c>
      <c r="H39" s="61"/>
      <c r="I39" s="59">
        <f>I40+I41+I42</f>
        <v>176317</v>
      </c>
      <c r="J39" s="59">
        <f t="shared" si="3"/>
        <v>143000</v>
      </c>
      <c r="K39" s="61"/>
      <c r="L39" s="59">
        <f>L40+L41+L42</f>
        <v>176317</v>
      </c>
      <c r="M39" s="59">
        <f t="shared" si="4"/>
        <v>0</v>
      </c>
      <c r="N39" s="61"/>
      <c r="O39" s="59">
        <f>O40+O41+O42</f>
        <v>176317</v>
      </c>
      <c r="P39" s="59">
        <f t="shared" si="5"/>
        <v>0</v>
      </c>
      <c r="Q39" s="61"/>
      <c r="R39" s="59">
        <f>R40+R41+R42</f>
        <v>176317</v>
      </c>
      <c r="S39" s="59">
        <f t="shared" si="6"/>
        <v>0</v>
      </c>
      <c r="T39" s="61"/>
      <c r="U39" s="59">
        <f>U40+U41+U42</f>
        <v>176317</v>
      </c>
      <c r="V39" s="59">
        <f t="shared" si="7"/>
        <v>0</v>
      </c>
      <c r="W39" s="61"/>
      <c r="X39" s="59">
        <f>X40+X41+X42</f>
        <v>176317</v>
      </c>
      <c r="Y39" s="59">
        <f t="shared" si="8"/>
        <v>0</v>
      </c>
      <c r="Z39" s="61"/>
      <c r="AA39" s="59">
        <f>AA40+AA41+AA42</f>
        <v>177990</v>
      </c>
      <c r="AB39" s="62">
        <f t="shared" si="2"/>
        <v>1.0094885915708638</v>
      </c>
      <c r="AC39" s="63"/>
    </row>
    <row r="40" spans="1:29" ht="29.4" customHeight="1" x14ac:dyDescent="0.25">
      <c r="A40" s="1" t="s">
        <v>30</v>
      </c>
      <c r="B40" s="3" t="s">
        <v>130</v>
      </c>
      <c r="C40" s="47" t="s">
        <v>131</v>
      </c>
      <c r="D40" s="76" t="s">
        <v>132</v>
      </c>
      <c r="E40" s="50">
        <v>16000</v>
      </c>
      <c r="F40" s="50">
        <f>ROUND(E40,0)+10864</f>
        <v>26864</v>
      </c>
      <c r="G40" s="49">
        <f t="shared" si="1"/>
        <v>10864</v>
      </c>
      <c r="H40" s="77" t="s">
        <v>133</v>
      </c>
      <c r="I40" s="49">
        <f>ROUND(F40,0)+143000</f>
        <v>169864</v>
      </c>
      <c r="J40" s="55">
        <f t="shared" si="3"/>
        <v>143000</v>
      </c>
      <c r="K40" s="78" t="s">
        <v>134</v>
      </c>
      <c r="L40" s="49">
        <f>ROUND(I40,0)</f>
        <v>169864</v>
      </c>
      <c r="M40" s="49">
        <f t="shared" si="4"/>
        <v>0</v>
      </c>
      <c r="N40" s="77"/>
      <c r="O40" s="49">
        <f>ROUND(L40,0)</f>
        <v>169864</v>
      </c>
      <c r="P40" s="49">
        <f t="shared" si="5"/>
        <v>0</v>
      </c>
      <c r="Q40" s="77"/>
      <c r="R40" s="49">
        <f>ROUND(O40,0)</f>
        <v>169864</v>
      </c>
      <c r="S40" s="49">
        <f t="shared" si="6"/>
        <v>0</v>
      </c>
      <c r="T40" s="77"/>
      <c r="U40" s="49">
        <f>ROUND(R40,0)</f>
        <v>169864</v>
      </c>
      <c r="V40" s="49">
        <f t="shared" si="7"/>
        <v>0</v>
      </c>
      <c r="W40" s="77"/>
      <c r="X40" s="49">
        <f>ROUND(U40,0)</f>
        <v>169864</v>
      </c>
      <c r="Y40" s="49">
        <f t="shared" si="8"/>
        <v>0</v>
      </c>
      <c r="Z40" s="77"/>
      <c r="AA40" s="49">
        <f>5883+25+9488+10864+143000</f>
        <v>169260</v>
      </c>
      <c r="AB40" s="53">
        <f t="shared" si="2"/>
        <v>0.99644421419488527</v>
      </c>
      <c r="AC40" s="79" t="s">
        <v>135</v>
      </c>
    </row>
    <row r="41" spans="1:29" ht="27.6" x14ac:dyDescent="0.25">
      <c r="B41" s="1" t="s">
        <v>136</v>
      </c>
      <c r="C41" s="47" t="s">
        <v>137</v>
      </c>
      <c r="D41" s="48" t="s">
        <v>138</v>
      </c>
      <c r="E41" s="50">
        <v>500</v>
      </c>
      <c r="F41" s="50">
        <f>ROUND(E41,0)</f>
        <v>500</v>
      </c>
      <c r="G41" s="49">
        <f t="shared" si="1"/>
        <v>0</v>
      </c>
      <c r="H41" s="77"/>
      <c r="I41" s="49">
        <f>ROUND(F41,0)</f>
        <v>500</v>
      </c>
      <c r="J41" s="49">
        <f t="shared" si="3"/>
        <v>0</v>
      </c>
      <c r="K41" s="77"/>
      <c r="L41" s="49">
        <f>ROUND(I41,0)</f>
        <v>500</v>
      </c>
      <c r="M41" s="49">
        <f t="shared" si="4"/>
        <v>0</v>
      </c>
      <c r="N41" s="77"/>
      <c r="O41" s="49">
        <f>ROUND(L41,0)</f>
        <v>500</v>
      </c>
      <c r="P41" s="49">
        <f t="shared" si="5"/>
        <v>0</v>
      </c>
      <c r="Q41" s="77"/>
      <c r="R41" s="49">
        <f>ROUND(O41,0)</f>
        <v>500</v>
      </c>
      <c r="S41" s="49">
        <f t="shared" si="6"/>
        <v>0</v>
      </c>
      <c r="T41" s="77"/>
      <c r="U41" s="49">
        <f>ROUND(R41,0)</f>
        <v>500</v>
      </c>
      <c r="V41" s="49">
        <f t="shared" si="7"/>
        <v>0</v>
      </c>
      <c r="W41" s="77"/>
      <c r="X41" s="49">
        <f>ROUND(U41,0)</f>
        <v>500</v>
      </c>
      <c r="Y41" s="49">
        <f t="shared" si="8"/>
        <v>0</v>
      </c>
      <c r="Z41" s="77"/>
      <c r="AA41" s="49">
        <v>1537</v>
      </c>
      <c r="AB41" s="53">
        <f t="shared" si="2"/>
        <v>3.0739999999999998</v>
      </c>
      <c r="AC41" s="55"/>
    </row>
    <row r="42" spans="1:29" x14ac:dyDescent="0.25">
      <c r="C42" s="47" t="s">
        <v>139</v>
      </c>
      <c r="D42" s="48" t="s">
        <v>140</v>
      </c>
      <c r="E42" s="50">
        <v>5953</v>
      </c>
      <c r="F42" s="50">
        <f>ROUND(E42,0)</f>
        <v>5953</v>
      </c>
      <c r="G42" s="49">
        <f t="shared" si="1"/>
        <v>0</v>
      </c>
      <c r="H42" s="51"/>
      <c r="I42" s="49">
        <f>ROUND(F42,0)</f>
        <v>5953</v>
      </c>
      <c r="J42" s="49">
        <f t="shared" si="3"/>
        <v>0</v>
      </c>
      <c r="K42" s="51"/>
      <c r="L42" s="49">
        <f>ROUND(I42,0)</f>
        <v>5953</v>
      </c>
      <c r="M42" s="49">
        <f t="shared" si="4"/>
        <v>0</v>
      </c>
      <c r="N42" s="51"/>
      <c r="O42" s="49">
        <f>ROUND(L42,0)</f>
        <v>5953</v>
      </c>
      <c r="P42" s="49">
        <f t="shared" si="5"/>
        <v>0</v>
      </c>
      <c r="Q42" s="51"/>
      <c r="R42" s="49">
        <f>ROUND(O42,0)</f>
        <v>5953</v>
      </c>
      <c r="S42" s="49">
        <f t="shared" si="6"/>
        <v>0</v>
      </c>
      <c r="T42" s="51"/>
      <c r="U42" s="49">
        <f>ROUND(R42,0)</f>
        <v>5953</v>
      </c>
      <c r="V42" s="49">
        <f t="shared" si="7"/>
        <v>0</v>
      </c>
      <c r="W42" s="51"/>
      <c r="X42" s="49">
        <f>ROUND(U42,0)</f>
        <v>5953</v>
      </c>
      <c r="Y42" s="49">
        <f t="shared" si="8"/>
        <v>0</v>
      </c>
      <c r="Z42" s="51"/>
      <c r="AA42" s="49">
        <f>7193</f>
        <v>7193</v>
      </c>
      <c r="AB42" s="53">
        <f t="shared" si="2"/>
        <v>1.2082983369729547</v>
      </c>
      <c r="AC42" s="55"/>
    </row>
    <row r="43" spans="1:29" ht="15" customHeight="1" x14ac:dyDescent="0.25">
      <c r="B43" s="1" t="s">
        <v>141</v>
      </c>
      <c r="C43" s="80" t="s">
        <v>142</v>
      </c>
      <c r="D43" s="58" t="s">
        <v>143</v>
      </c>
      <c r="E43" s="60">
        <v>433856</v>
      </c>
      <c r="F43" s="60">
        <f>ROUND(E43,0)</f>
        <v>433856</v>
      </c>
      <c r="G43" s="59">
        <f t="shared" si="1"/>
        <v>0</v>
      </c>
      <c r="H43" s="75"/>
      <c r="I43" s="59">
        <f>ROUND(F43,0)</f>
        <v>433856</v>
      </c>
      <c r="J43" s="59">
        <f t="shared" si="3"/>
        <v>0</v>
      </c>
      <c r="K43" s="75"/>
      <c r="L43" s="59">
        <f>ROUND(I43,0)</f>
        <v>433856</v>
      </c>
      <c r="M43" s="59">
        <f t="shared" si="4"/>
        <v>0</v>
      </c>
      <c r="N43" s="75"/>
      <c r="O43" s="59">
        <f>ROUND(L43,0)</f>
        <v>433856</v>
      </c>
      <c r="P43" s="59">
        <f t="shared" si="5"/>
        <v>0</v>
      </c>
      <c r="Q43" s="75"/>
      <c r="R43" s="59">
        <f>ROUND(O43,0)</f>
        <v>433856</v>
      </c>
      <c r="S43" s="59">
        <f t="shared" si="6"/>
        <v>0</v>
      </c>
      <c r="T43" s="75"/>
      <c r="U43" s="59">
        <f>ROUND(R43,0)</f>
        <v>433856</v>
      </c>
      <c r="V43" s="59">
        <f t="shared" si="7"/>
        <v>0</v>
      </c>
      <c r="W43" s="75"/>
      <c r="X43" s="59">
        <f>ROUND(U43,0)</f>
        <v>433856</v>
      </c>
      <c r="Y43" s="59">
        <f t="shared" si="8"/>
        <v>0</v>
      </c>
      <c r="Z43" s="75"/>
      <c r="AA43" s="59">
        <f>463633+142</f>
        <v>463775</v>
      </c>
      <c r="AB43" s="62">
        <f t="shared" si="2"/>
        <v>1.0689606689777253</v>
      </c>
      <c r="AC43" s="69" t="s">
        <v>144</v>
      </c>
    </row>
    <row r="44" spans="1:29" ht="27.6" x14ac:dyDescent="0.25">
      <c r="C44" s="80" t="s">
        <v>145</v>
      </c>
      <c r="D44" s="58" t="s">
        <v>146</v>
      </c>
      <c r="E44" s="60">
        <v>9528140.4900000002</v>
      </c>
      <c r="F44" s="60">
        <f>F45+F68</f>
        <v>9575632</v>
      </c>
      <c r="G44" s="59">
        <f t="shared" si="1"/>
        <v>47491.509999999776</v>
      </c>
      <c r="H44" s="59"/>
      <c r="I44" s="59">
        <f t="shared" ref="I44:U44" si="18">I45+I68</f>
        <v>9633217</v>
      </c>
      <c r="J44" s="59">
        <f t="shared" si="18"/>
        <v>57585</v>
      </c>
      <c r="K44" s="59">
        <f t="shared" si="18"/>
        <v>0</v>
      </c>
      <c r="L44" s="59">
        <f t="shared" si="18"/>
        <v>9973168</v>
      </c>
      <c r="M44" s="59">
        <f t="shared" si="18"/>
        <v>339951</v>
      </c>
      <c r="N44" s="59">
        <f t="shared" si="18"/>
        <v>0</v>
      </c>
      <c r="O44" s="59">
        <f t="shared" si="18"/>
        <v>10023168</v>
      </c>
      <c r="P44" s="59">
        <f t="shared" si="18"/>
        <v>50000</v>
      </c>
      <c r="Q44" s="59">
        <f t="shared" si="18"/>
        <v>0</v>
      </c>
      <c r="R44" s="59">
        <f t="shared" si="18"/>
        <v>10063514</v>
      </c>
      <c r="S44" s="59">
        <f t="shared" si="18"/>
        <v>40346</v>
      </c>
      <c r="T44" s="59">
        <f t="shared" si="18"/>
        <v>0</v>
      </c>
      <c r="U44" s="59">
        <f t="shared" si="18"/>
        <v>12205689.83</v>
      </c>
      <c r="V44" s="59">
        <f t="shared" si="7"/>
        <v>2142175.83</v>
      </c>
      <c r="W44" s="59"/>
      <c r="X44" s="59">
        <f t="shared" ref="X44" si="19">X45+X68</f>
        <v>12205689.83</v>
      </c>
      <c r="Y44" s="59">
        <f t="shared" si="8"/>
        <v>0</v>
      </c>
      <c r="Z44" s="59"/>
      <c r="AA44" s="59">
        <f>AA45+AA68+AA90</f>
        <v>11751888.73</v>
      </c>
      <c r="AB44" s="62">
        <f t="shared" si="2"/>
        <v>0.96282052826833142</v>
      </c>
      <c r="AC44" s="63"/>
    </row>
    <row r="45" spans="1:29" ht="17.399999999999999" customHeight="1" x14ac:dyDescent="0.25">
      <c r="B45" s="46"/>
      <c r="C45" s="81" t="s">
        <v>147</v>
      </c>
      <c r="D45" s="82" t="s">
        <v>148</v>
      </c>
      <c r="E45" s="84">
        <v>7875899</v>
      </c>
      <c r="F45" s="84">
        <f t="shared" ref="F45" si="20">SUM(F46:F49)+F52+SUM(F56:F67)</f>
        <v>7923391</v>
      </c>
      <c r="G45" s="85">
        <f t="shared" si="1"/>
        <v>47492</v>
      </c>
      <c r="H45" s="85"/>
      <c r="I45" s="85">
        <f>SUM(I46:I49)+I52+SUM(I56:I67)</f>
        <v>7975976</v>
      </c>
      <c r="J45" s="85">
        <f t="shared" si="3"/>
        <v>52585</v>
      </c>
      <c r="K45" s="85"/>
      <c r="L45" s="85">
        <f>SUM(L46:L49)+L52+SUM(L56:L67)</f>
        <v>8315927</v>
      </c>
      <c r="M45" s="85">
        <f t="shared" si="4"/>
        <v>339951</v>
      </c>
      <c r="N45" s="85"/>
      <c r="O45" s="85">
        <f>SUM(O46:O49)+O52+SUM(O56:O67)</f>
        <v>8365927</v>
      </c>
      <c r="P45" s="85">
        <f t="shared" si="5"/>
        <v>50000</v>
      </c>
      <c r="Q45" s="85"/>
      <c r="R45" s="85">
        <f>SUM(R46:R49)+R52+SUM(R56:R67)</f>
        <v>8577592</v>
      </c>
      <c r="S45" s="85">
        <f t="shared" si="6"/>
        <v>211665</v>
      </c>
      <c r="T45" s="85"/>
      <c r="U45" s="85">
        <f>SUM(U46:U49)+U52+SUM(U56:U67)</f>
        <v>10511541.83</v>
      </c>
      <c r="V45" s="85">
        <f t="shared" si="7"/>
        <v>1933949.83</v>
      </c>
      <c r="W45" s="85"/>
      <c r="X45" s="85">
        <f>SUM(X46:X49)+X52+SUM(X56:X67)</f>
        <v>10511541.83</v>
      </c>
      <c r="Y45" s="85">
        <f t="shared" si="8"/>
        <v>0</v>
      </c>
      <c r="Z45" s="85"/>
      <c r="AA45" s="49">
        <f>SUM(AA46:AA49)+AA52+SUM(AA56:AA67)</f>
        <v>10191962.15</v>
      </c>
      <c r="AB45" s="53">
        <f t="shared" si="2"/>
        <v>0.96959725935847796</v>
      </c>
      <c r="AC45" s="49" t="s">
        <v>149</v>
      </c>
    </row>
    <row r="46" spans="1:29" ht="16.95" customHeight="1" x14ac:dyDescent="0.25">
      <c r="A46" s="1" t="s">
        <v>150</v>
      </c>
      <c r="B46" s="1" t="s">
        <v>151</v>
      </c>
      <c r="C46" s="71" t="s">
        <v>152</v>
      </c>
      <c r="D46" s="48" t="s">
        <v>153</v>
      </c>
      <c r="E46" s="50">
        <v>593640</v>
      </c>
      <c r="F46" s="50">
        <f>ROUND(E46,0)+52289</f>
        <v>645929</v>
      </c>
      <c r="G46" s="49">
        <f t="shared" si="1"/>
        <v>52289</v>
      </c>
      <c r="H46" s="77" t="s">
        <v>154</v>
      </c>
      <c r="I46" s="49">
        <f>ROUND(F46,0)</f>
        <v>645929</v>
      </c>
      <c r="J46" s="49">
        <f t="shared" si="3"/>
        <v>0</v>
      </c>
      <c r="K46" s="77"/>
      <c r="L46" s="49">
        <f>ROUND(I46,0)</f>
        <v>645929</v>
      </c>
      <c r="M46" s="49">
        <f t="shared" si="4"/>
        <v>0</v>
      </c>
      <c r="N46" s="77"/>
      <c r="O46" s="49">
        <f>ROUND(L46,0)</f>
        <v>645929</v>
      </c>
      <c r="P46" s="49">
        <f t="shared" si="5"/>
        <v>0</v>
      </c>
      <c r="Q46" s="77"/>
      <c r="R46" s="49">
        <f>ROUND(O46,0)+29578</f>
        <v>675507</v>
      </c>
      <c r="S46" s="49">
        <f t="shared" si="6"/>
        <v>29578</v>
      </c>
      <c r="T46" s="77" t="s">
        <v>155</v>
      </c>
      <c r="U46" s="49">
        <f>ROUND(R46,0)</f>
        <v>675507</v>
      </c>
      <c r="V46" s="49">
        <f t="shared" si="7"/>
        <v>0</v>
      </c>
      <c r="W46" s="77"/>
      <c r="X46" s="49">
        <f>ROUND(U46,0)</f>
        <v>675507</v>
      </c>
      <c r="Y46" s="49">
        <f t="shared" si="8"/>
        <v>0</v>
      </c>
      <c r="Z46" s="77"/>
      <c r="AA46" s="49">
        <v>675507</v>
      </c>
      <c r="AB46" s="53">
        <f t="shared" si="2"/>
        <v>1</v>
      </c>
      <c r="AC46" s="55"/>
    </row>
    <row r="47" spans="1:29" ht="27" customHeight="1" x14ac:dyDescent="0.3">
      <c r="A47" s="1" t="s">
        <v>150</v>
      </c>
      <c r="B47" s="67" t="s">
        <v>156</v>
      </c>
      <c r="C47" s="71" t="s">
        <v>157</v>
      </c>
      <c r="D47" s="48" t="s">
        <v>158</v>
      </c>
      <c r="E47" s="50">
        <v>299288</v>
      </c>
      <c r="F47" s="50">
        <f>ROUND(E47,0)</f>
        <v>299288</v>
      </c>
      <c r="G47" s="49">
        <f t="shared" si="1"/>
        <v>0</v>
      </c>
      <c r="H47" s="51"/>
      <c r="I47" s="49">
        <f>ROUND(F47,0)</f>
        <v>299288</v>
      </c>
      <c r="J47" s="49">
        <f t="shared" si="3"/>
        <v>0</v>
      </c>
      <c r="K47" s="51"/>
      <c r="L47" s="49">
        <f>ROUND(I47,0)</f>
        <v>299288</v>
      </c>
      <c r="M47" s="49">
        <f t="shared" si="4"/>
        <v>0</v>
      </c>
      <c r="N47" s="51"/>
      <c r="O47" s="49">
        <f>ROUND(L47,0)</f>
        <v>299288</v>
      </c>
      <c r="P47" s="49">
        <f t="shared" si="5"/>
        <v>0</v>
      </c>
      <c r="Q47" s="51"/>
      <c r="R47" s="49">
        <f>ROUND(O47,0)+13302</f>
        <v>312590</v>
      </c>
      <c r="S47" s="49">
        <f t="shared" si="6"/>
        <v>13302</v>
      </c>
      <c r="T47" s="77" t="s">
        <v>159</v>
      </c>
      <c r="U47" s="49">
        <f>ROUND(R47,0)</f>
        <v>312590</v>
      </c>
      <c r="V47" s="49">
        <f t="shared" si="7"/>
        <v>0</v>
      </c>
      <c r="W47" s="77"/>
      <c r="X47" s="49">
        <f>ROUND(U47,0)</f>
        <v>312590</v>
      </c>
      <c r="Y47" s="49">
        <f t="shared" si="8"/>
        <v>0</v>
      </c>
      <c r="Z47" s="77"/>
      <c r="AA47" s="49">
        <v>312590</v>
      </c>
      <c r="AB47" s="53">
        <f t="shared" si="2"/>
        <v>1</v>
      </c>
      <c r="AC47" s="55"/>
    </row>
    <row r="48" spans="1:29" ht="14.4" x14ac:dyDescent="0.3">
      <c r="B48" s="67" t="s">
        <v>160</v>
      </c>
      <c r="C48" s="71" t="s">
        <v>161</v>
      </c>
      <c r="D48" s="48" t="s">
        <v>162</v>
      </c>
      <c r="E48" s="50">
        <v>249276</v>
      </c>
      <c r="F48" s="50">
        <f>ROUND(E48,0)</f>
        <v>249276</v>
      </c>
      <c r="G48" s="49">
        <f t="shared" si="1"/>
        <v>0</v>
      </c>
      <c r="H48" s="77"/>
      <c r="I48" s="49">
        <f>ROUND(F48,0)</f>
        <v>249276</v>
      </c>
      <c r="J48" s="49">
        <f t="shared" si="3"/>
        <v>0</v>
      </c>
      <c r="K48" s="77"/>
      <c r="L48" s="49">
        <f>ROUND(I48,0)</f>
        <v>249276</v>
      </c>
      <c r="M48" s="49">
        <f t="shared" si="4"/>
        <v>0</v>
      </c>
      <c r="N48" s="77"/>
      <c r="O48" s="49">
        <f>ROUND(L48,0)</f>
        <v>249276</v>
      </c>
      <c r="P48" s="49">
        <f t="shared" si="5"/>
        <v>0</v>
      </c>
      <c r="Q48" s="77"/>
      <c r="R48" s="49">
        <f>ROUND(O48,0)</f>
        <v>249276</v>
      </c>
      <c r="S48" s="49">
        <f t="shared" si="6"/>
        <v>0</v>
      </c>
      <c r="T48" s="77"/>
      <c r="U48" s="49">
        <f>ROUND(R48,0)+5192</f>
        <v>254468</v>
      </c>
      <c r="V48" s="52">
        <f t="shared" si="7"/>
        <v>5192</v>
      </c>
      <c r="W48" s="86" t="s">
        <v>163</v>
      </c>
      <c r="X48" s="49">
        <f>ROUND(U48,0)</f>
        <v>254468</v>
      </c>
      <c r="Y48" s="49">
        <f t="shared" si="8"/>
        <v>0</v>
      </c>
      <c r="Z48" s="77"/>
      <c r="AA48" s="49">
        <f>219429+38668</f>
        <v>258097</v>
      </c>
      <c r="AB48" s="53">
        <f t="shared" si="2"/>
        <v>1.0142611251709448</v>
      </c>
      <c r="AC48" s="55"/>
    </row>
    <row r="49" spans="1:29" ht="14.25" customHeight="1" x14ac:dyDescent="0.3">
      <c r="A49" s="1" t="s">
        <v>150</v>
      </c>
      <c r="B49" s="67" t="s">
        <v>164</v>
      </c>
      <c r="C49" s="71" t="s">
        <v>165</v>
      </c>
      <c r="D49" s="48" t="s">
        <v>166</v>
      </c>
      <c r="E49" s="50">
        <v>0</v>
      </c>
      <c r="F49" s="50">
        <f t="shared" ref="F49" si="21">F50+F51</f>
        <v>0</v>
      </c>
      <c r="G49" s="49">
        <f t="shared" si="1"/>
        <v>0</v>
      </c>
      <c r="H49" s="49"/>
      <c r="I49" s="49">
        <f>I50+I51</f>
        <v>0</v>
      </c>
      <c r="J49" s="49">
        <f t="shared" si="3"/>
        <v>0</v>
      </c>
      <c r="K49" s="49"/>
      <c r="L49" s="49">
        <f>L50+L51</f>
        <v>63466</v>
      </c>
      <c r="M49" s="49">
        <f t="shared" si="4"/>
        <v>63466</v>
      </c>
      <c r="N49" s="49"/>
      <c r="O49" s="49">
        <f>O50+O51</f>
        <v>63466</v>
      </c>
      <c r="P49" s="49">
        <f t="shared" si="5"/>
        <v>0</v>
      </c>
      <c r="Q49" s="49"/>
      <c r="R49" s="49">
        <f>R50+R51</f>
        <v>63466</v>
      </c>
      <c r="S49" s="49">
        <f t="shared" si="6"/>
        <v>0</v>
      </c>
      <c r="T49" s="49"/>
      <c r="U49" s="49">
        <f>U50+U51</f>
        <v>64751</v>
      </c>
      <c r="V49" s="52">
        <f t="shared" si="7"/>
        <v>1285</v>
      </c>
      <c r="W49" s="79"/>
      <c r="X49" s="49">
        <f>X50+X51</f>
        <v>64751</v>
      </c>
      <c r="Y49" s="49">
        <f t="shared" si="8"/>
        <v>0</v>
      </c>
      <c r="Z49" s="79"/>
      <c r="AA49" s="49">
        <f>AA50+AA51</f>
        <v>63465.15</v>
      </c>
      <c r="AB49" s="53">
        <f t="shared" si="2"/>
        <v>0.98014161943444889</v>
      </c>
      <c r="AC49" s="55"/>
    </row>
    <row r="50" spans="1:29" ht="34.799999999999997" customHeight="1" x14ac:dyDescent="0.3">
      <c r="B50" s="67"/>
      <c r="C50" s="71" t="s">
        <v>167</v>
      </c>
      <c r="D50" s="72" t="s">
        <v>168</v>
      </c>
      <c r="E50" s="50"/>
      <c r="F50" s="50"/>
      <c r="G50" s="49">
        <f t="shared" si="1"/>
        <v>0</v>
      </c>
      <c r="H50" s="77"/>
      <c r="I50" s="49"/>
      <c r="J50" s="49">
        <f t="shared" si="3"/>
        <v>0</v>
      </c>
      <c r="K50" s="77"/>
      <c r="L50" s="49">
        <f>41084+1240+10652+4493+1870+2968+1159</f>
        <v>63466</v>
      </c>
      <c r="M50" s="49">
        <f t="shared" si="4"/>
        <v>63466</v>
      </c>
      <c r="N50" s="77" t="s">
        <v>169</v>
      </c>
      <c r="O50" s="49">
        <f>41084+1240+10652+4493+1870+2968+1159</f>
        <v>63466</v>
      </c>
      <c r="P50" s="49">
        <f t="shared" si="5"/>
        <v>0</v>
      </c>
      <c r="Q50" s="77"/>
      <c r="R50" s="49">
        <f>41084+1240+10652+4493+1870+2968+1159</f>
        <v>63466</v>
      </c>
      <c r="S50" s="49">
        <f t="shared" si="6"/>
        <v>0</v>
      </c>
      <c r="T50" s="77"/>
      <c r="U50" s="49">
        <f>41084+1240+10652+4493+1870+2968+1159+850+435</f>
        <v>64751</v>
      </c>
      <c r="V50" s="52">
        <f t="shared" si="7"/>
        <v>1285</v>
      </c>
      <c r="W50" s="77" t="s">
        <v>170</v>
      </c>
      <c r="X50" s="49">
        <f>41084+1240+10652+4493+1870+2968+1159+850+435</f>
        <v>64751</v>
      </c>
      <c r="Y50" s="49">
        <f t="shared" si="8"/>
        <v>0</v>
      </c>
      <c r="Z50" s="77"/>
      <c r="AA50" s="49">
        <v>63465.15</v>
      </c>
      <c r="AB50" s="53">
        <f t="shared" si="2"/>
        <v>0.98014161943444889</v>
      </c>
      <c r="AC50" s="55"/>
    </row>
    <row r="51" spans="1:29" ht="17.399999999999999" customHeight="1" x14ac:dyDescent="0.3">
      <c r="B51" s="67"/>
      <c r="C51" s="71" t="s">
        <v>171</v>
      </c>
      <c r="D51" s="72" t="s">
        <v>172</v>
      </c>
      <c r="E51" s="50"/>
      <c r="F51" s="50"/>
      <c r="G51" s="49">
        <f t="shared" si="1"/>
        <v>0</v>
      </c>
      <c r="H51" s="77"/>
      <c r="I51" s="49"/>
      <c r="J51" s="49">
        <f t="shared" si="3"/>
        <v>0</v>
      </c>
      <c r="K51" s="77"/>
      <c r="L51" s="49"/>
      <c r="M51" s="49">
        <f t="shared" si="4"/>
        <v>0</v>
      </c>
      <c r="N51" s="77"/>
      <c r="O51" s="49"/>
      <c r="P51" s="49">
        <f t="shared" si="5"/>
        <v>0</v>
      </c>
      <c r="Q51" s="77"/>
      <c r="R51" s="49"/>
      <c r="S51" s="49">
        <f t="shared" si="6"/>
        <v>0</v>
      </c>
      <c r="T51" s="77"/>
      <c r="U51" s="49"/>
      <c r="V51" s="49">
        <f t="shared" si="7"/>
        <v>0</v>
      </c>
      <c r="W51" s="77"/>
      <c r="X51" s="49"/>
      <c r="Y51" s="49">
        <f t="shared" si="8"/>
        <v>0</v>
      </c>
      <c r="Z51" s="77"/>
      <c r="AA51" s="49"/>
      <c r="AB51" s="87"/>
      <c r="AC51" s="55"/>
    </row>
    <row r="52" spans="1:29" ht="13.95" customHeight="1" x14ac:dyDescent="0.25">
      <c r="B52" s="1" t="s">
        <v>173</v>
      </c>
      <c r="C52" s="71" t="s">
        <v>174</v>
      </c>
      <c r="D52" s="48" t="s">
        <v>175</v>
      </c>
      <c r="E52" s="89">
        <v>5320740</v>
      </c>
      <c r="F52" s="89">
        <f>F53+F54+F55</f>
        <v>5320740</v>
      </c>
      <c r="G52" s="88">
        <f t="shared" si="1"/>
        <v>0</v>
      </c>
      <c r="H52" s="90"/>
      <c r="I52" s="88">
        <f>I53+I54+I55</f>
        <v>5320740</v>
      </c>
      <c r="J52" s="88">
        <f t="shared" si="3"/>
        <v>0</v>
      </c>
      <c r="K52" s="90"/>
      <c r="L52" s="88">
        <f>L53+L54+L55</f>
        <v>5320740</v>
      </c>
      <c r="M52" s="88">
        <f t="shared" si="4"/>
        <v>0</v>
      </c>
      <c r="N52" s="90"/>
      <c r="O52" s="88">
        <f>O53+O54+O55</f>
        <v>5320740</v>
      </c>
      <c r="P52" s="88">
        <f t="shared" si="5"/>
        <v>0</v>
      </c>
      <c r="Q52" s="90"/>
      <c r="R52" s="88">
        <f>R53+R54+R55</f>
        <v>5441043</v>
      </c>
      <c r="S52" s="88">
        <f t="shared" si="6"/>
        <v>120303</v>
      </c>
      <c r="T52" s="90"/>
      <c r="U52" s="88">
        <f>U53+U54+U55</f>
        <v>5441043</v>
      </c>
      <c r="V52" s="88">
        <f t="shared" si="7"/>
        <v>0</v>
      </c>
      <c r="W52" s="90"/>
      <c r="X52" s="88">
        <f>X53+X54+X55</f>
        <v>5441043</v>
      </c>
      <c r="Y52" s="88">
        <f t="shared" si="8"/>
        <v>0</v>
      </c>
      <c r="Z52" s="90"/>
      <c r="AA52" s="88">
        <f>AA53+AA54+AA55</f>
        <v>5442328</v>
      </c>
      <c r="AB52" s="91">
        <f t="shared" si="2"/>
        <v>1.0002361679552982</v>
      </c>
      <c r="AC52" s="92"/>
    </row>
    <row r="53" spans="1:29" s="98" customFormat="1" ht="14.4" x14ac:dyDescent="0.3">
      <c r="A53" s="1" t="s">
        <v>150</v>
      </c>
      <c r="B53" s="67" t="s">
        <v>176</v>
      </c>
      <c r="C53" s="71" t="s">
        <v>177</v>
      </c>
      <c r="D53" s="72" t="s">
        <v>178</v>
      </c>
      <c r="E53" s="94">
        <v>723948</v>
      </c>
      <c r="F53" s="94">
        <f t="shared" ref="F53:F65" si="22">ROUND(E53,0)</f>
        <v>723948</v>
      </c>
      <c r="G53" s="93">
        <f t="shared" si="1"/>
        <v>0</v>
      </c>
      <c r="H53" s="95"/>
      <c r="I53" s="93">
        <f t="shared" ref="I53:I60" si="23">ROUND(F53,0)</f>
        <v>723948</v>
      </c>
      <c r="J53" s="93">
        <f t="shared" si="3"/>
        <v>0</v>
      </c>
      <c r="K53" s="95"/>
      <c r="L53" s="93">
        <f t="shared" ref="L53:L60" si="24">ROUND(I53,0)</f>
        <v>723948</v>
      </c>
      <c r="M53" s="93">
        <f t="shared" si="4"/>
        <v>0</v>
      </c>
      <c r="N53" s="95"/>
      <c r="O53" s="93">
        <f t="shared" ref="O53:O60" si="25">ROUND(L53,0)</f>
        <v>723948</v>
      </c>
      <c r="P53" s="93">
        <f t="shared" si="5"/>
        <v>0</v>
      </c>
      <c r="Q53" s="95"/>
      <c r="R53" s="93">
        <f>ROUND(O53,0)+52259+1840</f>
        <v>778047</v>
      </c>
      <c r="S53" s="93">
        <f t="shared" si="6"/>
        <v>54099</v>
      </c>
      <c r="T53" s="95" t="s">
        <v>155</v>
      </c>
      <c r="U53" s="93">
        <f>ROUND(R53,0)</f>
        <v>778047</v>
      </c>
      <c r="V53" s="93">
        <f t="shared" si="7"/>
        <v>0</v>
      </c>
      <c r="W53" s="95"/>
      <c r="X53" s="93">
        <f>ROUND(U53,0)</f>
        <v>778047</v>
      </c>
      <c r="Y53" s="93">
        <f t="shared" si="8"/>
        <v>0</v>
      </c>
      <c r="Z53" s="95"/>
      <c r="AA53" s="93">
        <v>778047</v>
      </c>
      <c r="AB53" s="96">
        <f t="shared" si="2"/>
        <v>1</v>
      </c>
      <c r="AC53" s="97"/>
    </row>
    <row r="54" spans="1:29" s="98" customFormat="1" ht="14.4" x14ac:dyDescent="0.3">
      <c r="A54" s="1" t="s">
        <v>150</v>
      </c>
      <c r="B54" s="67" t="s">
        <v>179</v>
      </c>
      <c r="C54" s="71" t="s">
        <v>180</v>
      </c>
      <c r="D54" s="72" t="s">
        <v>181</v>
      </c>
      <c r="E54" s="94">
        <v>4279428</v>
      </c>
      <c r="F54" s="94">
        <f>ROUND(E54,0)</f>
        <v>4279428</v>
      </c>
      <c r="G54" s="93">
        <f t="shared" si="1"/>
        <v>0</v>
      </c>
      <c r="H54" s="95"/>
      <c r="I54" s="93">
        <f t="shared" si="23"/>
        <v>4279428</v>
      </c>
      <c r="J54" s="93">
        <f t="shared" si="3"/>
        <v>0</v>
      </c>
      <c r="K54" s="95"/>
      <c r="L54" s="93">
        <f t="shared" si="24"/>
        <v>4279428</v>
      </c>
      <c r="M54" s="93">
        <f t="shared" si="4"/>
        <v>0</v>
      </c>
      <c r="N54" s="95"/>
      <c r="O54" s="93">
        <f t="shared" si="25"/>
        <v>4279428</v>
      </c>
      <c r="P54" s="93">
        <f t="shared" si="5"/>
        <v>0</v>
      </c>
      <c r="Q54" s="95"/>
      <c r="R54" s="93">
        <f>ROUND(O54,0)+67540+5175</f>
        <v>4352143</v>
      </c>
      <c r="S54" s="93">
        <f t="shared" si="6"/>
        <v>72715</v>
      </c>
      <c r="T54" s="95" t="s">
        <v>155</v>
      </c>
      <c r="U54" s="93">
        <f>ROUND(R54,0)</f>
        <v>4352143</v>
      </c>
      <c r="V54" s="93">
        <f t="shared" si="7"/>
        <v>0</v>
      </c>
      <c r="W54" s="95"/>
      <c r="X54" s="93">
        <f>ROUND(U54,0)</f>
        <v>4352143</v>
      </c>
      <c r="Y54" s="93">
        <f t="shared" si="8"/>
        <v>0</v>
      </c>
      <c r="Z54" s="95"/>
      <c r="AA54" s="314">
        <f>4662996+1285</f>
        <v>4664281</v>
      </c>
      <c r="AB54" s="316">
        <f t="shared" si="2"/>
        <v>1.0717205294035606</v>
      </c>
      <c r="AC54" s="97"/>
    </row>
    <row r="55" spans="1:29" s="98" customFormat="1" ht="34.200000000000003" customHeight="1" x14ac:dyDescent="0.25">
      <c r="A55" s="1" t="s">
        <v>150</v>
      </c>
      <c r="B55" s="1"/>
      <c r="C55" s="71" t="s">
        <v>182</v>
      </c>
      <c r="D55" s="72" t="s">
        <v>183</v>
      </c>
      <c r="E55" s="94">
        <v>317364</v>
      </c>
      <c r="F55" s="94">
        <f t="shared" si="22"/>
        <v>317364</v>
      </c>
      <c r="G55" s="99">
        <f t="shared" si="1"/>
        <v>0</v>
      </c>
      <c r="H55" s="100"/>
      <c r="I55" s="93">
        <f t="shared" si="23"/>
        <v>317364</v>
      </c>
      <c r="J55" s="99">
        <f t="shared" si="3"/>
        <v>0</v>
      </c>
      <c r="K55" s="100"/>
      <c r="L55" s="93">
        <f t="shared" si="24"/>
        <v>317364</v>
      </c>
      <c r="M55" s="99">
        <f t="shared" si="4"/>
        <v>0</v>
      </c>
      <c r="N55" s="100"/>
      <c r="O55" s="93">
        <f t="shared" si="25"/>
        <v>317364</v>
      </c>
      <c r="P55" s="99">
        <f t="shared" si="5"/>
        <v>0</v>
      </c>
      <c r="Q55" s="100"/>
      <c r="R55" s="93">
        <f>ROUND(O55,0)-6511</f>
        <v>310853</v>
      </c>
      <c r="S55" s="99">
        <f t="shared" si="6"/>
        <v>-6511</v>
      </c>
      <c r="T55" s="100" t="s">
        <v>155</v>
      </c>
      <c r="U55" s="93">
        <f>ROUND(R55,0)</f>
        <v>310853</v>
      </c>
      <c r="V55" s="99">
        <f t="shared" si="7"/>
        <v>0</v>
      </c>
      <c r="W55" s="101"/>
      <c r="X55" s="93">
        <f>ROUND(U55,0)</f>
        <v>310853</v>
      </c>
      <c r="Y55" s="99">
        <f t="shared" si="8"/>
        <v>0</v>
      </c>
      <c r="Z55" s="101"/>
      <c r="AA55" s="315"/>
      <c r="AB55" s="317">
        <f t="shared" si="2"/>
        <v>0</v>
      </c>
      <c r="AC55" s="97"/>
    </row>
    <row r="56" spans="1:29" ht="31.5" customHeight="1" x14ac:dyDescent="0.25">
      <c r="A56" s="1" t="s">
        <v>150</v>
      </c>
      <c r="B56" s="1" t="s">
        <v>184</v>
      </c>
      <c r="C56" s="71" t="s">
        <v>185</v>
      </c>
      <c r="D56" s="48" t="s">
        <v>186</v>
      </c>
      <c r="E56" s="50">
        <v>13088</v>
      </c>
      <c r="F56" s="50">
        <f t="shared" si="22"/>
        <v>13088</v>
      </c>
      <c r="G56" s="49">
        <f t="shared" si="1"/>
        <v>0</v>
      </c>
      <c r="H56" s="64"/>
      <c r="I56" s="49">
        <f t="shared" si="23"/>
        <v>13088</v>
      </c>
      <c r="J56" s="49">
        <f t="shared" si="3"/>
        <v>0</v>
      </c>
      <c r="K56" s="64"/>
      <c r="L56" s="49">
        <f t="shared" si="24"/>
        <v>13088</v>
      </c>
      <c r="M56" s="49">
        <f t="shared" si="4"/>
        <v>0</v>
      </c>
      <c r="N56" s="64"/>
      <c r="O56" s="49">
        <f t="shared" si="25"/>
        <v>13088</v>
      </c>
      <c r="P56" s="49">
        <f t="shared" si="5"/>
        <v>0</v>
      </c>
      <c r="Q56" s="64"/>
      <c r="R56" s="49">
        <f t="shared" ref="R56:R60" si="26">ROUND(O56,0)</f>
        <v>13088</v>
      </c>
      <c r="S56" s="49">
        <f t="shared" si="6"/>
        <v>0</v>
      </c>
      <c r="T56" s="64"/>
      <c r="U56" s="49">
        <f t="shared" ref="U56" si="27">ROUND(R56,0)</f>
        <v>13088</v>
      </c>
      <c r="V56" s="49">
        <f t="shared" si="7"/>
        <v>0</v>
      </c>
      <c r="W56" s="64"/>
      <c r="X56" s="49">
        <f t="shared" ref="X56" si="28">ROUND(U56,0)</f>
        <v>13088</v>
      </c>
      <c r="Y56" s="49">
        <f t="shared" si="8"/>
        <v>0</v>
      </c>
      <c r="Z56" s="64"/>
      <c r="AA56" s="49">
        <f>8228+4860</f>
        <v>13088</v>
      </c>
      <c r="AB56" s="53">
        <f t="shared" si="2"/>
        <v>1</v>
      </c>
      <c r="AC56" s="55"/>
    </row>
    <row r="57" spans="1:29" ht="19.2" customHeight="1" x14ac:dyDescent="0.3">
      <c r="A57" s="1" t="s">
        <v>150</v>
      </c>
      <c r="B57" s="67" t="s">
        <v>187</v>
      </c>
      <c r="C57" s="71" t="s">
        <v>188</v>
      </c>
      <c r="D57" s="48" t="s">
        <v>189</v>
      </c>
      <c r="E57" s="50">
        <v>16104</v>
      </c>
      <c r="F57" s="50">
        <f>ROUND(E57,0)-2011</f>
        <v>14093</v>
      </c>
      <c r="G57" s="49">
        <f t="shared" si="1"/>
        <v>-2011</v>
      </c>
      <c r="H57" s="51" t="s">
        <v>190</v>
      </c>
      <c r="I57" s="49">
        <f t="shared" si="23"/>
        <v>14093</v>
      </c>
      <c r="J57" s="49">
        <f t="shared" si="3"/>
        <v>0</v>
      </c>
      <c r="K57" s="51"/>
      <c r="L57" s="49">
        <f t="shared" si="24"/>
        <v>14093</v>
      </c>
      <c r="M57" s="49">
        <f t="shared" si="4"/>
        <v>0</v>
      </c>
      <c r="N57" s="51"/>
      <c r="O57" s="49">
        <f t="shared" si="25"/>
        <v>14093</v>
      </c>
      <c r="P57" s="49">
        <f t="shared" si="5"/>
        <v>0</v>
      </c>
      <c r="Q57" s="51"/>
      <c r="R57" s="49">
        <f>ROUND(O57,0)+14485</f>
        <v>28578</v>
      </c>
      <c r="S57" s="49">
        <f t="shared" si="6"/>
        <v>14485</v>
      </c>
      <c r="T57" s="318" t="s">
        <v>191</v>
      </c>
      <c r="U57" s="49">
        <f>ROUND(R57,0)</f>
        <v>28578</v>
      </c>
      <c r="V57" s="49">
        <f t="shared" si="7"/>
        <v>0</v>
      </c>
      <c r="W57" s="318"/>
      <c r="X57" s="49">
        <f>ROUND(U57,0)</f>
        <v>28578</v>
      </c>
      <c r="Y57" s="49">
        <f t="shared" si="8"/>
        <v>0</v>
      </c>
      <c r="Z57" s="102"/>
      <c r="AA57" s="320">
        <v>34374</v>
      </c>
      <c r="AB57" s="322">
        <f>AA57/(X57+X58)</f>
        <v>0.9484314212399636</v>
      </c>
      <c r="AC57" s="103"/>
    </row>
    <row r="58" spans="1:29" ht="19.2" customHeight="1" x14ac:dyDescent="0.3">
      <c r="B58" s="67"/>
      <c r="C58" s="71" t="s">
        <v>192</v>
      </c>
      <c r="D58" s="48" t="s">
        <v>193</v>
      </c>
      <c r="E58" s="50">
        <v>6454</v>
      </c>
      <c r="F58" s="50">
        <f>ROUND(E58,0)-2786</f>
        <v>3668</v>
      </c>
      <c r="G58" s="49">
        <f t="shared" si="1"/>
        <v>-2786</v>
      </c>
      <c r="H58" s="51" t="s">
        <v>190</v>
      </c>
      <c r="I58" s="49">
        <f t="shared" si="23"/>
        <v>3668</v>
      </c>
      <c r="J58" s="49">
        <f t="shared" si="3"/>
        <v>0</v>
      </c>
      <c r="K58" s="51"/>
      <c r="L58" s="49">
        <f t="shared" si="24"/>
        <v>3668</v>
      </c>
      <c r="M58" s="49">
        <f t="shared" si="4"/>
        <v>0</v>
      </c>
      <c r="N58" s="51"/>
      <c r="O58" s="49">
        <f t="shared" si="25"/>
        <v>3668</v>
      </c>
      <c r="P58" s="49">
        <f t="shared" si="5"/>
        <v>0</v>
      </c>
      <c r="Q58" s="51"/>
      <c r="R58" s="49">
        <f>ROUND(O58,0)+3997</f>
        <v>7665</v>
      </c>
      <c r="S58" s="49">
        <f t="shared" si="6"/>
        <v>3997</v>
      </c>
      <c r="T58" s="319"/>
      <c r="U58" s="49">
        <f>ROUND(R58,0)</f>
        <v>7665</v>
      </c>
      <c r="V58" s="49">
        <f t="shared" si="7"/>
        <v>0</v>
      </c>
      <c r="W58" s="319"/>
      <c r="X58" s="49">
        <f>ROUND(U58,0)</f>
        <v>7665</v>
      </c>
      <c r="Y58" s="49">
        <f t="shared" si="8"/>
        <v>0</v>
      </c>
      <c r="Z58" s="51"/>
      <c r="AA58" s="321"/>
      <c r="AB58" s="323">
        <f t="shared" si="2"/>
        <v>0</v>
      </c>
      <c r="AC58" s="103"/>
    </row>
    <row r="59" spans="1:29" ht="18.600000000000001" customHeight="1" x14ac:dyDescent="0.25">
      <c r="B59" s="1" t="s">
        <v>194</v>
      </c>
      <c r="C59" s="71" t="s">
        <v>195</v>
      </c>
      <c r="D59" s="48" t="s">
        <v>196</v>
      </c>
      <c r="E59" s="50">
        <v>421092</v>
      </c>
      <c r="F59" s="50">
        <f t="shared" si="22"/>
        <v>421092</v>
      </c>
      <c r="G59" s="49">
        <f t="shared" si="1"/>
        <v>0</v>
      </c>
      <c r="H59" s="77"/>
      <c r="I59" s="49">
        <f t="shared" si="23"/>
        <v>421092</v>
      </c>
      <c r="J59" s="49">
        <f t="shared" si="3"/>
        <v>0</v>
      </c>
      <c r="K59" s="77"/>
      <c r="L59" s="49">
        <f t="shared" si="24"/>
        <v>421092</v>
      </c>
      <c r="M59" s="49">
        <f t="shared" si="4"/>
        <v>0</v>
      </c>
      <c r="N59" s="77"/>
      <c r="O59" s="49">
        <f t="shared" si="25"/>
        <v>421092</v>
      </c>
      <c r="P59" s="49">
        <f t="shared" si="5"/>
        <v>0</v>
      </c>
      <c r="Q59" s="77"/>
      <c r="R59" s="49">
        <f t="shared" si="26"/>
        <v>421092</v>
      </c>
      <c r="S59" s="49">
        <f t="shared" si="6"/>
        <v>0</v>
      </c>
      <c r="T59" s="77"/>
      <c r="U59" s="49">
        <f>ROUND(R59,0)+52100</f>
        <v>473192</v>
      </c>
      <c r="V59" s="49">
        <f t="shared" si="7"/>
        <v>52100</v>
      </c>
      <c r="W59" s="104" t="s">
        <v>197</v>
      </c>
      <c r="X59" s="49">
        <f>ROUND(U59,0)</f>
        <v>473192</v>
      </c>
      <c r="Y59" s="49">
        <f t="shared" si="8"/>
        <v>0</v>
      </c>
      <c r="Z59" s="51"/>
      <c r="AA59" s="49">
        <f>225421+248622</f>
        <v>474043</v>
      </c>
      <c r="AB59" s="105">
        <f t="shared" si="2"/>
        <v>1.0017984243182472</v>
      </c>
      <c r="AC59" s="55"/>
    </row>
    <row r="60" spans="1:29" ht="31.5" customHeight="1" x14ac:dyDescent="0.25">
      <c r="C60" s="71" t="s">
        <v>198</v>
      </c>
      <c r="D60" s="48" t="s">
        <v>199</v>
      </c>
      <c r="E60" s="50">
        <v>25954</v>
      </c>
      <c r="F60" s="50">
        <f t="shared" si="22"/>
        <v>25954</v>
      </c>
      <c r="G60" s="49">
        <f t="shared" si="1"/>
        <v>0</v>
      </c>
      <c r="H60" s="51"/>
      <c r="I60" s="49">
        <f t="shared" si="23"/>
        <v>25954</v>
      </c>
      <c r="J60" s="49">
        <f t="shared" si="3"/>
        <v>0</v>
      </c>
      <c r="K60" s="51"/>
      <c r="L60" s="49">
        <f t="shared" si="24"/>
        <v>25954</v>
      </c>
      <c r="M60" s="49">
        <f t="shared" si="4"/>
        <v>0</v>
      </c>
      <c r="N60" s="51"/>
      <c r="O60" s="49">
        <f t="shared" si="25"/>
        <v>25954</v>
      </c>
      <c r="P60" s="49">
        <f t="shared" si="5"/>
        <v>0</v>
      </c>
      <c r="Q60" s="51"/>
      <c r="R60" s="49">
        <f t="shared" si="26"/>
        <v>25954</v>
      </c>
      <c r="S60" s="49">
        <f t="shared" si="6"/>
        <v>0</v>
      </c>
      <c r="T60" s="51"/>
      <c r="U60" s="49">
        <f t="shared" ref="U60" si="29">ROUND(R60,0)</f>
        <v>25954</v>
      </c>
      <c r="V60" s="49">
        <f t="shared" si="7"/>
        <v>0</v>
      </c>
      <c r="W60" s="51"/>
      <c r="X60" s="49">
        <f t="shared" ref="X60" si="30">ROUND(U60,0)</f>
        <v>25954</v>
      </c>
      <c r="Y60" s="49">
        <f t="shared" si="8"/>
        <v>0</v>
      </c>
      <c r="Z60" s="51"/>
      <c r="AA60" s="49">
        <v>25954</v>
      </c>
      <c r="AB60" s="53">
        <f t="shared" si="2"/>
        <v>1</v>
      </c>
      <c r="AC60" s="55"/>
    </row>
    <row r="61" spans="1:29" ht="31.5" hidden="1" customHeight="1" outlineLevel="1" x14ac:dyDescent="0.25">
      <c r="C61" s="71"/>
      <c r="D61" s="48" t="s">
        <v>200</v>
      </c>
      <c r="E61" s="50"/>
      <c r="F61" s="50"/>
      <c r="G61" s="49"/>
      <c r="H61" s="51"/>
      <c r="I61" s="49"/>
      <c r="J61" s="49">
        <f t="shared" si="3"/>
        <v>0</v>
      </c>
      <c r="K61" s="51"/>
      <c r="L61" s="49"/>
      <c r="M61" s="49">
        <f t="shared" si="4"/>
        <v>0</v>
      </c>
      <c r="N61" s="51"/>
      <c r="O61" s="49"/>
      <c r="P61" s="49">
        <f t="shared" si="5"/>
        <v>0</v>
      </c>
      <c r="Q61" s="51"/>
      <c r="R61" s="49"/>
      <c r="S61" s="49">
        <f t="shared" si="6"/>
        <v>0</v>
      </c>
      <c r="T61" s="51"/>
      <c r="U61" s="49"/>
      <c r="V61" s="49">
        <f t="shared" si="7"/>
        <v>0</v>
      </c>
      <c r="W61" s="51"/>
      <c r="X61" s="49"/>
      <c r="Y61" s="49">
        <f t="shared" si="8"/>
        <v>0</v>
      </c>
      <c r="Z61" s="51"/>
      <c r="AA61" s="49"/>
      <c r="AB61" s="87" t="e">
        <f t="shared" si="2"/>
        <v>#DIV/0!</v>
      </c>
      <c r="AC61" s="55"/>
    </row>
    <row r="62" spans="1:29" ht="16.5" customHeight="1" collapsed="1" x14ac:dyDescent="0.25">
      <c r="B62" s="106" t="s">
        <v>201</v>
      </c>
      <c r="C62" s="71" t="s">
        <v>202</v>
      </c>
      <c r="D62" s="107" t="s">
        <v>203</v>
      </c>
      <c r="E62" s="50">
        <v>342263</v>
      </c>
      <c r="F62" s="50">
        <f t="shared" si="22"/>
        <v>342263</v>
      </c>
      <c r="G62" s="49">
        <f t="shared" si="1"/>
        <v>0</v>
      </c>
      <c r="H62" s="51"/>
      <c r="I62" s="49">
        <f>ROUND(F62,0)+32585</f>
        <v>374848</v>
      </c>
      <c r="J62" s="49">
        <f t="shared" si="3"/>
        <v>32585</v>
      </c>
      <c r="K62" s="51" t="s">
        <v>204</v>
      </c>
      <c r="L62" s="49">
        <f>ROUND(I62,0)</f>
        <v>374848</v>
      </c>
      <c r="M62" s="49">
        <f t="shared" si="4"/>
        <v>0</v>
      </c>
      <c r="N62" s="51"/>
      <c r="O62" s="49">
        <f>ROUND(L62,0)</f>
        <v>374848</v>
      </c>
      <c r="P62" s="49">
        <f t="shared" si="5"/>
        <v>0</v>
      </c>
      <c r="Q62" s="51"/>
      <c r="R62" s="49">
        <f>ROUND(O62,0)</f>
        <v>374848</v>
      </c>
      <c r="S62" s="49">
        <f t="shared" si="6"/>
        <v>0</v>
      </c>
      <c r="T62" s="51"/>
      <c r="U62" s="49">
        <f>ROUND(R62,0)+208</f>
        <v>375056</v>
      </c>
      <c r="V62" s="49">
        <f t="shared" si="7"/>
        <v>208</v>
      </c>
      <c r="W62" s="108" t="s">
        <v>205</v>
      </c>
      <c r="X62" s="49">
        <f>ROUND(U62,0)</f>
        <v>375056</v>
      </c>
      <c r="Y62" s="49">
        <f t="shared" si="8"/>
        <v>0</v>
      </c>
      <c r="Z62" s="51"/>
      <c r="AA62" s="49">
        <v>375056</v>
      </c>
      <c r="AB62" s="53">
        <f t="shared" si="2"/>
        <v>1</v>
      </c>
      <c r="AC62" s="49"/>
    </row>
    <row r="63" spans="1:29" ht="55.2" customHeight="1" x14ac:dyDescent="0.25">
      <c r="C63" s="71"/>
      <c r="D63" s="48" t="s">
        <v>206</v>
      </c>
      <c r="E63" s="50">
        <v>0</v>
      </c>
      <c r="F63" s="50">
        <f t="shared" si="22"/>
        <v>0</v>
      </c>
      <c r="G63" s="49">
        <f t="shared" si="1"/>
        <v>0</v>
      </c>
      <c r="H63" s="77"/>
      <c r="I63" s="49">
        <f>ROUND(F63,0)</f>
        <v>0</v>
      </c>
      <c r="J63" s="49">
        <f t="shared" si="3"/>
        <v>0</v>
      </c>
      <c r="K63" s="77"/>
      <c r="L63" s="49">
        <f>ROUND(I63,0)</f>
        <v>0</v>
      </c>
      <c r="M63" s="49">
        <f t="shared" si="4"/>
        <v>0</v>
      </c>
      <c r="N63" s="77"/>
      <c r="O63" s="49">
        <f>ROUND(L63,0)</f>
        <v>0</v>
      </c>
      <c r="P63" s="49">
        <f t="shared" si="5"/>
        <v>0</v>
      </c>
      <c r="Q63" s="77"/>
      <c r="R63" s="49">
        <f>ROUND(O63,0)</f>
        <v>0</v>
      </c>
      <c r="S63" s="49">
        <f t="shared" si="6"/>
        <v>0</v>
      </c>
      <c r="T63" s="77"/>
      <c r="U63" s="49">
        <f>ROUND(R63,0)</f>
        <v>0</v>
      </c>
      <c r="V63" s="49">
        <f t="shared" si="7"/>
        <v>0</v>
      </c>
      <c r="W63" s="77"/>
      <c r="X63" s="49">
        <f>ROUND(U63,0)</f>
        <v>0</v>
      </c>
      <c r="Y63" s="49">
        <f t="shared" si="8"/>
        <v>0</v>
      </c>
      <c r="Z63" s="77"/>
      <c r="AA63" s="49">
        <f>ROUND(H63,0)</f>
        <v>0</v>
      </c>
      <c r="AB63" s="109"/>
      <c r="AC63" s="103"/>
    </row>
    <row r="64" spans="1:29" ht="15.6" customHeight="1" x14ac:dyDescent="0.25">
      <c r="C64" s="71" t="s">
        <v>207</v>
      </c>
      <c r="D64" s="48" t="s">
        <v>208</v>
      </c>
      <c r="E64" s="50">
        <v>50000</v>
      </c>
      <c r="F64" s="50">
        <f t="shared" si="22"/>
        <v>50000</v>
      </c>
      <c r="G64" s="49">
        <f t="shared" si="1"/>
        <v>0</v>
      </c>
      <c r="H64" s="77"/>
      <c r="I64" s="49">
        <f>ROUND(F64,0)+20000</f>
        <v>70000</v>
      </c>
      <c r="J64" s="49">
        <f t="shared" si="3"/>
        <v>20000</v>
      </c>
      <c r="K64" s="77" t="s">
        <v>209</v>
      </c>
      <c r="L64" s="49">
        <f>ROUND(I64,0)</f>
        <v>70000</v>
      </c>
      <c r="M64" s="49">
        <f t="shared" si="4"/>
        <v>0</v>
      </c>
      <c r="N64" s="77"/>
      <c r="O64" s="49">
        <f>ROUND(L64,0)+50000</f>
        <v>120000</v>
      </c>
      <c r="P64" s="49">
        <f t="shared" si="5"/>
        <v>50000</v>
      </c>
      <c r="Q64" s="86" t="s">
        <v>209</v>
      </c>
      <c r="R64" s="49">
        <f>ROUND(O64,0)+30000</f>
        <v>150000</v>
      </c>
      <c r="S64" s="49">
        <f t="shared" si="6"/>
        <v>30000</v>
      </c>
      <c r="T64" s="77" t="s">
        <v>209</v>
      </c>
      <c r="U64" s="49">
        <f>ROUND(R64,0)</f>
        <v>150000</v>
      </c>
      <c r="V64" s="49">
        <f t="shared" si="7"/>
        <v>0</v>
      </c>
      <c r="W64" s="77"/>
      <c r="X64" s="49">
        <f>ROUND(U64,0)</f>
        <v>150000</v>
      </c>
      <c r="Y64" s="49">
        <f t="shared" si="8"/>
        <v>0</v>
      </c>
      <c r="Z64" s="77"/>
      <c r="AA64" s="49">
        <v>169531</v>
      </c>
      <c r="AB64" s="105">
        <f t="shared" si="2"/>
        <v>1.1302066666666666</v>
      </c>
      <c r="AC64" s="110" t="s">
        <v>210</v>
      </c>
    </row>
    <row r="65" spans="1:29" ht="17.399999999999999" customHeight="1" x14ac:dyDescent="0.25">
      <c r="B65" s="1" t="s">
        <v>173</v>
      </c>
      <c r="C65" s="71" t="s">
        <v>211</v>
      </c>
      <c r="D65" s="48" t="s">
        <v>212</v>
      </c>
      <c r="E65" s="50">
        <v>400000</v>
      </c>
      <c r="F65" s="50">
        <f t="shared" si="22"/>
        <v>400000</v>
      </c>
      <c r="G65" s="49">
        <f t="shared" si="1"/>
        <v>0</v>
      </c>
      <c r="H65" s="77"/>
      <c r="I65" s="49">
        <f>ROUND(F65,0)</f>
        <v>400000</v>
      </c>
      <c r="J65" s="49">
        <f t="shared" si="3"/>
        <v>0</v>
      </c>
      <c r="K65" s="77"/>
      <c r="L65" s="49">
        <f>ROUND(I65,0)+263500</f>
        <v>663500</v>
      </c>
      <c r="M65" s="49">
        <f t="shared" si="4"/>
        <v>263500</v>
      </c>
      <c r="N65" s="77" t="s">
        <v>213</v>
      </c>
      <c r="O65" s="49">
        <f>ROUND(L65,0)</f>
        <v>663500</v>
      </c>
      <c r="P65" s="49">
        <f t="shared" si="5"/>
        <v>0</v>
      </c>
      <c r="Q65" s="77"/>
      <c r="R65" s="49">
        <f>ROUND(O65,0)</f>
        <v>663500</v>
      </c>
      <c r="S65" s="49">
        <f t="shared" si="6"/>
        <v>0</v>
      </c>
      <c r="T65" s="77"/>
      <c r="U65" s="49">
        <f>ROUND(R65,0)</f>
        <v>663500</v>
      </c>
      <c r="V65" s="49">
        <f t="shared" si="7"/>
        <v>0</v>
      </c>
      <c r="W65" s="77"/>
      <c r="X65" s="49">
        <f>ROUND(U65,0)</f>
        <v>663500</v>
      </c>
      <c r="Y65" s="49">
        <f t="shared" si="8"/>
        <v>0</v>
      </c>
      <c r="Z65" s="77"/>
      <c r="AA65" s="49">
        <f>82764+263499</f>
        <v>346263</v>
      </c>
      <c r="AB65" s="53">
        <f t="shared" si="2"/>
        <v>0.52187339864355686</v>
      </c>
      <c r="AC65" s="330"/>
    </row>
    <row r="66" spans="1:29" ht="17.399999999999999" customHeight="1" x14ac:dyDescent="0.25">
      <c r="C66" s="71" t="s">
        <v>214</v>
      </c>
      <c r="D66" s="48" t="s">
        <v>215</v>
      </c>
      <c r="E66" s="50"/>
      <c r="F66" s="50"/>
      <c r="G66" s="49"/>
      <c r="H66" s="77"/>
      <c r="I66" s="49"/>
      <c r="J66" s="49"/>
      <c r="K66" s="77"/>
      <c r="L66" s="49"/>
      <c r="M66" s="49"/>
      <c r="N66" s="77"/>
      <c r="O66" s="49"/>
      <c r="P66" s="49"/>
      <c r="Q66" s="77"/>
      <c r="R66" s="49"/>
      <c r="S66" s="49"/>
      <c r="T66" s="77"/>
      <c r="U66" s="49">
        <v>1875164.83</v>
      </c>
      <c r="V66" s="52">
        <f t="shared" si="7"/>
        <v>1875164.83</v>
      </c>
      <c r="W66" s="77" t="s">
        <v>216</v>
      </c>
      <c r="X66" s="49">
        <v>1875164.83</v>
      </c>
      <c r="Y66" s="49">
        <f t="shared" si="8"/>
        <v>0</v>
      </c>
      <c r="Z66" s="77"/>
      <c r="AA66" s="49">
        <v>1875165</v>
      </c>
      <c r="AB66" s="112">
        <f t="shared" si="2"/>
        <v>1.0000000906586968</v>
      </c>
      <c r="AC66" s="110"/>
    </row>
    <row r="67" spans="1:29" ht="27.6" customHeight="1" x14ac:dyDescent="0.25">
      <c r="A67" s="106" t="s">
        <v>217</v>
      </c>
      <c r="B67" s="1" t="s">
        <v>218</v>
      </c>
      <c r="C67" s="71" t="s">
        <v>219</v>
      </c>
      <c r="D67" s="48" t="s">
        <v>220</v>
      </c>
      <c r="E67" s="50">
        <v>138000</v>
      </c>
      <c r="F67" s="50">
        <f>ROUND(E67,0)</f>
        <v>138000</v>
      </c>
      <c r="G67" s="49">
        <f t="shared" si="1"/>
        <v>0</v>
      </c>
      <c r="H67" s="77"/>
      <c r="I67" s="49">
        <f>ROUND(F67,0)</f>
        <v>138000</v>
      </c>
      <c r="J67" s="49">
        <f t="shared" si="3"/>
        <v>0</v>
      </c>
      <c r="K67" s="77"/>
      <c r="L67" s="49">
        <f>ROUND(I67,0)+5841+7144</f>
        <v>150985</v>
      </c>
      <c r="M67" s="49">
        <f t="shared" si="4"/>
        <v>12985</v>
      </c>
      <c r="N67" s="77" t="s">
        <v>221</v>
      </c>
      <c r="O67" s="49">
        <f>ROUND(L67,0)</f>
        <v>150985</v>
      </c>
      <c r="P67" s="49">
        <f t="shared" si="5"/>
        <v>0</v>
      </c>
      <c r="Q67" s="77"/>
      <c r="R67" s="49">
        <f>ROUND(O67,0)</f>
        <v>150985</v>
      </c>
      <c r="S67" s="49">
        <f t="shared" si="6"/>
        <v>0</v>
      </c>
      <c r="T67" s="77"/>
      <c r="U67" s="49">
        <f>ROUND(R67,0)</f>
        <v>150985</v>
      </c>
      <c r="V67" s="49">
        <f t="shared" si="7"/>
        <v>0</v>
      </c>
      <c r="W67" s="77"/>
      <c r="X67" s="49">
        <f>ROUND(U67,0)</f>
        <v>150985</v>
      </c>
      <c r="Y67" s="49">
        <f t="shared" si="8"/>
        <v>0</v>
      </c>
      <c r="Z67" s="77"/>
      <c r="AA67" s="49">
        <f>808460-AA62-41900-AA56-1285-25954-248622+18000+2350+3596</f>
        <v>126501</v>
      </c>
      <c r="AB67" s="105">
        <f t="shared" si="2"/>
        <v>0.8378381958472696</v>
      </c>
      <c r="AC67" s="113" t="s">
        <v>222</v>
      </c>
    </row>
    <row r="68" spans="1:29" ht="32.25" customHeight="1" x14ac:dyDescent="0.25">
      <c r="C68" s="81" t="s">
        <v>223</v>
      </c>
      <c r="D68" s="82" t="s">
        <v>224</v>
      </c>
      <c r="E68" s="114">
        <v>1652241.49</v>
      </c>
      <c r="F68" s="114">
        <f>SUM(F69:F90)</f>
        <v>1652241</v>
      </c>
      <c r="G68" s="83">
        <f t="shared" si="1"/>
        <v>-0.48999999999068677</v>
      </c>
      <c r="H68" s="115"/>
      <c r="I68" s="83">
        <f>SUM(I69:I88)</f>
        <v>1657241</v>
      </c>
      <c r="J68" s="83">
        <f t="shared" si="3"/>
        <v>5000</v>
      </c>
      <c r="K68" s="115"/>
      <c r="L68" s="83">
        <f>SUM(L69:L88)</f>
        <v>1657241</v>
      </c>
      <c r="M68" s="83">
        <f t="shared" si="4"/>
        <v>0</v>
      </c>
      <c r="N68" s="115"/>
      <c r="O68" s="83">
        <f>SUM(O69:O88)</f>
        <v>1657241</v>
      </c>
      <c r="P68" s="83">
        <f t="shared" si="5"/>
        <v>0</v>
      </c>
      <c r="Q68" s="115"/>
      <c r="R68" s="83">
        <f>SUM(R69:R88)</f>
        <v>1485922</v>
      </c>
      <c r="S68" s="83">
        <f t="shared" si="6"/>
        <v>-171319</v>
      </c>
      <c r="T68" s="115"/>
      <c r="U68" s="83">
        <f>SUM(U69:U90)</f>
        <v>1694148</v>
      </c>
      <c r="V68" s="83">
        <f t="shared" si="7"/>
        <v>208226</v>
      </c>
      <c r="W68" s="115"/>
      <c r="X68" s="83">
        <f>SUM(X69:X90)</f>
        <v>1694148</v>
      </c>
      <c r="Y68" s="83">
        <f t="shared" si="8"/>
        <v>0</v>
      </c>
      <c r="Z68" s="115"/>
      <c r="AA68" s="83">
        <f>SUM(AA69:AA90)</f>
        <v>1426286.58</v>
      </c>
      <c r="AB68" s="116">
        <f t="shared" si="2"/>
        <v>0.8418901890507795</v>
      </c>
      <c r="AC68" s="83" t="s">
        <v>225</v>
      </c>
    </row>
    <row r="69" spans="1:29" ht="14.4" x14ac:dyDescent="0.3">
      <c r="A69" s="1" t="s">
        <v>150</v>
      </c>
      <c r="B69" s="67" t="s">
        <v>226</v>
      </c>
      <c r="C69" s="71" t="s">
        <v>227</v>
      </c>
      <c r="D69" s="117" t="s">
        <v>228</v>
      </c>
      <c r="E69" s="50">
        <v>7417</v>
      </c>
      <c r="F69" s="50">
        <f t="shared" ref="F69:F90" si="31">ROUND(E69,0)</f>
        <v>7417</v>
      </c>
      <c r="G69" s="49">
        <f t="shared" si="1"/>
        <v>0</v>
      </c>
      <c r="H69" s="118"/>
      <c r="I69" s="49">
        <f t="shared" ref="I69:I82" si="32">ROUND(F69,0)</f>
        <v>7417</v>
      </c>
      <c r="J69" s="49">
        <f t="shared" si="3"/>
        <v>0</v>
      </c>
      <c r="K69" s="118"/>
      <c r="L69" s="49">
        <f t="shared" ref="L69:L82" si="33">ROUND(I69,0)</f>
        <v>7417</v>
      </c>
      <c r="M69" s="49">
        <f t="shared" si="4"/>
        <v>0</v>
      </c>
      <c r="N69" s="118"/>
      <c r="O69" s="49">
        <f t="shared" ref="O69:O82" si="34">ROUND(L69,0)</f>
        <v>7417</v>
      </c>
      <c r="P69" s="49">
        <f t="shared" si="5"/>
        <v>0</v>
      </c>
      <c r="Q69" s="118"/>
      <c r="R69" s="49">
        <f t="shared" ref="R69:R82" si="35">ROUND(O69,0)</f>
        <v>7417</v>
      </c>
      <c r="S69" s="49">
        <f t="shared" si="6"/>
        <v>0</v>
      </c>
      <c r="T69" s="118"/>
      <c r="U69" s="49">
        <f t="shared" ref="U69:U71" si="36">ROUND(R69,0)</f>
        <v>7417</v>
      </c>
      <c r="V69" s="49">
        <f t="shared" si="7"/>
        <v>0</v>
      </c>
      <c r="W69" s="118"/>
      <c r="X69" s="49">
        <f t="shared" ref="X69:X71" si="37">ROUND(U69,0)</f>
        <v>7417</v>
      </c>
      <c r="Y69" s="49">
        <f t="shared" si="8"/>
        <v>0</v>
      </c>
      <c r="Z69" s="118"/>
      <c r="AA69" s="49">
        <v>14524</v>
      </c>
      <c r="AB69" s="105">
        <f t="shared" si="2"/>
        <v>1.9582041256572738</v>
      </c>
      <c r="AC69" s="49"/>
    </row>
    <row r="70" spans="1:29" x14ac:dyDescent="0.25">
      <c r="A70" s="1" t="s">
        <v>229</v>
      </c>
      <c r="B70" s="1" t="s">
        <v>230</v>
      </c>
      <c r="C70" s="71" t="s">
        <v>231</v>
      </c>
      <c r="D70" s="117" t="s">
        <v>232</v>
      </c>
      <c r="E70" s="50">
        <v>109839.1</v>
      </c>
      <c r="F70" s="50">
        <f t="shared" si="31"/>
        <v>109839</v>
      </c>
      <c r="G70" s="49">
        <f t="shared" si="1"/>
        <v>-0.10000000000582077</v>
      </c>
      <c r="H70" s="66"/>
      <c r="I70" s="49">
        <f t="shared" si="32"/>
        <v>109839</v>
      </c>
      <c r="J70" s="49">
        <f t="shared" si="3"/>
        <v>0</v>
      </c>
      <c r="K70" s="66"/>
      <c r="L70" s="49">
        <f t="shared" si="33"/>
        <v>109839</v>
      </c>
      <c r="M70" s="49">
        <f t="shared" si="4"/>
        <v>0</v>
      </c>
      <c r="N70" s="66"/>
      <c r="O70" s="49">
        <f t="shared" si="34"/>
        <v>109839</v>
      </c>
      <c r="P70" s="49">
        <f t="shared" si="5"/>
        <v>0</v>
      </c>
      <c r="Q70" s="66"/>
      <c r="R70" s="49">
        <f t="shared" si="35"/>
        <v>109839</v>
      </c>
      <c r="S70" s="49">
        <f t="shared" si="6"/>
        <v>0</v>
      </c>
      <c r="T70" s="66"/>
      <c r="U70" s="49">
        <f t="shared" si="36"/>
        <v>109839</v>
      </c>
      <c r="V70" s="49">
        <f t="shared" si="7"/>
        <v>0</v>
      </c>
      <c r="W70" s="66"/>
      <c r="X70" s="49">
        <f t="shared" si="37"/>
        <v>109839</v>
      </c>
      <c r="Y70" s="49">
        <f t="shared" si="8"/>
        <v>0</v>
      </c>
      <c r="Z70" s="66"/>
      <c r="AA70" s="49">
        <v>0</v>
      </c>
      <c r="AB70" s="53">
        <f t="shared" si="2"/>
        <v>0</v>
      </c>
      <c r="AC70" s="49" t="s">
        <v>225</v>
      </c>
    </row>
    <row r="71" spans="1:29" ht="27.6" hidden="1" outlineLevel="1" x14ac:dyDescent="0.25">
      <c r="C71" s="71" t="s">
        <v>233</v>
      </c>
      <c r="D71" s="117" t="s">
        <v>234</v>
      </c>
      <c r="E71" s="50">
        <v>0</v>
      </c>
      <c r="F71" s="50">
        <f t="shared" si="31"/>
        <v>0</v>
      </c>
      <c r="G71" s="49">
        <f t="shared" si="1"/>
        <v>0</v>
      </c>
      <c r="H71" s="77"/>
      <c r="I71" s="49">
        <f t="shared" si="32"/>
        <v>0</v>
      </c>
      <c r="J71" s="49">
        <f t="shared" si="3"/>
        <v>0</v>
      </c>
      <c r="K71" s="77"/>
      <c r="L71" s="49">
        <f t="shared" si="33"/>
        <v>0</v>
      </c>
      <c r="M71" s="49">
        <f t="shared" si="4"/>
        <v>0</v>
      </c>
      <c r="N71" s="77"/>
      <c r="O71" s="49">
        <f t="shared" si="34"/>
        <v>0</v>
      </c>
      <c r="P71" s="49">
        <f t="shared" si="5"/>
        <v>0</v>
      </c>
      <c r="Q71" s="77"/>
      <c r="R71" s="49">
        <f t="shared" si="35"/>
        <v>0</v>
      </c>
      <c r="S71" s="49">
        <f t="shared" si="6"/>
        <v>0</v>
      </c>
      <c r="T71" s="77"/>
      <c r="U71" s="49">
        <f t="shared" si="36"/>
        <v>0</v>
      </c>
      <c r="V71" s="49">
        <f t="shared" si="7"/>
        <v>0</v>
      </c>
      <c r="W71" s="77"/>
      <c r="X71" s="49">
        <f t="shared" si="37"/>
        <v>0</v>
      </c>
      <c r="Y71" s="49">
        <f t="shared" si="8"/>
        <v>0</v>
      </c>
      <c r="Z71" s="77"/>
      <c r="AA71" s="49">
        <f t="shared" ref="AA71:AA88" si="38">ROUND(H71,0)</f>
        <v>0</v>
      </c>
      <c r="AB71" s="53" t="e">
        <f t="shared" ref="AB71:AB129" si="39">AA71/X71</f>
        <v>#DIV/0!</v>
      </c>
      <c r="AC71" s="49"/>
    </row>
    <row r="72" spans="1:29" ht="27.6" collapsed="1" x14ac:dyDescent="0.25">
      <c r="B72" s="119" t="s">
        <v>235</v>
      </c>
      <c r="C72" s="71" t="s">
        <v>236</v>
      </c>
      <c r="D72" s="117" t="s">
        <v>237</v>
      </c>
      <c r="E72" s="50">
        <v>0</v>
      </c>
      <c r="F72" s="50">
        <f t="shared" si="31"/>
        <v>0</v>
      </c>
      <c r="G72" s="49">
        <f t="shared" si="1"/>
        <v>0</v>
      </c>
      <c r="H72" s="66"/>
      <c r="I72" s="49">
        <f t="shared" si="32"/>
        <v>0</v>
      </c>
      <c r="J72" s="49">
        <f t="shared" si="3"/>
        <v>0</v>
      </c>
      <c r="K72" s="66"/>
      <c r="L72" s="49">
        <f t="shared" si="33"/>
        <v>0</v>
      </c>
      <c r="M72" s="49">
        <f t="shared" si="4"/>
        <v>0</v>
      </c>
      <c r="N72" s="66"/>
      <c r="O72" s="49">
        <f t="shared" si="34"/>
        <v>0</v>
      </c>
      <c r="P72" s="49">
        <f t="shared" si="5"/>
        <v>0</v>
      </c>
      <c r="Q72" s="66"/>
      <c r="R72" s="49">
        <f>ROUND(O72,0)+125926</f>
        <v>125926</v>
      </c>
      <c r="S72" s="49">
        <f t="shared" si="6"/>
        <v>125926</v>
      </c>
      <c r="T72" s="66" t="s">
        <v>238</v>
      </c>
      <c r="U72" s="49">
        <f>ROUND(R72,0)</f>
        <v>125926</v>
      </c>
      <c r="V72" s="49">
        <f t="shared" si="7"/>
        <v>0</v>
      </c>
      <c r="W72" s="66"/>
      <c r="X72" s="49">
        <f>ROUND(U72,0)</f>
        <v>125926</v>
      </c>
      <c r="Y72" s="49">
        <f t="shared" si="8"/>
        <v>0</v>
      </c>
      <c r="Z72" s="66"/>
      <c r="AA72" s="49">
        <f>125925.92+41900</f>
        <v>167825.91999999998</v>
      </c>
      <c r="AB72" s="53">
        <f t="shared" si="39"/>
        <v>1.3327344630973745</v>
      </c>
      <c r="AC72" s="79" t="s">
        <v>239</v>
      </c>
    </row>
    <row r="73" spans="1:29" ht="41.4" x14ac:dyDescent="0.25">
      <c r="B73" s="1" t="s">
        <v>240</v>
      </c>
      <c r="C73" s="71" t="s">
        <v>241</v>
      </c>
      <c r="D73" s="117" t="s">
        <v>242</v>
      </c>
      <c r="E73" s="50">
        <v>0</v>
      </c>
      <c r="F73" s="50">
        <f t="shared" si="31"/>
        <v>0</v>
      </c>
      <c r="G73" s="49">
        <f t="shared" ref="G73:G129" si="40">F73-E73</f>
        <v>0</v>
      </c>
      <c r="H73" s="68"/>
      <c r="I73" s="49">
        <f t="shared" si="32"/>
        <v>0</v>
      </c>
      <c r="J73" s="49">
        <f t="shared" si="3"/>
        <v>0</v>
      </c>
      <c r="K73" s="68"/>
      <c r="L73" s="49">
        <f t="shared" si="33"/>
        <v>0</v>
      </c>
      <c r="M73" s="49">
        <f t="shared" si="4"/>
        <v>0</v>
      </c>
      <c r="N73" s="68"/>
      <c r="O73" s="49">
        <f t="shared" si="34"/>
        <v>0</v>
      </c>
      <c r="P73" s="49">
        <f t="shared" si="5"/>
        <v>0</v>
      </c>
      <c r="Q73" s="68"/>
      <c r="R73" s="49">
        <f t="shared" si="35"/>
        <v>0</v>
      </c>
      <c r="S73" s="49">
        <f t="shared" si="6"/>
        <v>0</v>
      </c>
      <c r="T73" s="68"/>
      <c r="U73" s="49">
        <f t="shared" ref="U73:U82" si="41">ROUND(R73,0)</f>
        <v>0</v>
      </c>
      <c r="V73" s="49">
        <f t="shared" si="7"/>
        <v>0</v>
      </c>
      <c r="W73" s="68"/>
      <c r="X73" s="49">
        <f t="shared" ref="X73:X82" si="42">ROUND(U73,0)</f>
        <v>0</v>
      </c>
      <c r="Y73" s="49">
        <f t="shared" si="8"/>
        <v>0</v>
      </c>
      <c r="Z73" s="68"/>
      <c r="AA73" s="49">
        <v>7822</v>
      </c>
      <c r="AB73" s="105"/>
      <c r="AC73" s="49"/>
    </row>
    <row r="74" spans="1:29" ht="28.2" x14ac:dyDescent="0.3">
      <c r="B74" s="67" t="s">
        <v>243</v>
      </c>
      <c r="C74" s="71" t="s">
        <v>244</v>
      </c>
      <c r="D74" s="117" t="s">
        <v>245</v>
      </c>
      <c r="E74" s="50">
        <v>81714</v>
      </c>
      <c r="F74" s="50">
        <f t="shared" si="31"/>
        <v>81714</v>
      </c>
      <c r="G74" s="49">
        <f t="shared" si="40"/>
        <v>0</v>
      </c>
      <c r="H74" s="120"/>
      <c r="I74" s="49">
        <f t="shared" si="32"/>
        <v>81714</v>
      </c>
      <c r="J74" s="49">
        <f t="shared" ref="J74:J129" si="43">I74-F74</f>
        <v>0</v>
      </c>
      <c r="K74" s="120"/>
      <c r="L74" s="49">
        <f t="shared" si="33"/>
        <v>81714</v>
      </c>
      <c r="M74" s="49">
        <f t="shared" ref="M74:M129" si="44">L74-I74</f>
        <v>0</v>
      </c>
      <c r="N74" s="120"/>
      <c r="O74" s="49">
        <f t="shared" si="34"/>
        <v>81714</v>
      </c>
      <c r="P74" s="49">
        <f t="shared" ref="P74:P129" si="45">O74-L74</f>
        <v>0</v>
      </c>
      <c r="Q74" s="120"/>
      <c r="R74" s="49">
        <f t="shared" si="35"/>
        <v>81714</v>
      </c>
      <c r="S74" s="49">
        <f t="shared" ref="S74:S129" si="46">R74-O74</f>
        <v>0</v>
      </c>
      <c r="T74" s="120"/>
      <c r="U74" s="49">
        <f t="shared" si="41"/>
        <v>81714</v>
      </c>
      <c r="V74" s="49">
        <f t="shared" ref="V74:V129" si="47">U74-R74</f>
        <v>0</v>
      </c>
      <c r="W74" s="120"/>
      <c r="X74" s="49">
        <f t="shared" si="42"/>
        <v>81714</v>
      </c>
      <c r="Y74" s="49">
        <f t="shared" ref="Y74:Y129" si="48">X74-U74</f>
        <v>0</v>
      </c>
      <c r="Z74" s="120"/>
      <c r="AA74" s="49">
        <v>20394</v>
      </c>
      <c r="AB74" s="105">
        <f t="shared" si="39"/>
        <v>0.24957779572655847</v>
      </c>
      <c r="AC74" s="79"/>
    </row>
    <row r="75" spans="1:29" ht="28.2" x14ac:dyDescent="0.3">
      <c r="B75" s="67"/>
      <c r="C75" s="71" t="s">
        <v>246</v>
      </c>
      <c r="D75" s="117" t="s">
        <v>247</v>
      </c>
      <c r="E75" s="50">
        <v>117147</v>
      </c>
      <c r="F75" s="50">
        <f t="shared" si="31"/>
        <v>117147</v>
      </c>
      <c r="G75" s="49">
        <f t="shared" si="40"/>
        <v>0</v>
      </c>
      <c r="H75" s="120"/>
      <c r="I75" s="49">
        <f t="shared" si="32"/>
        <v>117147</v>
      </c>
      <c r="J75" s="49">
        <f t="shared" si="43"/>
        <v>0</v>
      </c>
      <c r="K75" s="120"/>
      <c r="L75" s="49">
        <f t="shared" si="33"/>
        <v>117147</v>
      </c>
      <c r="M75" s="49">
        <f t="shared" si="44"/>
        <v>0</v>
      </c>
      <c r="N75" s="120"/>
      <c r="O75" s="49">
        <f t="shared" si="34"/>
        <v>117147</v>
      </c>
      <c r="P75" s="49">
        <f t="shared" si="45"/>
        <v>0</v>
      </c>
      <c r="Q75" s="120"/>
      <c r="R75" s="49">
        <f t="shared" si="35"/>
        <v>117147</v>
      </c>
      <c r="S75" s="49">
        <f t="shared" si="46"/>
        <v>0</v>
      </c>
      <c r="T75" s="120"/>
      <c r="U75" s="49">
        <f t="shared" si="41"/>
        <v>117147</v>
      </c>
      <c r="V75" s="49">
        <f t="shared" si="47"/>
        <v>0</v>
      </c>
      <c r="W75" s="120"/>
      <c r="X75" s="49">
        <f t="shared" si="42"/>
        <v>117147</v>
      </c>
      <c r="Y75" s="49">
        <f t="shared" si="48"/>
        <v>0</v>
      </c>
      <c r="Z75" s="120"/>
      <c r="AA75" s="49">
        <v>102156.34</v>
      </c>
      <c r="AB75" s="53">
        <f t="shared" si="39"/>
        <v>0.87203547679411331</v>
      </c>
      <c r="AC75" s="49"/>
    </row>
    <row r="76" spans="1:29" ht="14.4" x14ac:dyDescent="0.3">
      <c r="B76" s="67"/>
      <c r="C76" s="71" t="s">
        <v>248</v>
      </c>
      <c r="D76" s="117" t="s">
        <v>249</v>
      </c>
      <c r="E76" s="50">
        <v>291947</v>
      </c>
      <c r="F76" s="50">
        <f t="shared" si="31"/>
        <v>291947</v>
      </c>
      <c r="G76" s="49">
        <f t="shared" si="40"/>
        <v>0</v>
      </c>
      <c r="H76" s="120"/>
      <c r="I76" s="49">
        <f t="shared" si="32"/>
        <v>291947</v>
      </c>
      <c r="J76" s="49">
        <f t="shared" si="43"/>
        <v>0</v>
      </c>
      <c r="K76" s="120"/>
      <c r="L76" s="49">
        <f t="shared" si="33"/>
        <v>291947</v>
      </c>
      <c r="M76" s="49">
        <f t="shared" si="44"/>
        <v>0</v>
      </c>
      <c r="N76" s="120"/>
      <c r="O76" s="49">
        <f t="shared" si="34"/>
        <v>291947</v>
      </c>
      <c r="P76" s="49">
        <f t="shared" si="45"/>
        <v>0</v>
      </c>
      <c r="Q76" s="120"/>
      <c r="R76" s="49">
        <f t="shared" si="35"/>
        <v>291947</v>
      </c>
      <c r="S76" s="49">
        <f t="shared" si="46"/>
        <v>0</v>
      </c>
      <c r="T76" s="120"/>
      <c r="U76" s="49">
        <f t="shared" si="41"/>
        <v>291947</v>
      </c>
      <c r="V76" s="49">
        <f t="shared" si="47"/>
        <v>0</v>
      </c>
      <c r="W76" s="120"/>
      <c r="X76" s="49">
        <f t="shared" si="42"/>
        <v>291947</v>
      </c>
      <c r="Y76" s="49">
        <f t="shared" si="48"/>
        <v>0</v>
      </c>
      <c r="Z76" s="120"/>
      <c r="AA76" s="49">
        <f>478697.93</f>
        <v>478697.93</v>
      </c>
      <c r="AB76" s="105">
        <f t="shared" si="39"/>
        <v>1.6396740846797535</v>
      </c>
      <c r="AC76" s="49"/>
    </row>
    <row r="77" spans="1:29" ht="27.6" x14ac:dyDescent="0.25">
      <c r="A77" s="1" t="s">
        <v>250</v>
      </c>
      <c r="B77" s="121" t="s">
        <v>251</v>
      </c>
      <c r="C77" s="71" t="s">
        <v>252</v>
      </c>
      <c r="D77" s="117" t="s">
        <v>253</v>
      </c>
      <c r="E77" s="50">
        <v>104321.39</v>
      </c>
      <c r="F77" s="50">
        <f t="shared" si="31"/>
        <v>104321</v>
      </c>
      <c r="G77" s="49">
        <f t="shared" si="40"/>
        <v>-0.38999999999941792</v>
      </c>
      <c r="H77" s="120"/>
      <c r="I77" s="49">
        <f t="shared" si="32"/>
        <v>104321</v>
      </c>
      <c r="J77" s="49">
        <f t="shared" si="43"/>
        <v>0</v>
      </c>
      <c r="K77" s="120"/>
      <c r="L77" s="49">
        <f t="shared" si="33"/>
        <v>104321</v>
      </c>
      <c r="M77" s="49">
        <f t="shared" si="44"/>
        <v>0</v>
      </c>
      <c r="N77" s="120"/>
      <c r="O77" s="49">
        <f t="shared" si="34"/>
        <v>104321</v>
      </c>
      <c r="P77" s="49">
        <f t="shared" si="45"/>
        <v>0</v>
      </c>
      <c r="Q77" s="120"/>
      <c r="R77" s="49">
        <f t="shared" si="35"/>
        <v>104321</v>
      </c>
      <c r="S77" s="49">
        <f t="shared" si="46"/>
        <v>0</v>
      </c>
      <c r="T77" s="120"/>
      <c r="U77" s="49">
        <f t="shared" si="41"/>
        <v>104321</v>
      </c>
      <c r="V77" s="49">
        <f t="shared" si="47"/>
        <v>0</v>
      </c>
      <c r="W77" s="120"/>
      <c r="X77" s="49">
        <f t="shared" si="42"/>
        <v>104321</v>
      </c>
      <c r="Y77" s="49">
        <f t="shared" si="48"/>
        <v>0</v>
      </c>
      <c r="Z77" s="120"/>
      <c r="AA77" s="49">
        <v>120333.38</v>
      </c>
      <c r="AB77" s="105">
        <f t="shared" si="39"/>
        <v>1.1534914350897711</v>
      </c>
      <c r="AC77" s="79"/>
    </row>
    <row r="78" spans="1:29" x14ac:dyDescent="0.25">
      <c r="B78" s="106" t="s">
        <v>5</v>
      </c>
      <c r="C78" s="71" t="s">
        <v>254</v>
      </c>
      <c r="D78" s="122" t="s">
        <v>255</v>
      </c>
      <c r="E78" s="50">
        <v>40898</v>
      </c>
      <c r="F78" s="50">
        <f t="shared" si="31"/>
        <v>40898</v>
      </c>
      <c r="G78" s="49">
        <f t="shared" si="40"/>
        <v>0</v>
      </c>
      <c r="H78" s="120"/>
      <c r="I78" s="49">
        <f t="shared" si="32"/>
        <v>40898</v>
      </c>
      <c r="J78" s="49">
        <f t="shared" si="43"/>
        <v>0</v>
      </c>
      <c r="K78" s="120"/>
      <c r="L78" s="49">
        <f t="shared" si="33"/>
        <v>40898</v>
      </c>
      <c r="M78" s="49">
        <f t="shared" si="44"/>
        <v>0</v>
      </c>
      <c r="N78" s="120"/>
      <c r="O78" s="49">
        <f t="shared" si="34"/>
        <v>40898</v>
      </c>
      <c r="P78" s="49">
        <f t="shared" si="45"/>
        <v>0</v>
      </c>
      <c r="Q78" s="120"/>
      <c r="R78" s="49">
        <f t="shared" si="35"/>
        <v>40898</v>
      </c>
      <c r="S78" s="49">
        <f t="shared" si="46"/>
        <v>0</v>
      </c>
      <c r="T78" s="120"/>
      <c r="U78" s="49">
        <f t="shared" si="41"/>
        <v>40898</v>
      </c>
      <c r="V78" s="49">
        <f t="shared" si="47"/>
        <v>0</v>
      </c>
      <c r="W78" s="120"/>
      <c r="X78" s="49">
        <f t="shared" si="42"/>
        <v>40898</v>
      </c>
      <c r="Y78" s="49">
        <f t="shared" si="48"/>
        <v>0</v>
      </c>
      <c r="Z78" s="120"/>
      <c r="AA78" s="49">
        <v>40935</v>
      </c>
      <c r="AB78" s="53">
        <f t="shared" si="39"/>
        <v>1.0009046897158784</v>
      </c>
      <c r="AC78" s="79" t="s">
        <v>5</v>
      </c>
    </row>
    <row r="79" spans="1:29" ht="28.2" hidden="1" outlineLevel="1" x14ac:dyDescent="0.3">
      <c r="B79" s="67"/>
      <c r="C79" s="71" t="s">
        <v>256</v>
      </c>
      <c r="D79" s="117" t="s">
        <v>257</v>
      </c>
      <c r="E79" s="50">
        <v>0</v>
      </c>
      <c r="F79" s="50">
        <f t="shared" si="31"/>
        <v>0</v>
      </c>
      <c r="G79" s="49">
        <f t="shared" si="40"/>
        <v>0</v>
      </c>
      <c r="H79" s="120"/>
      <c r="I79" s="49">
        <f t="shared" si="32"/>
        <v>0</v>
      </c>
      <c r="J79" s="49">
        <f t="shared" si="43"/>
        <v>0</v>
      </c>
      <c r="K79" s="120"/>
      <c r="L79" s="49">
        <f t="shared" si="33"/>
        <v>0</v>
      </c>
      <c r="M79" s="49">
        <f t="shared" si="44"/>
        <v>0</v>
      </c>
      <c r="N79" s="120"/>
      <c r="O79" s="49">
        <f t="shared" si="34"/>
        <v>0</v>
      </c>
      <c r="P79" s="49">
        <f t="shared" si="45"/>
        <v>0</v>
      </c>
      <c r="Q79" s="120"/>
      <c r="R79" s="49">
        <f t="shared" si="35"/>
        <v>0</v>
      </c>
      <c r="S79" s="49">
        <f t="shared" si="46"/>
        <v>0</v>
      </c>
      <c r="T79" s="120"/>
      <c r="U79" s="49">
        <f t="shared" si="41"/>
        <v>0</v>
      </c>
      <c r="V79" s="49">
        <f t="shared" si="47"/>
        <v>0</v>
      </c>
      <c r="W79" s="120"/>
      <c r="X79" s="49">
        <f t="shared" si="42"/>
        <v>0</v>
      </c>
      <c r="Y79" s="49">
        <f t="shared" si="48"/>
        <v>0</v>
      </c>
      <c r="Z79" s="120"/>
      <c r="AA79" s="49">
        <f t="shared" si="38"/>
        <v>0</v>
      </c>
      <c r="AB79" s="87" t="e">
        <f t="shared" si="39"/>
        <v>#DIV/0!</v>
      </c>
      <c r="AC79" s="49"/>
    </row>
    <row r="80" spans="1:29" ht="28.2" hidden="1" outlineLevel="1" x14ac:dyDescent="0.3">
      <c r="B80" s="67"/>
      <c r="C80" s="71" t="s">
        <v>258</v>
      </c>
      <c r="D80" s="117" t="s">
        <v>259</v>
      </c>
      <c r="E80" s="50">
        <v>0</v>
      </c>
      <c r="F80" s="50">
        <f t="shared" si="31"/>
        <v>0</v>
      </c>
      <c r="G80" s="49">
        <f t="shared" si="40"/>
        <v>0</v>
      </c>
      <c r="H80" s="120"/>
      <c r="I80" s="49">
        <f t="shared" si="32"/>
        <v>0</v>
      </c>
      <c r="J80" s="49">
        <f t="shared" si="43"/>
        <v>0</v>
      </c>
      <c r="K80" s="120"/>
      <c r="L80" s="49">
        <f t="shared" si="33"/>
        <v>0</v>
      </c>
      <c r="M80" s="49">
        <f t="shared" si="44"/>
        <v>0</v>
      </c>
      <c r="N80" s="120"/>
      <c r="O80" s="49">
        <f t="shared" si="34"/>
        <v>0</v>
      </c>
      <c r="P80" s="49">
        <f t="shared" si="45"/>
        <v>0</v>
      </c>
      <c r="Q80" s="120"/>
      <c r="R80" s="49">
        <f t="shared" si="35"/>
        <v>0</v>
      </c>
      <c r="S80" s="49">
        <f t="shared" si="46"/>
        <v>0</v>
      </c>
      <c r="T80" s="120"/>
      <c r="U80" s="49">
        <f t="shared" si="41"/>
        <v>0</v>
      </c>
      <c r="V80" s="49">
        <f t="shared" si="47"/>
        <v>0</v>
      </c>
      <c r="W80" s="120"/>
      <c r="X80" s="49">
        <f t="shared" si="42"/>
        <v>0</v>
      </c>
      <c r="Y80" s="49">
        <f t="shared" si="48"/>
        <v>0</v>
      </c>
      <c r="Z80" s="120"/>
      <c r="AA80" s="49">
        <f t="shared" si="38"/>
        <v>0</v>
      </c>
      <c r="AB80" s="87" t="e">
        <f t="shared" si="39"/>
        <v>#DIV/0!</v>
      </c>
      <c r="AC80" s="49"/>
    </row>
    <row r="81" spans="1:29" ht="14.4" collapsed="1" x14ac:dyDescent="0.3">
      <c r="B81" s="123" t="s">
        <v>260</v>
      </c>
      <c r="C81" s="71" t="s">
        <v>261</v>
      </c>
      <c r="D81" s="117" t="s">
        <v>262</v>
      </c>
      <c r="E81" s="50">
        <v>202410</v>
      </c>
      <c r="F81" s="50">
        <f t="shared" si="31"/>
        <v>202410</v>
      </c>
      <c r="G81" s="49">
        <f t="shared" si="40"/>
        <v>0</v>
      </c>
      <c r="H81" s="120"/>
      <c r="I81" s="49">
        <f t="shared" si="32"/>
        <v>202410</v>
      </c>
      <c r="J81" s="49">
        <f t="shared" si="43"/>
        <v>0</v>
      </c>
      <c r="K81" s="120"/>
      <c r="L81" s="49">
        <f t="shared" si="33"/>
        <v>202410</v>
      </c>
      <c r="M81" s="49">
        <f t="shared" si="44"/>
        <v>0</v>
      </c>
      <c r="N81" s="120"/>
      <c r="O81" s="49">
        <f t="shared" si="34"/>
        <v>202410</v>
      </c>
      <c r="P81" s="49">
        <f t="shared" si="45"/>
        <v>0</v>
      </c>
      <c r="Q81" s="120"/>
      <c r="R81" s="49">
        <f t="shared" si="35"/>
        <v>202410</v>
      </c>
      <c r="S81" s="49">
        <f t="shared" si="46"/>
        <v>0</v>
      </c>
      <c r="T81" s="120"/>
      <c r="U81" s="49">
        <f t="shared" si="41"/>
        <v>202410</v>
      </c>
      <c r="V81" s="49">
        <f t="shared" si="47"/>
        <v>0</v>
      </c>
      <c r="W81" s="120"/>
      <c r="X81" s="49">
        <f t="shared" si="42"/>
        <v>202410</v>
      </c>
      <c r="Y81" s="49">
        <f t="shared" si="48"/>
        <v>0</v>
      </c>
      <c r="Z81" s="120"/>
      <c r="AA81" s="49">
        <v>185742.01</v>
      </c>
      <c r="AB81" s="53">
        <f t="shared" si="39"/>
        <v>0.91765233931129886</v>
      </c>
      <c r="AC81" s="49" t="s">
        <v>263</v>
      </c>
    </row>
    <row r="82" spans="1:29" ht="28.2" hidden="1" outlineLevel="1" x14ac:dyDescent="0.3">
      <c r="B82" s="67"/>
      <c r="C82" s="71" t="s">
        <v>264</v>
      </c>
      <c r="D82" s="117" t="s">
        <v>265</v>
      </c>
      <c r="E82" s="50">
        <v>0</v>
      </c>
      <c r="F82" s="50">
        <f t="shared" si="31"/>
        <v>0</v>
      </c>
      <c r="G82" s="49">
        <f t="shared" si="40"/>
        <v>0</v>
      </c>
      <c r="H82" s="120"/>
      <c r="I82" s="49">
        <f t="shared" si="32"/>
        <v>0</v>
      </c>
      <c r="J82" s="49">
        <f t="shared" si="43"/>
        <v>0</v>
      </c>
      <c r="K82" s="120"/>
      <c r="L82" s="49">
        <f t="shared" si="33"/>
        <v>0</v>
      </c>
      <c r="M82" s="49">
        <f t="shared" si="44"/>
        <v>0</v>
      </c>
      <c r="N82" s="120"/>
      <c r="O82" s="49">
        <f t="shared" si="34"/>
        <v>0</v>
      </c>
      <c r="P82" s="49">
        <f t="shared" si="45"/>
        <v>0</v>
      </c>
      <c r="Q82" s="120"/>
      <c r="R82" s="49">
        <f t="shared" si="35"/>
        <v>0</v>
      </c>
      <c r="S82" s="49">
        <f t="shared" si="46"/>
        <v>0</v>
      </c>
      <c r="T82" s="120"/>
      <c r="U82" s="49">
        <f t="shared" si="41"/>
        <v>0</v>
      </c>
      <c r="V82" s="49">
        <f t="shared" si="47"/>
        <v>0</v>
      </c>
      <c r="W82" s="120"/>
      <c r="X82" s="49">
        <f t="shared" si="42"/>
        <v>0</v>
      </c>
      <c r="Y82" s="49">
        <f t="shared" si="48"/>
        <v>0</v>
      </c>
      <c r="Z82" s="120"/>
      <c r="AA82" s="49">
        <f t="shared" si="38"/>
        <v>0</v>
      </c>
      <c r="AB82" s="87" t="e">
        <f t="shared" si="39"/>
        <v>#DIV/0!</v>
      </c>
      <c r="AC82" s="49"/>
    </row>
    <row r="83" spans="1:29" ht="14.4" collapsed="1" x14ac:dyDescent="0.3">
      <c r="B83" s="67"/>
      <c r="C83" s="71" t="s">
        <v>266</v>
      </c>
      <c r="D83" s="117" t="s">
        <v>267</v>
      </c>
      <c r="E83" s="50">
        <v>2464</v>
      </c>
      <c r="F83" s="50">
        <f t="shared" si="31"/>
        <v>2464</v>
      </c>
      <c r="G83" s="49">
        <f t="shared" si="40"/>
        <v>0</v>
      </c>
      <c r="H83" s="120"/>
      <c r="I83" s="49">
        <f>ROUND(F83,0)+5000</f>
        <v>7464</v>
      </c>
      <c r="J83" s="49">
        <f t="shared" si="43"/>
        <v>5000</v>
      </c>
      <c r="K83" s="120" t="s">
        <v>268</v>
      </c>
      <c r="L83" s="49">
        <f>ROUND(I83,0)</f>
        <v>7464</v>
      </c>
      <c r="M83" s="49">
        <f t="shared" si="44"/>
        <v>0</v>
      </c>
      <c r="N83" s="120"/>
      <c r="O83" s="49">
        <f>ROUND(L83,0)</f>
        <v>7464</v>
      </c>
      <c r="P83" s="49">
        <f t="shared" si="45"/>
        <v>0</v>
      </c>
      <c r="Q83" s="120"/>
      <c r="R83" s="49">
        <f>ROUND(O83,0)</f>
        <v>7464</v>
      </c>
      <c r="S83" s="49">
        <f t="shared" si="46"/>
        <v>0</v>
      </c>
      <c r="T83" s="120"/>
      <c r="U83" s="49">
        <f>ROUND(R83,0)+6000+37300</f>
        <v>50764</v>
      </c>
      <c r="V83" s="52">
        <f t="shared" si="47"/>
        <v>43300</v>
      </c>
      <c r="W83" s="120" t="s">
        <v>269</v>
      </c>
      <c r="X83" s="49">
        <f>ROUND(U83,0)</f>
        <v>50764</v>
      </c>
      <c r="Y83" s="49">
        <f t="shared" si="48"/>
        <v>0</v>
      </c>
      <c r="Z83" s="120"/>
      <c r="AA83" s="49">
        <v>108837</v>
      </c>
      <c r="AB83" s="105">
        <f t="shared" si="39"/>
        <v>2.1439799858167206</v>
      </c>
      <c r="AC83" s="79" t="s">
        <v>270</v>
      </c>
    </row>
    <row r="84" spans="1:29" ht="28.95" hidden="1" customHeight="1" outlineLevel="1" x14ac:dyDescent="0.3">
      <c r="B84" s="67"/>
      <c r="C84" s="71" t="s">
        <v>271</v>
      </c>
      <c r="D84" s="117" t="s">
        <v>272</v>
      </c>
      <c r="E84" s="50">
        <v>0</v>
      </c>
      <c r="F84" s="50">
        <f t="shared" si="31"/>
        <v>0</v>
      </c>
      <c r="G84" s="49">
        <f t="shared" si="40"/>
        <v>0</v>
      </c>
      <c r="H84" s="120"/>
      <c r="I84" s="49">
        <f t="shared" ref="I84:I90" si="49">ROUND(F84,0)</f>
        <v>0</v>
      </c>
      <c r="J84" s="49">
        <f t="shared" si="43"/>
        <v>0</v>
      </c>
      <c r="K84" s="120"/>
      <c r="L84" s="49">
        <f t="shared" ref="L84:L90" si="50">ROUND(I84,0)</f>
        <v>0</v>
      </c>
      <c r="M84" s="49">
        <f t="shared" si="44"/>
        <v>0</v>
      </c>
      <c r="N84" s="120"/>
      <c r="O84" s="49">
        <f t="shared" ref="O84:O90" si="51">ROUND(L84,0)</f>
        <v>0</v>
      </c>
      <c r="P84" s="49">
        <f t="shared" si="45"/>
        <v>0</v>
      </c>
      <c r="Q84" s="120"/>
      <c r="R84" s="49">
        <f t="shared" ref="R84:R90" si="52">ROUND(O84,0)</f>
        <v>0</v>
      </c>
      <c r="S84" s="49">
        <f t="shared" si="46"/>
        <v>0</v>
      </c>
      <c r="T84" s="120"/>
      <c r="U84" s="49">
        <f t="shared" ref="U84:U87" si="53">ROUND(R84,0)</f>
        <v>0</v>
      </c>
      <c r="V84" s="49">
        <f t="shared" si="47"/>
        <v>0</v>
      </c>
      <c r="W84" s="120"/>
      <c r="X84" s="49">
        <f t="shared" ref="X84:X87" si="54">ROUND(U84,0)</f>
        <v>0</v>
      </c>
      <c r="Y84" s="49">
        <f t="shared" si="48"/>
        <v>0</v>
      </c>
      <c r="Z84" s="120"/>
      <c r="AA84" s="49">
        <f t="shared" si="38"/>
        <v>0</v>
      </c>
      <c r="AB84" s="87" t="e">
        <f t="shared" si="39"/>
        <v>#DIV/0!</v>
      </c>
      <c r="AC84" s="79"/>
    </row>
    <row r="85" spans="1:29" ht="14.4" hidden="1" outlineLevel="1" x14ac:dyDescent="0.3">
      <c r="B85" s="67"/>
      <c r="C85" s="71" t="s">
        <v>273</v>
      </c>
      <c r="D85" s="117" t="s">
        <v>274</v>
      </c>
      <c r="E85" s="50">
        <v>0</v>
      </c>
      <c r="F85" s="50">
        <f t="shared" si="31"/>
        <v>0</v>
      </c>
      <c r="G85" s="49">
        <f t="shared" si="40"/>
        <v>0</v>
      </c>
      <c r="H85" s="120"/>
      <c r="I85" s="49">
        <f t="shared" si="49"/>
        <v>0</v>
      </c>
      <c r="J85" s="49">
        <f t="shared" si="43"/>
        <v>0</v>
      </c>
      <c r="K85" s="120"/>
      <c r="L85" s="49">
        <f t="shared" si="50"/>
        <v>0</v>
      </c>
      <c r="M85" s="49">
        <f t="shared" si="44"/>
        <v>0</v>
      </c>
      <c r="N85" s="120"/>
      <c r="O85" s="49">
        <f t="shared" si="51"/>
        <v>0</v>
      </c>
      <c r="P85" s="49">
        <f t="shared" si="45"/>
        <v>0</v>
      </c>
      <c r="Q85" s="120"/>
      <c r="R85" s="49">
        <f t="shared" si="52"/>
        <v>0</v>
      </c>
      <c r="S85" s="49">
        <f t="shared" si="46"/>
        <v>0</v>
      </c>
      <c r="T85" s="120"/>
      <c r="U85" s="49">
        <f t="shared" si="53"/>
        <v>0</v>
      </c>
      <c r="V85" s="49">
        <f t="shared" si="47"/>
        <v>0</v>
      </c>
      <c r="W85" s="120"/>
      <c r="X85" s="49">
        <f t="shared" si="54"/>
        <v>0</v>
      </c>
      <c r="Y85" s="49">
        <f t="shared" si="48"/>
        <v>0</v>
      </c>
      <c r="Z85" s="120"/>
      <c r="AA85" s="49">
        <f t="shared" si="38"/>
        <v>0</v>
      </c>
      <c r="AB85" s="87" t="e">
        <f t="shared" si="39"/>
        <v>#DIV/0!</v>
      </c>
      <c r="AC85" s="79"/>
    </row>
    <row r="86" spans="1:29" ht="28.2" collapsed="1" x14ac:dyDescent="0.3">
      <c r="B86" s="123" t="s">
        <v>260</v>
      </c>
      <c r="C86" s="71" t="s">
        <v>275</v>
      </c>
      <c r="D86" s="117" t="s">
        <v>276</v>
      </c>
      <c r="E86" s="50">
        <v>14100</v>
      </c>
      <c r="F86" s="50">
        <f t="shared" si="31"/>
        <v>14100</v>
      </c>
      <c r="G86" s="49">
        <f t="shared" si="40"/>
        <v>0</v>
      </c>
      <c r="H86" s="120"/>
      <c r="I86" s="49">
        <f t="shared" si="49"/>
        <v>14100</v>
      </c>
      <c r="J86" s="49">
        <f t="shared" si="43"/>
        <v>0</v>
      </c>
      <c r="K86" s="120"/>
      <c r="L86" s="49">
        <f t="shared" si="50"/>
        <v>14100</v>
      </c>
      <c r="M86" s="49">
        <f t="shared" si="44"/>
        <v>0</v>
      </c>
      <c r="N86" s="120"/>
      <c r="O86" s="49">
        <f t="shared" si="51"/>
        <v>14100</v>
      </c>
      <c r="P86" s="49">
        <f t="shared" si="45"/>
        <v>0</v>
      </c>
      <c r="Q86" s="120"/>
      <c r="R86" s="49">
        <f t="shared" si="52"/>
        <v>14100</v>
      </c>
      <c r="S86" s="49">
        <f t="shared" si="46"/>
        <v>0</v>
      </c>
      <c r="T86" s="120"/>
      <c r="U86" s="49">
        <f t="shared" si="53"/>
        <v>14100</v>
      </c>
      <c r="V86" s="49">
        <f t="shared" si="47"/>
        <v>0</v>
      </c>
      <c r="W86" s="120"/>
      <c r="X86" s="49">
        <f t="shared" si="54"/>
        <v>14100</v>
      </c>
      <c r="Y86" s="49">
        <f t="shared" si="48"/>
        <v>0</v>
      </c>
      <c r="Z86" s="120"/>
      <c r="AA86" s="49">
        <v>14094</v>
      </c>
      <c r="AB86" s="53">
        <f t="shared" si="39"/>
        <v>0.99957446808510642</v>
      </c>
      <c r="AC86" s="79" t="s">
        <v>225</v>
      </c>
    </row>
    <row r="87" spans="1:29" x14ac:dyDescent="0.25">
      <c r="B87" s="106" t="s">
        <v>277</v>
      </c>
      <c r="C87" s="71" t="s">
        <v>278</v>
      </c>
      <c r="D87" s="122" t="s">
        <v>279</v>
      </c>
      <c r="E87" s="50">
        <v>382739</v>
      </c>
      <c r="F87" s="50">
        <f t="shared" si="31"/>
        <v>382739</v>
      </c>
      <c r="G87" s="49">
        <f t="shared" si="40"/>
        <v>0</v>
      </c>
      <c r="H87" s="120"/>
      <c r="I87" s="49">
        <f t="shared" si="49"/>
        <v>382739</v>
      </c>
      <c r="J87" s="49">
        <f t="shared" si="43"/>
        <v>0</v>
      </c>
      <c r="K87" s="120"/>
      <c r="L87" s="49">
        <f t="shared" si="50"/>
        <v>382739</v>
      </c>
      <c r="M87" s="49">
        <f t="shared" si="44"/>
        <v>0</v>
      </c>
      <c r="N87" s="120"/>
      <c r="O87" s="49">
        <f t="shared" si="51"/>
        <v>382739</v>
      </c>
      <c r="P87" s="49">
        <f t="shared" si="45"/>
        <v>0</v>
      </c>
      <c r="Q87" s="120"/>
      <c r="R87" s="49">
        <f t="shared" si="52"/>
        <v>382739</v>
      </c>
      <c r="S87" s="49">
        <f t="shared" si="46"/>
        <v>0</v>
      </c>
      <c r="T87" s="120"/>
      <c r="U87" s="49">
        <f t="shared" si="53"/>
        <v>382739</v>
      </c>
      <c r="V87" s="49">
        <f t="shared" si="47"/>
        <v>0</v>
      </c>
      <c r="W87" s="120"/>
      <c r="X87" s="49">
        <f t="shared" si="54"/>
        <v>382739</v>
      </c>
      <c r="Y87" s="49">
        <f t="shared" si="48"/>
        <v>0</v>
      </c>
      <c r="Z87" s="120"/>
      <c r="AA87" s="49">
        <f t="shared" si="38"/>
        <v>0</v>
      </c>
      <c r="AB87" s="53">
        <f t="shared" si="39"/>
        <v>0</v>
      </c>
      <c r="AC87" s="79"/>
    </row>
    <row r="88" spans="1:29" ht="27.75" customHeight="1" x14ac:dyDescent="0.3">
      <c r="B88" s="67"/>
      <c r="C88" s="71" t="s">
        <v>280</v>
      </c>
      <c r="D88" s="122" t="s">
        <v>281</v>
      </c>
      <c r="E88" s="50">
        <v>297245</v>
      </c>
      <c r="F88" s="50">
        <f t="shared" si="31"/>
        <v>297245</v>
      </c>
      <c r="G88" s="49">
        <f t="shared" si="40"/>
        <v>0</v>
      </c>
      <c r="H88" s="120"/>
      <c r="I88" s="49">
        <f t="shared" si="49"/>
        <v>297245</v>
      </c>
      <c r="J88" s="49">
        <f t="shared" si="43"/>
        <v>0</v>
      </c>
      <c r="K88" s="120"/>
      <c r="L88" s="49">
        <f t="shared" si="50"/>
        <v>297245</v>
      </c>
      <c r="M88" s="49">
        <f t="shared" si="44"/>
        <v>0</v>
      </c>
      <c r="N88" s="120"/>
      <c r="O88" s="49">
        <f t="shared" si="51"/>
        <v>297245</v>
      </c>
      <c r="P88" s="49">
        <f t="shared" si="45"/>
        <v>0</v>
      </c>
      <c r="Q88" s="120"/>
      <c r="R88" s="49">
        <f>ROUND(O88,0)-297245</f>
        <v>0</v>
      </c>
      <c r="S88" s="49">
        <f t="shared" si="46"/>
        <v>-297245</v>
      </c>
      <c r="T88" s="68" t="s">
        <v>282</v>
      </c>
      <c r="U88" s="49">
        <f>ROUND(R88,0)</f>
        <v>0</v>
      </c>
      <c r="V88" s="49">
        <f t="shared" si="47"/>
        <v>0</v>
      </c>
      <c r="W88" s="68"/>
      <c r="X88" s="49">
        <f>ROUND(U88,0)</f>
        <v>0</v>
      </c>
      <c r="Y88" s="49">
        <f t="shared" si="48"/>
        <v>0</v>
      </c>
      <c r="Z88" s="68"/>
      <c r="AA88" s="49">
        <f t="shared" si="38"/>
        <v>0</v>
      </c>
      <c r="AB88" s="53"/>
      <c r="AC88" s="79"/>
    </row>
    <row r="89" spans="1:29" ht="27.75" customHeight="1" x14ac:dyDescent="0.3">
      <c r="B89" s="67"/>
      <c r="C89" s="71" t="s">
        <v>283</v>
      </c>
      <c r="D89" s="124" t="s">
        <v>234</v>
      </c>
      <c r="E89" s="50"/>
      <c r="F89" s="50"/>
      <c r="G89" s="49"/>
      <c r="H89" s="120"/>
      <c r="I89" s="49"/>
      <c r="J89" s="49"/>
      <c r="K89" s="120"/>
      <c r="L89" s="49"/>
      <c r="M89" s="49"/>
      <c r="N89" s="120"/>
      <c r="O89" s="49"/>
      <c r="P89" s="49"/>
      <c r="Q89" s="120"/>
      <c r="R89" s="49"/>
      <c r="S89" s="49">
        <f t="shared" si="46"/>
        <v>0</v>
      </c>
      <c r="T89" s="68" t="s">
        <v>282</v>
      </c>
      <c r="U89" s="49">
        <f>ROUND(R89,0)+31285</f>
        <v>31285</v>
      </c>
      <c r="V89" s="52">
        <f t="shared" si="47"/>
        <v>31285</v>
      </c>
      <c r="W89" s="77" t="s">
        <v>284</v>
      </c>
      <c r="X89" s="49">
        <f>ROUND(U89,0)</f>
        <v>31285</v>
      </c>
      <c r="Y89" s="49">
        <f t="shared" si="48"/>
        <v>0</v>
      </c>
      <c r="Z89" s="77"/>
      <c r="AA89" s="49">
        <v>31285</v>
      </c>
      <c r="AB89" s="53">
        <f t="shared" si="39"/>
        <v>1</v>
      </c>
      <c r="AC89" s="79"/>
    </row>
    <row r="90" spans="1:29" ht="41.4" x14ac:dyDescent="0.25">
      <c r="B90" s="46" t="s">
        <v>285</v>
      </c>
      <c r="C90" s="71" t="s">
        <v>286</v>
      </c>
      <c r="D90" s="124" t="s">
        <v>287</v>
      </c>
      <c r="E90" s="50">
        <v>0</v>
      </c>
      <c r="F90" s="50">
        <f t="shared" si="31"/>
        <v>0</v>
      </c>
      <c r="G90" s="49">
        <f t="shared" si="40"/>
        <v>0</v>
      </c>
      <c r="H90" s="51"/>
      <c r="I90" s="49">
        <f t="shared" si="49"/>
        <v>0</v>
      </c>
      <c r="J90" s="49">
        <f t="shared" si="43"/>
        <v>0</v>
      </c>
      <c r="K90" s="51"/>
      <c r="L90" s="49">
        <f t="shared" si="50"/>
        <v>0</v>
      </c>
      <c r="M90" s="49">
        <f t="shared" si="44"/>
        <v>0</v>
      </c>
      <c r="N90" s="51"/>
      <c r="O90" s="49">
        <f t="shared" si="51"/>
        <v>0</v>
      </c>
      <c r="P90" s="49">
        <f t="shared" si="45"/>
        <v>0</v>
      </c>
      <c r="Q90" s="51"/>
      <c r="R90" s="49">
        <f t="shared" si="52"/>
        <v>0</v>
      </c>
      <c r="S90" s="49">
        <f t="shared" si="46"/>
        <v>0</v>
      </c>
      <c r="T90" s="51"/>
      <c r="U90" s="49">
        <f>ROUND(R90,0)+133641</f>
        <v>133641</v>
      </c>
      <c r="V90" s="52">
        <f t="shared" si="47"/>
        <v>133641</v>
      </c>
      <c r="W90" s="77" t="s">
        <v>284</v>
      </c>
      <c r="X90" s="49">
        <f>ROUND(U90,0)</f>
        <v>133641</v>
      </c>
      <c r="Y90" s="49">
        <f t="shared" si="48"/>
        <v>0</v>
      </c>
      <c r="Z90" s="77"/>
      <c r="AA90" s="49">
        <v>133640</v>
      </c>
      <c r="AB90" s="53">
        <f t="shared" si="39"/>
        <v>0.99999251726640781</v>
      </c>
      <c r="AC90" s="55"/>
    </row>
    <row r="91" spans="1:29" x14ac:dyDescent="0.25">
      <c r="C91" s="80" t="s">
        <v>288</v>
      </c>
      <c r="D91" s="58" t="s">
        <v>289</v>
      </c>
      <c r="E91" s="60">
        <v>295000</v>
      </c>
      <c r="F91" s="60">
        <f>F92+F93</f>
        <v>295000</v>
      </c>
      <c r="G91" s="59">
        <f t="shared" si="40"/>
        <v>0</v>
      </c>
      <c r="H91" s="61"/>
      <c r="I91" s="59">
        <f>I92+I93</f>
        <v>295000</v>
      </c>
      <c r="J91" s="59">
        <f t="shared" si="43"/>
        <v>0</v>
      </c>
      <c r="K91" s="61"/>
      <c r="L91" s="59">
        <f>L92+L93</f>
        <v>295000</v>
      </c>
      <c r="M91" s="59">
        <f t="shared" si="44"/>
        <v>0</v>
      </c>
      <c r="N91" s="61"/>
      <c r="O91" s="59">
        <f>O92+O93</f>
        <v>295000</v>
      </c>
      <c r="P91" s="59">
        <f t="shared" si="45"/>
        <v>0</v>
      </c>
      <c r="Q91" s="61"/>
      <c r="R91" s="59">
        <f>R92+R93</f>
        <v>342100</v>
      </c>
      <c r="S91" s="59">
        <f t="shared" si="46"/>
        <v>47100</v>
      </c>
      <c r="T91" s="61"/>
      <c r="U91" s="59">
        <f>U92+U93</f>
        <v>342100</v>
      </c>
      <c r="V91" s="59">
        <f t="shared" si="47"/>
        <v>0</v>
      </c>
      <c r="W91" s="61"/>
      <c r="X91" s="59">
        <f>X92+X93</f>
        <v>342100</v>
      </c>
      <c r="Y91" s="59">
        <f t="shared" si="48"/>
        <v>0</v>
      </c>
      <c r="Z91" s="61"/>
      <c r="AA91" s="59">
        <f>AA92+AA93</f>
        <v>340827</v>
      </c>
      <c r="AB91" s="62">
        <f t="shared" si="39"/>
        <v>0.99627886582870506</v>
      </c>
      <c r="AC91" s="63"/>
    </row>
    <row r="92" spans="1:29" ht="27.6" customHeight="1" x14ac:dyDescent="0.25">
      <c r="B92" s="1" t="s">
        <v>290</v>
      </c>
      <c r="C92" s="47" t="s">
        <v>291</v>
      </c>
      <c r="D92" s="48" t="s">
        <v>292</v>
      </c>
      <c r="E92" s="50">
        <v>295000</v>
      </c>
      <c r="F92" s="50">
        <f>ROUND(E92,0)</f>
        <v>295000</v>
      </c>
      <c r="G92" s="49">
        <f t="shared" si="40"/>
        <v>0</v>
      </c>
      <c r="H92" s="77"/>
      <c r="I92" s="49">
        <f>ROUND(F92,0)</f>
        <v>295000</v>
      </c>
      <c r="J92" s="49">
        <f t="shared" si="43"/>
        <v>0</v>
      </c>
      <c r="K92" s="77"/>
      <c r="L92" s="49">
        <f>ROUND(I92,0)</f>
        <v>295000</v>
      </c>
      <c r="M92" s="49">
        <f t="shared" si="44"/>
        <v>0</v>
      </c>
      <c r="N92" s="77"/>
      <c r="O92" s="49">
        <f>ROUND(L92,0)</f>
        <v>295000</v>
      </c>
      <c r="P92" s="49">
        <f t="shared" si="45"/>
        <v>0</v>
      </c>
      <c r="Q92" s="77"/>
      <c r="R92" s="49">
        <f>ROUND(O92,0)+47100</f>
        <v>342100</v>
      </c>
      <c r="S92" s="49">
        <f t="shared" si="46"/>
        <v>47100</v>
      </c>
      <c r="T92" s="77" t="s">
        <v>293</v>
      </c>
      <c r="U92" s="49">
        <f>ROUND(R92,0)</f>
        <v>342100</v>
      </c>
      <c r="V92" s="49">
        <f t="shared" si="47"/>
        <v>0</v>
      </c>
      <c r="W92" s="77"/>
      <c r="X92" s="49">
        <f>ROUND(U92,0)</f>
        <v>342100</v>
      </c>
      <c r="Y92" s="49">
        <f t="shared" si="48"/>
        <v>0</v>
      </c>
      <c r="Z92" s="77"/>
      <c r="AA92" s="49">
        <v>340827</v>
      </c>
      <c r="AB92" s="53">
        <f t="shared" si="39"/>
        <v>0.99627886582870506</v>
      </c>
      <c r="AC92" s="49" t="s">
        <v>294</v>
      </c>
    </row>
    <row r="93" spans="1:29" ht="16.2" customHeight="1" x14ac:dyDescent="0.25">
      <c r="B93" s="1" t="s">
        <v>295</v>
      </c>
      <c r="C93" s="47" t="s">
        <v>296</v>
      </c>
      <c r="D93" s="48" t="s">
        <v>297</v>
      </c>
      <c r="E93" s="50">
        <v>0</v>
      </c>
      <c r="F93" s="50">
        <f>ROUND(E93,0)</f>
        <v>0</v>
      </c>
      <c r="G93" s="49">
        <f t="shared" si="40"/>
        <v>0</v>
      </c>
      <c r="H93" s="51"/>
      <c r="I93" s="49">
        <f>ROUND(F93,0)</f>
        <v>0</v>
      </c>
      <c r="J93" s="49">
        <f t="shared" si="43"/>
        <v>0</v>
      </c>
      <c r="K93" s="51"/>
      <c r="L93" s="49">
        <f>ROUND(I93,0)</f>
        <v>0</v>
      </c>
      <c r="M93" s="49">
        <f t="shared" si="44"/>
        <v>0</v>
      </c>
      <c r="N93" s="51"/>
      <c r="O93" s="49">
        <f>ROUND(L93,0)</f>
        <v>0</v>
      </c>
      <c r="P93" s="49">
        <f t="shared" si="45"/>
        <v>0</v>
      </c>
      <c r="Q93" s="51"/>
      <c r="R93" s="49">
        <f>ROUND(O93,0)</f>
        <v>0</v>
      </c>
      <c r="S93" s="49">
        <f t="shared" si="46"/>
        <v>0</v>
      </c>
      <c r="T93" s="51"/>
      <c r="U93" s="49">
        <f>ROUND(R93,0)</f>
        <v>0</v>
      </c>
      <c r="V93" s="49">
        <f t="shared" si="47"/>
        <v>0</v>
      </c>
      <c r="W93" s="51"/>
      <c r="X93" s="49">
        <f>ROUND(U93,0)</f>
        <v>0</v>
      </c>
      <c r="Y93" s="49">
        <f t="shared" si="48"/>
        <v>0</v>
      </c>
      <c r="Z93" s="51"/>
      <c r="AA93" s="49">
        <v>0</v>
      </c>
      <c r="AB93" s="53" t="e">
        <f t="shared" si="39"/>
        <v>#DIV/0!</v>
      </c>
      <c r="AC93" s="55"/>
    </row>
    <row r="94" spans="1:29" ht="35.4" customHeight="1" x14ac:dyDescent="0.25">
      <c r="C94" s="80" t="s">
        <v>298</v>
      </c>
      <c r="D94" s="58" t="s">
        <v>299</v>
      </c>
      <c r="E94" s="60">
        <v>4234051</v>
      </c>
      <c r="F94" s="60">
        <f t="shared" ref="F94" si="55">F95+F98+F101+F105+F109</f>
        <v>4234051</v>
      </c>
      <c r="G94" s="59">
        <f t="shared" si="40"/>
        <v>0</v>
      </c>
      <c r="H94" s="61"/>
      <c r="I94" s="59">
        <f>I95+I98+I101+I105+I109</f>
        <v>4234051</v>
      </c>
      <c r="J94" s="59">
        <f t="shared" si="43"/>
        <v>0</v>
      </c>
      <c r="K94" s="61"/>
      <c r="L94" s="59">
        <f>L95+L98+L101+L105+L109</f>
        <v>3970551</v>
      </c>
      <c r="M94" s="59">
        <f t="shared" si="44"/>
        <v>-263500</v>
      </c>
      <c r="N94" s="61"/>
      <c r="O94" s="59">
        <f>O95+O98+O101+O105+O109</f>
        <v>3970551</v>
      </c>
      <c r="P94" s="59">
        <f t="shared" si="45"/>
        <v>0</v>
      </c>
      <c r="Q94" s="61"/>
      <c r="R94" s="59">
        <f>R95+R98+R101+R105+R109</f>
        <v>3975551</v>
      </c>
      <c r="S94" s="59">
        <f t="shared" si="46"/>
        <v>5000</v>
      </c>
      <c r="T94" s="61"/>
      <c r="U94" s="59">
        <f>U95+U98+U101+U105+U109</f>
        <v>2474853</v>
      </c>
      <c r="V94" s="59">
        <f t="shared" si="47"/>
        <v>-1500698</v>
      </c>
      <c r="W94" s="61"/>
      <c r="X94" s="59">
        <f>X95+X98+X101+X105+X109</f>
        <v>2474853</v>
      </c>
      <c r="Y94" s="59">
        <f t="shared" si="48"/>
        <v>0</v>
      </c>
      <c r="Z94" s="61"/>
      <c r="AA94" s="59">
        <f>AA95+AA98+AA101+AA105+AA109</f>
        <v>2174812.6100000003</v>
      </c>
      <c r="AB94" s="62">
        <f t="shared" si="39"/>
        <v>0.8787643589336418</v>
      </c>
      <c r="AC94" s="125"/>
    </row>
    <row r="95" spans="1:29" x14ac:dyDescent="0.25">
      <c r="A95" s="1" t="s">
        <v>30</v>
      </c>
      <c r="B95" s="1" t="s">
        <v>300</v>
      </c>
      <c r="C95" s="47" t="s">
        <v>301</v>
      </c>
      <c r="D95" s="48" t="s">
        <v>302</v>
      </c>
      <c r="E95" s="50">
        <v>149000</v>
      </c>
      <c r="F95" s="50">
        <f>SUM(F96:F97)</f>
        <v>149000</v>
      </c>
      <c r="G95" s="49">
        <f t="shared" si="40"/>
        <v>0</v>
      </c>
      <c r="H95" s="51"/>
      <c r="I95" s="49">
        <f>SUM(I96:I97)</f>
        <v>149000</v>
      </c>
      <c r="J95" s="49">
        <f t="shared" si="43"/>
        <v>0</v>
      </c>
      <c r="K95" s="51"/>
      <c r="L95" s="49">
        <f>SUM(L96:L97)</f>
        <v>149000</v>
      </c>
      <c r="M95" s="49">
        <f t="shared" si="44"/>
        <v>0</v>
      </c>
      <c r="N95" s="51"/>
      <c r="O95" s="49">
        <f>SUM(O96:O97)</f>
        <v>149000</v>
      </c>
      <c r="P95" s="49">
        <f t="shared" si="45"/>
        <v>0</v>
      </c>
      <c r="Q95" s="51"/>
      <c r="R95" s="49">
        <f>SUM(R96:R97)</f>
        <v>149000</v>
      </c>
      <c r="S95" s="49">
        <f t="shared" si="46"/>
        <v>0</v>
      </c>
      <c r="T95" s="51"/>
      <c r="U95" s="49">
        <f>SUM(U96:U97)</f>
        <v>149000</v>
      </c>
      <c r="V95" s="49">
        <f t="shared" si="47"/>
        <v>0</v>
      </c>
      <c r="W95" s="51"/>
      <c r="X95" s="49">
        <f>SUM(X96:X97)</f>
        <v>149000</v>
      </c>
      <c r="Y95" s="49">
        <f t="shared" si="48"/>
        <v>0</v>
      </c>
      <c r="Z95" s="51"/>
      <c r="AA95" s="49">
        <f>SUM(AA96:AA97)</f>
        <v>214433</v>
      </c>
      <c r="AB95" s="53">
        <f t="shared" si="39"/>
        <v>1.4391476510067114</v>
      </c>
      <c r="AC95" s="55"/>
    </row>
    <row r="96" spans="1:29" ht="14.25" customHeight="1" x14ac:dyDescent="0.25">
      <c r="B96" s="1" t="s">
        <v>303</v>
      </c>
      <c r="C96" s="126" t="s">
        <v>304</v>
      </c>
      <c r="D96" s="127" t="s">
        <v>305</v>
      </c>
      <c r="E96" s="50">
        <v>24000</v>
      </c>
      <c r="F96" s="50">
        <f>ROUND(E96,0)</f>
        <v>24000</v>
      </c>
      <c r="G96" s="49">
        <f t="shared" si="40"/>
        <v>0</v>
      </c>
      <c r="H96" s="64"/>
      <c r="I96" s="49">
        <f>ROUND(F96,0)</f>
        <v>24000</v>
      </c>
      <c r="J96" s="49">
        <f t="shared" si="43"/>
        <v>0</v>
      </c>
      <c r="K96" s="64"/>
      <c r="L96" s="49">
        <f>ROUND(I96,0)</f>
        <v>24000</v>
      </c>
      <c r="M96" s="49">
        <f t="shared" si="44"/>
        <v>0</v>
      </c>
      <c r="N96" s="64"/>
      <c r="O96" s="49">
        <f>ROUND(L96,0)</f>
        <v>24000</v>
      </c>
      <c r="P96" s="49">
        <f t="shared" si="45"/>
        <v>0</v>
      </c>
      <c r="Q96" s="64"/>
      <c r="R96" s="49">
        <f>ROUND(O96,0)</f>
        <v>24000</v>
      </c>
      <c r="S96" s="49">
        <f t="shared" si="46"/>
        <v>0</v>
      </c>
      <c r="T96" s="64"/>
      <c r="U96" s="49">
        <f>ROUND(R96,0)</f>
        <v>24000</v>
      </c>
      <c r="V96" s="49">
        <f t="shared" si="47"/>
        <v>0</v>
      </c>
      <c r="W96" s="64"/>
      <c r="X96" s="49">
        <f>ROUND(U96,0)</f>
        <v>24000</v>
      </c>
      <c r="Y96" s="49">
        <f t="shared" si="48"/>
        <v>0</v>
      </c>
      <c r="Z96" s="64"/>
      <c r="AA96" s="49">
        <v>58524</v>
      </c>
      <c r="AB96" s="105">
        <f t="shared" si="39"/>
        <v>2.4384999999999999</v>
      </c>
      <c r="AC96" s="55"/>
    </row>
    <row r="97" spans="1:29" ht="26.4" customHeight="1" x14ac:dyDescent="0.25">
      <c r="B97" s="1" t="s">
        <v>306</v>
      </c>
      <c r="C97" s="126" t="s">
        <v>307</v>
      </c>
      <c r="D97" s="127" t="s">
        <v>308</v>
      </c>
      <c r="E97" s="50">
        <v>125000</v>
      </c>
      <c r="F97" s="50">
        <f>ROUND(E97,0)</f>
        <v>125000</v>
      </c>
      <c r="G97" s="49">
        <f t="shared" si="40"/>
        <v>0</v>
      </c>
      <c r="H97" s="64"/>
      <c r="I97" s="49">
        <f>ROUND(F97,0)</f>
        <v>125000</v>
      </c>
      <c r="J97" s="49">
        <f t="shared" si="43"/>
        <v>0</v>
      </c>
      <c r="K97" s="64"/>
      <c r="L97" s="49">
        <f>ROUND(I97,0)</f>
        <v>125000</v>
      </c>
      <c r="M97" s="49">
        <f t="shared" si="44"/>
        <v>0</v>
      </c>
      <c r="N97" s="64"/>
      <c r="O97" s="49">
        <f>ROUND(L97,0)</f>
        <v>125000</v>
      </c>
      <c r="P97" s="49">
        <f t="shared" si="45"/>
        <v>0</v>
      </c>
      <c r="Q97" s="64"/>
      <c r="R97" s="49">
        <f>ROUND(O97,0)</f>
        <v>125000</v>
      </c>
      <c r="S97" s="49">
        <f t="shared" si="46"/>
        <v>0</v>
      </c>
      <c r="T97" s="64"/>
      <c r="U97" s="49">
        <f>ROUND(R97,0)</f>
        <v>125000</v>
      </c>
      <c r="V97" s="49">
        <f t="shared" si="47"/>
        <v>0</v>
      </c>
      <c r="W97" s="64"/>
      <c r="X97" s="49">
        <f>ROUND(U97,0)</f>
        <v>125000</v>
      </c>
      <c r="Y97" s="49">
        <f t="shared" si="48"/>
        <v>0</v>
      </c>
      <c r="Z97" s="64"/>
      <c r="AA97" s="49">
        <v>155909</v>
      </c>
      <c r="AB97" s="53">
        <f t="shared" si="39"/>
        <v>1.2472719999999999</v>
      </c>
      <c r="AC97" s="55"/>
    </row>
    <row r="98" spans="1:29" ht="13.95" customHeight="1" x14ac:dyDescent="0.25">
      <c r="C98" s="47" t="s">
        <v>309</v>
      </c>
      <c r="D98" s="48" t="s">
        <v>310</v>
      </c>
      <c r="E98" s="50">
        <v>0</v>
      </c>
      <c r="F98" s="50">
        <f>F99+F100</f>
        <v>0</v>
      </c>
      <c r="G98" s="49">
        <f t="shared" si="40"/>
        <v>0</v>
      </c>
      <c r="H98" s="128"/>
      <c r="I98" s="49">
        <f>I99+I100</f>
        <v>0</v>
      </c>
      <c r="J98" s="49">
        <f t="shared" si="43"/>
        <v>0</v>
      </c>
      <c r="K98" s="128"/>
      <c r="L98" s="49">
        <f>L99+L100</f>
        <v>0</v>
      </c>
      <c r="M98" s="49">
        <f t="shared" si="44"/>
        <v>0</v>
      </c>
      <c r="N98" s="128"/>
      <c r="O98" s="49">
        <f>O99+O100</f>
        <v>0</v>
      </c>
      <c r="P98" s="49">
        <f t="shared" si="45"/>
        <v>0</v>
      </c>
      <c r="Q98" s="128"/>
      <c r="R98" s="49">
        <f>R99+R100</f>
        <v>0</v>
      </c>
      <c r="S98" s="49">
        <f t="shared" si="46"/>
        <v>0</v>
      </c>
      <c r="T98" s="128"/>
      <c r="U98" s="49">
        <f>U99+U100</f>
        <v>0</v>
      </c>
      <c r="V98" s="49">
        <f t="shared" si="47"/>
        <v>0</v>
      </c>
      <c r="W98" s="128"/>
      <c r="X98" s="49">
        <f>X99+X100</f>
        <v>0</v>
      </c>
      <c r="Y98" s="49">
        <f t="shared" si="48"/>
        <v>0</v>
      </c>
      <c r="Z98" s="128"/>
      <c r="AA98" s="49">
        <f>AA99+AA100</f>
        <v>86</v>
      </c>
      <c r="AB98" s="53"/>
      <c r="AC98" s="55"/>
    </row>
    <row r="99" spans="1:29" x14ac:dyDescent="0.25">
      <c r="C99" s="126" t="s">
        <v>311</v>
      </c>
      <c r="D99" s="127" t="s">
        <v>312</v>
      </c>
      <c r="E99" s="50">
        <v>0</v>
      </c>
      <c r="F99" s="50"/>
      <c r="G99" s="49">
        <f t="shared" si="40"/>
        <v>0</v>
      </c>
      <c r="H99" s="64"/>
      <c r="I99" s="49"/>
      <c r="J99" s="49">
        <f t="shared" si="43"/>
        <v>0</v>
      </c>
      <c r="K99" s="64"/>
      <c r="L99" s="49"/>
      <c r="M99" s="49">
        <f t="shared" si="44"/>
        <v>0</v>
      </c>
      <c r="N99" s="64"/>
      <c r="O99" s="49"/>
      <c r="P99" s="49">
        <f t="shared" si="45"/>
        <v>0</v>
      </c>
      <c r="Q99" s="64"/>
      <c r="R99" s="49"/>
      <c r="S99" s="49">
        <f t="shared" si="46"/>
        <v>0</v>
      </c>
      <c r="T99" s="64"/>
      <c r="U99" s="49"/>
      <c r="V99" s="49">
        <f t="shared" si="47"/>
        <v>0</v>
      </c>
      <c r="W99" s="64"/>
      <c r="X99" s="49"/>
      <c r="Y99" s="49">
        <f t="shared" si="48"/>
        <v>0</v>
      </c>
      <c r="Z99" s="64"/>
      <c r="AA99" s="49"/>
      <c r="AB99" s="53"/>
      <c r="AC99" s="55"/>
    </row>
    <row r="100" spans="1:29" ht="30" customHeight="1" x14ac:dyDescent="0.25">
      <c r="B100" s="106" t="s">
        <v>313</v>
      </c>
      <c r="C100" s="126" t="s">
        <v>314</v>
      </c>
      <c r="D100" s="117" t="s">
        <v>315</v>
      </c>
      <c r="E100" s="50">
        <v>0</v>
      </c>
      <c r="F100" s="50">
        <f>ROUND(E100,0)</f>
        <v>0</v>
      </c>
      <c r="G100" s="49">
        <f t="shared" si="40"/>
        <v>0</v>
      </c>
      <c r="H100" s="64"/>
      <c r="I100" s="49">
        <f>ROUND(F100,0)</f>
        <v>0</v>
      </c>
      <c r="J100" s="49">
        <f t="shared" si="43"/>
        <v>0</v>
      </c>
      <c r="K100" s="64"/>
      <c r="L100" s="49">
        <f>ROUND(I100,0)</f>
        <v>0</v>
      </c>
      <c r="M100" s="49">
        <f t="shared" si="44"/>
        <v>0</v>
      </c>
      <c r="N100" s="64"/>
      <c r="O100" s="49">
        <f>ROUND(L100,0)</f>
        <v>0</v>
      </c>
      <c r="P100" s="49">
        <f t="shared" si="45"/>
        <v>0</v>
      </c>
      <c r="Q100" s="64"/>
      <c r="R100" s="49">
        <f>ROUND(O100,0)</f>
        <v>0</v>
      </c>
      <c r="S100" s="49">
        <f t="shared" si="46"/>
        <v>0</v>
      </c>
      <c r="T100" s="64"/>
      <c r="U100" s="49">
        <f>ROUND(R100,0)</f>
        <v>0</v>
      </c>
      <c r="V100" s="49">
        <f t="shared" si="47"/>
        <v>0</v>
      </c>
      <c r="W100" s="64"/>
      <c r="X100" s="49">
        <f>ROUND(U100,0)</f>
        <v>0</v>
      </c>
      <c r="Y100" s="49">
        <f t="shared" si="48"/>
        <v>0</v>
      </c>
      <c r="Z100" s="64"/>
      <c r="AA100" s="49">
        <v>86</v>
      </c>
      <c r="AB100" s="53"/>
      <c r="AC100" s="55"/>
    </row>
    <row r="101" spans="1:29" x14ac:dyDescent="0.25">
      <c r="A101" s="1" t="s">
        <v>30</v>
      </c>
      <c r="B101" s="1" t="s">
        <v>316</v>
      </c>
      <c r="C101" s="47" t="s">
        <v>317</v>
      </c>
      <c r="D101" s="48" t="s">
        <v>318</v>
      </c>
      <c r="E101" s="50">
        <v>157000</v>
      </c>
      <c r="F101" s="50">
        <f>SUM(F102:F104)</f>
        <v>157000</v>
      </c>
      <c r="G101" s="49">
        <f t="shared" si="40"/>
        <v>0</v>
      </c>
      <c r="H101" s="51"/>
      <c r="I101" s="49">
        <f>SUM(I102:I104)</f>
        <v>157000</v>
      </c>
      <c r="J101" s="49">
        <f t="shared" si="43"/>
        <v>0</v>
      </c>
      <c r="K101" s="51"/>
      <c r="L101" s="49">
        <f>SUM(L102:L104)</f>
        <v>157000</v>
      </c>
      <c r="M101" s="49">
        <f t="shared" si="44"/>
        <v>0</v>
      </c>
      <c r="N101" s="51"/>
      <c r="O101" s="49">
        <f>SUM(O102:O104)</f>
        <v>157000</v>
      </c>
      <c r="P101" s="49">
        <f t="shared" si="45"/>
        <v>0</v>
      </c>
      <c r="Q101" s="51"/>
      <c r="R101" s="49">
        <f>SUM(R102:R104)</f>
        <v>157000</v>
      </c>
      <c r="S101" s="49">
        <f t="shared" si="46"/>
        <v>0</v>
      </c>
      <c r="T101" s="51"/>
      <c r="U101" s="49">
        <f>SUM(U102:U104)</f>
        <v>207000</v>
      </c>
      <c r="V101" s="49">
        <f t="shared" si="47"/>
        <v>50000</v>
      </c>
      <c r="W101" s="51"/>
      <c r="X101" s="49">
        <f>SUM(X102:X104)</f>
        <v>207000</v>
      </c>
      <c r="Y101" s="49">
        <f t="shared" si="48"/>
        <v>0</v>
      </c>
      <c r="Z101" s="51"/>
      <c r="AA101" s="49">
        <f>SUM(AA102:AA104)</f>
        <v>259353</v>
      </c>
      <c r="AB101" s="53">
        <f t="shared" si="39"/>
        <v>1.2529130434782609</v>
      </c>
      <c r="AC101" s="55"/>
    </row>
    <row r="102" spans="1:29" ht="15.75" customHeight="1" x14ac:dyDescent="0.25">
      <c r="B102" s="1" t="s">
        <v>319</v>
      </c>
      <c r="C102" s="126" t="s">
        <v>320</v>
      </c>
      <c r="D102" s="127" t="s">
        <v>321</v>
      </c>
      <c r="E102" s="50">
        <v>120000</v>
      </c>
      <c r="F102" s="50">
        <f>ROUND(E102,0)</f>
        <v>120000</v>
      </c>
      <c r="G102" s="49">
        <f t="shared" si="40"/>
        <v>0</v>
      </c>
      <c r="H102" s="77"/>
      <c r="I102" s="49">
        <f>ROUND(F102,0)</f>
        <v>120000</v>
      </c>
      <c r="J102" s="49">
        <f t="shared" si="43"/>
        <v>0</v>
      </c>
      <c r="K102" s="77"/>
      <c r="L102" s="49">
        <f>ROUND(I102,0)</f>
        <v>120000</v>
      </c>
      <c r="M102" s="49">
        <f t="shared" si="44"/>
        <v>0</v>
      </c>
      <c r="N102" s="77"/>
      <c r="O102" s="49">
        <f>ROUND(L102,0)</f>
        <v>120000</v>
      </c>
      <c r="P102" s="49">
        <f t="shared" si="45"/>
        <v>0</v>
      </c>
      <c r="Q102" s="77"/>
      <c r="R102" s="49">
        <f>ROUND(O102,0)</f>
        <v>120000</v>
      </c>
      <c r="S102" s="49">
        <f t="shared" si="46"/>
        <v>0</v>
      </c>
      <c r="T102" s="77"/>
      <c r="U102" s="49">
        <f>ROUND(R102,0)+50000</f>
        <v>170000</v>
      </c>
      <c r="V102" s="52">
        <f t="shared" si="47"/>
        <v>50000</v>
      </c>
      <c r="W102" s="77" t="s">
        <v>322</v>
      </c>
      <c r="X102" s="49">
        <f>ROUND(U102,0)</f>
        <v>170000</v>
      </c>
      <c r="Y102" s="49">
        <f t="shared" si="48"/>
        <v>0</v>
      </c>
      <c r="Z102" s="77"/>
      <c r="AA102" s="49">
        <v>196947</v>
      </c>
      <c r="AB102" s="53">
        <f t="shared" si="39"/>
        <v>1.1585117647058825</v>
      </c>
      <c r="AC102" s="55"/>
    </row>
    <row r="103" spans="1:29" x14ac:dyDescent="0.25">
      <c r="B103" s="1" t="s">
        <v>323</v>
      </c>
      <c r="C103" s="126" t="s">
        <v>324</v>
      </c>
      <c r="D103" s="127" t="s">
        <v>325</v>
      </c>
      <c r="E103" s="50">
        <v>36000</v>
      </c>
      <c r="F103" s="50">
        <f>ROUND(E103,0)</f>
        <v>36000</v>
      </c>
      <c r="G103" s="49">
        <f t="shared" si="40"/>
        <v>0</v>
      </c>
      <c r="H103" s="51"/>
      <c r="I103" s="49">
        <f>ROUND(F103,0)</f>
        <v>36000</v>
      </c>
      <c r="J103" s="49">
        <f t="shared" si="43"/>
        <v>0</v>
      </c>
      <c r="K103" s="51"/>
      <c r="L103" s="49">
        <f>ROUND(I103,0)</f>
        <v>36000</v>
      </c>
      <c r="M103" s="49">
        <f t="shared" si="44"/>
        <v>0</v>
      </c>
      <c r="N103" s="51"/>
      <c r="O103" s="49">
        <f>ROUND(L103,0)</f>
        <v>36000</v>
      </c>
      <c r="P103" s="49">
        <f t="shared" si="45"/>
        <v>0</v>
      </c>
      <c r="Q103" s="51"/>
      <c r="R103" s="49">
        <f>ROUND(O103,0)</f>
        <v>36000</v>
      </c>
      <c r="S103" s="49">
        <f t="shared" si="46"/>
        <v>0</v>
      </c>
      <c r="T103" s="51"/>
      <c r="U103" s="49">
        <f>ROUND(R103,0)</f>
        <v>36000</v>
      </c>
      <c r="V103" s="49">
        <f t="shared" si="47"/>
        <v>0</v>
      </c>
      <c r="W103" s="51"/>
      <c r="X103" s="49">
        <f>ROUND(U103,0)</f>
        <v>36000</v>
      </c>
      <c r="Y103" s="49">
        <f t="shared" si="48"/>
        <v>0</v>
      </c>
      <c r="Z103" s="51"/>
      <c r="AA103" s="49">
        <v>62188</v>
      </c>
      <c r="AB103" s="105">
        <f t="shared" si="39"/>
        <v>1.7274444444444443</v>
      </c>
      <c r="AC103" s="55"/>
    </row>
    <row r="104" spans="1:29" x14ac:dyDescent="0.25">
      <c r="C104" s="126" t="s">
        <v>326</v>
      </c>
      <c r="D104" s="117" t="s">
        <v>327</v>
      </c>
      <c r="E104" s="50">
        <v>1000</v>
      </c>
      <c r="F104" s="50">
        <f>ROUND(E104,0)</f>
        <v>1000</v>
      </c>
      <c r="G104" s="49">
        <f t="shared" si="40"/>
        <v>0</v>
      </c>
      <c r="H104" s="51"/>
      <c r="I104" s="49">
        <f>ROUND(F104,0)</f>
        <v>1000</v>
      </c>
      <c r="J104" s="49">
        <f t="shared" si="43"/>
        <v>0</v>
      </c>
      <c r="K104" s="51"/>
      <c r="L104" s="49">
        <f>ROUND(I104,0)</f>
        <v>1000</v>
      </c>
      <c r="M104" s="49">
        <f t="shared" si="44"/>
        <v>0</v>
      </c>
      <c r="N104" s="51"/>
      <c r="O104" s="49">
        <f>ROUND(L104,0)</f>
        <v>1000</v>
      </c>
      <c r="P104" s="49">
        <f t="shared" si="45"/>
        <v>0</v>
      </c>
      <c r="Q104" s="51"/>
      <c r="R104" s="49">
        <f>ROUND(O104,0)</f>
        <v>1000</v>
      </c>
      <c r="S104" s="49">
        <f t="shared" si="46"/>
        <v>0</v>
      </c>
      <c r="T104" s="51"/>
      <c r="U104" s="49">
        <f>ROUND(R104,0)</f>
        <v>1000</v>
      </c>
      <c r="V104" s="49">
        <f t="shared" si="47"/>
        <v>0</v>
      </c>
      <c r="W104" s="51"/>
      <c r="X104" s="49">
        <f>ROUND(U104,0)</f>
        <v>1000</v>
      </c>
      <c r="Y104" s="49">
        <f t="shared" si="48"/>
        <v>0</v>
      </c>
      <c r="Z104" s="51"/>
      <c r="AA104" s="49">
        <v>218</v>
      </c>
      <c r="AB104" s="53">
        <f t="shared" si="39"/>
        <v>0.218</v>
      </c>
      <c r="AC104" s="55"/>
    </row>
    <row r="105" spans="1:29" ht="25.2" customHeight="1" x14ac:dyDescent="0.25">
      <c r="A105" s="1" t="s">
        <v>30</v>
      </c>
      <c r="B105" s="1" t="s">
        <v>328</v>
      </c>
      <c r="C105" s="47" t="s">
        <v>329</v>
      </c>
      <c r="D105" s="48" t="s">
        <v>330</v>
      </c>
      <c r="E105" s="50">
        <v>3826051</v>
      </c>
      <c r="F105" s="50">
        <f t="shared" ref="F105" si="56">SUM(F106:F108)</f>
        <v>3826051</v>
      </c>
      <c r="G105" s="49">
        <f t="shared" si="40"/>
        <v>0</v>
      </c>
      <c r="H105" s="77"/>
      <c r="I105" s="49">
        <f>SUM(I106:I108)</f>
        <v>3826051</v>
      </c>
      <c r="J105" s="49">
        <f t="shared" si="43"/>
        <v>0</v>
      </c>
      <c r="K105" s="77"/>
      <c r="L105" s="49">
        <f>SUM(L106:L108)</f>
        <v>3562551</v>
      </c>
      <c r="M105" s="49">
        <f t="shared" si="44"/>
        <v>-263500</v>
      </c>
      <c r="N105" s="77"/>
      <c r="O105" s="49">
        <f>SUM(O106:O108)</f>
        <v>3562551</v>
      </c>
      <c r="P105" s="49">
        <f t="shared" si="45"/>
        <v>0</v>
      </c>
      <c r="Q105" s="77"/>
      <c r="R105" s="49">
        <f>SUM(R106:R108)</f>
        <v>3567551</v>
      </c>
      <c r="S105" s="49">
        <f t="shared" si="46"/>
        <v>5000</v>
      </c>
      <c r="T105" s="77"/>
      <c r="U105" s="49">
        <f>SUM(U106:U108)</f>
        <v>2016853</v>
      </c>
      <c r="V105" s="49">
        <f t="shared" si="47"/>
        <v>-1550698</v>
      </c>
      <c r="W105" s="77"/>
      <c r="X105" s="49">
        <f>SUM(X106:X108)</f>
        <v>2016853</v>
      </c>
      <c r="Y105" s="49">
        <f t="shared" si="48"/>
        <v>0</v>
      </c>
      <c r="Z105" s="77"/>
      <c r="AA105" s="49">
        <f>SUM(AA106:AA108)</f>
        <v>1605026.61</v>
      </c>
      <c r="AB105" s="53">
        <f t="shared" si="39"/>
        <v>0.79580743366026185</v>
      </c>
      <c r="AC105" s="55"/>
    </row>
    <row r="106" spans="1:29" ht="16.5" customHeight="1" x14ac:dyDescent="0.25">
      <c r="A106" s="106" t="s">
        <v>331</v>
      </c>
      <c r="C106" s="126" t="s">
        <v>332</v>
      </c>
      <c r="D106" s="127" t="s">
        <v>330</v>
      </c>
      <c r="E106" s="50">
        <v>110000</v>
      </c>
      <c r="F106" s="50">
        <f>ROUND(E106,0)</f>
        <v>110000</v>
      </c>
      <c r="G106" s="49">
        <f t="shared" si="40"/>
        <v>0</v>
      </c>
      <c r="H106" s="51"/>
      <c r="I106" s="49">
        <f>ROUND(F106,0)</f>
        <v>110000</v>
      </c>
      <c r="J106" s="49">
        <f t="shared" si="43"/>
        <v>0</v>
      </c>
      <c r="K106" s="51"/>
      <c r="L106" s="49">
        <f>ROUND(I106,0)</f>
        <v>110000</v>
      </c>
      <c r="M106" s="49">
        <f t="shared" si="44"/>
        <v>0</v>
      </c>
      <c r="N106" s="51"/>
      <c r="O106" s="49">
        <f>ROUND(L106,0)</f>
        <v>110000</v>
      </c>
      <c r="P106" s="49">
        <f t="shared" si="45"/>
        <v>0</v>
      </c>
      <c r="Q106" s="51"/>
      <c r="R106" s="49">
        <f>ROUND(O106,0)+5000</f>
        <v>115000</v>
      </c>
      <c r="S106" s="49">
        <f t="shared" si="46"/>
        <v>5000</v>
      </c>
      <c r="T106" s="51" t="s">
        <v>333</v>
      </c>
      <c r="U106" s="49">
        <f>ROUND(R106,0)+55000</f>
        <v>170000</v>
      </c>
      <c r="V106" s="52">
        <f t="shared" si="47"/>
        <v>55000</v>
      </c>
      <c r="W106" s="77" t="s">
        <v>322</v>
      </c>
      <c r="X106" s="49">
        <f>ROUND(U106,0)</f>
        <v>170000</v>
      </c>
      <c r="Y106" s="49">
        <f t="shared" si="48"/>
        <v>0</v>
      </c>
      <c r="Z106" s="77"/>
      <c r="AA106" s="49">
        <f>118825</f>
        <v>118825</v>
      </c>
      <c r="AB106" s="53">
        <f t="shared" si="39"/>
        <v>0.69897058823529412</v>
      </c>
      <c r="AC106" s="55"/>
    </row>
    <row r="107" spans="1:29" ht="16.5" customHeight="1" x14ac:dyDescent="0.25">
      <c r="C107" s="126" t="s">
        <v>334</v>
      </c>
      <c r="D107" s="127" t="s">
        <v>335</v>
      </c>
      <c r="E107" s="50">
        <v>2500</v>
      </c>
      <c r="F107" s="50">
        <f>ROUND(E107,0)</f>
        <v>2500</v>
      </c>
      <c r="G107" s="49">
        <f t="shared" si="40"/>
        <v>0</v>
      </c>
      <c r="H107" s="51"/>
      <c r="I107" s="49">
        <f>ROUND(F107,0)</f>
        <v>2500</v>
      </c>
      <c r="J107" s="49">
        <f t="shared" si="43"/>
        <v>0</v>
      </c>
      <c r="K107" s="51"/>
      <c r="L107" s="49">
        <f>ROUND(I107,0)</f>
        <v>2500</v>
      </c>
      <c r="M107" s="49">
        <f t="shared" si="44"/>
        <v>0</v>
      </c>
      <c r="N107" s="51"/>
      <c r="O107" s="49">
        <f>ROUND(L107,0)</f>
        <v>2500</v>
      </c>
      <c r="P107" s="49">
        <f t="shared" si="45"/>
        <v>0</v>
      </c>
      <c r="Q107" s="51"/>
      <c r="R107" s="49">
        <f>ROUND(O107,0)</f>
        <v>2500</v>
      </c>
      <c r="S107" s="49">
        <f t="shared" si="46"/>
        <v>0</v>
      </c>
      <c r="T107" s="51"/>
      <c r="U107" s="49">
        <f>ROUND(R107,0)</f>
        <v>2500</v>
      </c>
      <c r="V107" s="49">
        <f t="shared" si="47"/>
        <v>0</v>
      </c>
      <c r="W107" s="51"/>
      <c r="X107" s="49">
        <f>ROUND(U107,0)</f>
        <v>2500</v>
      </c>
      <c r="Y107" s="49">
        <f t="shared" si="48"/>
        <v>0</v>
      </c>
      <c r="Z107" s="51"/>
      <c r="AA107" s="329">
        <v>0</v>
      </c>
      <c r="AB107" s="53">
        <f t="shared" si="39"/>
        <v>0</v>
      </c>
      <c r="AC107" s="55"/>
    </row>
    <row r="108" spans="1:29" ht="28.95" customHeight="1" x14ac:dyDescent="0.25">
      <c r="C108" s="126" t="s">
        <v>336</v>
      </c>
      <c r="D108" s="127" t="s">
        <v>337</v>
      </c>
      <c r="E108" s="50">
        <v>3713551</v>
      </c>
      <c r="F108" s="50">
        <f>ROUND(E108,0)</f>
        <v>3713551</v>
      </c>
      <c r="G108" s="49">
        <f t="shared" si="40"/>
        <v>0</v>
      </c>
      <c r="H108" s="51"/>
      <c r="I108" s="49">
        <f>ROUND(F108,0)</f>
        <v>3713551</v>
      </c>
      <c r="J108" s="49">
        <f t="shared" si="43"/>
        <v>0</v>
      </c>
      <c r="K108" s="51"/>
      <c r="L108" s="49">
        <f>ROUND(I108,0)-263500</f>
        <v>3450051</v>
      </c>
      <c r="M108" s="49">
        <f t="shared" si="44"/>
        <v>-263500</v>
      </c>
      <c r="N108" s="77" t="s">
        <v>213</v>
      </c>
      <c r="O108" s="49">
        <f>ROUND(L108,0)</f>
        <v>3450051</v>
      </c>
      <c r="P108" s="49">
        <f t="shared" si="45"/>
        <v>0</v>
      </c>
      <c r="Q108" s="77"/>
      <c r="R108" s="49">
        <f>ROUND(O108,0)</f>
        <v>3450051</v>
      </c>
      <c r="S108" s="49">
        <f t="shared" si="46"/>
        <v>0</v>
      </c>
      <c r="T108" s="77"/>
      <c r="U108" s="49">
        <f>ROUND(R108,0)-1605698</f>
        <v>1844353</v>
      </c>
      <c r="V108" s="52">
        <f t="shared" si="47"/>
        <v>-1605698</v>
      </c>
      <c r="W108" s="77" t="s">
        <v>338</v>
      </c>
      <c r="X108" s="49">
        <f>ROUND(U108,0)</f>
        <v>1844353</v>
      </c>
      <c r="Y108" s="49">
        <f t="shared" si="48"/>
        <v>0</v>
      </c>
      <c r="Z108" s="77"/>
      <c r="AA108" s="49">
        <v>1486201.61</v>
      </c>
      <c r="AB108" s="53">
        <f t="shared" si="39"/>
        <v>0.80581190802411473</v>
      </c>
      <c r="AC108" s="55" t="s">
        <v>339</v>
      </c>
    </row>
    <row r="109" spans="1:29" ht="18" customHeight="1" thickBot="1" x14ac:dyDescent="0.35">
      <c r="A109" s="1" t="s">
        <v>30</v>
      </c>
      <c r="B109" s="67" t="s">
        <v>340</v>
      </c>
      <c r="C109" s="47" t="s">
        <v>341</v>
      </c>
      <c r="D109" s="48" t="s">
        <v>342</v>
      </c>
      <c r="E109" s="50">
        <v>102000</v>
      </c>
      <c r="F109" s="50">
        <f>ROUND(E109,0)</f>
        <v>102000</v>
      </c>
      <c r="G109" s="49">
        <f t="shared" si="40"/>
        <v>0</v>
      </c>
      <c r="H109" s="51"/>
      <c r="I109" s="49">
        <f>ROUND(F109,0)</f>
        <v>102000</v>
      </c>
      <c r="J109" s="49">
        <f t="shared" si="43"/>
        <v>0</v>
      </c>
      <c r="K109" s="51"/>
      <c r="L109" s="49">
        <f>ROUND(I109,0)</f>
        <v>102000</v>
      </c>
      <c r="M109" s="49">
        <f t="shared" si="44"/>
        <v>0</v>
      </c>
      <c r="N109" s="51"/>
      <c r="O109" s="49">
        <f>ROUND(L109,0)</f>
        <v>102000</v>
      </c>
      <c r="P109" s="49">
        <f t="shared" si="45"/>
        <v>0</v>
      </c>
      <c r="Q109" s="51"/>
      <c r="R109" s="49">
        <f>ROUND(O109,0)</f>
        <v>102000</v>
      </c>
      <c r="S109" s="49">
        <f t="shared" si="46"/>
        <v>0</v>
      </c>
      <c r="T109" s="51"/>
      <c r="U109" s="49">
        <f>ROUND(R109,0)</f>
        <v>102000</v>
      </c>
      <c r="V109" s="49">
        <f t="shared" si="47"/>
        <v>0</v>
      </c>
      <c r="W109" s="51"/>
      <c r="X109" s="49">
        <f>ROUND(U109,0)</f>
        <v>102000</v>
      </c>
      <c r="Y109" s="49">
        <f t="shared" si="48"/>
        <v>0</v>
      </c>
      <c r="Z109" s="51"/>
      <c r="AA109" s="49">
        <f>(140275-125926+15000)+56822+8400+1343</f>
        <v>95914</v>
      </c>
      <c r="AB109" s="53">
        <f t="shared" si="39"/>
        <v>0.94033333333333335</v>
      </c>
      <c r="AC109" s="49" t="s">
        <v>343</v>
      </c>
    </row>
    <row r="110" spans="1:29" ht="15" customHeight="1" thickBot="1" x14ac:dyDescent="0.3">
      <c r="C110" s="130"/>
      <c r="D110" s="131" t="s">
        <v>344</v>
      </c>
      <c r="E110" s="133">
        <v>46153371.490000002</v>
      </c>
      <c r="F110" s="133">
        <f t="shared" ref="F110" si="57">F7+F11+F14+F17+F20+F23+F36+F39+F43+F44+F91+F94</f>
        <v>46211727</v>
      </c>
      <c r="G110" s="132">
        <f t="shared" si="40"/>
        <v>58355.509999997914</v>
      </c>
      <c r="H110" s="134"/>
      <c r="I110" s="132">
        <f>I7+I11+I14+I17+I20+I23+I36+I39+I43+I44+I91+I94</f>
        <v>46579708</v>
      </c>
      <c r="J110" s="132">
        <f t="shared" si="43"/>
        <v>367981</v>
      </c>
      <c r="K110" s="134"/>
      <c r="L110" s="132">
        <f>L7+L11+L14+L17+L20+L23+L36+L39+L43+L44+L91+L94</f>
        <v>46656159</v>
      </c>
      <c r="M110" s="132">
        <f t="shared" si="44"/>
        <v>76451</v>
      </c>
      <c r="N110" s="134"/>
      <c r="O110" s="132">
        <f>O7+O11+O14+O17+O20+O23+O36+O39+O43+O44+O91+O94</f>
        <v>46706159</v>
      </c>
      <c r="P110" s="132">
        <f t="shared" si="45"/>
        <v>50000</v>
      </c>
      <c r="Q110" s="134"/>
      <c r="R110" s="132">
        <f>R7+R11+R14+R17+R20+R23+R36+R39+R43+R44+R91+R94</f>
        <v>46948605</v>
      </c>
      <c r="S110" s="132">
        <f t="shared" si="46"/>
        <v>242446</v>
      </c>
      <c r="T110" s="134"/>
      <c r="U110" s="132">
        <f>U7+U11+U14+U17+U20+U23+U36+U39+U43+U44+U91+U94</f>
        <v>48290280.829999998</v>
      </c>
      <c r="V110" s="132">
        <f t="shared" si="47"/>
        <v>1341675.8299999982</v>
      </c>
      <c r="W110" s="134"/>
      <c r="X110" s="132">
        <f>X7+X11+X14+X17+X20+X23+X36+X39+X43+X44+X91+X94</f>
        <v>49177059.829999998</v>
      </c>
      <c r="Y110" s="132">
        <f t="shared" si="48"/>
        <v>886779</v>
      </c>
      <c r="Z110" s="134"/>
      <c r="AA110" s="132">
        <f>AA7+AA11+AA14+AA17+AA20+AA23+AA36+AA39+AA43+AA44+AA91+AA94</f>
        <v>48923575.340000004</v>
      </c>
      <c r="AB110" s="135">
        <f t="shared" si="39"/>
        <v>0.99484547285103531</v>
      </c>
      <c r="AC110" s="136"/>
    </row>
    <row r="111" spans="1:29" ht="14.4" thickBot="1" x14ac:dyDescent="0.3">
      <c r="C111" s="137" t="s">
        <v>345</v>
      </c>
      <c r="D111" s="138" t="s">
        <v>346</v>
      </c>
      <c r="E111" s="140">
        <v>7741521.0000000009</v>
      </c>
      <c r="F111" s="140">
        <f>SUM(F112:F113)</f>
        <v>7741521</v>
      </c>
      <c r="G111" s="139">
        <f t="shared" si="40"/>
        <v>0</v>
      </c>
      <c r="H111" s="141"/>
      <c r="I111" s="139">
        <f>SUM(I112:I113)</f>
        <v>7741521</v>
      </c>
      <c r="J111" s="139">
        <f t="shared" si="43"/>
        <v>0</v>
      </c>
      <c r="K111" s="141"/>
      <c r="L111" s="139">
        <f>SUM(L112:L113)</f>
        <v>7741521</v>
      </c>
      <c r="M111" s="139">
        <f t="shared" si="44"/>
        <v>0</v>
      </c>
      <c r="N111" s="141"/>
      <c r="O111" s="139">
        <f>SUM(O112:O113)</f>
        <v>7741521</v>
      </c>
      <c r="P111" s="139">
        <f t="shared" si="45"/>
        <v>0</v>
      </c>
      <c r="Q111" s="141"/>
      <c r="R111" s="139">
        <f>SUM(R112:R113)</f>
        <v>7741521</v>
      </c>
      <c r="S111" s="139">
        <f t="shared" si="46"/>
        <v>0</v>
      </c>
      <c r="T111" s="141"/>
      <c r="U111" s="139">
        <f>SUM(U112:U113)</f>
        <v>7741521</v>
      </c>
      <c r="V111" s="139">
        <f t="shared" si="47"/>
        <v>0</v>
      </c>
      <c r="W111" s="141"/>
      <c r="X111" s="139">
        <f>SUM(X112:X113)</f>
        <v>7741521</v>
      </c>
      <c r="Y111" s="139">
        <f t="shared" si="48"/>
        <v>0</v>
      </c>
      <c r="Z111" s="141"/>
      <c r="AA111" s="139">
        <f>SUM(AA112:AA113)</f>
        <v>7741521</v>
      </c>
      <c r="AB111" s="142">
        <f t="shared" si="39"/>
        <v>1</v>
      </c>
      <c r="AC111" s="143"/>
    </row>
    <row r="112" spans="1:29" ht="17.25" customHeight="1" x14ac:dyDescent="0.25">
      <c r="C112" s="47" t="s">
        <v>347</v>
      </c>
      <c r="D112" s="48" t="s">
        <v>348</v>
      </c>
      <c r="E112" s="50">
        <v>1454963.94</v>
      </c>
      <c r="F112" s="50">
        <f>ROUND(E112,0)</f>
        <v>1454964</v>
      </c>
      <c r="G112" s="49">
        <f t="shared" si="40"/>
        <v>6.0000000055879354E-2</v>
      </c>
      <c r="H112" s="77"/>
      <c r="I112" s="49">
        <f>ROUND(F112,0)</f>
        <v>1454964</v>
      </c>
      <c r="J112" s="49">
        <f t="shared" si="43"/>
        <v>0</v>
      </c>
      <c r="K112" s="77"/>
      <c r="L112" s="49">
        <f>ROUND(I112,0)</f>
        <v>1454964</v>
      </c>
      <c r="M112" s="49">
        <f t="shared" si="44"/>
        <v>0</v>
      </c>
      <c r="N112" s="77"/>
      <c r="O112" s="49">
        <f>ROUND(L112,0)</f>
        <v>1454964</v>
      </c>
      <c r="P112" s="49">
        <f t="shared" si="45"/>
        <v>0</v>
      </c>
      <c r="Q112" s="77"/>
      <c r="R112" s="49">
        <f>ROUND(O112,0)</f>
        <v>1454964</v>
      </c>
      <c r="S112" s="49">
        <f t="shared" si="46"/>
        <v>0</v>
      </c>
      <c r="T112" s="77"/>
      <c r="U112" s="49">
        <f>ROUND(R112,0)</f>
        <v>1454964</v>
      </c>
      <c r="V112" s="49">
        <f t="shared" si="47"/>
        <v>0</v>
      </c>
      <c r="W112" s="77"/>
      <c r="X112" s="49">
        <f>ROUND(U112,0)</f>
        <v>1454964</v>
      </c>
      <c r="Y112" s="49">
        <f t="shared" si="48"/>
        <v>0</v>
      </c>
      <c r="Z112" s="77"/>
      <c r="AA112" s="49">
        <v>1454964</v>
      </c>
      <c r="AB112" s="53">
        <f t="shared" si="39"/>
        <v>1</v>
      </c>
      <c r="AC112" s="55"/>
    </row>
    <row r="113" spans="1:29" x14ac:dyDescent="0.25">
      <c r="C113" s="47" t="s">
        <v>349</v>
      </c>
      <c r="D113" s="48" t="s">
        <v>350</v>
      </c>
      <c r="E113" s="50">
        <v>6286556.8600000013</v>
      </c>
      <c r="F113" s="50">
        <f>ROUND(E113,0)</f>
        <v>6286557</v>
      </c>
      <c r="G113" s="49">
        <f t="shared" si="40"/>
        <v>0.1399999987334013</v>
      </c>
      <c r="H113" s="51"/>
      <c r="I113" s="49">
        <f>ROUND(F113,0)</f>
        <v>6286557</v>
      </c>
      <c r="J113" s="49">
        <f t="shared" si="43"/>
        <v>0</v>
      </c>
      <c r="K113" s="51"/>
      <c r="L113" s="49">
        <f>ROUND(I113,0)</f>
        <v>6286557</v>
      </c>
      <c r="M113" s="49">
        <f t="shared" si="44"/>
        <v>0</v>
      </c>
      <c r="N113" s="51"/>
      <c r="O113" s="49">
        <f>ROUND(L113,0)</f>
        <v>6286557</v>
      </c>
      <c r="P113" s="49">
        <f t="shared" si="45"/>
        <v>0</v>
      </c>
      <c r="Q113" s="51"/>
      <c r="R113" s="49">
        <f>ROUND(O113,0)</f>
        <v>6286557</v>
      </c>
      <c r="S113" s="49">
        <f t="shared" si="46"/>
        <v>0</v>
      </c>
      <c r="T113" s="51"/>
      <c r="U113" s="49">
        <f>ROUND(R113,0)</f>
        <v>6286557</v>
      </c>
      <c r="V113" s="49">
        <f t="shared" si="47"/>
        <v>0</v>
      </c>
      <c r="W113" s="51"/>
      <c r="X113" s="49">
        <f>ROUND(U113,0)</f>
        <v>6286557</v>
      </c>
      <c r="Y113" s="49">
        <f t="shared" si="48"/>
        <v>0</v>
      </c>
      <c r="Z113" s="51"/>
      <c r="AA113" s="49">
        <v>6286557</v>
      </c>
      <c r="AB113" s="53">
        <f t="shared" si="39"/>
        <v>1</v>
      </c>
      <c r="AC113" s="55"/>
    </row>
    <row r="114" spans="1:29" x14ac:dyDescent="0.25">
      <c r="C114" s="80" t="s">
        <v>351</v>
      </c>
      <c r="D114" s="144" t="s">
        <v>352</v>
      </c>
      <c r="E114" s="146">
        <v>4267403.7422000002</v>
      </c>
      <c r="F114" s="146">
        <f>SUM(F115:F127)</f>
        <v>4267404</v>
      </c>
      <c r="G114" s="59">
        <f t="shared" si="40"/>
        <v>0.25779999978840351</v>
      </c>
      <c r="H114" s="61"/>
      <c r="I114" s="145">
        <f>SUM(I115:I127)</f>
        <v>4393404</v>
      </c>
      <c r="J114" s="59">
        <f t="shared" si="43"/>
        <v>126000</v>
      </c>
      <c r="K114" s="61"/>
      <c r="L114" s="145">
        <f>SUM(L115:L127)</f>
        <v>4477904</v>
      </c>
      <c r="M114" s="59">
        <f t="shared" si="44"/>
        <v>84500</v>
      </c>
      <c r="N114" s="61"/>
      <c r="O114" s="145">
        <f>SUM(O115:O128)</f>
        <v>4545904</v>
      </c>
      <c r="P114" s="59">
        <f t="shared" si="45"/>
        <v>68000</v>
      </c>
      <c r="Q114" s="61"/>
      <c r="R114" s="145">
        <f>SUM(R115:R128)</f>
        <v>2799669</v>
      </c>
      <c r="S114" s="59">
        <f t="shared" si="46"/>
        <v>-1746235</v>
      </c>
      <c r="T114" s="61"/>
      <c r="U114" s="145">
        <f>SUM(U115:U128)</f>
        <v>2647215</v>
      </c>
      <c r="V114" s="59">
        <f t="shared" si="47"/>
        <v>-152454</v>
      </c>
      <c r="W114" s="61"/>
      <c r="X114" s="145">
        <f>SUM(X115:X128)</f>
        <v>2647215</v>
      </c>
      <c r="Y114" s="59">
        <f t="shared" si="48"/>
        <v>0</v>
      </c>
      <c r="Z114" s="61"/>
      <c r="AA114" s="145">
        <f>SUM(AA115:AA128)</f>
        <v>1415144.96</v>
      </c>
      <c r="AB114" s="147">
        <f t="shared" si="39"/>
        <v>0.53457877807431586</v>
      </c>
      <c r="AC114" s="145" t="s">
        <v>353</v>
      </c>
    </row>
    <row r="115" spans="1:29" ht="41.4" x14ac:dyDescent="0.25">
      <c r="A115" s="106"/>
      <c r="B115" s="106"/>
      <c r="C115" s="126" t="s">
        <v>354</v>
      </c>
      <c r="D115" s="124" t="s">
        <v>272</v>
      </c>
      <c r="E115" s="50">
        <v>59922</v>
      </c>
      <c r="F115" s="50">
        <f t="shared" ref="F115:F126" si="58">ROUND(E115,0)</f>
        <v>59922</v>
      </c>
      <c r="G115" s="149">
        <f t="shared" si="40"/>
        <v>0</v>
      </c>
      <c r="H115" s="68"/>
      <c r="I115" s="49">
        <f t="shared" ref="I115:I126" si="59">ROUND(F115,0)</f>
        <v>59922</v>
      </c>
      <c r="J115" s="149">
        <f t="shared" si="43"/>
        <v>0</v>
      </c>
      <c r="K115" s="68"/>
      <c r="L115" s="49">
        <f t="shared" ref="L115:L126" si="60">ROUND(I115,0)</f>
        <v>59922</v>
      </c>
      <c r="M115" s="149">
        <f t="shared" si="44"/>
        <v>0</v>
      </c>
      <c r="N115" s="68"/>
      <c r="O115" s="49">
        <f t="shared" ref="O115:O124" si="61">ROUND(L115,0)</f>
        <v>59922</v>
      </c>
      <c r="P115" s="149">
        <f t="shared" si="45"/>
        <v>0</v>
      </c>
      <c r="Q115" s="68"/>
      <c r="R115" s="49">
        <f t="shared" ref="R115:R123" si="62">ROUND(O115,0)</f>
        <v>59922</v>
      </c>
      <c r="S115" s="149">
        <f t="shared" si="46"/>
        <v>0</v>
      </c>
      <c r="T115" s="68"/>
      <c r="U115" s="49">
        <f t="shared" ref="U115:U121" si="63">ROUND(R115,0)</f>
        <v>59922</v>
      </c>
      <c r="V115" s="149">
        <f t="shared" si="47"/>
        <v>0</v>
      </c>
      <c r="W115" s="68"/>
      <c r="X115" s="49">
        <f t="shared" ref="X115:X116" si="64">ROUND(U115,0)</f>
        <v>59922</v>
      </c>
      <c r="Y115" s="149">
        <f t="shared" si="48"/>
        <v>0</v>
      </c>
      <c r="Z115" s="68"/>
      <c r="AA115" s="49">
        <f t="shared" ref="AA115:AA126" si="65">ROUND(H115,0)</f>
        <v>0</v>
      </c>
      <c r="AB115" s="150">
        <f t="shared" si="39"/>
        <v>0</v>
      </c>
      <c r="AC115" s="151"/>
    </row>
    <row r="116" spans="1:29" x14ac:dyDescent="0.25">
      <c r="A116" s="106"/>
      <c r="B116" s="106"/>
      <c r="C116" s="126" t="s">
        <v>355</v>
      </c>
      <c r="D116" s="124" t="s">
        <v>274</v>
      </c>
      <c r="E116" s="50">
        <v>207089</v>
      </c>
      <c r="F116" s="50">
        <f t="shared" si="58"/>
        <v>207089</v>
      </c>
      <c r="G116" s="149">
        <f t="shared" si="40"/>
        <v>0</v>
      </c>
      <c r="H116" s="68"/>
      <c r="I116" s="49">
        <f t="shared" si="59"/>
        <v>207089</v>
      </c>
      <c r="J116" s="149">
        <f t="shared" si="43"/>
        <v>0</v>
      </c>
      <c r="K116" s="68"/>
      <c r="L116" s="49">
        <f t="shared" si="60"/>
        <v>207089</v>
      </c>
      <c r="M116" s="149">
        <f t="shared" si="44"/>
        <v>0</v>
      </c>
      <c r="N116" s="68"/>
      <c r="O116" s="49">
        <f t="shared" si="61"/>
        <v>207089</v>
      </c>
      <c r="P116" s="149">
        <f t="shared" si="45"/>
        <v>0</v>
      </c>
      <c r="Q116" s="68"/>
      <c r="R116" s="49">
        <f t="shared" si="62"/>
        <v>207089</v>
      </c>
      <c r="S116" s="149">
        <f t="shared" si="46"/>
        <v>0</v>
      </c>
      <c r="T116" s="68"/>
      <c r="U116" s="49">
        <f t="shared" si="63"/>
        <v>207089</v>
      </c>
      <c r="V116" s="149">
        <f t="shared" si="47"/>
        <v>0</v>
      </c>
      <c r="W116" s="68"/>
      <c r="X116" s="49">
        <f t="shared" si="64"/>
        <v>207089</v>
      </c>
      <c r="Y116" s="149">
        <f t="shared" si="48"/>
        <v>0</v>
      </c>
      <c r="Z116" s="68"/>
      <c r="AA116" s="49">
        <f t="shared" si="65"/>
        <v>0</v>
      </c>
      <c r="AB116" s="150">
        <f t="shared" si="39"/>
        <v>0</v>
      </c>
      <c r="AC116" s="151"/>
    </row>
    <row r="117" spans="1:29" ht="44.4" customHeight="1" x14ac:dyDescent="0.25">
      <c r="A117" s="106"/>
      <c r="B117" s="106"/>
      <c r="C117" s="126" t="s">
        <v>356</v>
      </c>
      <c r="D117" s="152" t="s">
        <v>287</v>
      </c>
      <c r="E117" s="50">
        <v>320141.35220000002</v>
      </c>
      <c r="F117" s="50">
        <f t="shared" si="58"/>
        <v>320141</v>
      </c>
      <c r="G117" s="149">
        <f t="shared" si="40"/>
        <v>-0.35220000002300367</v>
      </c>
      <c r="H117" s="68"/>
      <c r="I117" s="49">
        <f t="shared" si="59"/>
        <v>320141</v>
      </c>
      <c r="J117" s="149">
        <f t="shared" si="43"/>
        <v>0</v>
      </c>
      <c r="K117" s="68"/>
      <c r="L117" s="49">
        <f t="shared" si="60"/>
        <v>320141</v>
      </c>
      <c r="M117" s="149">
        <f t="shared" si="44"/>
        <v>0</v>
      </c>
      <c r="N117" s="68"/>
      <c r="O117" s="49">
        <f t="shared" si="61"/>
        <v>320141</v>
      </c>
      <c r="P117" s="149">
        <f t="shared" si="45"/>
        <v>0</v>
      </c>
      <c r="Q117" s="68"/>
      <c r="R117" s="49">
        <f t="shared" si="62"/>
        <v>320141</v>
      </c>
      <c r="S117" s="149">
        <f t="shared" si="46"/>
        <v>0</v>
      </c>
      <c r="T117" s="68"/>
      <c r="U117" s="49">
        <f>ROUND(R117,0)-152454</f>
        <v>167687</v>
      </c>
      <c r="V117" s="153">
        <f t="shared" si="47"/>
        <v>-152454</v>
      </c>
      <c r="W117" s="68" t="s">
        <v>357</v>
      </c>
      <c r="X117" s="49">
        <f>ROUND(U117,0)</f>
        <v>167687</v>
      </c>
      <c r="Y117" s="149">
        <f t="shared" si="48"/>
        <v>0</v>
      </c>
      <c r="Z117" s="68"/>
      <c r="AA117" s="49">
        <f>48167.7+119519.3</f>
        <v>167687</v>
      </c>
      <c r="AB117" s="154">
        <f t="shared" si="39"/>
        <v>1</v>
      </c>
      <c r="AC117" s="155" t="s">
        <v>358</v>
      </c>
    </row>
    <row r="118" spans="1:29" ht="27.6" x14ac:dyDescent="0.25">
      <c r="A118" s="106" t="s">
        <v>229</v>
      </c>
      <c r="B118" s="106" t="s">
        <v>359</v>
      </c>
      <c r="C118" s="126" t="s">
        <v>360</v>
      </c>
      <c r="D118" s="152" t="s">
        <v>361</v>
      </c>
      <c r="E118" s="50">
        <v>624704.49</v>
      </c>
      <c r="F118" s="50">
        <f t="shared" si="58"/>
        <v>624704</v>
      </c>
      <c r="G118" s="149">
        <f t="shared" si="40"/>
        <v>-0.48999999999068677</v>
      </c>
      <c r="H118" s="66"/>
      <c r="I118" s="49">
        <f t="shared" si="59"/>
        <v>624704</v>
      </c>
      <c r="J118" s="149">
        <f t="shared" si="43"/>
        <v>0</v>
      </c>
      <c r="K118" s="66"/>
      <c r="L118" s="49">
        <f t="shared" si="60"/>
        <v>624704</v>
      </c>
      <c r="M118" s="149">
        <f t="shared" si="44"/>
        <v>0</v>
      </c>
      <c r="N118" s="66"/>
      <c r="O118" s="49">
        <f t="shared" si="61"/>
        <v>624704</v>
      </c>
      <c r="P118" s="149">
        <f t="shared" si="45"/>
        <v>0</v>
      </c>
      <c r="Q118" s="66"/>
      <c r="R118" s="49">
        <f t="shared" si="62"/>
        <v>624704</v>
      </c>
      <c r="S118" s="149">
        <f t="shared" si="46"/>
        <v>0</v>
      </c>
      <c r="T118" s="66"/>
      <c r="U118" s="49">
        <f t="shared" si="63"/>
        <v>624704</v>
      </c>
      <c r="V118" s="149">
        <f t="shared" si="47"/>
        <v>0</v>
      </c>
      <c r="W118" s="66"/>
      <c r="X118" s="49">
        <f t="shared" ref="X118:X121" si="66">ROUND(U118,0)</f>
        <v>624704</v>
      </c>
      <c r="Y118" s="149">
        <f t="shared" si="48"/>
        <v>0</v>
      </c>
      <c r="Z118" s="66"/>
      <c r="AA118" s="49">
        <v>274718.59000000003</v>
      </c>
      <c r="AB118" s="150">
        <f t="shared" si="39"/>
        <v>0.43975801339514398</v>
      </c>
      <c r="AC118" s="156"/>
    </row>
    <row r="119" spans="1:29" ht="30" customHeight="1" x14ac:dyDescent="0.25">
      <c r="A119" s="106"/>
      <c r="B119" s="106"/>
      <c r="C119" s="126" t="s">
        <v>362</v>
      </c>
      <c r="D119" s="152" t="s">
        <v>234</v>
      </c>
      <c r="E119" s="50">
        <v>37334.9</v>
      </c>
      <c r="F119" s="50">
        <f t="shared" si="58"/>
        <v>37335</v>
      </c>
      <c r="G119" s="149">
        <f t="shared" si="40"/>
        <v>9.9999999998544808E-2</v>
      </c>
      <c r="H119" s="66"/>
      <c r="I119" s="49">
        <f t="shared" si="59"/>
        <v>37335</v>
      </c>
      <c r="J119" s="149">
        <f t="shared" si="43"/>
        <v>0</v>
      </c>
      <c r="K119" s="66"/>
      <c r="L119" s="49">
        <f t="shared" si="60"/>
        <v>37335</v>
      </c>
      <c r="M119" s="149">
        <f t="shared" si="44"/>
        <v>0</v>
      </c>
      <c r="N119" s="66"/>
      <c r="O119" s="49">
        <f t="shared" si="61"/>
        <v>37335</v>
      </c>
      <c r="P119" s="149">
        <f t="shared" si="45"/>
        <v>0</v>
      </c>
      <c r="Q119" s="66"/>
      <c r="R119" s="49">
        <f t="shared" si="62"/>
        <v>37335</v>
      </c>
      <c r="S119" s="149">
        <f t="shared" si="46"/>
        <v>0</v>
      </c>
      <c r="T119" s="66"/>
      <c r="U119" s="49">
        <f t="shared" si="63"/>
        <v>37335</v>
      </c>
      <c r="V119" s="149">
        <f t="shared" si="47"/>
        <v>0</v>
      </c>
      <c r="W119" s="66"/>
      <c r="X119" s="49">
        <f t="shared" si="66"/>
        <v>37335</v>
      </c>
      <c r="Y119" s="149">
        <f t="shared" si="48"/>
        <v>0</v>
      </c>
      <c r="Z119" s="66"/>
      <c r="AA119" s="49">
        <v>37335</v>
      </c>
      <c r="AB119" s="150">
        <f t="shared" si="39"/>
        <v>1</v>
      </c>
      <c r="AC119" s="156"/>
    </row>
    <row r="120" spans="1:29" x14ac:dyDescent="0.25">
      <c r="B120" s="106"/>
      <c r="C120" s="126" t="s">
        <v>363</v>
      </c>
      <c r="D120" s="152" t="s">
        <v>364</v>
      </c>
      <c r="E120" s="157">
        <v>582946</v>
      </c>
      <c r="F120" s="157">
        <f t="shared" si="58"/>
        <v>582946</v>
      </c>
      <c r="G120" s="158">
        <f t="shared" si="40"/>
        <v>0</v>
      </c>
      <c r="H120" s="159"/>
      <c r="I120" s="148">
        <f>ROUND(F120,0)</f>
        <v>582946</v>
      </c>
      <c r="J120" s="158">
        <f t="shared" si="43"/>
        <v>0</v>
      </c>
      <c r="K120" s="68"/>
      <c r="L120" s="148">
        <f t="shared" si="60"/>
        <v>582946</v>
      </c>
      <c r="M120" s="158">
        <f t="shared" si="44"/>
        <v>0</v>
      </c>
      <c r="N120" s="68"/>
      <c r="O120" s="148">
        <f t="shared" si="61"/>
        <v>582946</v>
      </c>
      <c r="P120" s="158">
        <f t="shared" si="45"/>
        <v>0</v>
      </c>
      <c r="Q120" s="68"/>
      <c r="R120" s="148">
        <f t="shared" si="62"/>
        <v>582946</v>
      </c>
      <c r="S120" s="158">
        <f t="shared" si="46"/>
        <v>0</v>
      </c>
      <c r="T120" s="68"/>
      <c r="U120" s="148">
        <f t="shared" si="63"/>
        <v>582946</v>
      </c>
      <c r="V120" s="158">
        <f t="shared" si="47"/>
        <v>0</v>
      </c>
      <c r="W120" s="68"/>
      <c r="X120" s="148">
        <f t="shared" si="66"/>
        <v>582946</v>
      </c>
      <c r="Y120" s="158">
        <f t="shared" si="48"/>
        <v>0</v>
      </c>
      <c r="Z120" s="68"/>
      <c r="AA120" s="49">
        <v>495501</v>
      </c>
      <c r="AB120" s="150">
        <f t="shared" si="39"/>
        <v>0.84999468218325536</v>
      </c>
      <c r="AC120" s="156"/>
    </row>
    <row r="121" spans="1:29" ht="45" customHeight="1" x14ac:dyDescent="0.25">
      <c r="B121" s="106"/>
      <c r="C121" s="126" t="s">
        <v>365</v>
      </c>
      <c r="D121" s="160" t="s">
        <v>366</v>
      </c>
      <c r="E121" s="161">
        <v>390000</v>
      </c>
      <c r="F121" s="157">
        <f t="shared" si="58"/>
        <v>390000</v>
      </c>
      <c r="G121" s="158">
        <f t="shared" si="40"/>
        <v>0</v>
      </c>
      <c r="H121" s="159"/>
      <c r="I121" s="148">
        <f t="shared" si="59"/>
        <v>390000</v>
      </c>
      <c r="J121" s="158">
        <f t="shared" si="43"/>
        <v>0</v>
      </c>
      <c r="K121" s="68"/>
      <c r="L121" s="148">
        <f t="shared" si="60"/>
        <v>390000</v>
      </c>
      <c r="M121" s="158">
        <f t="shared" si="44"/>
        <v>0</v>
      </c>
      <c r="N121" s="66"/>
      <c r="O121" s="148">
        <f t="shared" si="61"/>
        <v>390000</v>
      </c>
      <c r="P121" s="158">
        <f t="shared" si="45"/>
        <v>0</v>
      </c>
      <c r="Q121" s="66"/>
      <c r="R121" s="148">
        <f t="shared" si="62"/>
        <v>390000</v>
      </c>
      <c r="S121" s="158">
        <f t="shared" si="46"/>
        <v>0</v>
      </c>
      <c r="T121" s="66"/>
      <c r="U121" s="148">
        <f t="shared" si="63"/>
        <v>390000</v>
      </c>
      <c r="V121" s="158">
        <f t="shared" si="47"/>
        <v>0</v>
      </c>
      <c r="W121" s="66"/>
      <c r="X121" s="148">
        <f t="shared" si="66"/>
        <v>390000</v>
      </c>
      <c r="Y121" s="158">
        <f t="shared" si="48"/>
        <v>0</v>
      </c>
      <c r="Z121" s="66"/>
      <c r="AA121" s="49">
        <v>274727.44</v>
      </c>
      <c r="AB121" s="150">
        <f t="shared" si="39"/>
        <v>0.70442933333333335</v>
      </c>
      <c r="AC121" s="156"/>
    </row>
    <row r="122" spans="1:29" ht="16.2" customHeight="1" x14ac:dyDescent="0.25">
      <c r="B122" s="106"/>
      <c r="C122" s="126" t="s">
        <v>367</v>
      </c>
      <c r="D122" s="162" t="s">
        <v>368</v>
      </c>
      <c r="E122" s="163">
        <v>645000</v>
      </c>
      <c r="F122" s="157">
        <f t="shared" si="58"/>
        <v>645000</v>
      </c>
      <c r="G122" s="158">
        <f t="shared" si="40"/>
        <v>0</v>
      </c>
      <c r="H122" s="159"/>
      <c r="I122" s="148">
        <f t="shared" si="59"/>
        <v>645000</v>
      </c>
      <c r="J122" s="158">
        <f t="shared" si="43"/>
        <v>0</v>
      </c>
      <c r="K122" s="68"/>
      <c r="L122" s="148">
        <f t="shared" si="60"/>
        <v>645000</v>
      </c>
      <c r="M122" s="158">
        <f t="shared" si="44"/>
        <v>0</v>
      </c>
      <c r="N122" s="66"/>
      <c r="O122" s="148">
        <f t="shared" si="61"/>
        <v>645000</v>
      </c>
      <c r="P122" s="158">
        <f t="shared" si="45"/>
        <v>0</v>
      </c>
      <c r="Q122" s="66"/>
      <c r="R122" s="148">
        <f>ROUND(O122,0)-645000</f>
        <v>0</v>
      </c>
      <c r="S122" s="158">
        <f t="shared" si="46"/>
        <v>-645000</v>
      </c>
      <c r="T122" s="66" t="s">
        <v>369</v>
      </c>
      <c r="U122" s="148">
        <f>ROUND(R122,0)</f>
        <v>0</v>
      </c>
      <c r="V122" s="158">
        <f t="shared" si="47"/>
        <v>0</v>
      </c>
      <c r="W122" s="66"/>
      <c r="X122" s="148">
        <f>ROUND(U122,0)</f>
        <v>0</v>
      </c>
      <c r="Y122" s="158">
        <f t="shared" si="48"/>
        <v>0</v>
      </c>
      <c r="Z122" s="66"/>
      <c r="AA122" s="49">
        <f t="shared" si="65"/>
        <v>0</v>
      </c>
      <c r="AB122" s="150"/>
      <c r="AC122" s="156"/>
    </row>
    <row r="123" spans="1:29" ht="16.2" customHeight="1" x14ac:dyDescent="0.25">
      <c r="B123" s="106" t="s">
        <v>277</v>
      </c>
      <c r="C123" s="126" t="s">
        <v>370</v>
      </c>
      <c r="D123" s="162" t="s">
        <v>279</v>
      </c>
      <c r="E123" s="164">
        <v>164032</v>
      </c>
      <c r="F123" s="157">
        <f t="shared" si="58"/>
        <v>164032</v>
      </c>
      <c r="G123" s="158">
        <f t="shared" si="40"/>
        <v>0</v>
      </c>
      <c r="H123" s="159"/>
      <c r="I123" s="148">
        <f t="shared" si="59"/>
        <v>164032</v>
      </c>
      <c r="J123" s="158">
        <f t="shared" si="43"/>
        <v>0</v>
      </c>
      <c r="K123" s="68"/>
      <c r="L123" s="148">
        <f t="shared" si="60"/>
        <v>164032</v>
      </c>
      <c r="M123" s="158">
        <f t="shared" si="44"/>
        <v>0</v>
      </c>
      <c r="N123" s="66"/>
      <c r="O123" s="148">
        <f t="shared" si="61"/>
        <v>164032</v>
      </c>
      <c r="P123" s="158">
        <f t="shared" si="45"/>
        <v>0</v>
      </c>
      <c r="Q123" s="66"/>
      <c r="R123" s="148">
        <f t="shared" si="62"/>
        <v>164032</v>
      </c>
      <c r="S123" s="158">
        <f t="shared" si="46"/>
        <v>0</v>
      </c>
      <c r="T123" s="66"/>
      <c r="U123" s="148">
        <f t="shared" ref="U123" si="67">ROUND(R123,0)</f>
        <v>164032</v>
      </c>
      <c r="V123" s="158">
        <f t="shared" si="47"/>
        <v>0</v>
      </c>
      <c r="W123" s="66"/>
      <c r="X123" s="148">
        <f t="shared" ref="X123" si="68">ROUND(U123,0)</f>
        <v>164032</v>
      </c>
      <c r="Y123" s="158">
        <f t="shared" si="48"/>
        <v>0</v>
      </c>
      <c r="Z123" s="66"/>
      <c r="AA123" s="49">
        <f t="shared" si="65"/>
        <v>0</v>
      </c>
      <c r="AB123" s="150">
        <f t="shared" si="39"/>
        <v>0</v>
      </c>
      <c r="AC123" s="156"/>
    </row>
    <row r="124" spans="1:29" ht="27" customHeight="1" x14ac:dyDescent="0.25">
      <c r="B124" s="106"/>
      <c r="C124" s="126" t="s">
        <v>371</v>
      </c>
      <c r="D124" s="162" t="s">
        <v>281</v>
      </c>
      <c r="E124" s="164">
        <v>907235</v>
      </c>
      <c r="F124" s="157">
        <f t="shared" si="58"/>
        <v>907235</v>
      </c>
      <c r="G124" s="158">
        <f t="shared" si="40"/>
        <v>0</v>
      </c>
      <c r="H124" s="159"/>
      <c r="I124" s="148">
        <f t="shared" si="59"/>
        <v>907235</v>
      </c>
      <c r="J124" s="158">
        <f t="shared" si="43"/>
        <v>0</v>
      </c>
      <c r="K124" s="68"/>
      <c r="L124" s="148">
        <f t="shared" si="60"/>
        <v>907235</v>
      </c>
      <c r="M124" s="158">
        <f t="shared" si="44"/>
        <v>0</v>
      </c>
      <c r="N124" s="165"/>
      <c r="O124" s="148">
        <f t="shared" si="61"/>
        <v>907235</v>
      </c>
      <c r="P124" s="158">
        <f t="shared" si="45"/>
        <v>0</v>
      </c>
      <c r="Q124" s="66"/>
      <c r="R124" s="148">
        <f>ROUND(O124,0)-907235</f>
        <v>0</v>
      </c>
      <c r="S124" s="158">
        <f t="shared" si="46"/>
        <v>-907235</v>
      </c>
      <c r="T124" s="68" t="s">
        <v>282</v>
      </c>
      <c r="U124" s="148">
        <f>ROUND(R124,0)</f>
        <v>0</v>
      </c>
      <c r="V124" s="158">
        <f t="shared" si="47"/>
        <v>0</v>
      </c>
      <c r="W124" s="68"/>
      <c r="X124" s="148">
        <f>ROUND(U124,0)</f>
        <v>0</v>
      </c>
      <c r="Y124" s="158">
        <f t="shared" si="48"/>
        <v>0</v>
      </c>
      <c r="Z124" s="68"/>
      <c r="AA124" s="49">
        <f t="shared" si="65"/>
        <v>0</v>
      </c>
      <c r="AB124" s="150"/>
      <c r="AC124" s="156"/>
    </row>
    <row r="125" spans="1:29" ht="27.6" customHeight="1" x14ac:dyDescent="0.25">
      <c r="B125" s="106"/>
      <c r="C125" s="166" t="s">
        <v>372</v>
      </c>
      <c r="D125" s="167" t="s">
        <v>373</v>
      </c>
      <c r="E125" s="164">
        <v>203000</v>
      </c>
      <c r="F125" s="157">
        <f t="shared" si="58"/>
        <v>203000</v>
      </c>
      <c r="G125" s="158">
        <f t="shared" si="40"/>
        <v>0</v>
      </c>
      <c r="H125" s="159"/>
      <c r="I125" s="148">
        <f t="shared" si="59"/>
        <v>203000</v>
      </c>
      <c r="J125" s="158">
        <f t="shared" si="43"/>
        <v>0</v>
      </c>
      <c r="K125" s="68"/>
      <c r="L125" s="148">
        <f>ROUND(I125,0)+84500</f>
        <v>287500</v>
      </c>
      <c r="M125" s="158">
        <f t="shared" si="44"/>
        <v>84500</v>
      </c>
      <c r="N125" s="168" t="s">
        <v>374</v>
      </c>
      <c r="O125" s="148">
        <f>ROUND(L125,0)</f>
        <v>287500</v>
      </c>
      <c r="P125" s="158">
        <f t="shared" si="45"/>
        <v>0</v>
      </c>
      <c r="Q125" s="66"/>
      <c r="R125" s="148">
        <f>ROUND(O125,0)</f>
        <v>287500</v>
      </c>
      <c r="S125" s="158">
        <f t="shared" si="46"/>
        <v>0</v>
      </c>
      <c r="T125" s="66"/>
      <c r="U125" s="148">
        <f>ROUND(R125,0)</f>
        <v>287500</v>
      </c>
      <c r="V125" s="158">
        <f t="shared" si="47"/>
        <v>0</v>
      </c>
      <c r="W125" s="66"/>
      <c r="X125" s="148">
        <f>ROUND(U125,0)</f>
        <v>287500</v>
      </c>
      <c r="Y125" s="158">
        <f t="shared" si="48"/>
        <v>0</v>
      </c>
      <c r="Z125" s="66"/>
      <c r="AA125" s="49">
        <v>165175.93</v>
      </c>
      <c r="AB125" s="150">
        <f t="shared" si="39"/>
        <v>0.57452497391304347</v>
      </c>
      <c r="AC125" s="156"/>
    </row>
    <row r="126" spans="1:29" ht="42" customHeight="1" x14ac:dyDescent="0.25">
      <c r="B126" s="106"/>
      <c r="C126" s="126" t="s">
        <v>375</v>
      </c>
      <c r="D126" s="169" t="s">
        <v>376</v>
      </c>
      <c r="E126" s="157">
        <v>126000</v>
      </c>
      <c r="F126" s="157">
        <f t="shared" si="58"/>
        <v>126000</v>
      </c>
      <c r="G126" s="158">
        <f t="shared" si="40"/>
        <v>0</v>
      </c>
      <c r="H126" s="159"/>
      <c r="I126" s="148">
        <f t="shared" si="59"/>
        <v>126000</v>
      </c>
      <c r="J126" s="158">
        <f t="shared" si="43"/>
        <v>0</v>
      </c>
      <c r="K126" s="68"/>
      <c r="L126" s="148">
        <f t="shared" si="60"/>
        <v>126000</v>
      </c>
      <c r="M126" s="158">
        <f t="shared" si="44"/>
        <v>0</v>
      </c>
      <c r="N126" s="51"/>
      <c r="O126" s="148">
        <f>ROUND(L126,0)</f>
        <v>126000</v>
      </c>
      <c r="P126" s="158">
        <f t="shared" si="45"/>
        <v>0</v>
      </c>
      <c r="Q126" s="66"/>
      <c r="R126" s="148">
        <f>ROUND(O126,0)-126000</f>
        <v>0</v>
      </c>
      <c r="S126" s="158">
        <f t="shared" si="46"/>
        <v>-126000</v>
      </c>
      <c r="T126" s="68" t="s">
        <v>377</v>
      </c>
      <c r="U126" s="148">
        <f>ROUND(R126,0)</f>
        <v>0</v>
      </c>
      <c r="V126" s="158">
        <f t="shared" si="47"/>
        <v>0</v>
      </c>
      <c r="W126" s="68"/>
      <c r="X126" s="148">
        <f>ROUND(U126,0)</f>
        <v>0</v>
      </c>
      <c r="Y126" s="158">
        <f t="shared" si="48"/>
        <v>0</v>
      </c>
      <c r="Z126" s="68"/>
      <c r="AA126" s="49">
        <f t="shared" si="65"/>
        <v>0</v>
      </c>
      <c r="AB126" s="150"/>
      <c r="AC126" s="156"/>
    </row>
    <row r="127" spans="1:29" ht="15" customHeight="1" x14ac:dyDescent="0.25">
      <c r="B127" s="106"/>
      <c r="C127" s="126" t="s">
        <v>378</v>
      </c>
      <c r="D127" s="162" t="s">
        <v>379</v>
      </c>
      <c r="E127" s="164">
        <v>0</v>
      </c>
      <c r="F127" s="157">
        <f>ROUND(E127,0)</f>
        <v>0</v>
      </c>
      <c r="G127" s="49">
        <f>F127-E127</f>
        <v>0</v>
      </c>
      <c r="H127" s="170"/>
      <c r="I127" s="148">
        <f>ROUND(F127,0)+126000</f>
        <v>126000</v>
      </c>
      <c r="J127" s="49">
        <f>I127-F127</f>
        <v>126000</v>
      </c>
      <c r="K127" s="68" t="s">
        <v>380</v>
      </c>
      <c r="L127" s="148">
        <f>ROUND(I127,0)</f>
        <v>126000</v>
      </c>
      <c r="M127" s="49">
        <f t="shared" si="44"/>
        <v>0</v>
      </c>
      <c r="N127" s="165"/>
      <c r="O127" s="148">
        <f>ROUND(L127,0)</f>
        <v>126000</v>
      </c>
      <c r="P127" s="171">
        <f t="shared" si="45"/>
        <v>0</v>
      </c>
      <c r="Q127" s="66"/>
      <c r="R127" s="148">
        <f>ROUND(O127,0)</f>
        <v>126000</v>
      </c>
      <c r="S127" s="171">
        <f t="shared" si="46"/>
        <v>0</v>
      </c>
      <c r="T127" s="66"/>
      <c r="U127" s="148">
        <f>ROUND(R127,0)</f>
        <v>126000</v>
      </c>
      <c r="V127" s="171">
        <f t="shared" si="47"/>
        <v>0</v>
      </c>
      <c r="W127" s="66"/>
      <c r="X127" s="148">
        <f>ROUND(U127,0)</f>
        <v>126000</v>
      </c>
      <c r="Y127" s="171">
        <f t="shared" si="48"/>
        <v>0</v>
      </c>
      <c r="Z127" s="66"/>
      <c r="AA127" s="49">
        <f>ROUND(H127,0)</f>
        <v>0</v>
      </c>
      <c r="AB127" s="150">
        <f t="shared" si="39"/>
        <v>0</v>
      </c>
      <c r="AC127" s="156"/>
    </row>
    <row r="128" spans="1:29" ht="13.2" customHeight="1" thickBot="1" x14ac:dyDescent="0.3">
      <c r="B128" s="106"/>
      <c r="C128" s="172" t="s">
        <v>381</v>
      </c>
      <c r="D128" s="173" t="s">
        <v>382</v>
      </c>
      <c r="E128" s="174"/>
      <c r="F128" s="175"/>
      <c r="G128" s="176"/>
      <c r="H128" s="177"/>
      <c r="I128" s="178"/>
      <c r="J128" s="176"/>
      <c r="K128" s="179"/>
      <c r="L128" s="178"/>
      <c r="M128" s="176"/>
      <c r="N128" s="180"/>
      <c r="O128" s="178">
        <v>68000</v>
      </c>
      <c r="P128" s="181">
        <f t="shared" si="45"/>
        <v>68000</v>
      </c>
      <c r="Q128" s="182" t="s">
        <v>383</v>
      </c>
      <c r="R128" s="178">
        <f>68000-68000</f>
        <v>0</v>
      </c>
      <c r="S128" s="181">
        <f t="shared" si="46"/>
        <v>-68000</v>
      </c>
      <c r="T128" s="182" t="s">
        <v>384</v>
      </c>
      <c r="U128" s="178">
        <f>68000-68000</f>
        <v>0</v>
      </c>
      <c r="V128" s="181">
        <f t="shared" si="47"/>
        <v>0</v>
      </c>
      <c r="W128" s="182"/>
      <c r="X128" s="178">
        <f>68000-68000</f>
        <v>0</v>
      </c>
      <c r="Y128" s="181">
        <f t="shared" si="48"/>
        <v>0</v>
      </c>
      <c r="Z128" s="182"/>
      <c r="AA128" s="49">
        <f>ROUND(H128,0)</f>
        <v>0</v>
      </c>
      <c r="AB128" s="150"/>
      <c r="AC128" s="156"/>
    </row>
    <row r="129" spans="2:29" ht="14.4" thickBot="1" x14ac:dyDescent="0.3">
      <c r="C129" s="183"/>
      <c r="D129" s="184" t="s">
        <v>385</v>
      </c>
      <c r="E129" s="140">
        <v>58162296.232200004</v>
      </c>
      <c r="F129" s="140">
        <f t="shared" ref="F129" si="69">F110+F111+F114</f>
        <v>58220652</v>
      </c>
      <c r="G129" s="139">
        <f t="shared" si="40"/>
        <v>58355.76779999584</v>
      </c>
      <c r="H129" s="185"/>
      <c r="I129" s="139">
        <f>I110+I111+I114</f>
        <v>58714633</v>
      </c>
      <c r="J129" s="139">
        <f t="shared" si="43"/>
        <v>493981</v>
      </c>
      <c r="K129" s="185"/>
      <c r="L129" s="139">
        <f>L110+L111+L114</f>
        <v>58875584</v>
      </c>
      <c r="M129" s="139">
        <f t="shared" si="44"/>
        <v>160951</v>
      </c>
      <c r="N129" s="185"/>
      <c r="O129" s="139">
        <f>O110+O111+O114</f>
        <v>58993584</v>
      </c>
      <c r="P129" s="139">
        <f t="shared" si="45"/>
        <v>118000</v>
      </c>
      <c r="Q129" s="185"/>
      <c r="R129" s="139">
        <f>R110+R111+R114</f>
        <v>57489795</v>
      </c>
      <c r="S129" s="139">
        <f t="shared" si="46"/>
        <v>-1503789</v>
      </c>
      <c r="T129" s="185"/>
      <c r="U129" s="139">
        <f>U110+U111+U114</f>
        <v>58679016.829999998</v>
      </c>
      <c r="V129" s="139">
        <f t="shared" si="47"/>
        <v>1189221.8299999982</v>
      </c>
      <c r="W129" s="185"/>
      <c r="X129" s="139">
        <f>X110+X111+X114</f>
        <v>59565795.829999998</v>
      </c>
      <c r="Y129" s="139">
        <f t="shared" si="48"/>
        <v>886779</v>
      </c>
      <c r="Z129" s="185"/>
      <c r="AA129" s="139">
        <f>AA110+AA111+AA114</f>
        <v>58080241.300000004</v>
      </c>
      <c r="AB129" s="186">
        <f t="shared" si="39"/>
        <v>0.97506027562798381</v>
      </c>
      <c r="AC129" s="143"/>
    </row>
    <row r="131" spans="2:29" x14ac:dyDescent="0.25">
      <c r="G131" s="4"/>
      <c r="I131" s="4"/>
      <c r="J131" s="4"/>
      <c r="L131" s="4"/>
      <c r="M131" s="4"/>
      <c r="O131" s="4"/>
      <c r="P131" s="4"/>
      <c r="R131" s="4"/>
      <c r="S131" s="4"/>
      <c r="U131" s="4"/>
      <c r="V131" s="4"/>
      <c r="X131" s="4"/>
      <c r="Y131" s="4"/>
      <c r="AA131" s="4"/>
      <c r="AC131" s="15"/>
    </row>
    <row r="132" spans="2:29" ht="20.399999999999999" x14ac:dyDescent="0.35">
      <c r="C132" s="313" t="s">
        <v>386</v>
      </c>
      <c r="D132" s="313"/>
      <c r="G132" s="4"/>
      <c r="I132" s="4"/>
      <c r="J132" s="4"/>
      <c r="L132" s="4"/>
      <c r="M132" s="4"/>
      <c r="O132" s="4"/>
      <c r="P132" s="4"/>
      <c r="R132" s="4"/>
      <c r="S132" s="4"/>
      <c r="U132" s="4"/>
      <c r="V132" s="4"/>
      <c r="X132" s="4"/>
      <c r="Y132" s="4"/>
      <c r="AA132" s="4"/>
      <c r="AC132" s="15"/>
    </row>
    <row r="133" spans="2:29" ht="15" thickBot="1" x14ac:dyDescent="0.35">
      <c r="C133" s="324"/>
      <c r="D133" s="324"/>
      <c r="G133" s="191"/>
      <c r="I133" s="191"/>
      <c r="J133" s="191"/>
      <c r="L133" s="191"/>
      <c r="M133" s="191"/>
      <c r="O133" s="191"/>
      <c r="P133" s="191"/>
      <c r="R133" s="191"/>
      <c r="S133" s="191"/>
      <c r="U133" s="191"/>
      <c r="V133" s="191"/>
      <c r="X133" s="191"/>
      <c r="Y133" s="191"/>
      <c r="AA133" s="191"/>
      <c r="AC133" s="192"/>
    </row>
    <row r="134" spans="2:29" ht="57" customHeight="1" outlineLevel="1" thickBot="1" x14ac:dyDescent="0.3">
      <c r="C134" s="25" t="s">
        <v>3</v>
      </c>
      <c r="D134" s="26" t="s">
        <v>4</v>
      </c>
      <c r="E134" s="28" t="s">
        <v>6</v>
      </c>
      <c r="F134" s="28" t="s">
        <v>7</v>
      </c>
      <c r="G134" s="27" t="s">
        <v>8</v>
      </c>
      <c r="H134" s="29" t="s">
        <v>387</v>
      </c>
      <c r="I134" s="27" t="s">
        <v>10</v>
      </c>
      <c r="J134" s="27" t="s">
        <v>11</v>
      </c>
      <c r="K134" s="29" t="s">
        <v>387</v>
      </c>
      <c r="L134" s="27" t="s">
        <v>12</v>
      </c>
      <c r="M134" s="27" t="s">
        <v>13</v>
      </c>
      <c r="N134" s="29" t="s">
        <v>387</v>
      </c>
      <c r="O134" s="27" t="s">
        <v>14</v>
      </c>
      <c r="P134" s="27" t="s">
        <v>15</v>
      </c>
      <c r="Q134" s="29" t="s">
        <v>387</v>
      </c>
      <c r="R134" s="27" t="s">
        <v>14</v>
      </c>
      <c r="S134" s="27" t="s">
        <v>15</v>
      </c>
      <c r="T134" s="29" t="s">
        <v>387</v>
      </c>
      <c r="U134" s="27" t="s">
        <v>14</v>
      </c>
      <c r="V134" s="27" t="s">
        <v>15</v>
      </c>
      <c r="W134" s="29" t="s">
        <v>387</v>
      </c>
      <c r="X134" s="27" t="s">
        <v>20</v>
      </c>
      <c r="Y134" s="27" t="s">
        <v>21</v>
      </c>
      <c r="Z134" s="29" t="s">
        <v>387</v>
      </c>
      <c r="AA134" s="27" t="s">
        <v>22</v>
      </c>
      <c r="AB134" s="30" t="s">
        <v>23</v>
      </c>
      <c r="AC134" s="31" t="s">
        <v>24</v>
      </c>
    </row>
    <row r="135" spans="2:29" x14ac:dyDescent="0.25">
      <c r="C135" s="193" t="s">
        <v>28</v>
      </c>
      <c r="D135" s="194" t="s">
        <v>388</v>
      </c>
      <c r="E135" s="196">
        <v>8245497.4604350002</v>
      </c>
      <c r="F135" s="196">
        <f t="shared" ref="F135" si="70">SUM(F136:F144)</f>
        <v>8245497</v>
      </c>
      <c r="G135" s="195">
        <f t="shared" ref="G135:G198" si="71">F135-E135</f>
        <v>-0.46043500024825335</v>
      </c>
      <c r="H135" s="197"/>
      <c r="I135" s="195">
        <f>SUM(I136:I144)</f>
        <v>8253567</v>
      </c>
      <c r="J135" s="195">
        <f t="shared" ref="J135:J200" si="72">I135-F135</f>
        <v>8070</v>
      </c>
      <c r="K135" s="197"/>
      <c r="L135" s="195">
        <f>SUM(L136:L144)</f>
        <v>8253567</v>
      </c>
      <c r="M135" s="195">
        <f t="shared" ref="M135:M200" si="73">L135-I135</f>
        <v>0</v>
      </c>
      <c r="N135" s="197"/>
      <c r="O135" s="195">
        <f>SUM(O136:O144)</f>
        <v>8293568</v>
      </c>
      <c r="P135" s="195">
        <f t="shared" ref="P135:P200" si="74">O135-L135</f>
        <v>40001</v>
      </c>
      <c r="Q135" s="197"/>
      <c r="R135" s="195">
        <f>SUM(R136:R144)</f>
        <v>8440403</v>
      </c>
      <c r="S135" s="195">
        <f t="shared" ref="S135:S200" si="75">R135-O135</f>
        <v>146835</v>
      </c>
      <c r="T135" s="197"/>
      <c r="U135" s="195">
        <f>SUM(U136:U144)</f>
        <v>8545433</v>
      </c>
      <c r="V135" s="195">
        <f t="shared" ref="V135:V200" si="76">U135-R135</f>
        <v>105030</v>
      </c>
      <c r="W135" s="197"/>
      <c r="X135" s="195">
        <f>SUM(X136:X144)</f>
        <v>8701523</v>
      </c>
      <c r="Y135" s="195">
        <f t="shared" ref="Y135:Y200" si="77">X135-U135</f>
        <v>156090</v>
      </c>
      <c r="Z135" s="197"/>
      <c r="AA135" s="195">
        <f>SUM(AA136:AA144)</f>
        <v>8326912.8600000003</v>
      </c>
      <c r="AB135" s="198">
        <f t="shared" ref="AB135:AB198" si="78">AA135/X135</f>
        <v>0.95694889963515584</v>
      </c>
      <c r="AC135" s="199"/>
    </row>
    <row r="136" spans="2:29" ht="31.5" customHeight="1" x14ac:dyDescent="0.25">
      <c r="B136" s="106" t="s">
        <v>389</v>
      </c>
      <c r="C136" s="200" t="s">
        <v>32</v>
      </c>
      <c r="D136" s="201" t="s">
        <v>390</v>
      </c>
      <c r="E136" s="114">
        <v>1904696</v>
      </c>
      <c r="F136" s="114">
        <f>ROUND(E136,0)</f>
        <v>1904696</v>
      </c>
      <c r="G136" s="83">
        <f t="shared" si="71"/>
        <v>0</v>
      </c>
      <c r="H136" s="115"/>
      <c r="I136" s="83">
        <f>ROUND(F136,0)-16038</f>
        <v>1888658</v>
      </c>
      <c r="J136" s="202">
        <f t="shared" si="72"/>
        <v>-16038</v>
      </c>
      <c r="K136" s="203" t="s">
        <v>391</v>
      </c>
      <c r="L136" s="83">
        <f t="shared" ref="L136:L147" si="79">ROUND(I136,0)</f>
        <v>1888658</v>
      </c>
      <c r="M136" s="83">
        <f t="shared" si="73"/>
        <v>0</v>
      </c>
      <c r="N136" s="115"/>
      <c r="O136" s="83">
        <f t="shared" ref="O136:O147" si="80">ROUND(L136,0)</f>
        <v>1888658</v>
      </c>
      <c r="P136" s="83">
        <f t="shared" si="74"/>
        <v>0</v>
      </c>
      <c r="Q136" s="115"/>
      <c r="R136" s="83">
        <f t="shared" ref="R136:R141" si="81">ROUND(O136,0)</f>
        <v>1888658</v>
      </c>
      <c r="S136" s="83">
        <f t="shared" si="75"/>
        <v>0</v>
      </c>
      <c r="T136" s="115"/>
      <c r="U136" s="83">
        <f t="shared" ref="U136:U147" si="82">ROUND(R136,0)</f>
        <v>1888658</v>
      </c>
      <c r="V136" s="83">
        <f t="shared" si="76"/>
        <v>0</v>
      </c>
      <c r="W136" s="115"/>
      <c r="X136" s="83">
        <f t="shared" ref="X136:X142" si="83">ROUND(U136,0)</f>
        <v>1888658</v>
      </c>
      <c r="Y136" s="83">
        <f t="shared" si="77"/>
        <v>0</v>
      </c>
      <c r="Z136" s="115"/>
      <c r="AA136" s="83">
        <f>7633871.88-AA142-AA143</f>
        <v>1722352.29</v>
      </c>
      <c r="AB136" s="116">
        <f t="shared" si="78"/>
        <v>0.91194503716395459</v>
      </c>
      <c r="AC136" s="202"/>
    </row>
    <row r="137" spans="2:29" x14ac:dyDescent="0.25">
      <c r="B137" s="106" t="s">
        <v>392</v>
      </c>
      <c r="C137" s="200" t="s">
        <v>38</v>
      </c>
      <c r="D137" s="201" t="s">
        <v>393</v>
      </c>
      <c r="E137" s="114">
        <v>355819</v>
      </c>
      <c r="F137" s="114">
        <f t="shared" ref="F137:F146" si="84">ROUND(E137,0)</f>
        <v>355819</v>
      </c>
      <c r="G137" s="83">
        <f t="shared" si="71"/>
        <v>0</v>
      </c>
      <c r="H137" s="204"/>
      <c r="I137" s="83">
        <f t="shared" ref="I137:I142" si="85">ROUND(F137,0)</f>
        <v>355819</v>
      </c>
      <c r="J137" s="83">
        <f t="shared" si="72"/>
        <v>0</v>
      </c>
      <c r="K137" s="204"/>
      <c r="L137" s="83">
        <f t="shared" si="79"/>
        <v>355819</v>
      </c>
      <c r="M137" s="83">
        <f t="shared" si="73"/>
        <v>0</v>
      </c>
      <c r="N137" s="204"/>
      <c r="O137" s="83">
        <f t="shared" si="80"/>
        <v>355819</v>
      </c>
      <c r="P137" s="83">
        <f t="shared" si="74"/>
        <v>0</v>
      </c>
      <c r="Q137" s="204"/>
      <c r="R137" s="83">
        <f t="shared" si="81"/>
        <v>355819</v>
      </c>
      <c r="S137" s="83">
        <f t="shared" si="75"/>
        <v>0</v>
      </c>
      <c r="T137" s="204"/>
      <c r="U137" s="83">
        <f t="shared" si="82"/>
        <v>355819</v>
      </c>
      <c r="V137" s="83">
        <f t="shared" si="76"/>
        <v>0</v>
      </c>
      <c r="W137" s="204"/>
      <c r="X137" s="83">
        <f t="shared" si="83"/>
        <v>355819</v>
      </c>
      <c r="Y137" s="83">
        <f t="shared" si="77"/>
        <v>0</v>
      </c>
      <c r="Z137" s="204"/>
      <c r="AA137" s="83">
        <v>248116.74</v>
      </c>
      <c r="AB137" s="116">
        <f t="shared" si="78"/>
        <v>0.69731166688681601</v>
      </c>
      <c r="AC137" s="202"/>
    </row>
    <row r="138" spans="2:29" ht="13.2" customHeight="1" x14ac:dyDescent="0.25">
      <c r="B138" s="106" t="s">
        <v>394</v>
      </c>
      <c r="C138" s="200" t="s">
        <v>395</v>
      </c>
      <c r="D138" s="201" t="s">
        <v>396</v>
      </c>
      <c r="E138" s="114">
        <v>58895</v>
      </c>
      <c r="F138" s="114">
        <f>ROUND(E138,0)</f>
        <v>58895</v>
      </c>
      <c r="G138" s="83">
        <f t="shared" si="71"/>
        <v>0</v>
      </c>
      <c r="H138" s="115"/>
      <c r="I138" s="83">
        <f t="shared" si="85"/>
        <v>58895</v>
      </c>
      <c r="J138" s="83">
        <f t="shared" si="72"/>
        <v>0</v>
      </c>
      <c r="K138" s="115"/>
      <c r="L138" s="83">
        <f t="shared" si="79"/>
        <v>58895</v>
      </c>
      <c r="M138" s="83">
        <f t="shared" si="73"/>
        <v>0</v>
      </c>
      <c r="N138" s="115"/>
      <c r="O138" s="83">
        <f t="shared" si="80"/>
        <v>58895</v>
      </c>
      <c r="P138" s="83">
        <f t="shared" si="74"/>
        <v>0</v>
      </c>
      <c r="Q138" s="115"/>
      <c r="R138" s="83">
        <f t="shared" si="81"/>
        <v>58895</v>
      </c>
      <c r="S138" s="83">
        <f t="shared" si="75"/>
        <v>0</v>
      </c>
      <c r="T138" s="115"/>
      <c r="U138" s="83">
        <f t="shared" si="82"/>
        <v>58895</v>
      </c>
      <c r="V138" s="83">
        <f t="shared" si="76"/>
        <v>0</v>
      </c>
      <c r="W138" s="115"/>
      <c r="X138" s="83">
        <f t="shared" si="83"/>
        <v>58895</v>
      </c>
      <c r="Y138" s="83">
        <f t="shared" si="77"/>
        <v>0</v>
      </c>
      <c r="Z138" s="115"/>
      <c r="AA138" s="83">
        <v>45490.99</v>
      </c>
      <c r="AB138" s="116">
        <f t="shared" si="78"/>
        <v>0.77240835385007212</v>
      </c>
      <c r="AC138" s="202"/>
    </row>
    <row r="139" spans="2:29" ht="14.4" customHeight="1" x14ac:dyDescent="0.25">
      <c r="B139" s="106" t="s">
        <v>397</v>
      </c>
      <c r="C139" s="200" t="s">
        <v>398</v>
      </c>
      <c r="D139" s="201" t="s">
        <v>399</v>
      </c>
      <c r="E139" s="114">
        <v>50294</v>
      </c>
      <c r="F139" s="114">
        <f t="shared" si="84"/>
        <v>50294</v>
      </c>
      <c r="G139" s="83">
        <f t="shared" si="71"/>
        <v>0</v>
      </c>
      <c r="H139" s="115"/>
      <c r="I139" s="83">
        <f t="shared" si="85"/>
        <v>50294</v>
      </c>
      <c r="J139" s="83">
        <f t="shared" si="72"/>
        <v>0</v>
      </c>
      <c r="K139" s="115"/>
      <c r="L139" s="83">
        <f t="shared" si="79"/>
        <v>50294</v>
      </c>
      <c r="M139" s="83">
        <f t="shared" si="73"/>
        <v>0</v>
      </c>
      <c r="N139" s="115"/>
      <c r="O139" s="83">
        <f t="shared" si="80"/>
        <v>50294</v>
      </c>
      <c r="P139" s="83">
        <f t="shared" si="74"/>
        <v>0</v>
      </c>
      <c r="Q139" s="115"/>
      <c r="R139" s="83">
        <f t="shared" si="81"/>
        <v>50294</v>
      </c>
      <c r="S139" s="83">
        <f t="shared" si="75"/>
        <v>0</v>
      </c>
      <c r="T139" s="115"/>
      <c r="U139" s="83">
        <f t="shared" si="82"/>
        <v>50294</v>
      </c>
      <c r="V139" s="83">
        <f t="shared" si="76"/>
        <v>0</v>
      </c>
      <c r="W139" s="115"/>
      <c r="X139" s="83">
        <f t="shared" si="83"/>
        <v>50294</v>
      </c>
      <c r="Y139" s="83">
        <f t="shared" si="77"/>
        <v>0</v>
      </c>
      <c r="Z139" s="115"/>
      <c r="AA139" s="83">
        <v>30087.46</v>
      </c>
      <c r="AB139" s="116">
        <f t="shared" si="78"/>
        <v>0.59823159820256888</v>
      </c>
      <c r="AC139" s="202"/>
    </row>
    <row r="140" spans="2:29" ht="18" customHeight="1" x14ac:dyDescent="0.25">
      <c r="B140" s="106" t="s">
        <v>400</v>
      </c>
      <c r="C140" s="200" t="s">
        <v>401</v>
      </c>
      <c r="D140" s="201" t="s">
        <v>402</v>
      </c>
      <c r="E140" s="114">
        <v>6588</v>
      </c>
      <c r="F140" s="114">
        <f t="shared" si="84"/>
        <v>6588</v>
      </c>
      <c r="G140" s="83">
        <f t="shared" si="71"/>
        <v>0</v>
      </c>
      <c r="H140" s="204"/>
      <c r="I140" s="83">
        <f t="shared" si="85"/>
        <v>6588</v>
      </c>
      <c r="J140" s="83">
        <f t="shared" si="72"/>
        <v>0</v>
      </c>
      <c r="K140" s="204"/>
      <c r="L140" s="83">
        <f t="shared" si="79"/>
        <v>6588</v>
      </c>
      <c r="M140" s="83">
        <f t="shared" si="73"/>
        <v>0</v>
      </c>
      <c r="N140" s="204"/>
      <c r="O140" s="83">
        <f t="shared" si="80"/>
        <v>6588</v>
      </c>
      <c r="P140" s="83">
        <f t="shared" si="74"/>
        <v>0</v>
      </c>
      <c r="Q140" s="204"/>
      <c r="R140" s="83">
        <f t="shared" si="81"/>
        <v>6588</v>
      </c>
      <c r="S140" s="83">
        <f t="shared" si="75"/>
        <v>0</v>
      </c>
      <c r="T140" s="204"/>
      <c r="U140" s="83">
        <f t="shared" si="82"/>
        <v>6588</v>
      </c>
      <c r="V140" s="83">
        <f t="shared" si="76"/>
        <v>0</v>
      </c>
      <c r="W140" s="204"/>
      <c r="X140" s="83">
        <f t="shared" si="83"/>
        <v>6588</v>
      </c>
      <c r="Y140" s="83">
        <f t="shared" si="77"/>
        <v>0</v>
      </c>
      <c r="Z140" s="204"/>
      <c r="AA140" s="83">
        <v>683.39</v>
      </c>
      <c r="AB140" s="116">
        <f t="shared" si="78"/>
        <v>0.10373254401942926</v>
      </c>
      <c r="AC140" s="202"/>
    </row>
    <row r="141" spans="2:29" ht="29.4" customHeight="1" x14ac:dyDescent="0.25">
      <c r="B141" s="106" t="s">
        <v>403</v>
      </c>
      <c r="C141" s="200" t="s">
        <v>404</v>
      </c>
      <c r="D141" s="201" t="s">
        <v>405</v>
      </c>
      <c r="E141" s="114">
        <v>71620</v>
      </c>
      <c r="F141" s="114">
        <f t="shared" si="84"/>
        <v>71620</v>
      </c>
      <c r="G141" s="83">
        <f t="shared" si="71"/>
        <v>0</v>
      </c>
      <c r="H141" s="204"/>
      <c r="I141" s="83">
        <f>ROUND(F141,0)-2000</f>
        <v>69620</v>
      </c>
      <c r="J141" s="83">
        <f t="shared" si="72"/>
        <v>-2000</v>
      </c>
      <c r="K141" s="204" t="s">
        <v>406</v>
      </c>
      <c r="L141" s="83">
        <f t="shared" si="79"/>
        <v>69620</v>
      </c>
      <c r="M141" s="83">
        <f t="shared" si="73"/>
        <v>0</v>
      </c>
      <c r="N141" s="204"/>
      <c r="O141" s="83">
        <f t="shared" si="80"/>
        <v>69620</v>
      </c>
      <c r="P141" s="83">
        <f t="shared" si="74"/>
        <v>0</v>
      </c>
      <c r="Q141" s="204"/>
      <c r="R141" s="83">
        <f t="shared" si="81"/>
        <v>69620</v>
      </c>
      <c r="S141" s="83">
        <f t="shared" si="75"/>
        <v>0</v>
      </c>
      <c r="T141" s="204"/>
      <c r="U141" s="83">
        <f t="shared" si="82"/>
        <v>69620</v>
      </c>
      <c r="V141" s="83">
        <f t="shared" si="76"/>
        <v>0</v>
      </c>
      <c r="W141" s="204"/>
      <c r="X141" s="83">
        <f t="shared" si="83"/>
        <v>69620</v>
      </c>
      <c r="Y141" s="83">
        <f t="shared" si="77"/>
        <v>0</v>
      </c>
      <c r="Z141" s="204"/>
      <c r="AA141" s="83">
        <v>39761.870000000003</v>
      </c>
      <c r="AB141" s="116">
        <f t="shared" si="78"/>
        <v>0.57112711864406784</v>
      </c>
      <c r="AC141" s="202"/>
    </row>
    <row r="142" spans="2:29" ht="29.4" customHeight="1" x14ac:dyDescent="0.25">
      <c r="B142" s="106" t="s">
        <v>389</v>
      </c>
      <c r="C142" s="200" t="s">
        <v>407</v>
      </c>
      <c r="D142" s="201" t="s">
        <v>408</v>
      </c>
      <c r="E142" s="114">
        <v>1047339</v>
      </c>
      <c r="F142" s="114">
        <f t="shared" si="84"/>
        <v>1047339</v>
      </c>
      <c r="G142" s="83">
        <f t="shared" si="71"/>
        <v>0</v>
      </c>
      <c r="H142" s="115"/>
      <c r="I142" s="83">
        <f t="shared" si="85"/>
        <v>1047339</v>
      </c>
      <c r="J142" s="83">
        <f t="shared" si="72"/>
        <v>0</v>
      </c>
      <c r="K142" s="115"/>
      <c r="L142" s="83">
        <f t="shared" si="79"/>
        <v>1047339</v>
      </c>
      <c r="M142" s="83">
        <f t="shared" si="73"/>
        <v>0</v>
      </c>
      <c r="N142" s="115"/>
      <c r="O142" s="83">
        <f>ROUND(L142,0)+40001</f>
        <v>1087340</v>
      </c>
      <c r="P142" s="83">
        <f t="shared" si="74"/>
        <v>40001</v>
      </c>
      <c r="Q142" s="115" t="s">
        <v>409</v>
      </c>
      <c r="R142" s="83">
        <f>ROUND(O142,0)+137123</f>
        <v>1224463</v>
      </c>
      <c r="S142" s="83">
        <f t="shared" si="75"/>
        <v>137123</v>
      </c>
      <c r="T142" s="115" t="s">
        <v>410</v>
      </c>
      <c r="U142" s="83">
        <f t="shared" si="82"/>
        <v>1224463</v>
      </c>
      <c r="V142" s="83">
        <f t="shared" si="76"/>
        <v>0</v>
      </c>
      <c r="W142" s="115"/>
      <c r="X142" s="83">
        <f t="shared" si="83"/>
        <v>1224463</v>
      </c>
      <c r="Y142" s="83">
        <f t="shared" si="77"/>
        <v>0</v>
      </c>
      <c r="Z142" s="115"/>
      <c r="AA142" s="83">
        <f>1224462.22</f>
        <v>1224462.22</v>
      </c>
      <c r="AB142" s="116">
        <f t="shared" si="78"/>
        <v>0.99999936298605996</v>
      </c>
      <c r="AC142" s="83" t="s">
        <v>411</v>
      </c>
    </row>
    <row r="143" spans="2:29" ht="27.6" x14ac:dyDescent="0.25">
      <c r="B143" s="106" t="s">
        <v>389</v>
      </c>
      <c r="C143" s="200" t="s">
        <v>412</v>
      </c>
      <c r="D143" s="201" t="s">
        <v>413</v>
      </c>
      <c r="E143" s="114">
        <v>4392666</v>
      </c>
      <c r="F143" s="114">
        <f t="shared" si="84"/>
        <v>4392666</v>
      </c>
      <c r="G143" s="83">
        <f t="shared" si="71"/>
        <v>0</v>
      </c>
      <c r="H143" s="204"/>
      <c r="I143" s="83">
        <f>ROUND(F143,0)+26108</f>
        <v>4418774</v>
      </c>
      <c r="J143" s="83">
        <f t="shared" si="72"/>
        <v>26108</v>
      </c>
      <c r="K143" s="204" t="s">
        <v>34</v>
      </c>
      <c r="L143" s="83">
        <f t="shared" si="79"/>
        <v>4418774</v>
      </c>
      <c r="M143" s="83">
        <f t="shared" si="73"/>
        <v>0</v>
      </c>
      <c r="N143" s="204"/>
      <c r="O143" s="83">
        <f t="shared" si="80"/>
        <v>4418774</v>
      </c>
      <c r="P143" s="83">
        <f t="shared" si="74"/>
        <v>0</v>
      </c>
      <c r="Q143" s="204"/>
      <c r="R143" s="83">
        <f>ROUND(O143,0)+9712</f>
        <v>4428486</v>
      </c>
      <c r="S143" s="83">
        <f t="shared" si="75"/>
        <v>9712</v>
      </c>
      <c r="T143" s="204" t="s">
        <v>35</v>
      </c>
      <c r="U143" s="83">
        <f>ROUND(R143,0)+105030</f>
        <v>4533516</v>
      </c>
      <c r="V143" s="205">
        <f t="shared" si="76"/>
        <v>105030</v>
      </c>
      <c r="W143" s="115" t="s">
        <v>414</v>
      </c>
      <c r="X143" s="83">
        <f>ROUND(U143,0)+156090</f>
        <v>4689606</v>
      </c>
      <c r="Y143" s="83">
        <f t="shared" si="77"/>
        <v>156090</v>
      </c>
      <c r="Z143" s="115" t="s">
        <v>414</v>
      </c>
      <c r="AA143" s="83">
        <v>4687057.37</v>
      </c>
      <c r="AB143" s="116">
        <f t="shared" si="78"/>
        <v>0.99945653643397758</v>
      </c>
      <c r="AC143" s="202"/>
    </row>
    <row r="144" spans="2:29" ht="42.6" customHeight="1" x14ac:dyDescent="0.25">
      <c r="B144" s="106" t="s">
        <v>415</v>
      </c>
      <c r="C144" s="200" t="s">
        <v>416</v>
      </c>
      <c r="D144" s="201" t="s">
        <v>417</v>
      </c>
      <c r="E144" s="114">
        <v>357580.46043500002</v>
      </c>
      <c r="F144" s="114">
        <f>ROUND(E144,0)</f>
        <v>357580</v>
      </c>
      <c r="G144" s="83">
        <f t="shared" si="71"/>
        <v>-0.4604350000154227</v>
      </c>
      <c r="H144" s="115"/>
      <c r="I144" s="83">
        <f>ROUND(F144,0)</f>
        <v>357580</v>
      </c>
      <c r="J144" s="83">
        <f t="shared" si="72"/>
        <v>0</v>
      </c>
      <c r="K144" s="115"/>
      <c r="L144" s="83">
        <f t="shared" si="79"/>
        <v>357580</v>
      </c>
      <c r="M144" s="83">
        <f t="shared" si="73"/>
        <v>0</v>
      </c>
      <c r="N144" s="115"/>
      <c r="O144" s="83">
        <f t="shared" si="80"/>
        <v>357580</v>
      </c>
      <c r="P144" s="83">
        <f t="shared" si="74"/>
        <v>0</v>
      </c>
      <c r="Q144" s="115"/>
      <c r="R144" s="83">
        <f>ROUND(O144,0)</f>
        <v>357580</v>
      </c>
      <c r="S144" s="83">
        <f t="shared" si="75"/>
        <v>0</v>
      </c>
      <c r="T144" s="115"/>
      <c r="U144" s="83">
        <f t="shared" si="82"/>
        <v>357580</v>
      </c>
      <c r="V144" s="83">
        <f t="shared" si="76"/>
        <v>0</v>
      </c>
      <c r="W144" s="115"/>
      <c r="X144" s="83">
        <f t="shared" ref="X144:X147" si="86">ROUND(U144,0)</f>
        <v>357580</v>
      </c>
      <c r="Y144" s="83">
        <f t="shared" si="77"/>
        <v>0</v>
      </c>
      <c r="Z144" s="115"/>
      <c r="AA144" s="83">
        <v>328900.53000000003</v>
      </c>
      <c r="AB144" s="116">
        <f t="shared" si="78"/>
        <v>0.91979565411935793</v>
      </c>
      <c r="AC144" s="202"/>
    </row>
    <row r="145" spans="2:29" x14ac:dyDescent="0.25">
      <c r="C145" s="206" t="s">
        <v>44</v>
      </c>
      <c r="D145" s="207" t="s">
        <v>418</v>
      </c>
      <c r="E145" s="60">
        <v>0</v>
      </c>
      <c r="F145" s="60">
        <f t="shared" si="84"/>
        <v>0</v>
      </c>
      <c r="G145" s="59">
        <f t="shared" si="71"/>
        <v>0</v>
      </c>
      <c r="H145" s="61"/>
      <c r="I145" s="59">
        <f>ROUND(F145,0)</f>
        <v>0</v>
      </c>
      <c r="J145" s="59">
        <f t="shared" si="72"/>
        <v>0</v>
      </c>
      <c r="K145" s="61"/>
      <c r="L145" s="59">
        <f t="shared" si="79"/>
        <v>0</v>
      </c>
      <c r="M145" s="59">
        <f t="shared" si="73"/>
        <v>0</v>
      </c>
      <c r="N145" s="61"/>
      <c r="O145" s="59">
        <f t="shared" si="80"/>
        <v>0</v>
      </c>
      <c r="P145" s="59">
        <f t="shared" si="74"/>
        <v>0</v>
      </c>
      <c r="Q145" s="61"/>
      <c r="R145" s="59">
        <f>ROUND(O145,0)</f>
        <v>0</v>
      </c>
      <c r="S145" s="59">
        <f t="shared" si="75"/>
        <v>0</v>
      </c>
      <c r="T145" s="61"/>
      <c r="U145" s="59">
        <f t="shared" si="82"/>
        <v>0</v>
      </c>
      <c r="V145" s="59">
        <f t="shared" si="76"/>
        <v>0</v>
      </c>
      <c r="W145" s="61"/>
      <c r="X145" s="59">
        <f t="shared" si="86"/>
        <v>0</v>
      </c>
      <c r="Y145" s="59">
        <f t="shared" si="77"/>
        <v>0</v>
      </c>
      <c r="Z145" s="61"/>
      <c r="AA145" s="59">
        <f>ROUND(H145,0)</f>
        <v>0</v>
      </c>
      <c r="AB145" s="62"/>
      <c r="AC145" s="63"/>
    </row>
    <row r="146" spans="2:29" ht="13.95" customHeight="1" x14ac:dyDescent="0.25">
      <c r="B146" s="106" t="s">
        <v>419</v>
      </c>
      <c r="C146" s="200" t="s">
        <v>48</v>
      </c>
      <c r="D146" s="201" t="s">
        <v>420</v>
      </c>
      <c r="E146" s="114">
        <v>0</v>
      </c>
      <c r="F146" s="114">
        <f t="shared" si="84"/>
        <v>0</v>
      </c>
      <c r="G146" s="83">
        <f t="shared" si="71"/>
        <v>0</v>
      </c>
      <c r="H146" s="204"/>
      <c r="I146" s="83">
        <f>ROUND(F146,0)</f>
        <v>0</v>
      </c>
      <c r="J146" s="83">
        <f t="shared" si="72"/>
        <v>0</v>
      </c>
      <c r="K146" s="204"/>
      <c r="L146" s="83">
        <f t="shared" si="79"/>
        <v>0</v>
      </c>
      <c r="M146" s="83">
        <f t="shared" si="73"/>
        <v>0</v>
      </c>
      <c r="N146" s="204"/>
      <c r="O146" s="83">
        <f t="shared" si="80"/>
        <v>0</v>
      </c>
      <c r="P146" s="83">
        <f t="shared" si="74"/>
        <v>0</v>
      </c>
      <c r="Q146" s="204"/>
      <c r="R146" s="83">
        <f>ROUND(O146,0)</f>
        <v>0</v>
      </c>
      <c r="S146" s="83">
        <f t="shared" si="75"/>
        <v>0</v>
      </c>
      <c r="T146" s="204"/>
      <c r="U146" s="83">
        <f t="shared" si="82"/>
        <v>0</v>
      </c>
      <c r="V146" s="83">
        <f t="shared" si="76"/>
        <v>0</v>
      </c>
      <c r="W146" s="204"/>
      <c r="X146" s="83">
        <f t="shared" si="86"/>
        <v>0</v>
      </c>
      <c r="Y146" s="83">
        <f t="shared" si="77"/>
        <v>0</v>
      </c>
      <c r="Z146" s="204"/>
      <c r="AA146" s="83">
        <v>0</v>
      </c>
      <c r="AB146" s="116"/>
      <c r="AC146" s="208"/>
    </row>
    <row r="147" spans="2:29" ht="15" customHeight="1" collapsed="1" x14ac:dyDescent="0.25">
      <c r="B147" s="106" t="s">
        <v>421</v>
      </c>
      <c r="C147" s="206" t="s">
        <v>55</v>
      </c>
      <c r="D147" s="207" t="s">
        <v>422</v>
      </c>
      <c r="E147" s="60">
        <v>936069.29245700024</v>
      </c>
      <c r="F147" s="60">
        <f>ROUND(E147,0)</f>
        <v>936069</v>
      </c>
      <c r="G147" s="59">
        <f t="shared" si="71"/>
        <v>-0.29245700023602694</v>
      </c>
      <c r="H147" s="75"/>
      <c r="I147" s="59">
        <f>ROUND(F147,0)</f>
        <v>936069</v>
      </c>
      <c r="J147" s="59">
        <f t="shared" si="72"/>
        <v>0</v>
      </c>
      <c r="K147" s="209"/>
      <c r="L147" s="59">
        <f t="shared" si="79"/>
        <v>936069</v>
      </c>
      <c r="M147" s="59">
        <f t="shared" si="73"/>
        <v>0</v>
      </c>
      <c r="N147" s="75"/>
      <c r="O147" s="59">
        <f t="shared" si="80"/>
        <v>936069</v>
      </c>
      <c r="P147" s="59">
        <f t="shared" si="74"/>
        <v>0</v>
      </c>
      <c r="Q147" s="75"/>
      <c r="R147" s="59">
        <f>ROUND(O147,0)</f>
        <v>936069</v>
      </c>
      <c r="S147" s="59">
        <f t="shared" si="75"/>
        <v>0</v>
      </c>
      <c r="T147" s="75"/>
      <c r="U147" s="59">
        <f t="shared" si="82"/>
        <v>936069</v>
      </c>
      <c r="V147" s="59">
        <f t="shared" si="76"/>
        <v>0</v>
      </c>
      <c r="W147" s="75"/>
      <c r="X147" s="59">
        <f t="shared" si="86"/>
        <v>936069</v>
      </c>
      <c r="Y147" s="59">
        <f t="shared" si="77"/>
        <v>0</v>
      </c>
      <c r="Z147" s="75"/>
      <c r="AA147" s="59">
        <v>869573.7</v>
      </c>
      <c r="AB147" s="62">
        <f t="shared" si="78"/>
        <v>0.92896324950404296</v>
      </c>
      <c r="AC147" s="210"/>
    </row>
    <row r="148" spans="2:29" s="211" customFormat="1" ht="16.95" customHeight="1" x14ac:dyDescent="0.25">
      <c r="C148" s="206" t="s">
        <v>64</v>
      </c>
      <c r="D148" s="207" t="s">
        <v>423</v>
      </c>
      <c r="E148" s="60">
        <v>556693.29264600005</v>
      </c>
      <c r="F148" s="60">
        <f t="shared" ref="F148" si="87">F149+F152</f>
        <v>556693</v>
      </c>
      <c r="G148" s="59">
        <f t="shared" si="71"/>
        <v>-0.29264600004535168</v>
      </c>
      <c r="H148" s="75"/>
      <c r="I148" s="59">
        <f>I149+I152</f>
        <v>589278</v>
      </c>
      <c r="J148" s="59">
        <f t="shared" si="72"/>
        <v>32585</v>
      </c>
      <c r="K148" s="75"/>
      <c r="L148" s="59">
        <f>L149+L152</f>
        <v>589278</v>
      </c>
      <c r="M148" s="59">
        <f t="shared" si="73"/>
        <v>0</v>
      </c>
      <c r="N148" s="75"/>
      <c r="O148" s="59">
        <f>O149+O152</f>
        <v>589278</v>
      </c>
      <c r="P148" s="59">
        <f t="shared" si="74"/>
        <v>0</v>
      </c>
      <c r="Q148" s="75"/>
      <c r="R148" s="59">
        <f>R149+R152</f>
        <v>589278</v>
      </c>
      <c r="S148" s="59">
        <f t="shared" si="75"/>
        <v>0</v>
      </c>
      <c r="T148" s="75"/>
      <c r="U148" s="59">
        <f>U149+U152</f>
        <v>589486</v>
      </c>
      <c r="V148" s="59">
        <f t="shared" si="76"/>
        <v>208</v>
      </c>
      <c r="W148" s="75"/>
      <c r="X148" s="59">
        <f>X149+X152</f>
        <v>589486</v>
      </c>
      <c r="Y148" s="59">
        <f t="shared" si="77"/>
        <v>0</v>
      </c>
      <c r="Z148" s="75"/>
      <c r="AA148" s="59">
        <f>AA149+AA152</f>
        <v>559555.05000000005</v>
      </c>
      <c r="AB148" s="62">
        <f t="shared" si="78"/>
        <v>0.94922534207767451</v>
      </c>
      <c r="AC148" s="63"/>
    </row>
    <row r="149" spans="2:29" x14ac:dyDescent="0.25">
      <c r="B149" s="106" t="s">
        <v>424</v>
      </c>
      <c r="C149" s="200" t="s">
        <v>67</v>
      </c>
      <c r="D149" s="201" t="s">
        <v>425</v>
      </c>
      <c r="E149" s="114">
        <v>207617.29264600005</v>
      </c>
      <c r="F149" s="114">
        <f>SUM(F150:F151)</f>
        <v>207617</v>
      </c>
      <c r="G149" s="83">
        <f t="shared" ref="G149" si="88">SUM(G150:G151)</f>
        <v>3.7353999970946461E-2</v>
      </c>
      <c r="H149" s="83"/>
      <c r="I149" s="83">
        <f>SUM(I150:I151)</f>
        <v>207617</v>
      </c>
      <c r="J149" s="83">
        <f t="shared" si="72"/>
        <v>0</v>
      </c>
      <c r="K149" s="83"/>
      <c r="L149" s="83">
        <f>SUM(L150:L151)</f>
        <v>207617</v>
      </c>
      <c r="M149" s="83">
        <f t="shared" si="73"/>
        <v>0</v>
      </c>
      <c r="N149" s="83"/>
      <c r="O149" s="83">
        <f>SUM(O150:O151)</f>
        <v>207617</v>
      </c>
      <c r="P149" s="83">
        <f t="shared" si="74"/>
        <v>0</v>
      </c>
      <c r="Q149" s="83"/>
      <c r="R149" s="83">
        <f>SUM(R150:R151)</f>
        <v>207617</v>
      </c>
      <c r="S149" s="83">
        <f t="shared" si="75"/>
        <v>0</v>
      </c>
      <c r="T149" s="83"/>
      <c r="U149" s="83">
        <f>SUM(U150:U151)</f>
        <v>207617</v>
      </c>
      <c r="V149" s="83">
        <f t="shared" si="76"/>
        <v>0</v>
      </c>
      <c r="W149" s="83"/>
      <c r="X149" s="83">
        <f>SUM(X150:X151)</f>
        <v>207617</v>
      </c>
      <c r="Y149" s="83">
        <f t="shared" si="77"/>
        <v>0</v>
      </c>
      <c r="Z149" s="83"/>
      <c r="AA149" s="83">
        <f>SUM(AA150:AA151)</f>
        <v>178777.49000000002</v>
      </c>
      <c r="AB149" s="116">
        <f t="shared" si="78"/>
        <v>0.86109273325402069</v>
      </c>
      <c r="AC149" s="202"/>
    </row>
    <row r="150" spans="2:29" x14ac:dyDescent="0.25">
      <c r="B150" s="106" t="s">
        <v>424</v>
      </c>
      <c r="C150" s="212" t="s">
        <v>426</v>
      </c>
      <c r="D150" s="213" t="s">
        <v>427</v>
      </c>
      <c r="E150" s="50">
        <v>162450.96264600003</v>
      </c>
      <c r="F150" s="50">
        <f>ROUND(E150,0)</f>
        <v>162451</v>
      </c>
      <c r="G150" s="49">
        <f t="shared" si="71"/>
        <v>3.7353999970946461E-2</v>
      </c>
      <c r="H150" s="51"/>
      <c r="I150" s="49">
        <f>ROUND(F150,0)</f>
        <v>162451</v>
      </c>
      <c r="J150" s="49">
        <f t="shared" si="72"/>
        <v>0</v>
      </c>
      <c r="K150" s="51"/>
      <c r="L150" s="49">
        <f>ROUND(I150,0)</f>
        <v>162451</v>
      </c>
      <c r="M150" s="49">
        <f t="shared" si="73"/>
        <v>0</v>
      </c>
      <c r="N150" s="51"/>
      <c r="O150" s="49">
        <f>ROUND(L150,0)</f>
        <v>162451</v>
      </c>
      <c r="P150" s="49">
        <f t="shared" si="74"/>
        <v>0</v>
      </c>
      <c r="Q150" s="51"/>
      <c r="R150" s="49">
        <f>ROUND(O150,0)</f>
        <v>162451</v>
      </c>
      <c r="S150" s="49">
        <f t="shared" si="75"/>
        <v>0</v>
      </c>
      <c r="T150" s="51"/>
      <c r="U150" s="49">
        <f>ROUND(R150,0)</f>
        <v>162451</v>
      </c>
      <c r="V150" s="49">
        <f t="shared" si="76"/>
        <v>0</v>
      </c>
      <c r="W150" s="51"/>
      <c r="X150" s="49">
        <f>ROUND(U150,0)</f>
        <v>162451</v>
      </c>
      <c r="Y150" s="49">
        <f t="shared" si="77"/>
        <v>0</v>
      </c>
      <c r="Z150" s="51"/>
      <c r="AA150" s="49">
        <v>137587.39000000001</v>
      </c>
      <c r="AB150" s="53">
        <f t="shared" si="78"/>
        <v>0.84694701787000393</v>
      </c>
      <c r="AC150" s="52"/>
    </row>
    <row r="151" spans="2:29" x14ac:dyDescent="0.25">
      <c r="B151" s="106"/>
      <c r="C151" s="212" t="s">
        <v>428</v>
      </c>
      <c r="D151" s="213" t="s">
        <v>429</v>
      </c>
      <c r="E151" s="50">
        <v>45166.33</v>
      </c>
      <c r="F151" s="50">
        <f>ROUND(E151,0)</f>
        <v>45166</v>
      </c>
      <c r="G151" s="49"/>
      <c r="H151" s="51"/>
      <c r="I151" s="49">
        <f>ROUND(F151,0)</f>
        <v>45166</v>
      </c>
      <c r="J151" s="49">
        <f t="shared" si="72"/>
        <v>0</v>
      </c>
      <c r="K151" s="51"/>
      <c r="L151" s="49">
        <f>ROUND(I151,0)</f>
        <v>45166</v>
      </c>
      <c r="M151" s="49">
        <f t="shared" si="73"/>
        <v>0</v>
      </c>
      <c r="N151" s="51"/>
      <c r="O151" s="49">
        <f>ROUND(L151,0)</f>
        <v>45166</v>
      </c>
      <c r="P151" s="49">
        <f t="shared" si="74"/>
        <v>0</v>
      </c>
      <c r="Q151" s="51"/>
      <c r="R151" s="49">
        <f>ROUND(O151,0)</f>
        <v>45166</v>
      </c>
      <c r="S151" s="49">
        <f t="shared" si="75"/>
        <v>0</v>
      </c>
      <c r="T151" s="51"/>
      <c r="U151" s="49">
        <f>ROUND(R151,0)</f>
        <v>45166</v>
      </c>
      <c r="V151" s="49">
        <f t="shared" si="76"/>
        <v>0</v>
      </c>
      <c r="W151" s="51"/>
      <c r="X151" s="49">
        <f>ROUND(U151,0)</f>
        <v>45166</v>
      </c>
      <c r="Y151" s="49">
        <f t="shared" si="77"/>
        <v>0</v>
      </c>
      <c r="Z151" s="51"/>
      <c r="AA151" s="49">
        <v>41190.1</v>
      </c>
      <c r="AB151" s="53">
        <f t="shared" si="78"/>
        <v>0.91197139441172559</v>
      </c>
      <c r="AC151" s="55"/>
    </row>
    <row r="152" spans="2:29" x14ac:dyDescent="0.25">
      <c r="B152" s="106" t="s">
        <v>430</v>
      </c>
      <c r="C152" s="200" t="s">
        <v>69</v>
      </c>
      <c r="D152" s="201" t="s">
        <v>431</v>
      </c>
      <c r="E152" s="114">
        <v>349076</v>
      </c>
      <c r="F152" s="114">
        <f>ROUND(E152,0)</f>
        <v>349076</v>
      </c>
      <c r="G152" s="83">
        <f t="shared" si="71"/>
        <v>0</v>
      </c>
      <c r="H152" s="204"/>
      <c r="I152" s="83">
        <f>ROUND(F152,0)+32585</f>
        <v>381661</v>
      </c>
      <c r="J152" s="83">
        <f t="shared" si="72"/>
        <v>32585</v>
      </c>
      <c r="K152" s="83" t="s">
        <v>204</v>
      </c>
      <c r="L152" s="83">
        <f>ROUND(I152,0)</f>
        <v>381661</v>
      </c>
      <c r="M152" s="83">
        <f t="shared" si="73"/>
        <v>0</v>
      </c>
      <c r="N152" s="83"/>
      <c r="O152" s="83">
        <f>ROUND(L152,0)</f>
        <v>381661</v>
      </c>
      <c r="P152" s="83">
        <f t="shared" si="74"/>
        <v>0</v>
      </c>
      <c r="Q152" s="83"/>
      <c r="R152" s="83">
        <f>ROUND(O152,0)</f>
        <v>381661</v>
      </c>
      <c r="S152" s="83">
        <f t="shared" si="75"/>
        <v>0</v>
      </c>
      <c r="T152" s="83"/>
      <c r="U152" s="83">
        <f>ROUND(R152,0)+208</f>
        <v>381869</v>
      </c>
      <c r="V152" s="83">
        <f t="shared" si="76"/>
        <v>208</v>
      </c>
      <c r="W152" s="108" t="s">
        <v>205</v>
      </c>
      <c r="X152" s="83">
        <f>ROUND(U152,0)</f>
        <v>381869</v>
      </c>
      <c r="Y152" s="83">
        <f t="shared" si="77"/>
        <v>0</v>
      </c>
      <c r="Z152" s="115"/>
      <c r="AA152" s="83">
        <v>380777.56</v>
      </c>
      <c r="AB152" s="116">
        <f t="shared" si="78"/>
        <v>0.99714184707321096</v>
      </c>
      <c r="AC152" s="83" t="s">
        <v>432</v>
      </c>
    </row>
    <row r="153" spans="2:29" x14ac:dyDescent="0.25">
      <c r="C153" s="206" t="s">
        <v>70</v>
      </c>
      <c r="D153" s="207" t="s">
        <v>433</v>
      </c>
      <c r="E153" s="60">
        <v>260002</v>
      </c>
      <c r="F153" s="60">
        <f t="shared" ref="F153" si="89">F154</f>
        <v>260002</v>
      </c>
      <c r="G153" s="59">
        <f t="shared" si="71"/>
        <v>0</v>
      </c>
      <c r="H153" s="61"/>
      <c r="I153" s="59">
        <f>I154</f>
        <v>260002</v>
      </c>
      <c r="J153" s="59">
        <f t="shared" si="72"/>
        <v>0</v>
      </c>
      <c r="K153" s="61"/>
      <c r="L153" s="59">
        <f>L154</f>
        <v>260002</v>
      </c>
      <c r="M153" s="59">
        <f t="shared" si="73"/>
        <v>0</v>
      </c>
      <c r="N153" s="61"/>
      <c r="O153" s="59">
        <f>O154</f>
        <v>260002</v>
      </c>
      <c r="P153" s="59">
        <f t="shared" si="74"/>
        <v>0</v>
      </c>
      <c r="Q153" s="61"/>
      <c r="R153" s="59">
        <f>R154</f>
        <v>260002</v>
      </c>
      <c r="S153" s="59">
        <f t="shared" si="75"/>
        <v>0</v>
      </c>
      <c r="T153" s="61"/>
      <c r="U153" s="59">
        <f>U154</f>
        <v>110002</v>
      </c>
      <c r="V153" s="59">
        <f t="shared" si="76"/>
        <v>-150000</v>
      </c>
      <c r="W153" s="61"/>
      <c r="X153" s="59">
        <f>X154</f>
        <v>110002</v>
      </c>
      <c r="Y153" s="59">
        <f t="shared" si="77"/>
        <v>0</v>
      </c>
      <c r="Z153" s="61"/>
      <c r="AA153" s="59">
        <f>AA154</f>
        <v>10417.23</v>
      </c>
      <c r="AB153" s="62">
        <f t="shared" si="78"/>
        <v>9.470036908419846E-2</v>
      </c>
      <c r="AC153" s="63"/>
    </row>
    <row r="154" spans="2:29" ht="16.2" customHeight="1" x14ac:dyDescent="0.25">
      <c r="B154" s="106" t="s">
        <v>434</v>
      </c>
      <c r="C154" s="200" t="s">
        <v>73</v>
      </c>
      <c r="D154" s="201" t="s">
        <v>435</v>
      </c>
      <c r="E154" s="114">
        <v>260002</v>
      </c>
      <c r="F154" s="114">
        <f>ROUND(E154,0)</f>
        <v>260002</v>
      </c>
      <c r="G154" s="83">
        <f t="shared" si="71"/>
        <v>0</v>
      </c>
      <c r="H154" s="115"/>
      <c r="I154" s="83">
        <f>ROUND(F154,0)</f>
        <v>260002</v>
      </c>
      <c r="J154" s="83">
        <f t="shared" si="72"/>
        <v>0</v>
      </c>
      <c r="K154" s="115"/>
      <c r="L154" s="83">
        <f>ROUND(I154,0)</f>
        <v>260002</v>
      </c>
      <c r="M154" s="83">
        <f t="shared" si="73"/>
        <v>0</v>
      </c>
      <c r="N154" s="115"/>
      <c r="O154" s="83">
        <f>ROUND(L154,0)</f>
        <v>260002</v>
      </c>
      <c r="P154" s="83">
        <f t="shared" si="74"/>
        <v>0</v>
      </c>
      <c r="Q154" s="115"/>
      <c r="R154" s="83">
        <f>ROUND(O154,0)</f>
        <v>260002</v>
      </c>
      <c r="S154" s="83">
        <f t="shared" si="75"/>
        <v>0</v>
      </c>
      <c r="T154" s="115"/>
      <c r="U154" s="83">
        <f>ROUND(R154,0)-150000</f>
        <v>110002</v>
      </c>
      <c r="V154" s="205">
        <f t="shared" si="76"/>
        <v>-150000</v>
      </c>
      <c r="W154" s="115" t="s">
        <v>436</v>
      </c>
      <c r="X154" s="83">
        <f>ROUND(U154,0)</f>
        <v>110002</v>
      </c>
      <c r="Y154" s="83">
        <f t="shared" si="77"/>
        <v>0</v>
      </c>
      <c r="Z154" s="115"/>
      <c r="AA154" s="83">
        <f>10277.23+140</f>
        <v>10417.23</v>
      </c>
      <c r="AB154" s="116">
        <f t="shared" si="78"/>
        <v>9.470036908419846E-2</v>
      </c>
      <c r="AC154" s="83" t="s">
        <v>437</v>
      </c>
    </row>
    <row r="155" spans="2:29" ht="27.6" x14ac:dyDescent="0.25">
      <c r="C155" s="206" t="s">
        <v>79</v>
      </c>
      <c r="D155" s="207" t="s">
        <v>438</v>
      </c>
      <c r="E155" s="60">
        <v>16329241.372453</v>
      </c>
      <c r="F155" s="60">
        <f t="shared" ref="F155" si="90">F156+F157+F158+F159+F171</f>
        <v>16329241</v>
      </c>
      <c r="G155" s="59">
        <f>G157+G158+G159+G171</f>
        <v>-0.3724529993487522</v>
      </c>
      <c r="H155" s="59"/>
      <c r="I155" s="59">
        <f>I156+I157+I158+I159+I171</f>
        <v>16651546</v>
      </c>
      <c r="J155" s="59">
        <f t="shared" si="72"/>
        <v>322305</v>
      </c>
      <c r="K155" s="59"/>
      <c r="L155" s="59">
        <f>L156+L157+L158+L159+L171</f>
        <v>16728872</v>
      </c>
      <c r="M155" s="59">
        <f t="shared" si="73"/>
        <v>77326</v>
      </c>
      <c r="N155" s="59"/>
      <c r="O155" s="59">
        <f>O156+O157+O158+O159+O171</f>
        <v>16750347</v>
      </c>
      <c r="P155" s="59">
        <f t="shared" si="74"/>
        <v>21475</v>
      </c>
      <c r="Q155" s="59"/>
      <c r="R155" s="59">
        <f>R156+R157+R158+R159+R171</f>
        <v>14810347</v>
      </c>
      <c r="S155" s="59">
        <f t="shared" si="75"/>
        <v>-1940000</v>
      </c>
      <c r="T155" s="59"/>
      <c r="U155" s="59">
        <f>U156+U157+U158+U159+U171</f>
        <v>15607183</v>
      </c>
      <c r="V155" s="59">
        <f t="shared" si="76"/>
        <v>796836</v>
      </c>
      <c r="W155" s="59"/>
      <c r="X155" s="59">
        <f>X156+X157+X158+X159+X171</f>
        <v>15607183</v>
      </c>
      <c r="Y155" s="59">
        <f t="shared" si="77"/>
        <v>0</v>
      </c>
      <c r="Z155" s="59"/>
      <c r="AA155" s="59">
        <f>AA156+AA157+AA158+AA159+AA171</f>
        <v>9014176.3200000022</v>
      </c>
      <c r="AB155" s="62">
        <f t="shared" si="78"/>
        <v>0.5775658759175184</v>
      </c>
      <c r="AC155" s="63"/>
    </row>
    <row r="156" spans="2:29" ht="15.6" customHeight="1" x14ac:dyDescent="0.25">
      <c r="B156" s="106" t="s">
        <v>419</v>
      </c>
      <c r="C156" s="200" t="s">
        <v>83</v>
      </c>
      <c r="D156" s="214" t="s">
        <v>420</v>
      </c>
      <c r="E156" s="114">
        <v>70000</v>
      </c>
      <c r="F156" s="114">
        <f>ROUND(E156,0)</f>
        <v>70000</v>
      </c>
      <c r="G156" s="83">
        <f>F156-E156</f>
        <v>0</v>
      </c>
      <c r="H156" s="204"/>
      <c r="I156" s="83">
        <f>ROUND(F156,0)</f>
        <v>70000</v>
      </c>
      <c r="J156" s="83">
        <f t="shared" si="72"/>
        <v>0</v>
      </c>
      <c r="K156" s="204"/>
      <c r="L156" s="83">
        <f>ROUND(I156,0)</f>
        <v>70000</v>
      </c>
      <c r="M156" s="83">
        <f t="shared" si="73"/>
        <v>0</v>
      </c>
      <c r="N156" s="204"/>
      <c r="O156" s="83">
        <f>ROUND(L156,0)</f>
        <v>70000</v>
      </c>
      <c r="P156" s="83">
        <f t="shared" si="74"/>
        <v>0</v>
      </c>
      <c r="Q156" s="204"/>
      <c r="R156" s="83">
        <f>ROUND(O156,0)</f>
        <v>70000</v>
      </c>
      <c r="S156" s="83">
        <f t="shared" si="75"/>
        <v>0</v>
      </c>
      <c r="T156" s="204"/>
      <c r="U156" s="83">
        <f>ROUND(R156,0)</f>
        <v>70000</v>
      </c>
      <c r="V156" s="83">
        <f t="shared" si="76"/>
        <v>0</v>
      </c>
      <c r="W156" s="204"/>
      <c r="X156" s="83">
        <f>ROUND(U156,0)</f>
        <v>70000</v>
      </c>
      <c r="Y156" s="83">
        <f t="shared" si="77"/>
        <v>0</v>
      </c>
      <c r="Z156" s="204"/>
      <c r="AA156" s="83">
        <f>ROUND(H156,0)</f>
        <v>0</v>
      </c>
      <c r="AB156" s="116">
        <f t="shared" si="78"/>
        <v>0</v>
      </c>
      <c r="AC156" s="208"/>
    </row>
    <row r="157" spans="2:29" ht="37.200000000000003" customHeight="1" x14ac:dyDescent="0.25">
      <c r="B157" s="106" t="s">
        <v>439</v>
      </c>
      <c r="C157" s="200" t="s">
        <v>95</v>
      </c>
      <c r="D157" s="214" t="s">
        <v>440</v>
      </c>
      <c r="E157" s="216">
        <v>313523.70461999997</v>
      </c>
      <c r="F157" s="216">
        <f>ROUND(E157,0)</f>
        <v>313524</v>
      </c>
      <c r="G157" s="215">
        <f t="shared" si="71"/>
        <v>0.29538000002503395</v>
      </c>
      <c r="H157" s="115"/>
      <c r="I157" s="215">
        <f>ROUND(F157,0)+15000</f>
        <v>328524</v>
      </c>
      <c r="J157" s="217">
        <f t="shared" si="72"/>
        <v>15000</v>
      </c>
      <c r="K157" s="218" t="s">
        <v>441</v>
      </c>
      <c r="L157" s="215">
        <f>ROUND(I157,0)</f>
        <v>328524</v>
      </c>
      <c r="M157" s="215">
        <f t="shared" si="73"/>
        <v>0</v>
      </c>
      <c r="N157" s="219"/>
      <c r="O157" s="215">
        <f>ROUND(L157,0)</f>
        <v>328524</v>
      </c>
      <c r="P157" s="215">
        <f t="shared" si="74"/>
        <v>0</v>
      </c>
      <c r="Q157" s="219"/>
      <c r="R157" s="215">
        <f>ROUND(O157,0)</f>
        <v>328524</v>
      </c>
      <c r="S157" s="215">
        <f t="shared" si="75"/>
        <v>0</v>
      </c>
      <c r="T157" s="219"/>
      <c r="U157" s="215">
        <f>ROUND(R157,0)</f>
        <v>328524</v>
      </c>
      <c r="V157" s="215">
        <f t="shared" si="76"/>
        <v>0</v>
      </c>
      <c r="W157" s="219"/>
      <c r="X157" s="215">
        <f>ROUND(U157,0)</f>
        <v>328524</v>
      </c>
      <c r="Y157" s="215">
        <f t="shared" si="77"/>
        <v>0</v>
      </c>
      <c r="Z157" s="219"/>
      <c r="AA157" s="215">
        <v>285448.57</v>
      </c>
      <c r="AB157" s="220">
        <f t="shared" si="78"/>
        <v>0.86888193861026897</v>
      </c>
      <c r="AC157" s="221" t="s">
        <v>442</v>
      </c>
    </row>
    <row r="158" spans="2:29" ht="58.2" customHeight="1" x14ac:dyDescent="0.25">
      <c r="B158" s="106" t="s">
        <v>443</v>
      </c>
      <c r="C158" s="200" t="s">
        <v>444</v>
      </c>
      <c r="D158" s="214" t="s">
        <v>445</v>
      </c>
      <c r="E158" s="216">
        <v>345571.12844500004</v>
      </c>
      <c r="F158" s="216">
        <f>ROUND(E158,0)</f>
        <v>345571</v>
      </c>
      <c r="G158" s="215">
        <f t="shared" si="71"/>
        <v>-0.12844500003848225</v>
      </c>
      <c r="H158" s="115"/>
      <c r="I158" s="215">
        <f>ROUND(F158,0)-11083</f>
        <v>334488</v>
      </c>
      <c r="J158" s="217">
        <f t="shared" si="72"/>
        <v>-11083</v>
      </c>
      <c r="K158" s="203" t="s">
        <v>391</v>
      </c>
      <c r="L158" s="215">
        <f>ROUND(I158,0)</f>
        <v>334488</v>
      </c>
      <c r="M158" s="215">
        <f t="shared" si="73"/>
        <v>0</v>
      </c>
      <c r="N158" s="115"/>
      <c r="O158" s="215">
        <f>ROUND(L158,0)</f>
        <v>334488</v>
      </c>
      <c r="P158" s="215">
        <f t="shared" si="74"/>
        <v>0</v>
      </c>
      <c r="Q158" s="115"/>
      <c r="R158" s="215">
        <f>ROUND(O158,0)</f>
        <v>334488</v>
      </c>
      <c r="S158" s="215">
        <f t="shared" si="75"/>
        <v>0</v>
      </c>
      <c r="T158" s="115"/>
      <c r="U158" s="215">
        <f>ROUND(R158,0)</f>
        <v>334488</v>
      </c>
      <c r="V158" s="215">
        <f t="shared" si="76"/>
        <v>0</v>
      </c>
      <c r="W158" s="115"/>
      <c r="X158" s="215">
        <f>ROUND(U158,0)</f>
        <v>334488</v>
      </c>
      <c r="Y158" s="215">
        <f t="shared" si="77"/>
        <v>0</v>
      </c>
      <c r="Z158" s="115"/>
      <c r="AA158" s="215">
        <v>238631.17</v>
      </c>
      <c r="AB158" s="220">
        <f t="shared" si="78"/>
        <v>0.71342221544569617</v>
      </c>
      <c r="AC158" s="221" t="s">
        <v>446</v>
      </c>
    </row>
    <row r="159" spans="2:29" x14ac:dyDescent="0.25">
      <c r="C159" s="200" t="s">
        <v>447</v>
      </c>
      <c r="D159" s="214" t="s">
        <v>448</v>
      </c>
      <c r="E159" s="215">
        <v>1526970.0498800001</v>
      </c>
      <c r="F159" s="215">
        <f>SUM(F160:F170)</f>
        <v>1526970</v>
      </c>
      <c r="G159" s="215">
        <f t="shared" ref="G159" si="91">SUM(G160:G169)</f>
        <v>-4.9880000064149499E-2</v>
      </c>
      <c r="H159" s="215"/>
      <c r="I159" s="215">
        <f>SUM(I160:I170)</f>
        <v>1509840</v>
      </c>
      <c r="J159" s="215">
        <f t="shared" si="72"/>
        <v>-17130</v>
      </c>
      <c r="K159" s="215"/>
      <c r="L159" s="215">
        <f>SUM(L160:L170)</f>
        <v>1509840</v>
      </c>
      <c r="M159" s="215">
        <f t="shared" si="73"/>
        <v>0</v>
      </c>
      <c r="N159" s="215"/>
      <c r="O159" s="215">
        <f>SUM(O160:O170)</f>
        <v>1594840</v>
      </c>
      <c r="P159" s="215">
        <f t="shared" si="74"/>
        <v>85000</v>
      </c>
      <c r="Q159" s="215"/>
      <c r="R159" s="215">
        <f>SUM(R160:R170)</f>
        <v>1480257</v>
      </c>
      <c r="S159" s="215">
        <f t="shared" si="75"/>
        <v>-114583</v>
      </c>
      <c r="T159" s="215"/>
      <c r="U159" s="215">
        <f>SUM(U160:U170)</f>
        <v>1480257</v>
      </c>
      <c r="V159" s="215">
        <f t="shared" si="76"/>
        <v>0</v>
      </c>
      <c r="W159" s="215"/>
      <c r="X159" s="215">
        <f>SUM(X160:X170)</f>
        <v>1480257</v>
      </c>
      <c r="Y159" s="215">
        <f t="shared" si="77"/>
        <v>0</v>
      </c>
      <c r="Z159" s="215"/>
      <c r="AA159" s="215">
        <f>SUM(AA160:AA170)</f>
        <v>497166.64</v>
      </c>
      <c r="AB159" s="220">
        <f t="shared" si="78"/>
        <v>0.33586508288763373</v>
      </c>
      <c r="AC159" s="217"/>
    </row>
    <row r="160" spans="2:29" ht="46.2" customHeight="1" x14ac:dyDescent="0.25">
      <c r="B160" s="106" t="s">
        <v>217</v>
      </c>
      <c r="C160" s="212" t="s">
        <v>449</v>
      </c>
      <c r="D160" s="162" t="s">
        <v>450</v>
      </c>
      <c r="E160" s="50">
        <v>1009113.0498800001</v>
      </c>
      <c r="F160" s="50">
        <f>ROUND(E160,0)+5033</f>
        <v>1014146</v>
      </c>
      <c r="G160" s="49">
        <f t="shared" si="71"/>
        <v>5032.9501199999359</v>
      </c>
      <c r="H160" s="222" t="s">
        <v>451</v>
      </c>
      <c r="I160" s="49">
        <f>ROUND(F160,0)-17130</f>
        <v>997016</v>
      </c>
      <c r="J160" s="55">
        <f t="shared" si="72"/>
        <v>-17130</v>
      </c>
      <c r="K160" s="223" t="s">
        <v>391</v>
      </c>
      <c r="L160" s="49">
        <f>ROUND(I160,0)</f>
        <v>997016</v>
      </c>
      <c r="M160" s="49">
        <f t="shared" si="73"/>
        <v>0</v>
      </c>
      <c r="N160" s="222"/>
      <c r="O160" s="49">
        <f>ROUND(L160,0)-73+27000+8000+50000+1000</f>
        <v>1082943</v>
      </c>
      <c r="P160" s="49">
        <f t="shared" si="74"/>
        <v>85927</v>
      </c>
      <c r="Q160" s="222" t="s">
        <v>452</v>
      </c>
      <c r="R160" s="49">
        <f>ROUND(O160,0)-232064-8445</f>
        <v>842434</v>
      </c>
      <c r="S160" s="49">
        <f t="shared" si="75"/>
        <v>-240509</v>
      </c>
      <c r="T160" s="222" t="s">
        <v>453</v>
      </c>
      <c r="U160" s="49">
        <f>ROUND(R160,0)</f>
        <v>842434</v>
      </c>
      <c r="V160" s="49">
        <f t="shared" si="76"/>
        <v>0</v>
      </c>
      <c r="W160" s="222"/>
      <c r="X160" s="49">
        <f>ROUND(U160,0)</f>
        <v>842434</v>
      </c>
      <c r="Y160" s="49">
        <f t="shared" si="77"/>
        <v>0</v>
      </c>
      <c r="Z160" s="222"/>
      <c r="AA160" s="49">
        <f>302180-AA167</f>
        <v>302180</v>
      </c>
      <c r="AB160" s="70">
        <f t="shared" si="78"/>
        <v>0.35869872298601435</v>
      </c>
      <c r="AC160" s="79" t="s">
        <v>454</v>
      </c>
    </row>
    <row r="161" spans="2:29" ht="18.600000000000001" customHeight="1" x14ac:dyDescent="0.25">
      <c r="B161" s="106" t="s">
        <v>455</v>
      </c>
      <c r="C161" s="212" t="s">
        <v>456</v>
      </c>
      <c r="D161" s="224" t="s">
        <v>457</v>
      </c>
      <c r="E161" s="50">
        <v>40000</v>
      </c>
      <c r="F161" s="50">
        <f t="shared" ref="F161:F166" si="92">ROUND(E161,0)</f>
        <v>40000</v>
      </c>
      <c r="G161" s="49">
        <f t="shared" si="71"/>
        <v>0</v>
      </c>
      <c r="H161" s="222"/>
      <c r="I161" s="49">
        <f t="shared" ref="I161:I166" si="93">ROUND(F161,0)</f>
        <v>40000</v>
      </c>
      <c r="J161" s="49">
        <f t="shared" si="72"/>
        <v>0</v>
      </c>
      <c r="K161" s="222"/>
      <c r="L161" s="49">
        <f>ROUND(I161,0)+1630</f>
        <v>41630</v>
      </c>
      <c r="M161" s="49">
        <f t="shared" si="73"/>
        <v>1630</v>
      </c>
      <c r="N161" s="222" t="s">
        <v>458</v>
      </c>
      <c r="O161" s="49">
        <f t="shared" ref="O161:O166" si="94">ROUND(L161,0)</f>
        <v>41630</v>
      </c>
      <c r="P161" s="49">
        <f t="shared" si="74"/>
        <v>0</v>
      </c>
      <c r="Q161" s="222"/>
      <c r="R161" s="49">
        <f t="shared" ref="R161:R166" si="95">ROUND(O161,0)</f>
        <v>41630</v>
      </c>
      <c r="S161" s="49">
        <f t="shared" si="75"/>
        <v>0</v>
      </c>
      <c r="T161" s="222"/>
      <c r="U161" s="49">
        <f t="shared" ref="U161:U166" si="96">ROUND(R161,0)</f>
        <v>41630</v>
      </c>
      <c r="V161" s="49">
        <f t="shared" si="76"/>
        <v>0</v>
      </c>
      <c r="W161" s="222"/>
      <c r="X161" s="49">
        <f t="shared" ref="X161:X166" si="97">ROUND(U161,0)</f>
        <v>41630</v>
      </c>
      <c r="Y161" s="49">
        <f t="shared" si="77"/>
        <v>0</v>
      </c>
      <c r="Z161" s="222"/>
      <c r="AA161" s="320">
        <v>44458.07</v>
      </c>
      <c r="AB161" s="325">
        <f>AA161/(X161+X162)</f>
        <v>0.86108987023048611</v>
      </c>
      <c r="AC161" s="49"/>
    </row>
    <row r="162" spans="2:29" ht="35.4" customHeight="1" x14ac:dyDescent="0.25">
      <c r="B162" s="106" t="s">
        <v>455</v>
      </c>
      <c r="C162" s="212" t="s">
        <v>459</v>
      </c>
      <c r="D162" s="224" t="s">
        <v>460</v>
      </c>
      <c r="E162" s="50">
        <v>10000</v>
      </c>
      <c r="F162" s="50">
        <f t="shared" si="92"/>
        <v>10000</v>
      </c>
      <c r="G162" s="49">
        <f t="shared" si="71"/>
        <v>0</v>
      </c>
      <c r="H162" s="222"/>
      <c r="I162" s="49">
        <f t="shared" si="93"/>
        <v>10000</v>
      </c>
      <c r="J162" s="49">
        <f t="shared" si="72"/>
        <v>0</v>
      </c>
      <c r="K162" s="222"/>
      <c r="L162" s="49">
        <f>ROUND(I162,0)</f>
        <v>10000</v>
      </c>
      <c r="M162" s="49">
        <f t="shared" si="73"/>
        <v>0</v>
      </c>
      <c r="N162" s="222"/>
      <c r="O162" s="49">
        <f t="shared" si="94"/>
        <v>10000</v>
      </c>
      <c r="P162" s="49">
        <f t="shared" si="74"/>
        <v>0</v>
      </c>
      <c r="Q162" s="222"/>
      <c r="R162" s="49">
        <f t="shared" si="95"/>
        <v>10000</v>
      </c>
      <c r="S162" s="49">
        <f t="shared" si="75"/>
        <v>0</v>
      </c>
      <c r="T162" s="222"/>
      <c r="U162" s="49">
        <f t="shared" si="96"/>
        <v>10000</v>
      </c>
      <c r="V162" s="49">
        <f t="shared" si="76"/>
        <v>0</v>
      </c>
      <c r="W162" s="222"/>
      <c r="X162" s="49">
        <f t="shared" si="97"/>
        <v>10000</v>
      </c>
      <c r="Y162" s="49">
        <f t="shared" si="77"/>
        <v>0</v>
      </c>
      <c r="Z162" s="222"/>
      <c r="AA162" s="321"/>
      <c r="AB162" s="326">
        <f t="shared" si="78"/>
        <v>0</v>
      </c>
      <c r="AC162" s="113" t="s">
        <v>461</v>
      </c>
    </row>
    <row r="163" spans="2:29" ht="28.2" customHeight="1" x14ac:dyDescent="0.25">
      <c r="B163" s="106" t="s">
        <v>462</v>
      </c>
      <c r="C163" s="225" t="s">
        <v>463</v>
      </c>
      <c r="D163" s="226" t="s">
        <v>464</v>
      </c>
      <c r="E163" s="50">
        <v>42000</v>
      </c>
      <c r="F163" s="50">
        <f>ROUND(E163,0)+18000</f>
        <v>60000</v>
      </c>
      <c r="G163" s="49">
        <f t="shared" si="71"/>
        <v>18000</v>
      </c>
      <c r="H163" s="222" t="s">
        <v>465</v>
      </c>
      <c r="I163" s="49">
        <f t="shared" si="93"/>
        <v>60000</v>
      </c>
      <c r="J163" s="49">
        <f t="shared" si="72"/>
        <v>0</v>
      </c>
      <c r="K163" s="222"/>
      <c r="L163" s="49">
        <f>ROUND(I163,0)</f>
        <v>60000</v>
      </c>
      <c r="M163" s="49">
        <f t="shared" si="73"/>
        <v>0</v>
      </c>
      <c r="N163" s="222"/>
      <c r="O163" s="49">
        <f t="shared" si="94"/>
        <v>60000</v>
      </c>
      <c r="P163" s="49">
        <f t="shared" si="74"/>
        <v>0</v>
      </c>
      <c r="Q163" s="222"/>
      <c r="R163" s="49">
        <f t="shared" si="95"/>
        <v>60000</v>
      </c>
      <c r="S163" s="49">
        <f t="shared" si="75"/>
        <v>0</v>
      </c>
      <c r="T163" s="222"/>
      <c r="U163" s="49">
        <f t="shared" si="96"/>
        <v>60000</v>
      </c>
      <c r="V163" s="49">
        <f t="shared" si="76"/>
        <v>0</v>
      </c>
      <c r="W163" s="222"/>
      <c r="X163" s="49">
        <f t="shared" si="97"/>
        <v>60000</v>
      </c>
      <c r="Y163" s="49">
        <f t="shared" si="77"/>
        <v>0</v>
      </c>
      <c r="Z163" s="222"/>
      <c r="AA163" s="49">
        <v>28758.65</v>
      </c>
      <c r="AB163" s="53">
        <f t="shared" si="78"/>
        <v>0.47931083333333335</v>
      </c>
      <c r="AC163" s="49" t="s">
        <v>466</v>
      </c>
    </row>
    <row r="164" spans="2:29" ht="32.4" customHeight="1" x14ac:dyDescent="0.25">
      <c r="B164" s="106" t="s">
        <v>467</v>
      </c>
      <c r="C164" s="225" t="s">
        <v>468</v>
      </c>
      <c r="D164" s="227" t="s">
        <v>469</v>
      </c>
      <c r="E164" s="50">
        <v>85290</v>
      </c>
      <c r="F164" s="50">
        <f t="shared" si="92"/>
        <v>85290</v>
      </c>
      <c r="G164" s="49">
        <f t="shared" si="71"/>
        <v>0</v>
      </c>
      <c r="H164" s="222"/>
      <c r="I164" s="49">
        <f t="shared" si="93"/>
        <v>85290</v>
      </c>
      <c r="J164" s="49">
        <f t="shared" si="72"/>
        <v>0</v>
      </c>
      <c r="K164" s="222"/>
      <c r="L164" s="49">
        <f>ROUND(I164,0)</f>
        <v>85290</v>
      </c>
      <c r="M164" s="49">
        <f t="shared" si="73"/>
        <v>0</v>
      </c>
      <c r="N164" s="222"/>
      <c r="O164" s="49">
        <f t="shared" si="94"/>
        <v>85290</v>
      </c>
      <c r="P164" s="49">
        <f t="shared" si="74"/>
        <v>0</v>
      </c>
      <c r="Q164" s="222"/>
      <c r="R164" s="49">
        <f t="shared" si="95"/>
        <v>85290</v>
      </c>
      <c r="S164" s="49">
        <f t="shared" si="75"/>
        <v>0</v>
      </c>
      <c r="T164" s="222"/>
      <c r="U164" s="49">
        <f t="shared" si="96"/>
        <v>85290</v>
      </c>
      <c r="V164" s="49">
        <f t="shared" si="76"/>
        <v>0</v>
      </c>
      <c r="W164" s="222"/>
      <c r="X164" s="49">
        <f t="shared" si="97"/>
        <v>85290</v>
      </c>
      <c r="Y164" s="49">
        <f t="shared" si="77"/>
        <v>0</v>
      </c>
      <c r="Z164" s="222"/>
      <c r="AA164" s="49">
        <v>25205.98</v>
      </c>
      <c r="AB164" s="53">
        <f t="shared" si="78"/>
        <v>0.29553265330050416</v>
      </c>
      <c r="AC164" s="49" t="s">
        <v>466</v>
      </c>
    </row>
    <row r="165" spans="2:29" ht="15.75" customHeight="1" x14ac:dyDescent="0.25">
      <c r="B165" s="106" t="s">
        <v>470</v>
      </c>
      <c r="C165" s="225" t="s">
        <v>471</v>
      </c>
      <c r="D165" s="227" t="s">
        <v>274</v>
      </c>
      <c r="E165" s="50">
        <v>236171</v>
      </c>
      <c r="F165" s="50">
        <f t="shared" si="92"/>
        <v>236171</v>
      </c>
      <c r="G165" s="49">
        <f t="shared" si="71"/>
        <v>0</v>
      </c>
      <c r="H165" s="222"/>
      <c r="I165" s="49">
        <f t="shared" si="93"/>
        <v>236171</v>
      </c>
      <c r="J165" s="49">
        <f t="shared" si="72"/>
        <v>0</v>
      </c>
      <c r="K165" s="222"/>
      <c r="L165" s="49">
        <f>ROUND(I165,0)</f>
        <v>236171</v>
      </c>
      <c r="M165" s="49">
        <f t="shared" si="73"/>
        <v>0</v>
      </c>
      <c r="N165" s="222"/>
      <c r="O165" s="49">
        <f t="shared" si="94"/>
        <v>236171</v>
      </c>
      <c r="P165" s="49">
        <f t="shared" si="74"/>
        <v>0</v>
      </c>
      <c r="Q165" s="222"/>
      <c r="R165" s="49">
        <f t="shared" si="95"/>
        <v>236171</v>
      </c>
      <c r="S165" s="49">
        <f t="shared" si="75"/>
        <v>0</v>
      </c>
      <c r="T165" s="222"/>
      <c r="U165" s="49">
        <f t="shared" si="96"/>
        <v>236171</v>
      </c>
      <c r="V165" s="49">
        <f t="shared" si="76"/>
        <v>0</v>
      </c>
      <c r="W165" s="222"/>
      <c r="X165" s="49">
        <f t="shared" si="97"/>
        <v>236171</v>
      </c>
      <c r="Y165" s="49">
        <f t="shared" si="77"/>
        <v>0</v>
      </c>
      <c r="Z165" s="222"/>
      <c r="AA165" s="49">
        <v>25581.08</v>
      </c>
      <c r="AB165" s="53">
        <f t="shared" si="78"/>
        <v>0.10831592363160591</v>
      </c>
      <c r="AC165" s="49" t="s">
        <v>466</v>
      </c>
    </row>
    <row r="166" spans="2:29" ht="25.2" customHeight="1" x14ac:dyDescent="0.25">
      <c r="B166" s="106" t="s">
        <v>472</v>
      </c>
      <c r="C166" s="225" t="s">
        <v>473</v>
      </c>
      <c r="D166" s="227" t="s">
        <v>234</v>
      </c>
      <c r="E166" s="50">
        <v>53240</v>
      </c>
      <c r="F166" s="50">
        <f t="shared" si="92"/>
        <v>53240</v>
      </c>
      <c r="G166" s="49">
        <f t="shared" si="71"/>
        <v>0</v>
      </c>
      <c r="H166" s="77"/>
      <c r="I166" s="49">
        <f t="shared" si="93"/>
        <v>53240</v>
      </c>
      <c r="J166" s="49">
        <f t="shared" si="72"/>
        <v>0</v>
      </c>
      <c r="K166" s="77"/>
      <c r="L166" s="49">
        <f>ROUND(I166,0)</f>
        <v>53240</v>
      </c>
      <c r="M166" s="49">
        <f t="shared" si="73"/>
        <v>0</v>
      </c>
      <c r="N166" s="77"/>
      <c r="O166" s="49">
        <f t="shared" si="94"/>
        <v>53240</v>
      </c>
      <c r="P166" s="49">
        <f t="shared" si="74"/>
        <v>0</v>
      </c>
      <c r="Q166" s="77"/>
      <c r="R166" s="49">
        <f t="shared" si="95"/>
        <v>53240</v>
      </c>
      <c r="S166" s="49">
        <f t="shared" si="75"/>
        <v>0</v>
      </c>
      <c r="T166" s="77"/>
      <c r="U166" s="49">
        <f t="shared" si="96"/>
        <v>53240</v>
      </c>
      <c r="V166" s="49">
        <f t="shared" si="76"/>
        <v>0</v>
      </c>
      <c r="W166" s="77"/>
      <c r="X166" s="49">
        <f t="shared" si="97"/>
        <v>53240</v>
      </c>
      <c r="Y166" s="49">
        <f t="shared" si="77"/>
        <v>0</v>
      </c>
      <c r="Z166" s="77"/>
      <c r="AA166" s="49">
        <v>53240</v>
      </c>
      <c r="AB166" s="53">
        <f t="shared" si="78"/>
        <v>1</v>
      </c>
      <c r="AC166" s="49" t="s">
        <v>474</v>
      </c>
    </row>
    <row r="167" spans="2:29" ht="13.2" customHeight="1" x14ac:dyDescent="0.25">
      <c r="B167" s="106" t="s">
        <v>217</v>
      </c>
      <c r="C167" s="225" t="s">
        <v>475</v>
      </c>
      <c r="D167" s="117" t="s">
        <v>312</v>
      </c>
      <c r="E167" s="50">
        <v>32020</v>
      </c>
      <c r="F167" s="50">
        <f>32020-18000-5033</f>
        <v>8987</v>
      </c>
      <c r="G167" s="49">
        <f t="shared" si="71"/>
        <v>-23033</v>
      </c>
      <c r="H167" s="222" t="s">
        <v>476</v>
      </c>
      <c r="I167" s="49">
        <f>32020-18000-5033</f>
        <v>8987</v>
      </c>
      <c r="J167" s="49">
        <f t="shared" si="72"/>
        <v>0</v>
      </c>
      <c r="K167" s="222"/>
      <c r="L167" s="49">
        <f>32020-18000-5033</f>
        <v>8987</v>
      </c>
      <c r="M167" s="49">
        <f t="shared" si="73"/>
        <v>0</v>
      </c>
      <c r="N167" s="222"/>
      <c r="O167" s="49">
        <f>32020-18000-5033</f>
        <v>8987</v>
      </c>
      <c r="P167" s="49">
        <f t="shared" si="74"/>
        <v>0</v>
      </c>
      <c r="Q167" s="222"/>
      <c r="R167" s="49">
        <f>32020-18000-5033</f>
        <v>8987</v>
      </c>
      <c r="S167" s="49">
        <f t="shared" si="75"/>
        <v>0</v>
      </c>
      <c r="T167" s="222"/>
      <c r="U167" s="49">
        <f>32020-18000-5033</f>
        <v>8987</v>
      </c>
      <c r="V167" s="49">
        <f t="shared" si="76"/>
        <v>0</v>
      </c>
      <c r="W167" s="222"/>
      <c r="X167" s="49">
        <f>32020-18000-5033</f>
        <v>8987</v>
      </c>
      <c r="Y167" s="49">
        <f t="shared" si="77"/>
        <v>0</v>
      </c>
      <c r="Z167" s="222"/>
      <c r="AA167" s="49">
        <v>0</v>
      </c>
      <c r="AB167" s="53">
        <f t="shared" si="78"/>
        <v>0</v>
      </c>
      <c r="AC167" s="49" t="s">
        <v>477</v>
      </c>
    </row>
    <row r="168" spans="2:29" ht="32.4" customHeight="1" x14ac:dyDescent="0.25">
      <c r="B168" s="106" t="s">
        <v>313</v>
      </c>
      <c r="C168" s="225" t="s">
        <v>478</v>
      </c>
      <c r="D168" s="227" t="s">
        <v>479</v>
      </c>
      <c r="E168" s="50">
        <v>4136</v>
      </c>
      <c r="F168" s="50">
        <v>4136</v>
      </c>
      <c r="G168" s="49">
        <f t="shared" si="71"/>
        <v>0</v>
      </c>
      <c r="H168" s="222"/>
      <c r="I168" s="49">
        <f>4136-1298</f>
        <v>2838</v>
      </c>
      <c r="J168" s="49">
        <f t="shared" si="72"/>
        <v>-1298</v>
      </c>
      <c r="K168" s="327" t="s">
        <v>480</v>
      </c>
      <c r="L168" s="49">
        <f>4136-1298-1630</f>
        <v>1208</v>
      </c>
      <c r="M168" s="49">
        <f t="shared" si="73"/>
        <v>-1630</v>
      </c>
      <c r="N168" s="222" t="s">
        <v>458</v>
      </c>
      <c r="O168" s="49">
        <f>4136-1298-1630-1000</f>
        <v>208</v>
      </c>
      <c r="P168" s="49">
        <f t="shared" si="74"/>
        <v>-1000</v>
      </c>
      <c r="Q168" s="222" t="s">
        <v>481</v>
      </c>
      <c r="R168" s="49">
        <f>4136-1298-1630-1000</f>
        <v>208</v>
      </c>
      <c r="S168" s="49">
        <f t="shared" si="75"/>
        <v>0</v>
      </c>
      <c r="T168" s="222"/>
      <c r="U168" s="49">
        <f>4136-1298-1630-1000</f>
        <v>208</v>
      </c>
      <c r="V168" s="49">
        <f t="shared" si="76"/>
        <v>0</v>
      </c>
      <c r="W168" s="222"/>
      <c r="X168" s="49">
        <f>4136-1298-1630-1000</f>
        <v>208</v>
      </c>
      <c r="Y168" s="49">
        <f t="shared" si="77"/>
        <v>0</v>
      </c>
      <c r="Z168" s="222"/>
      <c r="AA168" s="49">
        <v>0</v>
      </c>
      <c r="AB168" s="53">
        <f t="shared" si="78"/>
        <v>0</v>
      </c>
      <c r="AC168" s="49" t="s">
        <v>477</v>
      </c>
    </row>
    <row r="169" spans="2:29" ht="32.4" customHeight="1" x14ac:dyDescent="0.25">
      <c r="B169" s="106" t="s">
        <v>482</v>
      </c>
      <c r="C169" s="225" t="s">
        <v>483</v>
      </c>
      <c r="D169" s="227" t="s">
        <v>276</v>
      </c>
      <c r="E169" s="50">
        <v>15000</v>
      </c>
      <c r="F169" s="50">
        <v>15000</v>
      </c>
      <c r="G169" s="49">
        <f t="shared" si="71"/>
        <v>0</v>
      </c>
      <c r="H169" s="222"/>
      <c r="I169" s="49">
        <f>15000+1298</f>
        <v>16298</v>
      </c>
      <c r="J169" s="49">
        <f t="shared" si="72"/>
        <v>1298</v>
      </c>
      <c r="K169" s="328"/>
      <c r="L169" s="49">
        <f>15000+1298</f>
        <v>16298</v>
      </c>
      <c r="M169" s="49">
        <f t="shared" si="73"/>
        <v>0</v>
      </c>
      <c r="N169" s="228"/>
      <c r="O169" s="49">
        <f>15000+1298+73</f>
        <v>16371</v>
      </c>
      <c r="P169" s="49">
        <f t="shared" si="74"/>
        <v>73</v>
      </c>
      <c r="Q169" s="228" t="s">
        <v>484</v>
      </c>
      <c r="R169" s="49">
        <f>15000+1298+73</f>
        <v>16371</v>
      </c>
      <c r="S169" s="49">
        <f t="shared" si="75"/>
        <v>0</v>
      </c>
      <c r="T169" s="228"/>
      <c r="U169" s="49">
        <f>15000+1298+73</f>
        <v>16371</v>
      </c>
      <c r="V169" s="49">
        <f t="shared" si="76"/>
        <v>0</v>
      </c>
      <c r="W169" s="228"/>
      <c r="X169" s="49">
        <f>15000+1298+73</f>
        <v>16371</v>
      </c>
      <c r="Y169" s="49">
        <f t="shared" si="77"/>
        <v>0</v>
      </c>
      <c r="Z169" s="228"/>
      <c r="AA169" s="49">
        <v>16370.6</v>
      </c>
      <c r="AB169" s="53">
        <f t="shared" si="78"/>
        <v>0.99997556655060782</v>
      </c>
      <c r="AC169" s="49" t="s">
        <v>466</v>
      </c>
    </row>
    <row r="170" spans="2:29" ht="32.4" customHeight="1" x14ac:dyDescent="0.25">
      <c r="B170" s="106" t="s">
        <v>235</v>
      </c>
      <c r="C170" s="225" t="s">
        <v>485</v>
      </c>
      <c r="D170" s="227" t="s">
        <v>237</v>
      </c>
      <c r="E170" s="50"/>
      <c r="F170" s="50"/>
      <c r="G170" s="49"/>
      <c r="H170" s="222"/>
      <c r="I170" s="49"/>
      <c r="J170" s="49"/>
      <c r="K170" s="229"/>
      <c r="L170" s="49"/>
      <c r="M170" s="49"/>
      <c r="N170" s="230"/>
      <c r="O170" s="49"/>
      <c r="P170" s="49"/>
      <c r="Q170" s="230"/>
      <c r="R170" s="49">
        <v>125926</v>
      </c>
      <c r="S170" s="49">
        <f t="shared" si="75"/>
        <v>125926</v>
      </c>
      <c r="T170" s="230" t="s">
        <v>238</v>
      </c>
      <c r="U170" s="49">
        <f t="shared" ref="U170" si="98">ROUND(R170,0)</f>
        <v>125926</v>
      </c>
      <c r="V170" s="49">
        <f t="shared" si="76"/>
        <v>0</v>
      </c>
      <c r="W170" s="230"/>
      <c r="X170" s="49">
        <f t="shared" ref="X170" si="99">ROUND(U170,0)</f>
        <v>125926</v>
      </c>
      <c r="Y170" s="49">
        <f t="shared" si="77"/>
        <v>0</v>
      </c>
      <c r="Z170" s="230"/>
      <c r="AA170" s="49">
        <v>1372.26</v>
      </c>
      <c r="AB170" s="53">
        <f t="shared" si="78"/>
        <v>1.089735241332211E-2</v>
      </c>
      <c r="AC170" s="79" t="s">
        <v>486</v>
      </c>
    </row>
    <row r="171" spans="2:29" ht="29.25" customHeight="1" x14ac:dyDescent="0.25">
      <c r="C171" s="200" t="s">
        <v>487</v>
      </c>
      <c r="D171" s="214" t="s">
        <v>488</v>
      </c>
      <c r="E171" s="216">
        <v>14073176.489507999</v>
      </c>
      <c r="F171" s="216">
        <f t="shared" ref="F171" si="100">SUM(F172:F177,F181:F190)</f>
        <v>14073176</v>
      </c>
      <c r="G171" s="215">
        <f t="shared" si="71"/>
        <v>-0.4895079992711544</v>
      </c>
      <c r="H171" s="231"/>
      <c r="I171" s="215">
        <f>SUM(I172:I177,I181:I190)</f>
        <v>14408694</v>
      </c>
      <c r="J171" s="215">
        <f t="shared" si="72"/>
        <v>335518</v>
      </c>
      <c r="K171" s="231"/>
      <c r="L171" s="215">
        <f>SUM(L172:L177,L181:L190)</f>
        <v>14486020</v>
      </c>
      <c r="M171" s="215">
        <f t="shared" si="73"/>
        <v>77326</v>
      </c>
      <c r="N171" s="231"/>
      <c r="O171" s="215">
        <f>SUM(O172:O177,O181:O190)</f>
        <v>14422495</v>
      </c>
      <c r="P171" s="215">
        <f t="shared" si="74"/>
        <v>-63525</v>
      </c>
      <c r="Q171" s="231"/>
      <c r="R171" s="215">
        <f>SUM(R172:R177,R181:R190)</f>
        <v>12597078</v>
      </c>
      <c r="S171" s="215">
        <f t="shared" si="75"/>
        <v>-1825417</v>
      </c>
      <c r="T171" s="231"/>
      <c r="U171" s="215">
        <f>SUM(U172:U177,U181:U190)</f>
        <v>13393914</v>
      </c>
      <c r="V171" s="215">
        <f t="shared" si="76"/>
        <v>796836</v>
      </c>
      <c r="W171" s="231"/>
      <c r="X171" s="215">
        <f>SUM(X172:X177,X181:X190)</f>
        <v>13393914</v>
      </c>
      <c r="Y171" s="215">
        <f t="shared" si="77"/>
        <v>0</v>
      </c>
      <c r="Z171" s="231"/>
      <c r="AA171" s="215">
        <f>SUM(AA172:AA177,AA181:AA190)</f>
        <v>7992929.9400000013</v>
      </c>
      <c r="AB171" s="220">
        <f t="shared" si="78"/>
        <v>0.59675834412554851</v>
      </c>
      <c r="AC171" s="217"/>
    </row>
    <row r="172" spans="2:29" s="188" customFormat="1" ht="17.25" hidden="1" customHeight="1" outlineLevel="1" x14ac:dyDescent="0.25">
      <c r="C172" s="232" t="s">
        <v>489</v>
      </c>
      <c r="D172" s="233" t="s">
        <v>490</v>
      </c>
      <c r="E172" s="50">
        <v>0</v>
      </c>
      <c r="F172" s="50">
        <f>ROUND(E172,0)</f>
        <v>0</v>
      </c>
      <c r="G172" s="49">
        <f t="shared" si="71"/>
        <v>0</v>
      </c>
      <c r="H172" s="234"/>
      <c r="I172" s="49">
        <f>ROUND(F172,0)</f>
        <v>0</v>
      </c>
      <c r="J172" s="49">
        <f t="shared" si="72"/>
        <v>0</v>
      </c>
      <c r="K172" s="234"/>
      <c r="L172" s="49">
        <f>ROUND(I172,0)</f>
        <v>0</v>
      </c>
      <c r="M172" s="49">
        <f t="shared" si="73"/>
        <v>0</v>
      </c>
      <c r="N172" s="234"/>
      <c r="O172" s="49">
        <f>ROUND(L172,0)</f>
        <v>0</v>
      </c>
      <c r="P172" s="49">
        <f t="shared" si="74"/>
        <v>0</v>
      </c>
      <c r="Q172" s="234"/>
      <c r="R172" s="49">
        <f>ROUND(O172,0)</f>
        <v>0</v>
      </c>
      <c r="S172" s="49">
        <f t="shared" si="75"/>
        <v>0</v>
      </c>
      <c r="T172" s="234"/>
      <c r="U172" s="49">
        <f>ROUND(R172,0)</f>
        <v>0</v>
      </c>
      <c r="V172" s="49">
        <f t="shared" si="76"/>
        <v>0</v>
      </c>
      <c r="W172" s="234"/>
      <c r="X172" s="49">
        <f>ROUND(U172,0)</f>
        <v>0</v>
      </c>
      <c r="Y172" s="49">
        <f t="shared" si="77"/>
        <v>0</v>
      </c>
      <c r="Z172" s="234"/>
      <c r="AA172" s="49">
        <f>ROUND(H172,0)</f>
        <v>0</v>
      </c>
      <c r="AB172" s="53" t="e">
        <f t="shared" si="78"/>
        <v>#DIV/0!</v>
      </c>
      <c r="AC172" s="113"/>
    </row>
    <row r="173" spans="2:29" ht="16.8" customHeight="1" collapsed="1" x14ac:dyDescent="0.25">
      <c r="B173" s="106" t="s">
        <v>491</v>
      </c>
      <c r="C173" s="212" t="s">
        <v>489</v>
      </c>
      <c r="D173" s="235" t="s">
        <v>492</v>
      </c>
      <c r="E173" s="50">
        <v>160572.14087500004</v>
      </c>
      <c r="F173" s="50">
        <f>ROUND(E173,0)</f>
        <v>160572</v>
      </c>
      <c r="G173" s="49">
        <f t="shared" si="71"/>
        <v>-0.14087500004097819</v>
      </c>
      <c r="H173" s="228"/>
      <c r="I173" s="49">
        <f>ROUND(F173,0)</f>
        <v>160572</v>
      </c>
      <c r="J173" s="49">
        <f t="shared" si="72"/>
        <v>0</v>
      </c>
      <c r="K173" s="228"/>
      <c r="L173" s="49">
        <f>ROUND(I173,0)</f>
        <v>160572</v>
      </c>
      <c r="M173" s="49">
        <f t="shared" si="73"/>
        <v>0</v>
      </c>
      <c r="N173" s="228"/>
      <c r="O173" s="49">
        <f>ROUND(L173,0)</f>
        <v>160572</v>
      </c>
      <c r="P173" s="49">
        <f t="shared" si="74"/>
        <v>0</v>
      </c>
      <c r="Q173" s="228"/>
      <c r="R173" s="49">
        <f>ROUND(O173,0)+232064</f>
        <v>392636</v>
      </c>
      <c r="S173" s="49">
        <f t="shared" si="75"/>
        <v>232064</v>
      </c>
      <c r="T173" s="228" t="s">
        <v>493</v>
      </c>
      <c r="U173" s="49">
        <f>ROUND(R173,0)+1037000</f>
        <v>1429636</v>
      </c>
      <c r="V173" s="49">
        <f t="shared" si="76"/>
        <v>1037000</v>
      </c>
      <c r="W173" s="236" t="s">
        <v>494</v>
      </c>
      <c r="X173" s="49">
        <f>ROUND(U173,0)</f>
        <v>1429636</v>
      </c>
      <c r="Y173" s="49">
        <f t="shared" si="77"/>
        <v>0</v>
      </c>
      <c r="Z173" s="236"/>
      <c r="AA173" s="49">
        <v>376849.75</v>
      </c>
      <c r="AB173" s="53">
        <f t="shared" si="78"/>
        <v>0.26359839147867009</v>
      </c>
      <c r="AC173" s="113" t="s">
        <v>495</v>
      </c>
    </row>
    <row r="174" spans="2:29" ht="13.95" customHeight="1" x14ac:dyDescent="0.25">
      <c r="B174" s="106" t="s">
        <v>496</v>
      </c>
      <c r="C174" s="212" t="s">
        <v>497</v>
      </c>
      <c r="D174" s="227" t="s">
        <v>498</v>
      </c>
      <c r="E174" s="50">
        <v>355701</v>
      </c>
      <c r="F174" s="50">
        <f t="shared" ref="F174:F187" si="101">ROUND(E174,0)</f>
        <v>355701</v>
      </c>
      <c r="G174" s="49">
        <f t="shared" si="71"/>
        <v>0</v>
      </c>
      <c r="H174" s="222"/>
      <c r="I174" s="49">
        <f>ROUND(F174,0)</f>
        <v>355701</v>
      </c>
      <c r="J174" s="49">
        <f t="shared" si="72"/>
        <v>0</v>
      </c>
      <c r="K174" s="222"/>
      <c r="L174" s="49">
        <f>ROUND(I174,0)</f>
        <v>355701</v>
      </c>
      <c r="M174" s="49">
        <f t="shared" si="73"/>
        <v>0</v>
      </c>
      <c r="N174" s="222"/>
      <c r="O174" s="49">
        <f>ROUND(L174,0)</f>
        <v>355701</v>
      </c>
      <c r="P174" s="49">
        <f t="shared" si="74"/>
        <v>0</v>
      </c>
      <c r="Q174" s="222"/>
      <c r="R174" s="49">
        <f>ROUND(O174,0)</f>
        <v>355701</v>
      </c>
      <c r="S174" s="49">
        <f t="shared" si="75"/>
        <v>0</v>
      </c>
      <c r="T174" s="222"/>
      <c r="U174" s="49">
        <f>ROUND(R174,0)</f>
        <v>355701</v>
      </c>
      <c r="V174" s="49">
        <f t="shared" si="76"/>
        <v>0</v>
      </c>
      <c r="W174" s="222"/>
      <c r="X174" s="49">
        <f>ROUND(U174,0)</f>
        <v>355701</v>
      </c>
      <c r="Y174" s="49">
        <f t="shared" si="77"/>
        <v>0</v>
      </c>
      <c r="Z174" s="222"/>
      <c r="AA174" s="49">
        <v>355701</v>
      </c>
      <c r="AB174" s="53">
        <f t="shared" si="78"/>
        <v>1</v>
      </c>
      <c r="AC174" s="49" t="s">
        <v>474</v>
      </c>
    </row>
    <row r="175" spans="2:29" ht="27" customHeight="1" x14ac:dyDescent="0.25">
      <c r="B175" s="106" t="s">
        <v>229</v>
      </c>
      <c r="C175" s="225" t="s">
        <v>499</v>
      </c>
      <c r="D175" s="227" t="s">
        <v>361</v>
      </c>
      <c r="E175" s="50">
        <v>891139</v>
      </c>
      <c r="F175" s="50">
        <f t="shared" si="101"/>
        <v>891139</v>
      </c>
      <c r="G175" s="49">
        <f t="shared" si="71"/>
        <v>0</v>
      </c>
      <c r="H175" s="222"/>
      <c r="I175" s="49">
        <f>ROUND(F175,0)</f>
        <v>891139</v>
      </c>
      <c r="J175" s="49">
        <f t="shared" si="72"/>
        <v>0</v>
      </c>
      <c r="K175" s="222"/>
      <c r="L175" s="49">
        <f>ROUND(I175,0)</f>
        <v>891139</v>
      </c>
      <c r="M175" s="49">
        <f t="shared" si="73"/>
        <v>0</v>
      </c>
      <c r="N175" s="222"/>
      <c r="O175" s="49">
        <f>ROUND(L175,0)</f>
        <v>891139</v>
      </c>
      <c r="P175" s="49">
        <f t="shared" si="74"/>
        <v>0</v>
      </c>
      <c r="Q175" s="222"/>
      <c r="R175" s="49">
        <f>ROUND(O175,0)</f>
        <v>891139</v>
      </c>
      <c r="S175" s="49">
        <f t="shared" si="75"/>
        <v>0</v>
      </c>
      <c r="T175" s="222"/>
      <c r="U175" s="49">
        <f>ROUND(R175,0)</f>
        <v>891139</v>
      </c>
      <c r="V175" s="49">
        <f t="shared" si="76"/>
        <v>0</v>
      </c>
      <c r="W175" s="222"/>
      <c r="X175" s="49">
        <f>ROUND(U175,0)</f>
        <v>891139</v>
      </c>
      <c r="Y175" s="49">
        <f t="shared" si="77"/>
        <v>0</v>
      </c>
      <c r="Z175" s="222"/>
      <c r="AA175" s="49">
        <v>355206.33</v>
      </c>
      <c r="AB175" s="53">
        <f t="shared" si="78"/>
        <v>0.39859811993415173</v>
      </c>
      <c r="AC175" s="49" t="s">
        <v>466</v>
      </c>
    </row>
    <row r="176" spans="2:29" ht="25.95" customHeight="1" x14ac:dyDescent="0.25">
      <c r="B176" s="106" t="s">
        <v>500</v>
      </c>
      <c r="C176" s="212" t="s">
        <v>501</v>
      </c>
      <c r="D176" s="235" t="s">
        <v>502</v>
      </c>
      <c r="E176" s="50">
        <v>3779449</v>
      </c>
      <c r="F176" s="50">
        <f t="shared" si="101"/>
        <v>3779449</v>
      </c>
      <c r="G176" s="49">
        <f t="shared" si="71"/>
        <v>0</v>
      </c>
      <c r="H176" s="222"/>
      <c r="I176" s="49">
        <f>ROUND(F176,0)</f>
        <v>3779449</v>
      </c>
      <c r="J176" s="49">
        <f t="shared" si="72"/>
        <v>0</v>
      </c>
      <c r="K176" s="222"/>
      <c r="L176" s="49">
        <f>ROUND(I176,0)</f>
        <v>3779449</v>
      </c>
      <c r="M176" s="49">
        <f t="shared" si="73"/>
        <v>0</v>
      </c>
      <c r="N176" s="222"/>
      <c r="O176" s="49">
        <f>ROUND(L176,0)</f>
        <v>3779449</v>
      </c>
      <c r="P176" s="49">
        <f t="shared" si="74"/>
        <v>0</v>
      </c>
      <c r="Q176" s="222"/>
      <c r="R176" s="49">
        <f>ROUND(O176,0)</f>
        <v>3779449</v>
      </c>
      <c r="S176" s="49">
        <f t="shared" si="75"/>
        <v>0</v>
      </c>
      <c r="T176" s="222"/>
      <c r="U176" s="49">
        <f>ROUND(R176,0)-1605698</f>
        <v>2173751</v>
      </c>
      <c r="V176" s="52">
        <f t="shared" si="76"/>
        <v>-1605698</v>
      </c>
      <c r="W176" s="222" t="s">
        <v>338</v>
      </c>
      <c r="X176" s="49">
        <f>ROUND(U176,0)</f>
        <v>2173751</v>
      </c>
      <c r="Y176" s="49">
        <f t="shared" si="77"/>
        <v>0</v>
      </c>
      <c r="Z176" s="222"/>
      <c r="AA176" s="237">
        <v>1765843.38</v>
      </c>
      <c r="AB176" s="53">
        <f t="shared" si="78"/>
        <v>0.81234850725773089</v>
      </c>
      <c r="AC176" s="49" t="s">
        <v>339</v>
      </c>
    </row>
    <row r="177" spans="2:29" ht="32.25" customHeight="1" x14ac:dyDescent="0.25">
      <c r="B177" s="106" t="s">
        <v>5</v>
      </c>
      <c r="C177" s="212" t="s">
        <v>503</v>
      </c>
      <c r="D177" s="235" t="s">
        <v>504</v>
      </c>
      <c r="E177" s="238">
        <v>5552774.9964329991</v>
      </c>
      <c r="F177" s="238">
        <f>SUM(F178:F180)</f>
        <v>5552775</v>
      </c>
      <c r="G177" s="49">
        <f t="shared" si="71"/>
        <v>3.5670008510351181E-3</v>
      </c>
      <c r="H177" s="222"/>
      <c r="I177" s="129">
        <f>SUM(I178:I180)</f>
        <v>5888293</v>
      </c>
      <c r="J177" s="49">
        <f t="shared" si="72"/>
        <v>335518</v>
      </c>
      <c r="K177" s="222"/>
      <c r="L177" s="129">
        <f>SUM(L178:L180)</f>
        <v>5908293</v>
      </c>
      <c r="M177" s="49">
        <f t="shared" si="73"/>
        <v>20000</v>
      </c>
      <c r="N177" s="222"/>
      <c r="O177" s="129">
        <f>SUM(O178:O180)</f>
        <v>5825768</v>
      </c>
      <c r="P177" s="49">
        <f t="shared" si="74"/>
        <v>-82525</v>
      </c>
      <c r="Q177" s="222"/>
      <c r="R177" s="129">
        <f>SUM(R178:R180)</f>
        <v>5837717</v>
      </c>
      <c r="S177" s="49">
        <f t="shared" si="75"/>
        <v>11949</v>
      </c>
      <c r="T177" s="222"/>
      <c r="U177" s="129">
        <f>SUM(U178:U180)</f>
        <v>5476952</v>
      </c>
      <c r="V177" s="52">
        <f t="shared" si="76"/>
        <v>-360765</v>
      </c>
      <c r="W177" s="222"/>
      <c r="X177" s="129">
        <f>SUM(X178:X180)</f>
        <v>5476952</v>
      </c>
      <c r="Y177" s="49">
        <f t="shared" si="77"/>
        <v>0</v>
      </c>
      <c r="Z177" s="222"/>
      <c r="AA177" s="129">
        <f>SUM(AA178:AA180)</f>
        <v>4603213.1400000006</v>
      </c>
      <c r="AB177" s="239">
        <f t="shared" si="78"/>
        <v>0.84046987083326652</v>
      </c>
      <c r="AC177" s="129" t="s">
        <v>339</v>
      </c>
    </row>
    <row r="178" spans="2:29" ht="30.6" customHeight="1" x14ac:dyDescent="0.25">
      <c r="B178" s="106"/>
      <c r="C178" s="240" t="s">
        <v>505</v>
      </c>
      <c r="D178" s="241" t="s">
        <v>506</v>
      </c>
      <c r="E178" s="238">
        <v>4996040.3361329995</v>
      </c>
      <c r="F178" s="238">
        <f t="shared" si="101"/>
        <v>4996040</v>
      </c>
      <c r="G178" s="49">
        <f t="shared" si="71"/>
        <v>-0.33613299950957298</v>
      </c>
      <c r="H178" s="222"/>
      <c r="I178" s="129">
        <f>ROUND(F178,0)-18000+16000+21000+30000+5000+30000+12000+36000+(54000+126000)+15597</f>
        <v>5323637</v>
      </c>
      <c r="J178" s="55">
        <f t="shared" si="72"/>
        <v>327597</v>
      </c>
      <c r="K178" s="223" t="s">
        <v>507</v>
      </c>
      <c r="L178" s="129">
        <f>ROUND(I178,0)-17977-99-410-4242-202-86-55-19408-8457</f>
        <v>5272701</v>
      </c>
      <c r="M178" s="49">
        <f t="shared" si="73"/>
        <v>-50936</v>
      </c>
      <c r="N178" s="222" t="s">
        <v>508</v>
      </c>
      <c r="O178" s="129">
        <f>ROUND(L178,0)-50000+25175-54000-3700</f>
        <v>5190176</v>
      </c>
      <c r="P178" s="49">
        <f t="shared" si="74"/>
        <v>-82525</v>
      </c>
      <c r="Q178" s="222" t="s">
        <v>509</v>
      </c>
      <c r="R178" s="129">
        <f>ROUND(O178,0)+8445+3504-9551-10040-20707</f>
        <v>5161827</v>
      </c>
      <c r="S178" s="49">
        <f t="shared" si="75"/>
        <v>-28349</v>
      </c>
      <c r="T178" s="222" t="s">
        <v>510</v>
      </c>
      <c r="U178" s="129">
        <f>ROUND(R178,0)-358140-2625-15471</f>
        <v>4785591</v>
      </c>
      <c r="V178" s="52">
        <f t="shared" si="76"/>
        <v>-376236</v>
      </c>
      <c r="W178" s="222" t="s">
        <v>511</v>
      </c>
      <c r="X178" s="129">
        <f>ROUND(U178,0)</f>
        <v>4785591</v>
      </c>
      <c r="Y178" s="49">
        <f t="shared" si="77"/>
        <v>0</v>
      </c>
      <c r="Z178" s="222"/>
      <c r="AA178" s="129">
        <f>4091462.14-79427</f>
        <v>4012035.14</v>
      </c>
      <c r="AB178" s="239">
        <f t="shared" si="78"/>
        <v>0.83835729798054204</v>
      </c>
      <c r="AC178" s="129" t="s">
        <v>339</v>
      </c>
    </row>
    <row r="179" spans="2:29" ht="20.25" customHeight="1" x14ac:dyDescent="0.25">
      <c r="B179" s="106"/>
      <c r="C179" s="240" t="s">
        <v>512</v>
      </c>
      <c r="D179" s="241" t="s">
        <v>513</v>
      </c>
      <c r="E179" s="238">
        <v>295000</v>
      </c>
      <c r="F179" s="238">
        <f t="shared" si="101"/>
        <v>295000</v>
      </c>
      <c r="G179" s="49">
        <f t="shared" si="71"/>
        <v>0</v>
      </c>
      <c r="H179" s="222"/>
      <c r="I179" s="129">
        <f t="shared" ref="I179:I190" si="102">ROUND(F179,0)</f>
        <v>295000</v>
      </c>
      <c r="J179" s="49">
        <f t="shared" si="72"/>
        <v>0</v>
      </c>
      <c r="K179" s="222"/>
      <c r="L179" s="129">
        <f>ROUND(I179,0)+27920</f>
        <v>322920</v>
      </c>
      <c r="M179" s="49">
        <f t="shared" si="73"/>
        <v>27920</v>
      </c>
      <c r="N179" s="222" t="s">
        <v>514</v>
      </c>
      <c r="O179" s="129">
        <f>ROUND(L179,0)</f>
        <v>322920</v>
      </c>
      <c r="P179" s="49">
        <f t="shared" si="74"/>
        <v>0</v>
      </c>
      <c r="Q179" s="222"/>
      <c r="R179" s="129">
        <f>ROUND(O179,0)+20707</f>
        <v>343627</v>
      </c>
      <c r="S179" s="49">
        <f t="shared" si="75"/>
        <v>20707</v>
      </c>
      <c r="T179" s="222" t="s">
        <v>515</v>
      </c>
      <c r="U179" s="129">
        <f>ROUND(R179,0)</f>
        <v>343627</v>
      </c>
      <c r="V179" s="52">
        <f t="shared" si="76"/>
        <v>0</v>
      </c>
      <c r="W179" s="222"/>
      <c r="X179" s="129">
        <f>ROUND(U179,0)</f>
        <v>343627</v>
      </c>
      <c r="Y179" s="49">
        <f t="shared" si="77"/>
        <v>0</v>
      </c>
      <c r="Z179" s="222"/>
      <c r="AA179" s="129">
        <v>343627</v>
      </c>
      <c r="AB179" s="239">
        <f t="shared" si="78"/>
        <v>1</v>
      </c>
      <c r="AC179" s="129" t="s">
        <v>339</v>
      </c>
    </row>
    <row r="180" spans="2:29" ht="45" customHeight="1" x14ac:dyDescent="0.25">
      <c r="B180" s="106"/>
      <c r="C180" s="240" t="s">
        <v>516</v>
      </c>
      <c r="D180" s="241" t="s">
        <v>517</v>
      </c>
      <c r="E180" s="238">
        <v>261734.66029999999</v>
      </c>
      <c r="F180" s="238">
        <f t="shared" si="101"/>
        <v>261735</v>
      </c>
      <c r="G180" s="49">
        <f t="shared" si="71"/>
        <v>0.33970000001136214</v>
      </c>
      <c r="H180" s="222"/>
      <c r="I180" s="129">
        <f>ROUND(F180,0)+7921</f>
        <v>269656</v>
      </c>
      <c r="J180" s="49">
        <f t="shared" si="72"/>
        <v>7921</v>
      </c>
      <c r="K180" s="222" t="s">
        <v>518</v>
      </c>
      <c r="L180" s="129">
        <f>ROUND(I180,0)+17977+99+410+4242+202+86+20000</f>
        <v>312672</v>
      </c>
      <c r="M180" s="49">
        <f t="shared" si="73"/>
        <v>43016</v>
      </c>
      <c r="N180" s="222" t="s">
        <v>519</v>
      </c>
      <c r="O180" s="129">
        <f>ROUND(L180,0)</f>
        <v>312672</v>
      </c>
      <c r="P180" s="49">
        <f t="shared" si="74"/>
        <v>0</v>
      </c>
      <c r="Q180" s="222"/>
      <c r="R180" s="129">
        <f>ROUND(O180,0)+9551+10040</f>
        <v>332263</v>
      </c>
      <c r="S180" s="49">
        <f t="shared" si="75"/>
        <v>19591</v>
      </c>
      <c r="T180" s="222" t="s">
        <v>520</v>
      </c>
      <c r="U180" s="129">
        <f>ROUND(R180,0)+15471</f>
        <v>347734</v>
      </c>
      <c r="V180" s="52">
        <f t="shared" si="76"/>
        <v>15471</v>
      </c>
      <c r="W180" s="242" t="s">
        <v>521</v>
      </c>
      <c r="X180" s="129">
        <f>ROUND(U180,0)</f>
        <v>347734</v>
      </c>
      <c r="Y180" s="49">
        <f t="shared" si="77"/>
        <v>0</v>
      </c>
      <c r="Z180" s="222"/>
      <c r="AA180" s="129">
        <f>57874+5949+183728</f>
        <v>247551</v>
      </c>
      <c r="AB180" s="239">
        <f t="shared" si="78"/>
        <v>0.7118975998895708</v>
      </c>
      <c r="AC180" s="129" t="s">
        <v>339</v>
      </c>
    </row>
    <row r="181" spans="2:29" ht="29.25" hidden="1" customHeight="1" outlineLevel="1" x14ac:dyDescent="0.25">
      <c r="B181" s="106" t="s">
        <v>522</v>
      </c>
      <c r="C181" s="212" t="s">
        <v>523</v>
      </c>
      <c r="D181" s="235" t="s">
        <v>524</v>
      </c>
      <c r="E181" s="50">
        <v>0</v>
      </c>
      <c r="F181" s="50">
        <f t="shared" si="101"/>
        <v>0</v>
      </c>
      <c r="G181" s="49">
        <f t="shared" si="71"/>
        <v>0</v>
      </c>
      <c r="H181" s="77"/>
      <c r="I181" s="49">
        <f t="shared" si="102"/>
        <v>0</v>
      </c>
      <c r="J181" s="49">
        <f t="shared" si="72"/>
        <v>0</v>
      </c>
      <c r="K181" s="77"/>
      <c r="L181" s="49">
        <f t="shared" ref="L181:L190" si="103">ROUND(I181,0)</f>
        <v>0</v>
      </c>
      <c r="M181" s="49">
        <f t="shared" si="73"/>
        <v>0</v>
      </c>
      <c r="N181" s="77"/>
      <c r="O181" s="49">
        <f>ROUND(L181,0)</f>
        <v>0</v>
      </c>
      <c r="P181" s="49">
        <f t="shared" si="74"/>
        <v>0</v>
      </c>
      <c r="Q181" s="77"/>
      <c r="R181" s="49">
        <f t="shared" ref="R181:R190" si="104">ROUND(O181,0)</f>
        <v>0</v>
      </c>
      <c r="S181" s="49">
        <f t="shared" si="75"/>
        <v>0</v>
      </c>
      <c r="T181" s="77"/>
      <c r="U181" s="49">
        <f t="shared" ref="U181:U184" si="105">ROUND(R181,0)</f>
        <v>0</v>
      </c>
      <c r="V181" s="49">
        <f t="shared" si="76"/>
        <v>0</v>
      </c>
      <c r="W181" s="77"/>
      <c r="X181" s="49">
        <f t="shared" ref="X181" si="106">ROUND(U181,0)</f>
        <v>0</v>
      </c>
      <c r="Y181" s="49">
        <f t="shared" si="77"/>
        <v>0</v>
      </c>
      <c r="Z181" s="77"/>
      <c r="AA181" s="49">
        <f>ROUND(H181,0)</f>
        <v>0</v>
      </c>
      <c r="AB181" s="87" t="e">
        <f t="shared" si="78"/>
        <v>#DIV/0!</v>
      </c>
      <c r="AC181" s="55"/>
    </row>
    <row r="182" spans="2:29" ht="39.6" customHeight="1" collapsed="1" x14ac:dyDescent="0.25">
      <c r="B182" s="106" t="s">
        <v>525</v>
      </c>
      <c r="C182" s="225" t="s">
        <v>526</v>
      </c>
      <c r="D182" s="227" t="s">
        <v>527</v>
      </c>
      <c r="E182" s="50">
        <v>391245.35220000002</v>
      </c>
      <c r="F182" s="50">
        <f t="shared" si="101"/>
        <v>391245</v>
      </c>
      <c r="G182" s="49">
        <f t="shared" si="71"/>
        <v>-0.35220000002300367</v>
      </c>
      <c r="H182" s="222"/>
      <c r="I182" s="49">
        <f t="shared" si="102"/>
        <v>391245</v>
      </c>
      <c r="J182" s="49">
        <f t="shared" si="72"/>
        <v>0</v>
      </c>
      <c r="K182" s="222"/>
      <c r="L182" s="49">
        <f t="shared" si="103"/>
        <v>391245</v>
      </c>
      <c r="M182" s="49">
        <f t="shared" si="73"/>
        <v>0</v>
      </c>
      <c r="N182" s="222"/>
      <c r="O182" s="49">
        <f>ROUND(L182,0)</f>
        <v>391245</v>
      </c>
      <c r="P182" s="49">
        <f t="shared" si="74"/>
        <v>0</v>
      </c>
      <c r="Q182" s="222"/>
      <c r="R182" s="49">
        <f t="shared" si="104"/>
        <v>391245</v>
      </c>
      <c r="S182" s="49">
        <f t="shared" si="75"/>
        <v>0</v>
      </c>
      <c r="T182" s="222"/>
      <c r="U182" s="49">
        <f>ROUND(R182,0)-148866</f>
        <v>242379</v>
      </c>
      <c r="V182" s="52">
        <f t="shared" si="76"/>
        <v>-148866</v>
      </c>
      <c r="W182" s="222" t="s">
        <v>528</v>
      </c>
      <c r="X182" s="49">
        <f>ROUND(U182,0)</f>
        <v>242379</v>
      </c>
      <c r="Y182" s="49">
        <f t="shared" si="77"/>
        <v>0</v>
      </c>
      <c r="Z182" s="222"/>
      <c r="AA182" s="244">
        <v>242378.23</v>
      </c>
      <c r="AB182" s="53">
        <f t="shared" si="78"/>
        <v>0.99999682315712179</v>
      </c>
      <c r="AC182" s="49" t="s">
        <v>466</v>
      </c>
    </row>
    <row r="183" spans="2:29" ht="16.2" customHeight="1" x14ac:dyDescent="0.25">
      <c r="B183" s="106" t="s">
        <v>496</v>
      </c>
      <c r="C183" s="225" t="s">
        <v>529</v>
      </c>
      <c r="D183" s="227" t="s">
        <v>530</v>
      </c>
      <c r="E183" s="50">
        <v>32000</v>
      </c>
      <c r="F183" s="50">
        <f t="shared" si="101"/>
        <v>32000</v>
      </c>
      <c r="G183" s="49">
        <f t="shared" si="71"/>
        <v>0</v>
      </c>
      <c r="H183" s="222"/>
      <c r="I183" s="49">
        <f t="shared" si="102"/>
        <v>32000</v>
      </c>
      <c r="J183" s="49">
        <f t="shared" si="72"/>
        <v>0</v>
      </c>
      <c r="K183" s="222"/>
      <c r="L183" s="49">
        <f t="shared" si="103"/>
        <v>32000</v>
      </c>
      <c r="M183" s="49">
        <f t="shared" si="73"/>
        <v>0</v>
      </c>
      <c r="N183" s="222" t="s">
        <v>531</v>
      </c>
      <c r="O183" s="49">
        <f>ROUND(L183,0)</f>
        <v>32000</v>
      </c>
      <c r="P183" s="49">
        <f t="shared" si="74"/>
        <v>0</v>
      </c>
      <c r="Q183" s="222"/>
      <c r="R183" s="49">
        <f t="shared" si="104"/>
        <v>32000</v>
      </c>
      <c r="S183" s="49">
        <f t="shared" si="75"/>
        <v>0</v>
      </c>
      <c r="T183" s="222"/>
      <c r="U183" s="49">
        <f t="shared" si="105"/>
        <v>32000</v>
      </c>
      <c r="V183" s="49">
        <f t="shared" si="76"/>
        <v>0</v>
      </c>
      <c r="W183" s="222"/>
      <c r="X183" s="49">
        <f t="shared" ref="X183:X184" si="107">ROUND(U183,0)</f>
        <v>32000</v>
      </c>
      <c r="Y183" s="49">
        <f t="shared" si="77"/>
        <v>0</v>
      </c>
      <c r="Z183" s="222"/>
      <c r="AA183" s="74">
        <f>26409.77+5546.05</f>
        <v>31955.82</v>
      </c>
      <c r="AB183" s="53">
        <f t="shared" si="78"/>
        <v>0.99861937499999998</v>
      </c>
      <c r="AC183" s="49" t="s">
        <v>532</v>
      </c>
    </row>
    <row r="184" spans="2:29" ht="30" customHeight="1" x14ac:dyDescent="0.25">
      <c r="B184" s="106"/>
      <c r="C184" s="225" t="s">
        <v>533</v>
      </c>
      <c r="D184" s="227" t="s">
        <v>373</v>
      </c>
      <c r="E184" s="50">
        <v>293146</v>
      </c>
      <c r="F184" s="50">
        <f t="shared" si="101"/>
        <v>293146</v>
      </c>
      <c r="G184" s="49">
        <f t="shared" si="71"/>
        <v>0</v>
      </c>
      <c r="H184" s="222"/>
      <c r="I184" s="49">
        <f t="shared" si="102"/>
        <v>293146</v>
      </c>
      <c r="J184" s="49">
        <f t="shared" si="72"/>
        <v>0</v>
      </c>
      <c r="K184" s="222"/>
      <c r="L184" s="49">
        <f>ROUND(I184,0)+57326</f>
        <v>350472</v>
      </c>
      <c r="M184" s="49">
        <f t="shared" si="73"/>
        <v>57326</v>
      </c>
      <c r="N184" s="222" t="s">
        <v>374</v>
      </c>
      <c r="O184" s="49">
        <f>ROUND(L184,0)-27000</f>
        <v>323472</v>
      </c>
      <c r="P184" s="49">
        <f t="shared" si="74"/>
        <v>-27000</v>
      </c>
      <c r="Q184" s="222" t="s">
        <v>534</v>
      </c>
      <c r="R184" s="49">
        <f t="shared" si="104"/>
        <v>323472</v>
      </c>
      <c r="S184" s="49">
        <f t="shared" si="75"/>
        <v>0</v>
      </c>
      <c r="T184" s="222"/>
      <c r="U184" s="49">
        <f t="shared" si="105"/>
        <v>323472</v>
      </c>
      <c r="V184" s="49">
        <f t="shared" si="76"/>
        <v>0</v>
      </c>
      <c r="W184" s="222"/>
      <c r="X184" s="49">
        <f t="shared" si="107"/>
        <v>323472</v>
      </c>
      <c r="Y184" s="49">
        <f t="shared" si="77"/>
        <v>0</v>
      </c>
      <c r="Z184" s="222"/>
      <c r="AA184" s="74">
        <v>255732.29</v>
      </c>
      <c r="AB184" s="53">
        <f t="shared" si="78"/>
        <v>0.79058555299995059</v>
      </c>
      <c r="AC184" s="49" t="s">
        <v>535</v>
      </c>
    </row>
    <row r="185" spans="2:29" ht="33.75" customHeight="1" x14ac:dyDescent="0.25">
      <c r="B185" s="106"/>
      <c r="C185" s="225" t="s">
        <v>536</v>
      </c>
      <c r="D185" s="227" t="s">
        <v>376</v>
      </c>
      <c r="E185" s="50">
        <v>180000</v>
      </c>
      <c r="F185" s="50">
        <f t="shared" si="101"/>
        <v>180000</v>
      </c>
      <c r="G185" s="49">
        <f t="shared" si="71"/>
        <v>0</v>
      </c>
      <c r="H185" s="222"/>
      <c r="I185" s="49">
        <f t="shared" si="102"/>
        <v>180000</v>
      </c>
      <c r="J185" s="49">
        <f t="shared" si="72"/>
        <v>0</v>
      </c>
      <c r="K185" s="222"/>
      <c r="L185" s="49">
        <f t="shared" si="103"/>
        <v>180000</v>
      </c>
      <c r="M185" s="49">
        <f t="shared" si="73"/>
        <v>0</v>
      </c>
      <c r="N185" s="222"/>
      <c r="O185" s="49">
        <f>ROUND(L185,0)-8000-7875</f>
        <v>164125</v>
      </c>
      <c r="P185" s="49">
        <f t="shared" si="74"/>
        <v>-15875</v>
      </c>
      <c r="Q185" s="222" t="s">
        <v>537</v>
      </c>
      <c r="R185" s="49">
        <f>ROUND(O185,0)-6125-126000-25950</f>
        <v>6050</v>
      </c>
      <c r="S185" s="49">
        <f t="shared" si="75"/>
        <v>-158075</v>
      </c>
      <c r="T185" s="222" t="s">
        <v>538</v>
      </c>
      <c r="U185" s="49">
        <f>ROUND(R185,0)</f>
        <v>6050</v>
      </c>
      <c r="V185" s="49">
        <f t="shared" si="76"/>
        <v>0</v>
      </c>
      <c r="W185" s="222"/>
      <c r="X185" s="49">
        <f>ROUND(U185,0)</f>
        <v>6050</v>
      </c>
      <c r="Y185" s="49">
        <f t="shared" si="77"/>
        <v>0</v>
      </c>
      <c r="Z185" s="222"/>
      <c r="AA185" s="74">
        <v>6050</v>
      </c>
      <c r="AB185" s="53">
        <f t="shared" si="78"/>
        <v>1</v>
      </c>
      <c r="AC185" s="49" t="s">
        <v>539</v>
      </c>
    </row>
    <row r="186" spans="2:29" ht="15.6" customHeight="1" x14ac:dyDescent="0.25">
      <c r="B186" s="106"/>
      <c r="C186" s="225" t="s">
        <v>540</v>
      </c>
      <c r="D186" s="227" t="s">
        <v>215</v>
      </c>
      <c r="E186" s="50"/>
      <c r="F186" s="50"/>
      <c r="G186" s="49"/>
      <c r="H186" s="222"/>
      <c r="I186" s="49"/>
      <c r="J186" s="49"/>
      <c r="K186" s="222"/>
      <c r="L186" s="49"/>
      <c r="M186" s="49"/>
      <c r="N186" s="222"/>
      <c r="O186" s="49"/>
      <c r="P186" s="49"/>
      <c r="Q186" s="222"/>
      <c r="R186" s="49"/>
      <c r="S186" s="49"/>
      <c r="T186" s="222"/>
      <c r="U186" s="49">
        <v>1875165</v>
      </c>
      <c r="V186" s="52">
        <f t="shared" si="76"/>
        <v>1875165</v>
      </c>
      <c r="W186" s="222" t="s">
        <v>216</v>
      </c>
      <c r="X186" s="49">
        <v>1875165</v>
      </c>
      <c r="Y186" s="49">
        <f t="shared" si="77"/>
        <v>0</v>
      </c>
      <c r="Z186" s="222"/>
      <c r="AA186" s="74">
        <v>0</v>
      </c>
      <c r="AB186" s="53">
        <f t="shared" si="78"/>
        <v>0</v>
      </c>
      <c r="AC186" s="49" t="s">
        <v>541</v>
      </c>
    </row>
    <row r="187" spans="2:29" ht="35.25" customHeight="1" x14ac:dyDescent="0.25">
      <c r="B187" s="106"/>
      <c r="C187" s="225" t="s">
        <v>542</v>
      </c>
      <c r="D187" s="245" t="s">
        <v>368</v>
      </c>
      <c r="E187" s="50">
        <v>645000</v>
      </c>
      <c r="F187" s="50">
        <f t="shared" si="101"/>
        <v>645000</v>
      </c>
      <c r="G187" s="49">
        <f t="shared" si="71"/>
        <v>0</v>
      </c>
      <c r="H187" s="222"/>
      <c r="I187" s="49">
        <f t="shared" si="102"/>
        <v>645000</v>
      </c>
      <c r="J187" s="49">
        <f t="shared" si="72"/>
        <v>0</v>
      </c>
      <c r="K187" s="222"/>
      <c r="L187" s="49">
        <f t="shared" si="103"/>
        <v>645000</v>
      </c>
      <c r="M187" s="49">
        <f t="shared" si="73"/>
        <v>0</v>
      </c>
      <c r="N187" s="222"/>
      <c r="O187" s="49">
        <f>ROUND(L187,0)+54000+7875</f>
        <v>706875</v>
      </c>
      <c r="P187" s="49">
        <f t="shared" si="74"/>
        <v>61875</v>
      </c>
      <c r="Q187" s="222" t="s">
        <v>543</v>
      </c>
      <c r="R187" s="49">
        <f>ROUND(O187,0)-61875-645000</f>
        <v>0</v>
      </c>
      <c r="S187" s="49">
        <f t="shared" si="75"/>
        <v>-706875</v>
      </c>
      <c r="T187" s="222" t="s">
        <v>544</v>
      </c>
      <c r="U187" s="49">
        <f>ROUND(R187,0)</f>
        <v>0</v>
      </c>
      <c r="V187" s="49">
        <f t="shared" si="76"/>
        <v>0</v>
      </c>
      <c r="W187" s="222"/>
      <c r="X187" s="49">
        <f>ROUND(U187,0)</f>
        <v>0</v>
      </c>
      <c r="Y187" s="49">
        <f t="shared" si="77"/>
        <v>0</v>
      </c>
      <c r="Z187" s="222"/>
      <c r="AA187" s="74">
        <v>0</v>
      </c>
      <c r="AB187" s="53"/>
      <c r="AC187" s="49" t="s">
        <v>539</v>
      </c>
    </row>
    <row r="188" spans="2:29" ht="18.600000000000001" customHeight="1" x14ac:dyDescent="0.25">
      <c r="B188" s="106" t="s">
        <v>277</v>
      </c>
      <c r="C188" s="225" t="s">
        <v>545</v>
      </c>
      <c r="D188" s="235" t="s">
        <v>279</v>
      </c>
      <c r="E188" s="50">
        <v>546771</v>
      </c>
      <c r="F188" s="50">
        <f>ROUND(E188,0)</f>
        <v>546771</v>
      </c>
      <c r="G188" s="49">
        <f>F188-E188</f>
        <v>0</v>
      </c>
      <c r="H188" s="222"/>
      <c r="I188" s="49">
        <f t="shared" si="102"/>
        <v>546771</v>
      </c>
      <c r="J188" s="49">
        <f t="shared" si="72"/>
        <v>0</v>
      </c>
      <c r="K188" s="222"/>
      <c r="L188" s="49">
        <f t="shared" si="103"/>
        <v>546771</v>
      </c>
      <c r="M188" s="49">
        <f t="shared" si="73"/>
        <v>0</v>
      </c>
      <c r="N188" s="222" t="s">
        <v>531</v>
      </c>
      <c r="O188" s="49">
        <f>ROUND(L188,0)</f>
        <v>546771</v>
      </c>
      <c r="P188" s="49">
        <f t="shared" si="74"/>
        <v>0</v>
      </c>
      <c r="Q188" s="222"/>
      <c r="R188" s="49">
        <f t="shared" si="104"/>
        <v>546771</v>
      </c>
      <c r="S188" s="49">
        <f t="shared" si="75"/>
        <v>0</v>
      </c>
      <c r="T188" s="222"/>
      <c r="U188" s="49">
        <f t="shared" ref="U188" si="108">ROUND(R188,0)</f>
        <v>546771</v>
      </c>
      <c r="V188" s="49">
        <f t="shared" si="76"/>
        <v>0</v>
      </c>
      <c r="W188" s="222"/>
      <c r="X188" s="49">
        <f t="shared" ref="X188" si="109">ROUND(U188,0)</f>
        <v>546771</v>
      </c>
      <c r="Y188" s="49">
        <f t="shared" si="77"/>
        <v>0</v>
      </c>
      <c r="Z188" s="222"/>
      <c r="AA188" s="74">
        <f>ROUND(H188,0)</f>
        <v>0</v>
      </c>
      <c r="AB188" s="53">
        <f t="shared" si="78"/>
        <v>0</v>
      </c>
      <c r="AC188" s="49" t="s">
        <v>466</v>
      </c>
    </row>
    <row r="189" spans="2:29" ht="28.5" customHeight="1" x14ac:dyDescent="0.25">
      <c r="B189" s="106"/>
      <c r="C189" s="225" t="s">
        <v>546</v>
      </c>
      <c r="D189" s="235" t="s">
        <v>281</v>
      </c>
      <c r="E189" s="50">
        <v>1204480</v>
      </c>
      <c r="F189" s="50">
        <f>ROUND(E189,0)</f>
        <v>1204480</v>
      </c>
      <c r="G189" s="49">
        <f>F189-E189</f>
        <v>0</v>
      </c>
      <c r="H189" s="222"/>
      <c r="I189" s="49">
        <f t="shared" si="102"/>
        <v>1204480</v>
      </c>
      <c r="J189" s="49">
        <f t="shared" si="72"/>
        <v>0</v>
      </c>
      <c r="K189" s="222"/>
      <c r="L189" s="49">
        <f t="shared" si="103"/>
        <v>1204480</v>
      </c>
      <c r="M189" s="49">
        <f t="shared" si="73"/>
        <v>0</v>
      </c>
      <c r="N189" s="222"/>
      <c r="O189" s="49">
        <f>ROUND(L189,0)</f>
        <v>1204480</v>
      </c>
      <c r="P189" s="49">
        <f t="shared" si="74"/>
        <v>0</v>
      </c>
      <c r="Q189" s="222"/>
      <c r="R189" s="49">
        <f>ROUND(O189,0)-1204480</f>
        <v>0</v>
      </c>
      <c r="S189" s="49">
        <f t="shared" si="75"/>
        <v>-1204480</v>
      </c>
      <c r="T189" s="222" t="s">
        <v>282</v>
      </c>
      <c r="U189" s="49">
        <f>ROUND(R189,0)</f>
        <v>0</v>
      </c>
      <c r="V189" s="49">
        <f t="shared" si="76"/>
        <v>0</v>
      </c>
      <c r="W189" s="222"/>
      <c r="X189" s="49">
        <f>ROUND(U189,0)</f>
        <v>0</v>
      </c>
      <c r="Y189" s="49">
        <f t="shared" si="77"/>
        <v>0</v>
      </c>
      <c r="Z189" s="222"/>
      <c r="AA189" s="74">
        <f>ROUND(H189,0)</f>
        <v>0</v>
      </c>
      <c r="AB189" s="53"/>
      <c r="AC189" s="49" t="s">
        <v>466</v>
      </c>
    </row>
    <row r="190" spans="2:29" ht="27.6" customHeight="1" x14ac:dyDescent="0.25">
      <c r="B190" s="106" t="s">
        <v>547</v>
      </c>
      <c r="C190" s="225" t="s">
        <v>548</v>
      </c>
      <c r="D190" s="245" t="s">
        <v>549</v>
      </c>
      <c r="E190" s="50">
        <v>40898</v>
      </c>
      <c r="F190" s="50">
        <f>ROUND(E190,0)</f>
        <v>40898</v>
      </c>
      <c r="G190" s="49">
        <f>F190-E190</f>
        <v>0</v>
      </c>
      <c r="H190" s="77"/>
      <c r="I190" s="49">
        <f t="shared" si="102"/>
        <v>40898</v>
      </c>
      <c r="J190" s="49">
        <f t="shared" si="72"/>
        <v>0</v>
      </c>
      <c r="K190" s="77"/>
      <c r="L190" s="49">
        <f t="shared" si="103"/>
        <v>40898</v>
      </c>
      <c r="M190" s="49">
        <f t="shared" si="73"/>
        <v>0</v>
      </c>
      <c r="N190" s="77"/>
      <c r="O190" s="49">
        <f>ROUND(L190,0)</f>
        <v>40898</v>
      </c>
      <c r="P190" s="49">
        <f t="shared" si="74"/>
        <v>0</v>
      </c>
      <c r="Q190" s="77"/>
      <c r="R190" s="49">
        <f t="shared" si="104"/>
        <v>40898</v>
      </c>
      <c r="S190" s="49">
        <f t="shared" si="75"/>
        <v>0</v>
      </c>
      <c r="T190" s="77"/>
      <c r="U190" s="49">
        <f t="shared" ref="U190" si="110">ROUND(R190,0)</f>
        <v>40898</v>
      </c>
      <c r="V190" s="49">
        <f t="shared" si="76"/>
        <v>0</v>
      </c>
      <c r="W190" s="77"/>
      <c r="X190" s="49">
        <f t="shared" ref="X190" si="111">ROUND(U190,0)</f>
        <v>40898</v>
      </c>
      <c r="Y190" s="49">
        <f t="shared" si="77"/>
        <v>0</v>
      </c>
      <c r="Z190" s="77"/>
      <c r="AA190" s="246">
        <v>0</v>
      </c>
      <c r="AB190" s="53">
        <f t="shared" si="78"/>
        <v>0</v>
      </c>
      <c r="AC190" s="79" t="s">
        <v>535</v>
      </c>
    </row>
    <row r="191" spans="2:29" x14ac:dyDescent="0.25">
      <c r="C191" s="206" t="s">
        <v>119</v>
      </c>
      <c r="D191" s="207" t="s">
        <v>550</v>
      </c>
      <c r="E191" s="60">
        <v>2486998.34369</v>
      </c>
      <c r="F191" s="60">
        <f t="shared" ref="F191" si="112">SUM(F192,F196:F203)</f>
        <v>2486999</v>
      </c>
      <c r="G191" s="59">
        <f>SUM(G192,G197:G203)</f>
        <v>0.25630999998065818</v>
      </c>
      <c r="H191" s="59"/>
      <c r="I191" s="59">
        <f>SUM(I192,I196:I203)</f>
        <v>2523654</v>
      </c>
      <c r="J191" s="59">
        <f t="shared" si="72"/>
        <v>36655</v>
      </c>
      <c r="K191" s="59"/>
      <c r="L191" s="59">
        <f>SUM(L192,L196:L203)</f>
        <v>2540654</v>
      </c>
      <c r="M191" s="59">
        <f t="shared" si="73"/>
        <v>17000</v>
      </c>
      <c r="N191" s="59"/>
      <c r="O191" s="59">
        <f>SUM(O192,O196:O203)</f>
        <v>2543558</v>
      </c>
      <c r="P191" s="59">
        <f t="shared" si="74"/>
        <v>2904</v>
      </c>
      <c r="Q191" s="59"/>
      <c r="R191" s="59">
        <f>SUM(R192,R196:R203)</f>
        <v>2575054</v>
      </c>
      <c r="S191" s="59">
        <f t="shared" si="75"/>
        <v>31496</v>
      </c>
      <c r="T191" s="59"/>
      <c r="U191" s="59">
        <f>SUM(U192,U196:U203)</f>
        <v>2575054</v>
      </c>
      <c r="V191" s="59">
        <f t="shared" si="76"/>
        <v>0</v>
      </c>
      <c r="W191" s="59"/>
      <c r="X191" s="59">
        <f>SUM(X192,X196:X203)</f>
        <v>2575054</v>
      </c>
      <c r="Y191" s="59">
        <f t="shared" si="77"/>
        <v>0</v>
      </c>
      <c r="Z191" s="59"/>
      <c r="AA191" s="59">
        <f>SUM(AA192,AA196:AA203)</f>
        <v>2107276.7799999998</v>
      </c>
      <c r="AB191" s="62">
        <f t="shared" si="78"/>
        <v>0.8183427532005153</v>
      </c>
      <c r="AC191" s="63"/>
    </row>
    <row r="192" spans="2:29" ht="23.25" customHeight="1" x14ac:dyDescent="0.25">
      <c r="C192" s="200" t="s">
        <v>123</v>
      </c>
      <c r="D192" s="201" t="s">
        <v>551</v>
      </c>
      <c r="E192" s="114">
        <v>1187107.66267</v>
      </c>
      <c r="F192" s="114">
        <f t="shared" ref="F192:G192" si="113">SUM(F193:F195)</f>
        <v>1187108</v>
      </c>
      <c r="G192" s="83">
        <f t="shared" si="113"/>
        <v>0.3373299999802839</v>
      </c>
      <c r="H192" s="83"/>
      <c r="I192" s="83">
        <f>SUM(I193:I195)</f>
        <v>1189606</v>
      </c>
      <c r="J192" s="83">
        <f t="shared" si="72"/>
        <v>2498</v>
      </c>
      <c r="K192" s="83"/>
      <c r="L192" s="83">
        <f>SUM(L193:L195)</f>
        <v>1206606</v>
      </c>
      <c r="M192" s="83">
        <f t="shared" si="73"/>
        <v>17000</v>
      </c>
      <c r="N192" s="83"/>
      <c r="O192" s="83">
        <f>SUM(O193:O195)</f>
        <v>1206606</v>
      </c>
      <c r="P192" s="83">
        <f t="shared" si="74"/>
        <v>0</v>
      </c>
      <c r="Q192" s="83"/>
      <c r="R192" s="83">
        <f>SUM(R193:R195)</f>
        <v>1225606</v>
      </c>
      <c r="S192" s="83">
        <f t="shared" si="75"/>
        <v>19000</v>
      </c>
      <c r="T192" s="83"/>
      <c r="U192" s="83">
        <f>SUM(U193:U195)</f>
        <v>1225606</v>
      </c>
      <c r="V192" s="83">
        <f t="shared" si="76"/>
        <v>0</v>
      </c>
      <c r="W192" s="83"/>
      <c r="X192" s="83">
        <f>SUM(X193:X195)</f>
        <v>1225606</v>
      </c>
      <c r="Y192" s="83">
        <f t="shared" si="77"/>
        <v>0</v>
      </c>
      <c r="Z192" s="83"/>
      <c r="AA192" s="83">
        <f>SUM(AA193:AA195)</f>
        <v>1124450.01</v>
      </c>
      <c r="AB192" s="116">
        <f t="shared" si="78"/>
        <v>0.91746451143352759</v>
      </c>
      <c r="AC192" s="208"/>
    </row>
    <row r="193" spans="2:29" ht="15" customHeight="1" x14ac:dyDescent="0.25">
      <c r="B193" s="106" t="s">
        <v>552</v>
      </c>
      <c r="C193" s="212" t="s">
        <v>553</v>
      </c>
      <c r="D193" s="213" t="s">
        <v>554</v>
      </c>
      <c r="E193" s="50">
        <v>589107.49502000003</v>
      </c>
      <c r="F193" s="50">
        <f>ROUND(E193,0)</f>
        <v>589107</v>
      </c>
      <c r="G193" s="49">
        <f t="shared" si="71"/>
        <v>-0.49502000003121793</v>
      </c>
      <c r="H193" s="222"/>
      <c r="I193" s="49">
        <f>ROUND(F193,0)+2498</f>
        <v>591605</v>
      </c>
      <c r="J193" s="55">
        <f t="shared" si="72"/>
        <v>2498</v>
      </c>
      <c r="K193" s="247" t="s">
        <v>555</v>
      </c>
      <c r="L193" s="49">
        <f>ROUND(I193,0)+17000</f>
        <v>608605</v>
      </c>
      <c r="M193" s="49">
        <f t="shared" si="73"/>
        <v>17000</v>
      </c>
      <c r="N193" s="248" t="s">
        <v>556</v>
      </c>
      <c r="O193" s="49">
        <f>ROUND(L193,0)</f>
        <v>608605</v>
      </c>
      <c r="P193" s="49">
        <f t="shared" si="74"/>
        <v>0</v>
      </c>
      <c r="Q193" s="248"/>
      <c r="R193" s="49">
        <f>ROUND(O193,0)</f>
        <v>608605</v>
      </c>
      <c r="S193" s="49">
        <f t="shared" si="75"/>
        <v>0</v>
      </c>
      <c r="T193" s="248"/>
      <c r="U193" s="49">
        <f>ROUND(R193,0)</f>
        <v>608605</v>
      </c>
      <c r="V193" s="49">
        <f t="shared" si="76"/>
        <v>0</v>
      </c>
      <c r="W193" s="248"/>
      <c r="X193" s="49">
        <f>ROUND(U193,0)</f>
        <v>608605</v>
      </c>
      <c r="Y193" s="49">
        <f t="shared" si="77"/>
        <v>0</v>
      </c>
      <c r="Z193" s="248"/>
      <c r="AA193" s="49">
        <v>541595</v>
      </c>
      <c r="AB193" s="53">
        <f t="shared" si="78"/>
        <v>0.88989574518776549</v>
      </c>
      <c r="AC193" s="49"/>
    </row>
    <row r="194" spans="2:29" ht="16.8" customHeight="1" x14ac:dyDescent="0.25">
      <c r="B194" s="106" t="s">
        <v>557</v>
      </c>
      <c r="C194" s="212" t="s">
        <v>558</v>
      </c>
      <c r="D194" s="213" t="s">
        <v>559</v>
      </c>
      <c r="E194" s="50">
        <v>409633.66324999998</v>
      </c>
      <c r="F194" s="50">
        <f>ROUND(E194,0)</f>
        <v>409634</v>
      </c>
      <c r="G194" s="49">
        <f t="shared" si="71"/>
        <v>0.33675000001676381</v>
      </c>
      <c r="H194" s="222"/>
      <c r="I194" s="49">
        <f>ROUND(F194,0)</f>
        <v>409634</v>
      </c>
      <c r="J194" s="49">
        <f t="shared" si="72"/>
        <v>0</v>
      </c>
      <c r="K194" s="222"/>
      <c r="L194" s="49">
        <f t="shared" ref="L194:L203" si="114">ROUND(I194,0)</f>
        <v>409634</v>
      </c>
      <c r="M194" s="49">
        <f t="shared" si="73"/>
        <v>0</v>
      </c>
      <c r="N194" s="222"/>
      <c r="O194" s="49">
        <f t="shared" ref="O194:O203" si="115">ROUND(L194,0)</f>
        <v>409634</v>
      </c>
      <c r="P194" s="49">
        <f t="shared" si="74"/>
        <v>0</v>
      </c>
      <c r="Q194" s="222"/>
      <c r="R194" s="49">
        <f>ROUND(O194,0)+19000</f>
        <v>428634</v>
      </c>
      <c r="S194" s="49">
        <f t="shared" si="75"/>
        <v>19000</v>
      </c>
      <c r="T194" s="222" t="s">
        <v>560</v>
      </c>
      <c r="U194" s="49">
        <f>ROUND(R194,0)</f>
        <v>428634</v>
      </c>
      <c r="V194" s="49">
        <f t="shared" si="76"/>
        <v>0</v>
      </c>
      <c r="W194" s="222"/>
      <c r="X194" s="49">
        <f>ROUND(U194,0)</f>
        <v>428634</v>
      </c>
      <c r="Y194" s="49">
        <f t="shared" si="77"/>
        <v>0</v>
      </c>
      <c r="Z194" s="222"/>
      <c r="AA194" s="49">
        <v>417095.38</v>
      </c>
      <c r="AB194" s="53">
        <f t="shared" si="78"/>
        <v>0.97308048358273025</v>
      </c>
      <c r="AC194" s="49"/>
    </row>
    <row r="195" spans="2:29" ht="13.2" customHeight="1" x14ac:dyDescent="0.25">
      <c r="B195" s="106" t="s">
        <v>561</v>
      </c>
      <c r="C195" s="212" t="s">
        <v>562</v>
      </c>
      <c r="D195" s="213" t="s">
        <v>563</v>
      </c>
      <c r="E195" s="50">
        <v>188366.50440000001</v>
      </c>
      <c r="F195" s="50">
        <f>ROUND(E195,0)</f>
        <v>188367</v>
      </c>
      <c r="G195" s="49">
        <f t="shared" si="71"/>
        <v>0.49559999999473803</v>
      </c>
      <c r="H195" s="77"/>
      <c r="I195" s="49">
        <f>ROUND(F195,0)</f>
        <v>188367</v>
      </c>
      <c r="J195" s="49">
        <f t="shared" si="72"/>
        <v>0</v>
      </c>
      <c r="K195" s="77"/>
      <c r="L195" s="49">
        <f t="shared" si="114"/>
        <v>188367</v>
      </c>
      <c r="M195" s="49">
        <f t="shared" si="73"/>
        <v>0</v>
      </c>
      <c r="N195" s="77"/>
      <c r="O195" s="49">
        <f t="shared" si="115"/>
        <v>188367</v>
      </c>
      <c r="P195" s="49">
        <f t="shared" si="74"/>
        <v>0</v>
      </c>
      <c r="Q195" s="77"/>
      <c r="R195" s="49">
        <f t="shared" ref="R195:R199" si="116">ROUND(O195,0)</f>
        <v>188367</v>
      </c>
      <c r="S195" s="49">
        <f t="shared" si="75"/>
        <v>0</v>
      </c>
      <c r="T195" s="77"/>
      <c r="U195" s="49">
        <f t="shared" ref="U195" si="117">ROUND(R195,0)</f>
        <v>188367</v>
      </c>
      <c r="V195" s="49">
        <f t="shared" si="76"/>
        <v>0</v>
      </c>
      <c r="W195" s="77"/>
      <c r="X195" s="49">
        <f t="shared" ref="X195" si="118">ROUND(U195,0)</f>
        <v>188367</v>
      </c>
      <c r="Y195" s="49">
        <f t="shared" si="77"/>
        <v>0</v>
      </c>
      <c r="Z195" s="77"/>
      <c r="AA195" s="49">
        <v>165759.63</v>
      </c>
      <c r="AB195" s="53">
        <f t="shared" si="78"/>
        <v>0.87998232174425461</v>
      </c>
      <c r="AC195" s="55"/>
    </row>
    <row r="196" spans="2:29" ht="15" customHeight="1" x14ac:dyDescent="0.25">
      <c r="B196" s="106" t="s">
        <v>564</v>
      </c>
      <c r="C196" s="249" t="s">
        <v>125</v>
      </c>
      <c r="D196" s="201" t="s">
        <v>565</v>
      </c>
      <c r="E196" s="114">
        <v>135145.60000000001</v>
      </c>
      <c r="F196" s="114">
        <f>ROUND(E196,0)</f>
        <v>135146</v>
      </c>
      <c r="G196" s="83">
        <f>F196-E196</f>
        <v>0.39999999999417923</v>
      </c>
      <c r="H196" s="250"/>
      <c r="I196" s="83">
        <f>ROUND(F196,0)+20000</f>
        <v>155146</v>
      </c>
      <c r="J196" s="202">
        <f t="shared" si="72"/>
        <v>20000</v>
      </c>
      <c r="K196" s="251" t="s">
        <v>566</v>
      </c>
      <c r="L196" s="83">
        <f t="shared" si="114"/>
        <v>155146</v>
      </c>
      <c r="M196" s="83">
        <f t="shared" si="73"/>
        <v>0</v>
      </c>
      <c r="N196" s="250"/>
      <c r="O196" s="83">
        <f t="shared" si="115"/>
        <v>155146</v>
      </c>
      <c r="P196" s="83">
        <f t="shared" si="74"/>
        <v>0</v>
      </c>
      <c r="Q196" s="250"/>
      <c r="R196" s="83">
        <f>ROUND(O196,0)-19000</f>
        <v>136146</v>
      </c>
      <c r="S196" s="83">
        <f t="shared" si="75"/>
        <v>-19000</v>
      </c>
      <c r="T196" s="250" t="s">
        <v>560</v>
      </c>
      <c r="U196" s="83">
        <f>ROUND(R196,0)</f>
        <v>136146</v>
      </c>
      <c r="V196" s="83">
        <f t="shared" si="76"/>
        <v>0</v>
      </c>
      <c r="W196" s="250"/>
      <c r="X196" s="83">
        <f>ROUND(U196,0)</f>
        <v>136146</v>
      </c>
      <c r="Y196" s="83">
        <f t="shared" si="77"/>
        <v>0</v>
      </c>
      <c r="Z196" s="250"/>
      <c r="AA196" s="83">
        <v>118297</v>
      </c>
      <c r="AB196" s="116">
        <f t="shared" si="78"/>
        <v>0.86889809469246249</v>
      </c>
      <c r="AC196" s="83"/>
    </row>
    <row r="197" spans="2:29" ht="29.4" customHeight="1" x14ac:dyDescent="0.25">
      <c r="B197" s="106" t="s">
        <v>567</v>
      </c>
      <c r="C197" s="249" t="s">
        <v>568</v>
      </c>
      <c r="D197" s="201" t="s">
        <v>569</v>
      </c>
      <c r="E197" s="114">
        <v>212422.11000000002</v>
      </c>
      <c r="F197" s="114">
        <f t="shared" ref="F197:F203" si="119">ROUND(E197,0)</f>
        <v>212422</v>
      </c>
      <c r="G197" s="83">
        <f t="shared" si="71"/>
        <v>-0.11000000001513399</v>
      </c>
      <c r="H197" s="250"/>
      <c r="I197" s="83">
        <f>ROUND(F197,0)</f>
        <v>212422</v>
      </c>
      <c r="J197" s="83">
        <f t="shared" si="72"/>
        <v>0</v>
      </c>
      <c r="K197" s="250"/>
      <c r="L197" s="83">
        <f t="shared" si="114"/>
        <v>212422</v>
      </c>
      <c r="M197" s="83">
        <f t="shared" si="73"/>
        <v>0</v>
      </c>
      <c r="N197" s="250"/>
      <c r="O197" s="83">
        <f t="shared" si="115"/>
        <v>212422</v>
      </c>
      <c r="P197" s="83">
        <f t="shared" si="74"/>
        <v>0</v>
      </c>
      <c r="Q197" s="250"/>
      <c r="R197" s="83">
        <f t="shared" si="116"/>
        <v>212422</v>
      </c>
      <c r="S197" s="83">
        <f t="shared" si="75"/>
        <v>0</v>
      </c>
      <c r="T197" s="250"/>
      <c r="U197" s="83">
        <f t="shared" ref="U197:U199" si="120">ROUND(R197,0)</f>
        <v>212422</v>
      </c>
      <c r="V197" s="83">
        <f t="shared" si="76"/>
        <v>0</v>
      </c>
      <c r="W197" s="250"/>
      <c r="X197" s="83">
        <f t="shared" ref="X197:X199" si="121">ROUND(U197,0)</f>
        <v>212422</v>
      </c>
      <c r="Y197" s="83">
        <f t="shared" si="77"/>
        <v>0</v>
      </c>
      <c r="Z197" s="250"/>
      <c r="AA197" s="83">
        <v>0</v>
      </c>
      <c r="AB197" s="116">
        <f t="shared" si="78"/>
        <v>0</v>
      </c>
      <c r="AC197" s="83" t="s">
        <v>466</v>
      </c>
    </row>
    <row r="198" spans="2:29" ht="27" customHeight="1" x14ac:dyDescent="0.25">
      <c r="B198" s="106" t="s">
        <v>570</v>
      </c>
      <c r="C198" s="249" t="s">
        <v>571</v>
      </c>
      <c r="D198" s="201" t="s">
        <v>265</v>
      </c>
      <c r="E198" s="114">
        <v>15704.03</v>
      </c>
      <c r="F198" s="114">
        <f t="shared" si="119"/>
        <v>15704</v>
      </c>
      <c r="G198" s="83">
        <f t="shared" si="71"/>
        <v>-3.0000000000654836E-2</v>
      </c>
      <c r="H198" s="115"/>
      <c r="I198" s="83">
        <f>ROUND(F198,0)</f>
        <v>15704</v>
      </c>
      <c r="J198" s="83">
        <f t="shared" si="72"/>
        <v>0</v>
      </c>
      <c r="K198" s="115"/>
      <c r="L198" s="83">
        <f t="shared" si="114"/>
        <v>15704</v>
      </c>
      <c r="M198" s="83">
        <f t="shared" si="73"/>
        <v>0</v>
      </c>
      <c r="N198" s="115"/>
      <c r="O198" s="83">
        <f t="shared" si="115"/>
        <v>15704</v>
      </c>
      <c r="P198" s="83">
        <f t="shared" si="74"/>
        <v>0</v>
      </c>
      <c r="Q198" s="115"/>
      <c r="R198" s="83">
        <f t="shared" si="116"/>
        <v>15704</v>
      </c>
      <c r="S198" s="83">
        <f t="shared" si="75"/>
        <v>0</v>
      </c>
      <c r="T198" s="115"/>
      <c r="U198" s="83">
        <f t="shared" si="120"/>
        <v>15704</v>
      </c>
      <c r="V198" s="83">
        <f t="shared" si="76"/>
        <v>0</v>
      </c>
      <c r="W198" s="115"/>
      <c r="X198" s="83">
        <f t="shared" si="121"/>
        <v>15704</v>
      </c>
      <c r="Y198" s="83">
        <f t="shared" si="77"/>
        <v>0</v>
      </c>
      <c r="Z198" s="115"/>
      <c r="AA198" s="83">
        <v>14342.18</v>
      </c>
      <c r="AB198" s="116">
        <f t="shared" si="78"/>
        <v>0.91328196637799286</v>
      </c>
      <c r="AC198" s="83" t="s">
        <v>466</v>
      </c>
    </row>
    <row r="199" spans="2:29" ht="15" customHeight="1" x14ac:dyDescent="0.25">
      <c r="B199" s="106" t="s">
        <v>572</v>
      </c>
      <c r="C199" s="200" t="s">
        <v>573</v>
      </c>
      <c r="D199" s="201" t="s">
        <v>574</v>
      </c>
      <c r="E199" s="114">
        <v>121138.2865</v>
      </c>
      <c r="F199" s="114">
        <f t="shared" si="119"/>
        <v>121138</v>
      </c>
      <c r="G199" s="83">
        <f t="shared" ref="G199:G262" si="122">F199-E199</f>
        <v>-0.28650000000197906</v>
      </c>
      <c r="H199" s="250"/>
      <c r="I199" s="83">
        <f>ROUND(F199,0)+13657+500</f>
        <v>135295</v>
      </c>
      <c r="J199" s="202">
        <f t="shared" si="72"/>
        <v>14157</v>
      </c>
      <c r="K199" s="251" t="s">
        <v>575</v>
      </c>
      <c r="L199" s="83">
        <f t="shared" si="114"/>
        <v>135295</v>
      </c>
      <c r="M199" s="83">
        <f t="shared" si="73"/>
        <v>0</v>
      </c>
      <c r="N199" s="250"/>
      <c r="O199" s="83">
        <f t="shared" si="115"/>
        <v>135295</v>
      </c>
      <c r="P199" s="83">
        <f t="shared" si="74"/>
        <v>0</v>
      </c>
      <c r="Q199" s="250"/>
      <c r="R199" s="83">
        <f t="shared" si="116"/>
        <v>135295</v>
      </c>
      <c r="S199" s="83">
        <f t="shared" si="75"/>
        <v>0</v>
      </c>
      <c r="T199" s="250"/>
      <c r="U199" s="83">
        <f t="shared" si="120"/>
        <v>135295</v>
      </c>
      <c r="V199" s="83">
        <f t="shared" si="76"/>
        <v>0</v>
      </c>
      <c r="W199" s="250"/>
      <c r="X199" s="83">
        <f t="shared" si="121"/>
        <v>135295</v>
      </c>
      <c r="Y199" s="83">
        <f t="shared" si="77"/>
        <v>0</v>
      </c>
      <c r="Z199" s="250"/>
      <c r="AA199" s="83">
        <v>122214.93</v>
      </c>
      <c r="AB199" s="116">
        <f t="shared" ref="AB199:AB262" si="123">AA199/X199</f>
        <v>0.90332185224878958</v>
      </c>
      <c r="AC199" s="83"/>
    </row>
    <row r="200" spans="2:29" ht="15.6" customHeight="1" x14ac:dyDescent="0.25">
      <c r="B200" s="106" t="s">
        <v>576</v>
      </c>
      <c r="C200" s="200" t="s">
        <v>577</v>
      </c>
      <c r="D200" s="201" t="s">
        <v>578</v>
      </c>
      <c r="E200" s="114">
        <v>62655.829250000003</v>
      </c>
      <c r="F200" s="114">
        <f t="shared" si="119"/>
        <v>62656</v>
      </c>
      <c r="G200" s="83">
        <f t="shared" si="122"/>
        <v>0.17074999999749707</v>
      </c>
      <c r="H200" s="250"/>
      <c r="I200" s="83">
        <f>ROUND(F200,0)</f>
        <v>62656</v>
      </c>
      <c r="J200" s="83">
        <f t="shared" si="72"/>
        <v>0</v>
      </c>
      <c r="K200" s="250"/>
      <c r="L200" s="83">
        <f t="shared" si="114"/>
        <v>62656</v>
      </c>
      <c r="M200" s="83">
        <f t="shared" si="73"/>
        <v>0</v>
      </c>
      <c r="N200" s="250"/>
      <c r="O200" s="83">
        <f>ROUND(L200,0)+2904</f>
        <v>65560</v>
      </c>
      <c r="P200" s="83">
        <f t="shared" si="74"/>
        <v>2904</v>
      </c>
      <c r="Q200" s="250" t="s">
        <v>579</v>
      </c>
      <c r="R200" s="83">
        <f>ROUND(O200,0)</f>
        <v>65560</v>
      </c>
      <c r="S200" s="83">
        <f t="shared" si="75"/>
        <v>0</v>
      </c>
      <c r="T200" s="250"/>
      <c r="U200" s="83">
        <f>ROUND(R200,0)</f>
        <v>65560</v>
      </c>
      <c r="V200" s="83">
        <f t="shared" si="76"/>
        <v>0</v>
      </c>
      <c r="W200" s="250"/>
      <c r="X200" s="83">
        <f>ROUND(U200,0)</f>
        <v>65560</v>
      </c>
      <c r="Y200" s="83">
        <f t="shared" si="77"/>
        <v>0</v>
      </c>
      <c r="Z200" s="250"/>
      <c r="AA200" s="83">
        <v>63869.73</v>
      </c>
      <c r="AB200" s="116">
        <f t="shared" si="123"/>
        <v>0.9742179682733374</v>
      </c>
      <c r="AC200" s="83"/>
    </row>
    <row r="201" spans="2:29" ht="15" customHeight="1" x14ac:dyDescent="0.25">
      <c r="B201" s="106" t="s">
        <v>331</v>
      </c>
      <c r="C201" s="200" t="s">
        <v>580</v>
      </c>
      <c r="D201" s="201" t="s">
        <v>581</v>
      </c>
      <c r="E201" s="114">
        <v>729596.65136999998</v>
      </c>
      <c r="F201" s="114">
        <f t="shared" si="119"/>
        <v>729597</v>
      </c>
      <c r="G201" s="83">
        <f t="shared" si="122"/>
        <v>0.34863000002223998</v>
      </c>
      <c r="H201" s="115"/>
      <c r="I201" s="83">
        <f>ROUND(F201,0)</f>
        <v>729597</v>
      </c>
      <c r="J201" s="83">
        <f t="shared" ref="J201:J264" si="124">I201-F201</f>
        <v>0</v>
      </c>
      <c r="K201" s="115"/>
      <c r="L201" s="83">
        <f t="shared" si="114"/>
        <v>729597</v>
      </c>
      <c r="M201" s="83">
        <f t="shared" ref="M201:M264" si="125">L201-I201</f>
        <v>0</v>
      </c>
      <c r="N201" s="115"/>
      <c r="O201" s="83">
        <f>ROUND(L201,0)</f>
        <v>729597</v>
      </c>
      <c r="P201" s="83">
        <f t="shared" ref="P201:P264" si="126">O201-L201</f>
        <v>0</v>
      </c>
      <c r="Q201" s="115"/>
      <c r="R201" s="83">
        <f>ROUND(O201,0)-3504+5000+30000</f>
        <v>761093</v>
      </c>
      <c r="S201" s="83">
        <f t="shared" ref="S201:S264" si="127">R201-O201</f>
        <v>31496</v>
      </c>
      <c r="T201" s="115" t="s">
        <v>582</v>
      </c>
      <c r="U201" s="83">
        <f>ROUND(R201,0)</f>
        <v>761093</v>
      </c>
      <c r="V201" s="83">
        <f t="shared" ref="V201:V264" si="128">U201-R201</f>
        <v>0</v>
      </c>
      <c r="W201" s="115"/>
      <c r="X201" s="83">
        <f>ROUND(U201,0)</f>
        <v>761093</v>
      </c>
      <c r="Y201" s="83">
        <f t="shared" ref="Y201:Y264" si="129">X201-U201</f>
        <v>0</v>
      </c>
      <c r="Z201" s="115"/>
      <c r="AA201" s="83">
        <v>660102.93000000005</v>
      </c>
      <c r="AB201" s="116">
        <f t="shared" si="123"/>
        <v>0.86730915932744101</v>
      </c>
      <c r="AC201" s="83"/>
    </row>
    <row r="202" spans="2:29" ht="15.6" customHeight="1" x14ac:dyDescent="0.25">
      <c r="B202" s="106" t="s">
        <v>583</v>
      </c>
      <c r="C202" s="200" t="s">
        <v>584</v>
      </c>
      <c r="D202" s="201" t="s">
        <v>585</v>
      </c>
      <c r="E202" s="114">
        <v>4000</v>
      </c>
      <c r="F202" s="114">
        <f t="shared" si="119"/>
        <v>4000</v>
      </c>
      <c r="G202" s="83">
        <f t="shared" si="122"/>
        <v>0</v>
      </c>
      <c r="H202" s="204"/>
      <c r="I202" s="83">
        <f>ROUND(F202,0)</f>
        <v>4000</v>
      </c>
      <c r="J202" s="83">
        <f t="shared" si="124"/>
        <v>0</v>
      </c>
      <c r="K202" s="204"/>
      <c r="L202" s="83">
        <f t="shared" si="114"/>
        <v>4000</v>
      </c>
      <c r="M202" s="83">
        <f t="shared" si="125"/>
        <v>0</v>
      </c>
      <c r="N202" s="204"/>
      <c r="O202" s="83">
        <f t="shared" si="115"/>
        <v>4000</v>
      </c>
      <c r="P202" s="83">
        <f t="shared" si="126"/>
        <v>0</v>
      </c>
      <c r="Q202" s="204"/>
      <c r="R202" s="83">
        <f>ROUND(O202,0)</f>
        <v>4000</v>
      </c>
      <c r="S202" s="83">
        <f t="shared" si="127"/>
        <v>0</v>
      </c>
      <c r="T202" s="204"/>
      <c r="U202" s="83">
        <f>ROUND(R202,0)</f>
        <v>4000</v>
      </c>
      <c r="V202" s="83">
        <f t="shared" si="128"/>
        <v>0</v>
      </c>
      <c r="W202" s="204"/>
      <c r="X202" s="83">
        <f>ROUND(U202,0)</f>
        <v>4000</v>
      </c>
      <c r="Y202" s="83">
        <f t="shared" si="129"/>
        <v>0</v>
      </c>
      <c r="Z202" s="204"/>
      <c r="AA202" s="83">
        <v>4000</v>
      </c>
      <c r="AB202" s="116">
        <f t="shared" si="123"/>
        <v>1</v>
      </c>
      <c r="AC202" s="83"/>
    </row>
    <row r="203" spans="2:29" ht="15.6" customHeight="1" x14ac:dyDescent="0.25">
      <c r="B203" s="106" t="s">
        <v>586</v>
      </c>
      <c r="C203" s="200" t="s">
        <v>587</v>
      </c>
      <c r="D203" s="201" t="s">
        <v>588</v>
      </c>
      <c r="E203" s="114">
        <v>19228.173900000002</v>
      </c>
      <c r="F203" s="114">
        <f t="shared" si="119"/>
        <v>19228</v>
      </c>
      <c r="G203" s="83">
        <f t="shared" si="122"/>
        <v>-0.17390000000159489</v>
      </c>
      <c r="H203" s="204"/>
      <c r="I203" s="83">
        <f>ROUND(F203,0)</f>
        <v>19228</v>
      </c>
      <c r="J203" s="83">
        <f t="shared" si="124"/>
        <v>0</v>
      </c>
      <c r="K203" s="204"/>
      <c r="L203" s="83">
        <f t="shared" si="114"/>
        <v>19228</v>
      </c>
      <c r="M203" s="83">
        <f t="shared" si="125"/>
        <v>0</v>
      </c>
      <c r="N203" s="204"/>
      <c r="O203" s="83">
        <f t="shared" si="115"/>
        <v>19228</v>
      </c>
      <c r="P203" s="83">
        <f t="shared" si="126"/>
        <v>0</v>
      </c>
      <c r="Q203" s="204"/>
      <c r="R203" s="83">
        <f>ROUND(O203,0)</f>
        <v>19228</v>
      </c>
      <c r="S203" s="83">
        <f t="shared" si="127"/>
        <v>0</v>
      </c>
      <c r="T203" s="204"/>
      <c r="U203" s="83">
        <f>ROUND(R203,0)</f>
        <v>19228</v>
      </c>
      <c r="V203" s="83">
        <f t="shared" si="128"/>
        <v>0</v>
      </c>
      <c r="W203" s="204"/>
      <c r="X203" s="83">
        <f>ROUND(U203,0)</f>
        <v>19228</v>
      </c>
      <c r="Y203" s="83">
        <f t="shared" si="129"/>
        <v>0</v>
      </c>
      <c r="Z203" s="204"/>
      <c r="AA203" s="83">
        <v>0</v>
      </c>
      <c r="AB203" s="116">
        <f t="shared" si="123"/>
        <v>0</v>
      </c>
      <c r="AC203" s="83"/>
    </row>
    <row r="204" spans="2:29" s="187" customFormat="1" ht="15.6" customHeight="1" x14ac:dyDescent="0.25">
      <c r="C204" s="206" t="s">
        <v>128</v>
      </c>
      <c r="D204" s="207" t="s">
        <v>589</v>
      </c>
      <c r="E204" s="60">
        <v>4201176.8811799996</v>
      </c>
      <c r="F204" s="60">
        <f t="shared" ref="F204" si="130">F205+F211+F214+F218+F219+F220+F221+F222</f>
        <v>4201177</v>
      </c>
      <c r="G204" s="59">
        <f>G205+G211+G214+G218+G219+G220</f>
        <v>0.11881999997422099</v>
      </c>
      <c r="H204" s="59"/>
      <c r="I204" s="59">
        <f>I205+I211+I214+I218+I219+I220+I221+I222</f>
        <v>4179627</v>
      </c>
      <c r="J204" s="59">
        <f t="shared" si="124"/>
        <v>-21550</v>
      </c>
      <c r="K204" s="59"/>
      <c r="L204" s="59">
        <f>L205+L211+L214+L218+L219+L220+L221+L222</f>
        <v>4179627</v>
      </c>
      <c r="M204" s="59">
        <f t="shared" si="125"/>
        <v>0</v>
      </c>
      <c r="N204" s="59"/>
      <c r="O204" s="59">
        <f>O205+O211+O214+O218+O219+O220+O221+O222</f>
        <v>4219807</v>
      </c>
      <c r="P204" s="59">
        <f t="shared" si="126"/>
        <v>40180</v>
      </c>
      <c r="Q204" s="59"/>
      <c r="R204" s="59">
        <f>R205+R211+R214+R218+R219+R220+R221+R222</f>
        <v>4249807</v>
      </c>
      <c r="S204" s="59">
        <f t="shared" si="127"/>
        <v>30000</v>
      </c>
      <c r="T204" s="59"/>
      <c r="U204" s="59">
        <f>U205+U211+U214+U218+U219+U220+U221+U222</f>
        <v>4301907</v>
      </c>
      <c r="V204" s="59">
        <f t="shared" si="128"/>
        <v>52100</v>
      </c>
      <c r="W204" s="59"/>
      <c r="X204" s="59">
        <f>X205+X211+X214+X218+X219+X220+X221+X222</f>
        <v>4302407</v>
      </c>
      <c r="Y204" s="59">
        <f t="shared" si="129"/>
        <v>500</v>
      </c>
      <c r="Z204" s="59"/>
      <c r="AA204" s="59">
        <f>AA205+AA211+AA214+AA218+AA219+AA220+AA221+AA222</f>
        <v>3297685.9</v>
      </c>
      <c r="AB204" s="62">
        <f t="shared" si="123"/>
        <v>0.76647465012026983</v>
      </c>
      <c r="AC204" s="63"/>
    </row>
    <row r="205" spans="2:29" s="187" customFormat="1" ht="15" customHeight="1" x14ac:dyDescent="0.25">
      <c r="C205" s="200" t="s">
        <v>131</v>
      </c>
      <c r="D205" s="201" t="s">
        <v>590</v>
      </c>
      <c r="E205" s="114">
        <v>2428655</v>
      </c>
      <c r="F205" s="114">
        <f t="shared" ref="F205:G205" si="131">F206+F207+F208+F209+F210</f>
        <v>2428655</v>
      </c>
      <c r="G205" s="83">
        <f t="shared" si="131"/>
        <v>0</v>
      </c>
      <c r="H205" s="83"/>
      <c r="I205" s="83">
        <f>I206+I207+I208+I209+I210</f>
        <v>2415355</v>
      </c>
      <c r="J205" s="83">
        <f t="shared" si="124"/>
        <v>-13300</v>
      </c>
      <c r="K205" s="83"/>
      <c r="L205" s="83">
        <f>L206+L207+L208+L209+L210</f>
        <v>2415355</v>
      </c>
      <c r="M205" s="83">
        <f t="shared" si="125"/>
        <v>0</v>
      </c>
      <c r="N205" s="83"/>
      <c r="O205" s="83">
        <f>O206+O207+O208+O209+O210</f>
        <v>2405535</v>
      </c>
      <c r="P205" s="83">
        <f t="shared" si="126"/>
        <v>-9820</v>
      </c>
      <c r="Q205" s="83"/>
      <c r="R205" s="83">
        <f>R206+R207+R208+R209+R210</f>
        <v>2405535</v>
      </c>
      <c r="S205" s="83">
        <f t="shared" si="127"/>
        <v>0</v>
      </c>
      <c r="T205" s="83"/>
      <c r="U205" s="83">
        <f>U206+U207+U208+U209+U210</f>
        <v>2457635</v>
      </c>
      <c r="V205" s="83">
        <f t="shared" si="128"/>
        <v>52100</v>
      </c>
      <c r="W205" s="83"/>
      <c r="X205" s="83">
        <f>X206+X207+X208+X209+X210</f>
        <v>2458135</v>
      </c>
      <c r="Y205" s="83">
        <f t="shared" si="129"/>
        <v>500</v>
      </c>
      <c r="Z205" s="83"/>
      <c r="AA205" s="83">
        <f>AA206+AA207+AA208+AA209+AA210</f>
        <v>2018993.05</v>
      </c>
      <c r="AB205" s="116">
        <f t="shared" si="123"/>
        <v>0.82135157344897658</v>
      </c>
      <c r="AC205" s="202"/>
    </row>
    <row r="206" spans="2:29" s="252" customFormat="1" ht="21" customHeight="1" outlineLevel="1" x14ac:dyDescent="0.25">
      <c r="B206" s="252">
        <v>1010</v>
      </c>
      <c r="C206" s="253" t="s">
        <v>591</v>
      </c>
      <c r="D206" s="254" t="s">
        <v>592</v>
      </c>
      <c r="E206" s="255">
        <v>601819</v>
      </c>
      <c r="F206" s="255">
        <f>ROUND(E206,0)</f>
        <v>601819</v>
      </c>
      <c r="G206" s="243">
        <f t="shared" si="122"/>
        <v>0</v>
      </c>
      <c r="H206" s="256"/>
      <c r="I206" s="243">
        <f>ROUND(F206,0)-13300</f>
        <v>588519</v>
      </c>
      <c r="J206" s="257">
        <f t="shared" si="124"/>
        <v>-13300</v>
      </c>
      <c r="K206" s="223" t="s">
        <v>391</v>
      </c>
      <c r="L206" s="243">
        <f>ROUND(I206,0)</f>
        <v>588519</v>
      </c>
      <c r="M206" s="243">
        <f t="shared" si="125"/>
        <v>0</v>
      </c>
      <c r="N206" s="222"/>
      <c r="O206" s="243">
        <f>ROUND(L206,0)-9820</f>
        <v>578699</v>
      </c>
      <c r="P206" s="243">
        <f t="shared" si="126"/>
        <v>-9820</v>
      </c>
      <c r="Q206" s="222" t="s">
        <v>593</v>
      </c>
      <c r="R206" s="243">
        <f>ROUND(O206,0)</f>
        <v>578699</v>
      </c>
      <c r="S206" s="243">
        <f t="shared" si="127"/>
        <v>0</v>
      </c>
      <c r="T206" s="222"/>
      <c r="U206" s="243">
        <f>ROUND(R206,0)</f>
        <v>578699</v>
      </c>
      <c r="V206" s="243">
        <f t="shared" si="128"/>
        <v>0</v>
      </c>
      <c r="W206" s="222"/>
      <c r="X206" s="243">
        <f>ROUND(U206,0)</f>
        <v>578699</v>
      </c>
      <c r="Y206" s="243">
        <f t="shared" si="129"/>
        <v>0</v>
      </c>
      <c r="Z206" s="222"/>
      <c r="AA206" s="244">
        <f>1542132.98-AA208-AA207</f>
        <v>539805.98</v>
      </c>
      <c r="AB206" s="258">
        <f t="shared" si="123"/>
        <v>0.93279231517593775</v>
      </c>
      <c r="AC206" s="257"/>
    </row>
    <row r="207" spans="2:29" s="252" customFormat="1" ht="16.2" customHeight="1" outlineLevel="1" x14ac:dyDescent="0.25">
      <c r="B207" s="252">
        <v>1010</v>
      </c>
      <c r="C207" s="253" t="s">
        <v>594</v>
      </c>
      <c r="D207" s="254" t="s">
        <v>595</v>
      </c>
      <c r="E207" s="255">
        <v>1373990</v>
      </c>
      <c r="F207" s="255">
        <f>ROUND(E207,0)</f>
        <v>1373990</v>
      </c>
      <c r="G207" s="243">
        <f t="shared" si="122"/>
        <v>0</v>
      </c>
      <c r="H207" s="115"/>
      <c r="I207" s="243">
        <f>ROUND(F207,0)</f>
        <v>1373990</v>
      </c>
      <c r="J207" s="243">
        <f t="shared" si="124"/>
        <v>0</v>
      </c>
      <c r="K207" s="118"/>
      <c r="L207" s="243">
        <f>ROUND(I207,0)</f>
        <v>1373990</v>
      </c>
      <c r="M207" s="243">
        <f t="shared" si="125"/>
        <v>0</v>
      </c>
      <c r="N207" s="118"/>
      <c r="O207" s="243">
        <f>ROUND(L207,0)</f>
        <v>1373990</v>
      </c>
      <c r="P207" s="243">
        <f t="shared" si="126"/>
        <v>0</v>
      </c>
      <c r="Q207" s="118"/>
      <c r="R207" s="243">
        <f>ROUND(O207,0)</f>
        <v>1373990</v>
      </c>
      <c r="S207" s="243">
        <f t="shared" si="127"/>
        <v>0</v>
      </c>
      <c r="T207" s="118"/>
      <c r="U207" s="243">
        <f>ROUND(R207,0)</f>
        <v>1373990</v>
      </c>
      <c r="V207" s="243">
        <f t="shared" si="128"/>
        <v>0</v>
      </c>
      <c r="W207" s="118"/>
      <c r="X207" s="243">
        <f>ROUND(U207,0)</f>
        <v>1373990</v>
      </c>
      <c r="Y207" s="243">
        <f t="shared" si="129"/>
        <v>0</v>
      </c>
      <c r="Z207" s="118"/>
      <c r="AA207" s="243">
        <v>978627</v>
      </c>
      <c r="AB207" s="258">
        <f t="shared" si="123"/>
        <v>0.71225190867473565</v>
      </c>
      <c r="AC207" s="257"/>
    </row>
    <row r="208" spans="2:29" s="252" customFormat="1" ht="17.399999999999999" customHeight="1" outlineLevel="1" x14ac:dyDescent="0.25">
      <c r="B208" s="252">
        <v>1010</v>
      </c>
      <c r="C208" s="253" t="s">
        <v>596</v>
      </c>
      <c r="D208" s="254" t="s">
        <v>597</v>
      </c>
      <c r="E208" s="255">
        <v>25954</v>
      </c>
      <c r="F208" s="255">
        <f>ROUND(E208,0)</f>
        <v>25954</v>
      </c>
      <c r="G208" s="243">
        <f t="shared" si="122"/>
        <v>0</v>
      </c>
      <c r="H208" s="118"/>
      <c r="I208" s="243">
        <f>ROUND(F208,0)</f>
        <v>25954</v>
      </c>
      <c r="J208" s="243">
        <f t="shared" si="124"/>
        <v>0</v>
      </c>
      <c r="K208" s="118"/>
      <c r="L208" s="243">
        <f>ROUND(I208,0)</f>
        <v>25954</v>
      </c>
      <c r="M208" s="243">
        <f t="shared" si="125"/>
        <v>0</v>
      </c>
      <c r="N208" s="118"/>
      <c r="O208" s="243">
        <f>ROUND(L208,0)</f>
        <v>25954</v>
      </c>
      <c r="P208" s="243">
        <f t="shared" si="126"/>
        <v>0</v>
      </c>
      <c r="Q208" s="118"/>
      <c r="R208" s="243">
        <f>ROUND(O208,0)</f>
        <v>25954</v>
      </c>
      <c r="S208" s="243">
        <f t="shared" si="127"/>
        <v>0</v>
      </c>
      <c r="T208" s="118"/>
      <c r="U208" s="243">
        <f>ROUND(R208,0)</f>
        <v>25954</v>
      </c>
      <c r="V208" s="243">
        <f t="shared" si="128"/>
        <v>0</v>
      </c>
      <c r="W208" s="118"/>
      <c r="X208" s="243">
        <f>ROUND(U208,0)</f>
        <v>25954</v>
      </c>
      <c r="Y208" s="243">
        <f t="shared" si="129"/>
        <v>0</v>
      </c>
      <c r="Z208" s="118"/>
      <c r="AA208" s="49">
        <v>23700</v>
      </c>
      <c r="AB208" s="258">
        <f t="shared" si="123"/>
        <v>0.91315404176620174</v>
      </c>
      <c r="AC208" s="257"/>
    </row>
    <row r="209" spans="2:29" s="252" customFormat="1" ht="27.6" outlineLevel="1" x14ac:dyDescent="0.25">
      <c r="B209" s="252">
        <v>1012</v>
      </c>
      <c r="C209" s="253" t="s">
        <v>598</v>
      </c>
      <c r="D209" s="254" t="s">
        <v>599</v>
      </c>
      <c r="E209" s="255">
        <v>421092</v>
      </c>
      <c r="F209" s="255">
        <f>ROUND(E209,0)</f>
        <v>421092</v>
      </c>
      <c r="G209" s="243">
        <f t="shared" si="122"/>
        <v>0</v>
      </c>
      <c r="H209" s="256"/>
      <c r="I209" s="243">
        <f>ROUND(F209,0)</f>
        <v>421092</v>
      </c>
      <c r="J209" s="243">
        <f t="shared" si="124"/>
        <v>0</v>
      </c>
      <c r="K209" s="256"/>
      <c r="L209" s="243">
        <f>ROUND(I209,0)</f>
        <v>421092</v>
      </c>
      <c r="M209" s="243">
        <f t="shared" si="125"/>
        <v>0</v>
      </c>
      <c r="N209" s="256"/>
      <c r="O209" s="243">
        <f>ROUND(L209,0)</f>
        <v>421092</v>
      </c>
      <c r="P209" s="243">
        <f t="shared" si="126"/>
        <v>0</v>
      </c>
      <c r="Q209" s="256"/>
      <c r="R209" s="243">
        <f>ROUND(O209,0)</f>
        <v>421092</v>
      </c>
      <c r="S209" s="243">
        <f t="shared" si="127"/>
        <v>0</v>
      </c>
      <c r="T209" s="256"/>
      <c r="U209" s="243">
        <f>ROUND(R209,0)+52100</f>
        <v>473192</v>
      </c>
      <c r="V209" s="243">
        <f t="shared" si="128"/>
        <v>52100</v>
      </c>
      <c r="W209" s="104" t="s">
        <v>197</v>
      </c>
      <c r="X209" s="243">
        <f>ROUND(U209,0)+500</f>
        <v>473692</v>
      </c>
      <c r="Y209" s="243">
        <f t="shared" si="129"/>
        <v>500</v>
      </c>
      <c r="Z209" s="118" t="s">
        <v>600</v>
      </c>
      <c r="AA209" s="243">
        <v>473437.83</v>
      </c>
      <c r="AB209" s="258">
        <f t="shared" si="123"/>
        <v>0.99946342771252206</v>
      </c>
      <c r="AC209" s="257"/>
    </row>
    <row r="210" spans="2:29" s="252" customFormat="1" outlineLevel="1" x14ac:dyDescent="0.25">
      <c r="B210" s="252">
        <v>1015</v>
      </c>
      <c r="C210" s="253" t="s">
        <v>601</v>
      </c>
      <c r="D210" s="254" t="s">
        <v>602</v>
      </c>
      <c r="E210" s="255">
        <v>5800</v>
      </c>
      <c r="F210" s="255">
        <f>ROUND(E210,0)</f>
        <v>5800</v>
      </c>
      <c r="G210" s="243">
        <f t="shared" si="122"/>
        <v>0</v>
      </c>
      <c r="H210" s="256"/>
      <c r="I210" s="243">
        <f>ROUND(F210,0)</f>
        <v>5800</v>
      </c>
      <c r="J210" s="243">
        <f t="shared" si="124"/>
        <v>0</v>
      </c>
      <c r="K210" s="256"/>
      <c r="L210" s="243">
        <f>ROUND(I210,0)</f>
        <v>5800</v>
      </c>
      <c r="M210" s="243">
        <f t="shared" si="125"/>
        <v>0</v>
      </c>
      <c r="N210" s="256"/>
      <c r="O210" s="243">
        <f>ROUND(L210,0)</f>
        <v>5800</v>
      </c>
      <c r="P210" s="243">
        <f t="shared" si="126"/>
        <v>0</v>
      </c>
      <c r="Q210" s="256"/>
      <c r="R210" s="243">
        <f>ROUND(O210,0)</f>
        <v>5800</v>
      </c>
      <c r="S210" s="243">
        <f t="shared" si="127"/>
        <v>0</v>
      </c>
      <c r="T210" s="256"/>
      <c r="U210" s="243">
        <f>ROUND(R210,0)</f>
        <v>5800</v>
      </c>
      <c r="V210" s="243">
        <f t="shared" si="128"/>
        <v>0</v>
      </c>
      <c r="W210" s="256"/>
      <c r="X210" s="243">
        <f>ROUND(U210,0)</f>
        <v>5800</v>
      </c>
      <c r="Y210" s="243">
        <f t="shared" si="129"/>
        <v>0</v>
      </c>
      <c r="Z210" s="256"/>
      <c r="AA210" s="243">
        <v>3422.24</v>
      </c>
      <c r="AB210" s="258">
        <f t="shared" si="123"/>
        <v>0.59004137931034484</v>
      </c>
      <c r="AC210" s="257"/>
    </row>
    <row r="211" spans="2:29" s="187" customFormat="1" ht="19.5" customHeight="1" x14ac:dyDescent="0.25">
      <c r="C211" s="200" t="s">
        <v>137</v>
      </c>
      <c r="D211" s="201" t="s">
        <v>603</v>
      </c>
      <c r="E211" s="114">
        <v>10038</v>
      </c>
      <c r="F211" s="114">
        <f>F212+F213</f>
        <v>10038</v>
      </c>
      <c r="G211" s="83">
        <f t="shared" si="122"/>
        <v>0</v>
      </c>
      <c r="H211" s="115"/>
      <c r="I211" s="83">
        <f>I212+I213</f>
        <v>10038</v>
      </c>
      <c r="J211" s="83">
        <f t="shared" si="124"/>
        <v>0</v>
      </c>
      <c r="K211" s="115"/>
      <c r="L211" s="83">
        <f>L212+L213</f>
        <v>10038</v>
      </c>
      <c r="M211" s="83">
        <f t="shared" si="125"/>
        <v>0</v>
      </c>
      <c r="N211" s="115"/>
      <c r="O211" s="83">
        <f>O212+O213</f>
        <v>10038</v>
      </c>
      <c r="P211" s="83">
        <f t="shared" si="126"/>
        <v>0</v>
      </c>
      <c r="Q211" s="115"/>
      <c r="R211" s="83">
        <f>R212+R213</f>
        <v>10038</v>
      </c>
      <c r="S211" s="83">
        <f t="shared" si="127"/>
        <v>0</v>
      </c>
      <c r="T211" s="115"/>
      <c r="U211" s="83">
        <f>U212+U213</f>
        <v>10038</v>
      </c>
      <c r="V211" s="83">
        <f t="shared" si="128"/>
        <v>0</v>
      </c>
      <c r="W211" s="115"/>
      <c r="X211" s="83">
        <f>X212+X213</f>
        <v>10038</v>
      </c>
      <c r="Y211" s="83">
        <f t="shared" si="129"/>
        <v>0</v>
      </c>
      <c r="Z211" s="115"/>
      <c r="AA211" s="83">
        <f>AA212+AA213</f>
        <v>2901</v>
      </c>
      <c r="AB211" s="116">
        <f t="shared" si="123"/>
        <v>0.28900179318589359</v>
      </c>
      <c r="AC211" s="202"/>
    </row>
    <row r="212" spans="2:29" s="252" customFormat="1" outlineLevel="1" x14ac:dyDescent="0.25">
      <c r="B212" s="252">
        <v>1011</v>
      </c>
      <c r="C212" s="253" t="s">
        <v>604</v>
      </c>
      <c r="D212" s="254" t="s">
        <v>605</v>
      </c>
      <c r="E212" s="255">
        <v>1407</v>
      </c>
      <c r="F212" s="255">
        <f>ROUND(E212,0)</f>
        <v>1407</v>
      </c>
      <c r="G212" s="243">
        <f t="shared" si="122"/>
        <v>0</v>
      </c>
      <c r="H212" s="256"/>
      <c r="I212" s="243">
        <f>ROUND(F212,0)</f>
        <v>1407</v>
      </c>
      <c r="J212" s="243">
        <f t="shared" si="124"/>
        <v>0</v>
      </c>
      <c r="K212" s="256"/>
      <c r="L212" s="243">
        <f>ROUND(I212,0)</f>
        <v>1407</v>
      </c>
      <c r="M212" s="243">
        <f t="shared" si="125"/>
        <v>0</v>
      </c>
      <c r="N212" s="256"/>
      <c r="O212" s="243">
        <f>ROUND(L212,0)</f>
        <v>1407</v>
      </c>
      <c r="P212" s="243">
        <f t="shared" si="126"/>
        <v>0</v>
      </c>
      <c r="Q212" s="256"/>
      <c r="R212" s="243">
        <f>ROUND(O212,0)</f>
        <v>1407</v>
      </c>
      <c r="S212" s="243">
        <f t="shared" si="127"/>
        <v>0</v>
      </c>
      <c r="T212" s="256"/>
      <c r="U212" s="243">
        <f>ROUND(R212,0)</f>
        <v>1407</v>
      </c>
      <c r="V212" s="243">
        <f t="shared" si="128"/>
        <v>0</v>
      </c>
      <c r="W212" s="256"/>
      <c r="X212" s="243">
        <f>ROUND(U212,0)</f>
        <v>1407</v>
      </c>
      <c r="Y212" s="243">
        <f t="shared" si="129"/>
        <v>0</v>
      </c>
      <c r="Z212" s="256"/>
      <c r="AA212" s="243">
        <v>270.92</v>
      </c>
      <c r="AB212" s="258">
        <f t="shared" si="123"/>
        <v>0.19255152807391615</v>
      </c>
      <c r="AC212" s="257"/>
    </row>
    <row r="213" spans="2:29" s="252" customFormat="1" outlineLevel="1" x14ac:dyDescent="0.25">
      <c r="B213" s="252">
        <v>1011</v>
      </c>
      <c r="C213" s="253" t="s">
        <v>606</v>
      </c>
      <c r="D213" s="254" t="s">
        <v>607</v>
      </c>
      <c r="E213" s="255">
        <v>8631</v>
      </c>
      <c r="F213" s="255">
        <f>ROUND(E213,0)</f>
        <v>8631</v>
      </c>
      <c r="G213" s="243">
        <f t="shared" si="122"/>
        <v>0</v>
      </c>
      <c r="H213" s="256"/>
      <c r="I213" s="243">
        <f>ROUND(F213,0)</f>
        <v>8631</v>
      </c>
      <c r="J213" s="243">
        <f t="shared" si="124"/>
        <v>0</v>
      </c>
      <c r="K213" s="256"/>
      <c r="L213" s="243">
        <f>ROUND(I213,0)</f>
        <v>8631</v>
      </c>
      <c r="M213" s="243">
        <f t="shared" si="125"/>
        <v>0</v>
      </c>
      <c r="N213" s="256"/>
      <c r="O213" s="243">
        <f>ROUND(L213,0)</f>
        <v>8631</v>
      </c>
      <c r="P213" s="243">
        <f t="shared" si="126"/>
        <v>0</v>
      </c>
      <c r="Q213" s="256"/>
      <c r="R213" s="243">
        <f>ROUND(O213,0)</f>
        <v>8631</v>
      </c>
      <c r="S213" s="243">
        <f t="shared" si="127"/>
        <v>0</v>
      </c>
      <c r="T213" s="256"/>
      <c r="U213" s="243">
        <f>ROUND(R213,0)</f>
        <v>8631</v>
      </c>
      <c r="V213" s="243">
        <f t="shared" si="128"/>
        <v>0</v>
      </c>
      <c r="W213" s="256"/>
      <c r="X213" s="243">
        <f>ROUND(U213,0)</f>
        <v>8631</v>
      </c>
      <c r="Y213" s="243">
        <f t="shared" si="129"/>
        <v>0</v>
      </c>
      <c r="Z213" s="256"/>
      <c r="AA213" s="243">
        <f>2901-AA212</f>
        <v>2630.08</v>
      </c>
      <c r="AB213" s="258">
        <f t="shared" si="123"/>
        <v>0.30472482910439114</v>
      </c>
      <c r="AC213" s="257"/>
    </row>
    <row r="214" spans="2:29" s="187" customFormat="1" ht="30.6" customHeight="1" x14ac:dyDescent="0.25">
      <c r="C214" s="200" t="s">
        <v>139</v>
      </c>
      <c r="D214" s="201" t="s">
        <v>608</v>
      </c>
      <c r="E214" s="84">
        <v>839598</v>
      </c>
      <c r="F214" s="84">
        <f t="shared" ref="F214:G214" si="132">SUM(F215:F217)</f>
        <v>839598</v>
      </c>
      <c r="G214" s="85">
        <f t="shared" si="132"/>
        <v>0</v>
      </c>
      <c r="H214" s="204"/>
      <c r="I214" s="85">
        <f>SUM(I215:I217)</f>
        <v>818057</v>
      </c>
      <c r="J214" s="85">
        <f t="shared" si="124"/>
        <v>-21541</v>
      </c>
      <c r="K214" s="204"/>
      <c r="L214" s="85">
        <f>SUM(L215:L217)</f>
        <v>818057</v>
      </c>
      <c r="M214" s="85">
        <f t="shared" si="125"/>
        <v>0</v>
      </c>
      <c r="N214" s="204"/>
      <c r="O214" s="85">
        <f>SUM(O215:O217)</f>
        <v>818057</v>
      </c>
      <c r="P214" s="85">
        <f t="shared" si="126"/>
        <v>0</v>
      </c>
      <c r="Q214" s="204"/>
      <c r="R214" s="85">
        <f>SUM(R215:R217)</f>
        <v>818057</v>
      </c>
      <c r="S214" s="85">
        <f t="shared" si="127"/>
        <v>0</v>
      </c>
      <c r="T214" s="204"/>
      <c r="U214" s="85">
        <f>SUM(U215:U217)</f>
        <v>818057</v>
      </c>
      <c r="V214" s="85">
        <f t="shared" si="128"/>
        <v>0</v>
      </c>
      <c r="W214" s="204"/>
      <c r="X214" s="85">
        <f>SUM(X215:X217)</f>
        <v>818057</v>
      </c>
      <c r="Y214" s="85">
        <f t="shared" si="129"/>
        <v>0</v>
      </c>
      <c r="Z214" s="204"/>
      <c r="AA214" s="85">
        <f>SUM(AA215:AA217)</f>
        <v>610356.6</v>
      </c>
      <c r="AB214" s="259">
        <f t="shared" si="123"/>
        <v>0.74610522249672084</v>
      </c>
      <c r="AC214" s="260"/>
    </row>
    <row r="215" spans="2:29" s="187" customFormat="1" ht="15" customHeight="1" x14ac:dyDescent="0.25">
      <c r="B215" s="1" t="s">
        <v>609</v>
      </c>
      <c r="C215" s="261" t="s">
        <v>610</v>
      </c>
      <c r="D215" s="262" t="s">
        <v>611</v>
      </c>
      <c r="E215" s="50">
        <v>347838</v>
      </c>
      <c r="F215" s="50">
        <f t="shared" ref="F215:F220" si="133">ROUND(E215,0)</f>
        <v>347838</v>
      </c>
      <c r="G215" s="49">
        <f t="shared" si="122"/>
        <v>0</v>
      </c>
      <c r="H215" s="51"/>
      <c r="I215" s="49">
        <f>ROUND(F215,0)-21541</f>
        <v>326297</v>
      </c>
      <c r="J215" s="55">
        <f t="shared" si="124"/>
        <v>-21541</v>
      </c>
      <c r="K215" s="223" t="s">
        <v>391</v>
      </c>
      <c r="L215" s="49">
        <f t="shared" ref="L215:L222" si="134">ROUND(I215,0)</f>
        <v>326297</v>
      </c>
      <c r="M215" s="49">
        <f t="shared" si="125"/>
        <v>0</v>
      </c>
      <c r="N215" s="222"/>
      <c r="O215" s="49">
        <f t="shared" ref="O215:O222" si="135">ROUND(L215,0)</f>
        <v>326297</v>
      </c>
      <c r="P215" s="49">
        <f t="shared" si="126"/>
        <v>0</v>
      </c>
      <c r="Q215" s="222"/>
      <c r="R215" s="49">
        <f t="shared" ref="R215:R222" si="136">ROUND(O215,0)</f>
        <v>326297</v>
      </c>
      <c r="S215" s="49">
        <f t="shared" si="127"/>
        <v>0</v>
      </c>
      <c r="T215" s="222"/>
      <c r="U215" s="49">
        <f t="shared" ref="U215:U218" si="137">ROUND(R215,0)</f>
        <v>326297</v>
      </c>
      <c r="V215" s="49">
        <f t="shared" si="128"/>
        <v>0</v>
      </c>
      <c r="W215" s="222"/>
      <c r="X215" s="49">
        <f t="shared" ref="X215:X218" si="138">ROUND(U215,0)</f>
        <v>326297</v>
      </c>
      <c r="Y215" s="49">
        <f t="shared" si="129"/>
        <v>0</v>
      </c>
      <c r="Z215" s="222"/>
      <c r="AA215" s="49">
        <f>298863-AA216</f>
        <v>229741.4</v>
      </c>
      <c r="AB215" s="53">
        <f t="shared" si="123"/>
        <v>0.70408676757677824</v>
      </c>
      <c r="AC215" s="55" t="s">
        <v>612</v>
      </c>
    </row>
    <row r="216" spans="2:29" s="187" customFormat="1" ht="15.75" customHeight="1" x14ac:dyDescent="0.25">
      <c r="B216" s="1" t="s">
        <v>609</v>
      </c>
      <c r="C216" s="263" t="s">
        <v>613</v>
      </c>
      <c r="D216" s="262" t="s">
        <v>614</v>
      </c>
      <c r="E216" s="50">
        <v>161090</v>
      </c>
      <c r="F216" s="50">
        <f t="shared" si="133"/>
        <v>161090</v>
      </c>
      <c r="G216" s="49">
        <f t="shared" si="122"/>
        <v>0</v>
      </c>
      <c r="H216" s="51"/>
      <c r="I216" s="49">
        <f t="shared" ref="I216:I222" si="139">ROUND(F216,0)</f>
        <v>161090</v>
      </c>
      <c r="J216" s="49">
        <f t="shared" si="124"/>
        <v>0</v>
      </c>
      <c r="K216" s="51"/>
      <c r="L216" s="49">
        <f t="shared" si="134"/>
        <v>161090</v>
      </c>
      <c r="M216" s="49">
        <f t="shared" si="125"/>
        <v>0</v>
      </c>
      <c r="N216" s="51"/>
      <c r="O216" s="49">
        <f t="shared" si="135"/>
        <v>161090</v>
      </c>
      <c r="P216" s="49">
        <f t="shared" si="126"/>
        <v>0</v>
      </c>
      <c r="Q216" s="51"/>
      <c r="R216" s="49">
        <f t="shared" si="136"/>
        <v>161090</v>
      </c>
      <c r="S216" s="49">
        <f t="shared" si="127"/>
        <v>0</v>
      </c>
      <c r="T216" s="51"/>
      <c r="U216" s="49">
        <f t="shared" si="137"/>
        <v>161090</v>
      </c>
      <c r="V216" s="49">
        <f t="shared" si="128"/>
        <v>0</v>
      </c>
      <c r="W216" s="51"/>
      <c r="X216" s="49">
        <f t="shared" si="138"/>
        <v>161090</v>
      </c>
      <c r="Y216" s="49">
        <f t="shared" si="129"/>
        <v>0</v>
      </c>
      <c r="Z216" s="51"/>
      <c r="AA216" s="49">
        <v>69121.600000000006</v>
      </c>
      <c r="AB216" s="53">
        <f t="shared" si="123"/>
        <v>0.42908684586256135</v>
      </c>
      <c r="AC216" s="55" t="s">
        <v>466</v>
      </c>
    </row>
    <row r="217" spans="2:29" s="187" customFormat="1" ht="15.6" customHeight="1" x14ac:dyDescent="0.25">
      <c r="B217" s="1" t="s">
        <v>615</v>
      </c>
      <c r="C217" s="261" t="s">
        <v>616</v>
      </c>
      <c r="D217" s="262" t="s">
        <v>617</v>
      </c>
      <c r="E217" s="50">
        <v>330670</v>
      </c>
      <c r="F217" s="50">
        <f t="shared" si="133"/>
        <v>330670</v>
      </c>
      <c r="G217" s="49">
        <f t="shared" si="122"/>
        <v>0</v>
      </c>
      <c r="H217" s="51"/>
      <c r="I217" s="49">
        <f t="shared" si="139"/>
        <v>330670</v>
      </c>
      <c r="J217" s="49">
        <f t="shared" si="124"/>
        <v>0</v>
      </c>
      <c r="K217" s="51"/>
      <c r="L217" s="49">
        <f t="shared" si="134"/>
        <v>330670</v>
      </c>
      <c r="M217" s="49">
        <f t="shared" si="125"/>
        <v>0</v>
      </c>
      <c r="N217" s="51"/>
      <c r="O217" s="49">
        <f t="shared" si="135"/>
        <v>330670</v>
      </c>
      <c r="P217" s="49">
        <f t="shared" si="126"/>
        <v>0</v>
      </c>
      <c r="Q217" s="51"/>
      <c r="R217" s="49">
        <f t="shared" si="136"/>
        <v>330670</v>
      </c>
      <c r="S217" s="49">
        <f t="shared" si="127"/>
        <v>0</v>
      </c>
      <c r="T217" s="51"/>
      <c r="U217" s="49">
        <f t="shared" si="137"/>
        <v>330670</v>
      </c>
      <c r="V217" s="49">
        <f t="shared" si="128"/>
        <v>0</v>
      </c>
      <c r="W217" s="51"/>
      <c r="X217" s="49">
        <f t="shared" si="138"/>
        <v>330670</v>
      </c>
      <c r="Y217" s="49">
        <f t="shared" si="129"/>
        <v>0</v>
      </c>
      <c r="Z217" s="51"/>
      <c r="AA217" s="49">
        <v>311493.59999999998</v>
      </c>
      <c r="AB217" s="53">
        <f t="shared" si="123"/>
        <v>0.94200743944113463</v>
      </c>
      <c r="AC217" s="55"/>
    </row>
    <row r="218" spans="2:29" s="187" customFormat="1" ht="16.2" customHeight="1" x14ac:dyDescent="0.25">
      <c r="C218" s="200" t="s">
        <v>618</v>
      </c>
      <c r="D218" s="201" t="s">
        <v>619</v>
      </c>
      <c r="E218" s="114">
        <v>132505.09117999999</v>
      </c>
      <c r="F218" s="114">
        <f t="shared" si="133"/>
        <v>132505</v>
      </c>
      <c r="G218" s="83">
        <f t="shared" si="122"/>
        <v>-9.1179999988526106E-2</v>
      </c>
      <c r="H218" s="204"/>
      <c r="I218" s="83">
        <f>ROUND(F218,0)-6709</f>
        <v>125796</v>
      </c>
      <c r="J218" s="202">
        <f t="shared" si="124"/>
        <v>-6709</v>
      </c>
      <c r="K218" s="203" t="s">
        <v>391</v>
      </c>
      <c r="L218" s="83">
        <f t="shared" si="134"/>
        <v>125796</v>
      </c>
      <c r="M218" s="83">
        <f t="shared" si="125"/>
        <v>0</v>
      </c>
      <c r="N218" s="115"/>
      <c r="O218" s="83">
        <f t="shared" si="135"/>
        <v>125796</v>
      </c>
      <c r="P218" s="83">
        <f t="shared" si="126"/>
        <v>0</v>
      </c>
      <c r="Q218" s="115"/>
      <c r="R218" s="83">
        <f t="shared" si="136"/>
        <v>125796</v>
      </c>
      <c r="S218" s="83">
        <f t="shared" si="127"/>
        <v>0</v>
      </c>
      <c r="T218" s="115"/>
      <c r="U218" s="83">
        <f t="shared" si="137"/>
        <v>125796</v>
      </c>
      <c r="V218" s="83">
        <f t="shared" si="128"/>
        <v>0</v>
      </c>
      <c r="W218" s="115"/>
      <c r="X218" s="83">
        <f t="shared" si="138"/>
        <v>125796</v>
      </c>
      <c r="Y218" s="83">
        <f t="shared" si="129"/>
        <v>0</v>
      </c>
      <c r="Z218" s="115"/>
      <c r="AA218" s="83">
        <v>120198.35</v>
      </c>
      <c r="AB218" s="116">
        <f t="shared" si="123"/>
        <v>0.95550216223091355</v>
      </c>
      <c r="AC218" s="202"/>
    </row>
    <row r="219" spans="2:29" s="187" customFormat="1" ht="18.75" customHeight="1" x14ac:dyDescent="0.25">
      <c r="B219" s="1">
        <v>1016</v>
      </c>
      <c r="C219" s="200" t="s">
        <v>620</v>
      </c>
      <c r="D219" s="201" t="s">
        <v>208</v>
      </c>
      <c r="E219" s="114">
        <v>50000</v>
      </c>
      <c r="F219" s="114">
        <f t="shared" si="133"/>
        <v>50000</v>
      </c>
      <c r="G219" s="83">
        <f t="shared" si="122"/>
        <v>0</v>
      </c>
      <c r="H219" s="204"/>
      <c r="I219" s="83">
        <f>ROUND(F219,0)+20000</f>
        <v>70000</v>
      </c>
      <c r="J219" s="83">
        <f t="shared" si="124"/>
        <v>20000</v>
      </c>
      <c r="K219" s="204" t="s">
        <v>209</v>
      </c>
      <c r="L219" s="83">
        <f t="shared" si="134"/>
        <v>70000</v>
      </c>
      <c r="M219" s="83">
        <f t="shared" si="125"/>
        <v>0</v>
      </c>
      <c r="N219" s="204"/>
      <c r="O219" s="83">
        <f>ROUND(L219,0)+50000</f>
        <v>120000</v>
      </c>
      <c r="P219" s="83">
        <f t="shared" si="126"/>
        <v>50000</v>
      </c>
      <c r="Q219" s="264" t="s">
        <v>209</v>
      </c>
      <c r="R219" s="83">
        <f>ROUND(O219,0)+30000</f>
        <v>150000</v>
      </c>
      <c r="S219" s="83">
        <f t="shared" si="127"/>
        <v>30000</v>
      </c>
      <c r="T219" s="204" t="s">
        <v>209</v>
      </c>
      <c r="U219" s="83">
        <f>ROUND(R219,0)</f>
        <v>150000</v>
      </c>
      <c r="V219" s="83">
        <f t="shared" si="128"/>
        <v>0</v>
      </c>
      <c r="W219" s="204"/>
      <c r="X219" s="83">
        <f>ROUND(U219,0)</f>
        <v>150000</v>
      </c>
      <c r="Y219" s="83">
        <f t="shared" si="129"/>
        <v>0</v>
      </c>
      <c r="Z219" s="204"/>
      <c r="AA219" s="83">
        <v>127167.94</v>
      </c>
      <c r="AB219" s="116">
        <f t="shared" si="123"/>
        <v>0.84778626666666668</v>
      </c>
      <c r="AC219" s="202"/>
    </row>
    <row r="220" spans="2:29" s="187" customFormat="1" ht="18.75" customHeight="1" x14ac:dyDescent="0.25">
      <c r="B220" s="1">
        <v>1017</v>
      </c>
      <c r="C220" s="200" t="s">
        <v>621</v>
      </c>
      <c r="D220" s="201" t="s">
        <v>212</v>
      </c>
      <c r="E220" s="114">
        <v>698343.79</v>
      </c>
      <c r="F220" s="114">
        <f t="shared" si="133"/>
        <v>698344</v>
      </c>
      <c r="G220" s="83">
        <f t="shared" si="122"/>
        <v>0.2099999999627471</v>
      </c>
      <c r="H220" s="204"/>
      <c r="I220" s="83">
        <f t="shared" si="139"/>
        <v>698344</v>
      </c>
      <c r="J220" s="83">
        <f t="shared" si="124"/>
        <v>0</v>
      </c>
      <c r="K220" s="204"/>
      <c r="L220" s="83">
        <f t="shared" si="134"/>
        <v>698344</v>
      </c>
      <c r="M220" s="83">
        <f t="shared" si="125"/>
        <v>0</v>
      </c>
      <c r="N220" s="204"/>
      <c r="O220" s="83">
        <f t="shared" si="135"/>
        <v>698344</v>
      </c>
      <c r="P220" s="83">
        <f t="shared" si="126"/>
        <v>0</v>
      </c>
      <c r="Q220" s="204"/>
      <c r="R220" s="83">
        <f t="shared" si="136"/>
        <v>698344</v>
      </c>
      <c r="S220" s="83">
        <f t="shared" si="127"/>
        <v>0</v>
      </c>
      <c r="T220" s="204"/>
      <c r="U220" s="83">
        <f t="shared" ref="U220:U222" si="140">ROUND(R220,0)</f>
        <v>698344</v>
      </c>
      <c r="V220" s="83">
        <f t="shared" si="128"/>
        <v>0</v>
      </c>
      <c r="W220" s="204"/>
      <c r="X220" s="83">
        <f t="shared" ref="X220:X222" si="141">ROUND(U220,0)</f>
        <v>698344</v>
      </c>
      <c r="Y220" s="83">
        <f t="shared" si="129"/>
        <v>0</v>
      </c>
      <c r="Z220" s="204"/>
      <c r="AA220" s="83">
        <v>382368.06</v>
      </c>
      <c r="AB220" s="116">
        <f t="shared" si="123"/>
        <v>0.5475353980273332</v>
      </c>
      <c r="AC220" s="202"/>
    </row>
    <row r="221" spans="2:29" ht="40.950000000000003" customHeight="1" x14ac:dyDescent="0.25">
      <c r="B221" s="1" t="s">
        <v>622</v>
      </c>
      <c r="C221" s="200" t="s">
        <v>623</v>
      </c>
      <c r="D221" s="201" t="s">
        <v>624</v>
      </c>
      <c r="E221" s="50">
        <v>23597</v>
      </c>
      <c r="F221" s="50">
        <f>ROUND(E221,0)</f>
        <v>23597</v>
      </c>
      <c r="G221" s="49">
        <f>F221-E221</f>
        <v>0</v>
      </c>
      <c r="H221" s="222"/>
      <c r="I221" s="49">
        <f t="shared" si="139"/>
        <v>23597</v>
      </c>
      <c r="J221" s="49">
        <f t="shared" si="124"/>
        <v>0</v>
      </c>
      <c r="K221" s="222"/>
      <c r="L221" s="49">
        <f t="shared" si="134"/>
        <v>23597</v>
      </c>
      <c r="M221" s="49">
        <f t="shared" si="125"/>
        <v>0</v>
      </c>
      <c r="N221" s="222"/>
      <c r="O221" s="49">
        <f t="shared" si="135"/>
        <v>23597</v>
      </c>
      <c r="P221" s="49">
        <f t="shared" si="126"/>
        <v>0</v>
      </c>
      <c r="Q221" s="222"/>
      <c r="R221" s="49">
        <f t="shared" si="136"/>
        <v>23597</v>
      </c>
      <c r="S221" s="49">
        <f t="shared" si="127"/>
        <v>0</v>
      </c>
      <c r="T221" s="222"/>
      <c r="U221" s="49">
        <f t="shared" si="140"/>
        <v>23597</v>
      </c>
      <c r="V221" s="49">
        <f t="shared" si="128"/>
        <v>0</v>
      </c>
      <c r="W221" s="222"/>
      <c r="X221" s="49">
        <f t="shared" si="141"/>
        <v>23597</v>
      </c>
      <c r="Y221" s="49">
        <f t="shared" si="129"/>
        <v>0</v>
      </c>
      <c r="Z221" s="222"/>
      <c r="AA221" s="49">
        <v>22711.4</v>
      </c>
      <c r="AB221" s="53">
        <f t="shared" si="123"/>
        <v>0.96246980548374794</v>
      </c>
      <c r="AC221" s="113" t="s">
        <v>466</v>
      </c>
    </row>
    <row r="222" spans="2:29" ht="44.4" customHeight="1" x14ac:dyDescent="0.25">
      <c r="B222" s="1" t="s">
        <v>625</v>
      </c>
      <c r="C222" s="200" t="s">
        <v>626</v>
      </c>
      <c r="D222" s="201" t="s">
        <v>627</v>
      </c>
      <c r="E222" s="50">
        <v>18440</v>
      </c>
      <c r="F222" s="50">
        <f>ROUND(E222,0)</f>
        <v>18440</v>
      </c>
      <c r="G222" s="49">
        <f>F222-E222</f>
        <v>0</v>
      </c>
      <c r="H222" s="222"/>
      <c r="I222" s="49">
        <f t="shared" si="139"/>
        <v>18440</v>
      </c>
      <c r="J222" s="49">
        <f t="shared" si="124"/>
        <v>0</v>
      </c>
      <c r="K222" s="222"/>
      <c r="L222" s="49">
        <f t="shared" si="134"/>
        <v>18440</v>
      </c>
      <c r="M222" s="49">
        <f t="shared" si="125"/>
        <v>0</v>
      </c>
      <c r="N222" s="222"/>
      <c r="O222" s="49">
        <f t="shared" si="135"/>
        <v>18440</v>
      </c>
      <c r="P222" s="49">
        <f t="shared" si="126"/>
        <v>0</v>
      </c>
      <c r="Q222" s="222"/>
      <c r="R222" s="49">
        <f t="shared" si="136"/>
        <v>18440</v>
      </c>
      <c r="S222" s="49">
        <f t="shared" si="127"/>
        <v>0</v>
      </c>
      <c r="T222" s="222"/>
      <c r="U222" s="49">
        <f t="shared" si="140"/>
        <v>18440</v>
      </c>
      <c r="V222" s="49">
        <f t="shared" si="128"/>
        <v>0</v>
      </c>
      <c r="W222" s="222"/>
      <c r="X222" s="49">
        <f t="shared" si="141"/>
        <v>18440</v>
      </c>
      <c r="Y222" s="49">
        <f t="shared" si="129"/>
        <v>0</v>
      </c>
      <c r="Z222" s="222"/>
      <c r="AA222" s="49">
        <v>12989.5</v>
      </c>
      <c r="AB222" s="53">
        <f t="shared" si="123"/>
        <v>0.70441973969631233</v>
      </c>
      <c r="AC222" s="113" t="s">
        <v>466</v>
      </c>
    </row>
    <row r="223" spans="2:29" x14ac:dyDescent="0.25">
      <c r="C223" s="206" t="s">
        <v>142</v>
      </c>
      <c r="D223" s="207" t="s">
        <v>628</v>
      </c>
      <c r="E223" s="60">
        <v>21517854.165859237</v>
      </c>
      <c r="F223" s="60">
        <f>F224+F225+F228+F231+F235+F239+F243+F251+F252+F263+F266+F269+F270+F271+F272+F273+F274</f>
        <v>21576210</v>
      </c>
      <c r="G223" s="59">
        <f>G224+G225+G228+G231+G235+G239+G243+G252+G263+G266+G269+G270+G271+G272+G273+G274</f>
        <v>58356.224140764331</v>
      </c>
      <c r="H223" s="59"/>
      <c r="I223" s="59">
        <f>I224+I225+I228+I231+I235+I239+I243+I251+I252+I263+I266+I269+I270+I271+I272+I273+I274</f>
        <v>21675003</v>
      </c>
      <c r="J223" s="59">
        <f t="shared" si="124"/>
        <v>98793</v>
      </c>
      <c r="K223" s="59"/>
      <c r="L223" s="59">
        <f>L224+L225+L228+L231+L235+L239+L243+L251+L252+L263+L266+L269+L270+L271+L272+L273+L274</f>
        <v>21738469</v>
      </c>
      <c r="M223" s="59">
        <f t="shared" si="125"/>
        <v>63466</v>
      </c>
      <c r="N223" s="59"/>
      <c r="O223" s="59">
        <f>O224+O225+O228+O231+O235+O239+O243+O251+O252+O263+O266+O269+O270+O271+O272+O273+O274</f>
        <v>21751989</v>
      </c>
      <c r="P223" s="59">
        <f t="shared" si="126"/>
        <v>13520</v>
      </c>
      <c r="Q223" s="59"/>
      <c r="R223" s="59">
        <f>R224+R225+R228+R231+R235+R239+R243+R251+R252+R263+R266+R269+R270+R271+R272+R273+R274</f>
        <v>21982854</v>
      </c>
      <c r="S223" s="59">
        <f t="shared" si="127"/>
        <v>230865</v>
      </c>
      <c r="T223" s="59"/>
      <c r="U223" s="59">
        <f>U224+U225+U228+U231+U235+U239+U243+U251+U252+U263+U266+U269+U270+U271+U272+U273+U274</f>
        <v>22040448</v>
      </c>
      <c r="V223" s="59">
        <f t="shared" si="128"/>
        <v>57594</v>
      </c>
      <c r="W223" s="59"/>
      <c r="X223" s="59">
        <f>X224+X225+X228+X231+X235+X239+X243+X251+X252+X263+X266+X269+X270+X271+X272+X273+X274</f>
        <v>22040448</v>
      </c>
      <c r="Y223" s="59">
        <f t="shared" si="129"/>
        <v>0</v>
      </c>
      <c r="Z223" s="59"/>
      <c r="AA223" s="59">
        <f>AA224+AA225+AA228+AA231+AA235+AA239+AA243+AA251+AA252+AA263+AA266+AA269+AA270+AA271+AA272+AA273+AA274</f>
        <v>20216917.619999997</v>
      </c>
      <c r="AB223" s="62">
        <f t="shared" si="123"/>
        <v>0.91726436867344974</v>
      </c>
      <c r="AC223" s="63"/>
    </row>
    <row r="224" spans="2:29" ht="27.6" customHeight="1" x14ac:dyDescent="0.25">
      <c r="B224" s="265" t="s">
        <v>629</v>
      </c>
      <c r="C224" s="200" t="s">
        <v>630</v>
      </c>
      <c r="D224" s="214" t="s">
        <v>631</v>
      </c>
      <c r="E224" s="114">
        <v>1009440</v>
      </c>
      <c r="F224" s="114">
        <f>ROUND(E224,0)</f>
        <v>1009440</v>
      </c>
      <c r="G224" s="83">
        <f t="shared" si="122"/>
        <v>0</v>
      </c>
      <c r="H224" s="115"/>
      <c r="I224" s="83">
        <f>ROUND(F224,0)</f>
        <v>1009440</v>
      </c>
      <c r="J224" s="83">
        <f t="shared" si="124"/>
        <v>0</v>
      </c>
      <c r="K224" s="115"/>
      <c r="L224" s="83">
        <f>ROUND(I224,0)</f>
        <v>1009440</v>
      </c>
      <c r="M224" s="83">
        <f t="shared" si="125"/>
        <v>0</v>
      </c>
      <c r="N224" s="115"/>
      <c r="O224" s="83">
        <f>ROUND(L224,0)</f>
        <v>1009440</v>
      </c>
      <c r="P224" s="83">
        <f t="shared" si="126"/>
        <v>0</v>
      </c>
      <c r="Q224" s="115"/>
      <c r="R224" s="83">
        <f>ROUND(O224,0)-220908</f>
        <v>788532</v>
      </c>
      <c r="S224" s="83">
        <f t="shared" si="127"/>
        <v>-220908</v>
      </c>
      <c r="T224" s="115" t="s">
        <v>632</v>
      </c>
      <c r="U224" s="83">
        <f>ROUND(R224,0)-5000</f>
        <v>783532</v>
      </c>
      <c r="V224" s="205">
        <f t="shared" si="128"/>
        <v>-5000</v>
      </c>
      <c r="W224" s="115" t="s">
        <v>633</v>
      </c>
      <c r="X224" s="83">
        <f>ROUND(U224,0)</f>
        <v>783532</v>
      </c>
      <c r="Y224" s="83">
        <f t="shared" si="129"/>
        <v>0</v>
      </c>
      <c r="Z224" s="115"/>
      <c r="AA224" s="83">
        <v>753387.18</v>
      </c>
      <c r="AB224" s="116">
        <f t="shared" si="123"/>
        <v>0.96152700846934147</v>
      </c>
      <c r="AC224" s="202"/>
    </row>
    <row r="225" spans="2:29" ht="18" customHeight="1" x14ac:dyDescent="0.25">
      <c r="C225" s="200" t="s">
        <v>634</v>
      </c>
      <c r="D225" s="214" t="s">
        <v>635</v>
      </c>
      <c r="E225" s="114">
        <v>1943919.3519472245</v>
      </c>
      <c r="F225" s="114">
        <f t="shared" ref="F225" si="142">SUM(F226:F227)</f>
        <v>1943919</v>
      </c>
      <c r="G225" s="83">
        <f t="shared" si="122"/>
        <v>-0.35194722446613014</v>
      </c>
      <c r="H225" s="204"/>
      <c r="I225" s="83">
        <f>SUM(I226:I227)</f>
        <v>1956009</v>
      </c>
      <c r="J225" s="83">
        <f t="shared" si="124"/>
        <v>12090</v>
      </c>
      <c r="K225" s="204"/>
      <c r="L225" s="83">
        <f>SUM(L226:L227)</f>
        <v>1960502</v>
      </c>
      <c r="M225" s="83">
        <f t="shared" si="125"/>
        <v>4493</v>
      </c>
      <c r="N225" s="204"/>
      <c r="O225" s="83">
        <f>SUM(O226:O227)</f>
        <v>1960502</v>
      </c>
      <c r="P225" s="83">
        <f t="shared" si="126"/>
        <v>0</v>
      </c>
      <c r="Q225" s="204"/>
      <c r="R225" s="83">
        <f>SUM(R226:R227)</f>
        <v>1981391</v>
      </c>
      <c r="S225" s="83">
        <f t="shared" si="127"/>
        <v>20889</v>
      </c>
      <c r="T225" s="204"/>
      <c r="U225" s="83">
        <f>SUM(U226:U227)</f>
        <v>1981391</v>
      </c>
      <c r="V225" s="83">
        <f t="shared" si="128"/>
        <v>0</v>
      </c>
      <c r="W225" s="204"/>
      <c r="X225" s="83">
        <f>SUM(X226:X227)</f>
        <v>1981077</v>
      </c>
      <c r="Y225" s="83">
        <f t="shared" si="129"/>
        <v>-314</v>
      </c>
      <c r="Z225" s="204"/>
      <c r="AA225" s="83">
        <f>SUM(AA226:AA227)</f>
        <v>1756212.6800000002</v>
      </c>
      <c r="AB225" s="116">
        <f t="shared" si="123"/>
        <v>0.88649390205428669</v>
      </c>
      <c r="AC225" s="202"/>
    </row>
    <row r="226" spans="2:29" ht="57.6" customHeight="1" x14ac:dyDescent="0.25">
      <c r="B226" s="106" t="s">
        <v>636</v>
      </c>
      <c r="C226" s="212" t="s">
        <v>637</v>
      </c>
      <c r="D226" s="162" t="s">
        <v>638</v>
      </c>
      <c r="E226" s="267">
        <v>273761</v>
      </c>
      <c r="F226" s="267">
        <f>ROUND(E226,0)</f>
        <v>273761</v>
      </c>
      <c r="G226" s="266">
        <f t="shared" si="122"/>
        <v>0</v>
      </c>
      <c r="H226" s="77"/>
      <c r="I226" s="266">
        <f>ROUND(F226,0)</f>
        <v>273761</v>
      </c>
      <c r="J226" s="266">
        <f t="shared" si="124"/>
        <v>0</v>
      </c>
      <c r="K226" s="77"/>
      <c r="L226" s="266">
        <f>ROUND(I226,0)+4493</f>
        <v>278254</v>
      </c>
      <c r="M226" s="266">
        <f t="shared" si="125"/>
        <v>4493</v>
      </c>
      <c r="N226" s="77" t="s">
        <v>169</v>
      </c>
      <c r="O226" s="266">
        <f>ROUND(L226,0)</f>
        <v>278254</v>
      </c>
      <c r="P226" s="266">
        <f t="shared" si="126"/>
        <v>0</v>
      </c>
      <c r="Q226" s="77"/>
      <c r="R226" s="266">
        <f>ROUND(O226,0)+19049+1840</f>
        <v>299143</v>
      </c>
      <c r="S226" s="266">
        <f t="shared" si="127"/>
        <v>20889</v>
      </c>
      <c r="T226" s="77" t="s">
        <v>155</v>
      </c>
      <c r="U226" s="266">
        <f>ROUND(R226,0)</f>
        <v>299143</v>
      </c>
      <c r="V226" s="266">
        <f t="shared" si="128"/>
        <v>0</v>
      </c>
      <c r="W226" s="77"/>
      <c r="X226" s="266">
        <f>ROUND(U226,0)-264-50</f>
        <v>298829</v>
      </c>
      <c r="Y226" s="266">
        <f t="shared" si="129"/>
        <v>-314</v>
      </c>
      <c r="Z226" s="77" t="s">
        <v>639</v>
      </c>
      <c r="AA226" s="266">
        <v>297994.88</v>
      </c>
      <c r="AB226" s="268">
        <f t="shared" si="123"/>
        <v>0.99720870464379296</v>
      </c>
      <c r="AC226" s="269"/>
    </row>
    <row r="227" spans="2:29" ht="25.2" customHeight="1" x14ac:dyDescent="0.25">
      <c r="B227" s="106" t="s">
        <v>640</v>
      </c>
      <c r="C227" s="212" t="s">
        <v>641</v>
      </c>
      <c r="D227" s="162" t="s">
        <v>642</v>
      </c>
      <c r="E227" s="267">
        <v>1670158.3519472245</v>
      </c>
      <c r="F227" s="267">
        <f>ROUND(E227,0)</f>
        <v>1670158</v>
      </c>
      <c r="G227" s="266">
        <f t="shared" si="122"/>
        <v>-0.35194722446613014</v>
      </c>
      <c r="H227" s="270"/>
      <c r="I227" s="266">
        <f>ROUND(F227,0)-7910+20000</f>
        <v>1682248</v>
      </c>
      <c r="J227" s="269">
        <f t="shared" si="124"/>
        <v>12090</v>
      </c>
      <c r="K227" s="78" t="s">
        <v>643</v>
      </c>
      <c r="L227" s="266">
        <f>ROUND(I227,0)</f>
        <v>1682248</v>
      </c>
      <c r="M227" s="266">
        <f t="shared" si="125"/>
        <v>0</v>
      </c>
      <c r="N227" s="77"/>
      <c r="O227" s="266">
        <f>ROUND(L227,0)</f>
        <v>1682248</v>
      </c>
      <c r="P227" s="266">
        <f t="shared" si="126"/>
        <v>0</v>
      </c>
      <c r="Q227" s="77"/>
      <c r="R227" s="266">
        <f>ROUND(O227,0)</f>
        <v>1682248</v>
      </c>
      <c r="S227" s="266">
        <f t="shared" si="127"/>
        <v>0</v>
      </c>
      <c r="T227" s="77"/>
      <c r="U227" s="266">
        <f>ROUND(R227,0)</f>
        <v>1682248</v>
      </c>
      <c r="V227" s="266">
        <f t="shared" si="128"/>
        <v>0</v>
      </c>
      <c r="W227" s="77" t="s">
        <v>644</v>
      </c>
      <c r="X227" s="266">
        <f>ROUND(U227,0)</f>
        <v>1682248</v>
      </c>
      <c r="Y227" s="266">
        <f t="shared" si="129"/>
        <v>0</v>
      </c>
      <c r="Z227" s="77"/>
      <c r="AA227" s="266">
        <v>1458217.8</v>
      </c>
      <c r="AB227" s="268">
        <f t="shared" si="123"/>
        <v>0.86682688878215342</v>
      </c>
      <c r="AC227" s="266"/>
    </row>
    <row r="228" spans="2:29" ht="18" customHeight="1" x14ac:dyDescent="0.25">
      <c r="C228" s="200" t="s">
        <v>645</v>
      </c>
      <c r="D228" s="214" t="s">
        <v>646</v>
      </c>
      <c r="E228" s="114">
        <v>1237573.6494368</v>
      </c>
      <c r="F228" s="114">
        <f>F229+F230</f>
        <v>1237574</v>
      </c>
      <c r="G228" s="83">
        <f t="shared" si="122"/>
        <v>0.35056319995783269</v>
      </c>
      <c r="H228" s="204"/>
      <c r="I228" s="83">
        <f>I229+I230</f>
        <v>1230777</v>
      </c>
      <c r="J228" s="83">
        <f t="shared" si="124"/>
        <v>-6797</v>
      </c>
      <c r="K228" s="204"/>
      <c r="L228" s="83">
        <f>L229+L230</f>
        <v>1232647</v>
      </c>
      <c r="M228" s="83">
        <f t="shared" si="125"/>
        <v>1870</v>
      </c>
      <c r="N228" s="204"/>
      <c r="O228" s="83">
        <f>O229+O230</f>
        <v>1232647</v>
      </c>
      <c r="P228" s="83">
        <f t="shared" si="126"/>
        <v>0</v>
      </c>
      <c r="Q228" s="204"/>
      <c r="R228" s="83">
        <f>R229+R230</f>
        <v>1237648</v>
      </c>
      <c r="S228" s="83">
        <f t="shared" si="127"/>
        <v>5001</v>
      </c>
      <c r="T228" s="204"/>
      <c r="U228" s="83">
        <f>U229+U230</f>
        <v>1237648</v>
      </c>
      <c r="V228" s="83">
        <f t="shared" si="128"/>
        <v>0</v>
      </c>
      <c r="W228" s="204"/>
      <c r="X228" s="83">
        <f>X229+X230</f>
        <v>1237648</v>
      </c>
      <c r="Y228" s="83">
        <f t="shared" si="129"/>
        <v>0</v>
      </c>
      <c r="Z228" s="204"/>
      <c r="AA228" s="83">
        <f>AA229+AA230</f>
        <v>1062127.53</v>
      </c>
      <c r="AB228" s="116">
        <f t="shared" si="123"/>
        <v>0.85818223759905887</v>
      </c>
      <c r="AC228" s="202"/>
    </row>
    <row r="229" spans="2:29" ht="16.5" customHeight="1" x14ac:dyDescent="0.25">
      <c r="B229" s="106" t="s">
        <v>647</v>
      </c>
      <c r="C229" s="212" t="s">
        <v>648</v>
      </c>
      <c r="D229" s="162" t="s">
        <v>638</v>
      </c>
      <c r="E229" s="50">
        <v>113943</v>
      </c>
      <c r="F229" s="50">
        <f>ROUND(E229,0)</f>
        <v>113943</v>
      </c>
      <c r="G229" s="49">
        <f t="shared" si="122"/>
        <v>0</v>
      </c>
      <c r="H229" s="77"/>
      <c r="I229" s="49">
        <f>ROUND(F229,0)</f>
        <v>113943</v>
      </c>
      <c r="J229" s="49">
        <f t="shared" si="124"/>
        <v>0</v>
      </c>
      <c r="K229" s="77"/>
      <c r="L229" s="49">
        <f>ROUND(I229,0)+1870</f>
        <v>115813</v>
      </c>
      <c r="M229" s="49">
        <f t="shared" si="125"/>
        <v>1870</v>
      </c>
      <c r="N229" s="77" t="s">
        <v>169</v>
      </c>
      <c r="O229" s="49">
        <f>ROUND(L229,0)</f>
        <v>115813</v>
      </c>
      <c r="P229" s="49">
        <f t="shared" si="126"/>
        <v>0</v>
      </c>
      <c r="Q229" s="77"/>
      <c r="R229" s="49">
        <f>ROUND(O229,0)+5001</f>
        <v>120814</v>
      </c>
      <c r="S229" s="49">
        <f t="shared" si="127"/>
        <v>5001</v>
      </c>
      <c r="T229" s="77" t="s">
        <v>155</v>
      </c>
      <c r="U229" s="49">
        <f>ROUND(R229,0)</f>
        <v>120814</v>
      </c>
      <c r="V229" s="49">
        <f t="shared" si="128"/>
        <v>0</v>
      </c>
      <c r="W229" s="77"/>
      <c r="X229" s="49">
        <f>ROUND(U229,0)</f>
        <v>120814</v>
      </c>
      <c r="Y229" s="49">
        <f t="shared" si="129"/>
        <v>0</v>
      </c>
      <c r="Z229" s="77"/>
      <c r="AA229" s="49">
        <v>119643.11</v>
      </c>
      <c r="AB229" s="53">
        <f t="shared" si="123"/>
        <v>0.99030832519410006</v>
      </c>
      <c r="AC229" s="55"/>
    </row>
    <row r="230" spans="2:29" ht="13.2" customHeight="1" x14ac:dyDescent="0.25">
      <c r="B230" s="106" t="s">
        <v>649</v>
      </c>
      <c r="C230" s="212" t="s">
        <v>650</v>
      </c>
      <c r="D230" s="162" t="s">
        <v>642</v>
      </c>
      <c r="E230" s="50">
        <v>1123630.6494368</v>
      </c>
      <c r="F230" s="50">
        <f>ROUND(E230,0)</f>
        <v>1123631</v>
      </c>
      <c r="G230" s="49">
        <f t="shared" si="122"/>
        <v>0.35056319995783269</v>
      </c>
      <c r="H230" s="77"/>
      <c r="I230" s="49">
        <f>ROUND(F230,0)-6797</f>
        <v>1116834</v>
      </c>
      <c r="J230" s="55">
        <f t="shared" si="124"/>
        <v>-6797</v>
      </c>
      <c r="K230" s="78" t="s">
        <v>391</v>
      </c>
      <c r="L230" s="49">
        <f>ROUND(I230,0)</f>
        <v>1116834</v>
      </c>
      <c r="M230" s="49">
        <f t="shared" si="125"/>
        <v>0</v>
      </c>
      <c r="N230" s="77"/>
      <c r="O230" s="49">
        <f>ROUND(L230,0)</f>
        <v>1116834</v>
      </c>
      <c r="P230" s="49">
        <f t="shared" si="126"/>
        <v>0</v>
      </c>
      <c r="Q230" s="77"/>
      <c r="R230" s="49">
        <f>ROUND(O230,0)</f>
        <v>1116834</v>
      </c>
      <c r="S230" s="49">
        <f t="shared" si="127"/>
        <v>0</v>
      </c>
      <c r="T230" s="77"/>
      <c r="U230" s="49">
        <f>ROUND(R230,0)</f>
        <v>1116834</v>
      </c>
      <c r="V230" s="49">
        <f t="shared" si="128"/>
        <v>0</v>
      </c>
      <c r="W230" s="77"/>
      <c r="X230" s="49">
        <f>ROUND(U230,0)</f>
        <v>1116834</v>
      </c>
      <c r="Y230" s="49">
        <f t="shared" si="129"/>
        <v>0</v>
      </c>
      <c r="Z230" s="77"/>
      <c r="AA230" s="49">
        <v>942484.42</v>
      </c>
      <c r="AB230" s="53">
        <f t="shared" si="123"/>
        <v>0.84388944104495389</v>
      </c>
      <c r="AC230" s="49" t="s">
        <v>651</v>
      </c>
    </row>
    <row r="231" spans="2:29" ht="18" customHeight="1" x14ac:dyDescent="0.25">
      <c r="C231" s="271" t="s">
        <v>652</v>
      </c>
      <c r="D231" s="214" t="s">
        <v>653</v>
      </c>
      <c r="E231" s="114">
        <v>1320896.3067867202</v>
      </c>
      <c r="F231" s="114">
        <f>F232+F233+F234</f>
        <v>1320896</v>
      </c>
      <c r="G231" s="83">
        <f t="shared" si="122"/>
        <v>-0.30678672017529607</v>
      </c>
      <c r="H231" s="204"/>
      <c r="I231" s="83">
        <f>I232+I233+I234</f>
        <v>1320896</v>
      </c>
      <c r="J231" s="83">
        <f t="shared" si="124"/>
        <v>0</v>
      </c>
      <c r="K231" s="204"/>
      <c r="L231" s="83">
        <f>L232+L233+L234</f>
        <v>1323864</v>
      </c>
      <c r="M231" s="83">
        <f t="shared" si="125"/>
        <v>2968</v>
      </c>
      <c r="N231" s="204"/>
      <c r="O231" s="83">
        <f>O232+O233+O234</f>
        <v>1323864</v>
      </c>
      <c r="P231" s="83">
        <f t="shared" si="126"/>
        <v>0</v>
      </c>
      <c r="Q231" s="204"/>
      <c r="R231" s="83">
        <f>R232+R233+R234</f>
        <v>1324966</v>
      </c>
      <c r="S231" s="83">
        <f t="shared" si="127"/>
        <v>1102</v>
      </c>
      <c r="T231" s="204"/>
      <c r="U231" s="83">
        <f>U232+U233+U234</f>
        <v>1327591</v>
      </c>
      <c r="V231" s="83">
        <f t="shared" si="128"/>
        <v>2625</v>
      </c>
      <c r="W231" s="204"/>
      <c r="X231" s="83">
        <f>X232+X233+X234</f>
        <v>1327591</v>
      </c>
      <c r="Y231" s="83">
        <f t="shared" si="129"/>
        <v>0</v>
      </c>
      <c r="Z231" s="204"/>
      <c r="AA231" s="83">
        <f>AA232+AA233+AA234</f>
        <v>1252893.1900000002</v>
      </c>
      <c r="AB231" s="116">
        <f t="shared" si="123"/>
        <v>0.94373432028388271</v>
      </c>
      <c r="AC231" s="202"/>
    </row>
    <row r="232" spans="2:29" ht="13.5" customHeight="1" x14ac:dyDescent="0.25">
      <c r="B232" s="1" t="s">
        <v>654</v>
      </c>
      <c r="C232" s="212" t="s">
        <v>655</v>
      </c>
      <c r="D232" s="162" t="s">
        <v>638</v>
      </c>
      <c r="E232" s="50">
        <v>192011</v>
      </c>
      <c r="F232" s="50">
        <f>ROUND(E232,0)</f>
        <v>192011</v>
      </c>
      <c r="G232" s="49">
        <f t="shared" si="122"/>
        <v>0</v>
      </c>
      <c r="H232" s="77"/>
      <c r="I232" s="49">
        <f>ROUND(F232,0)</f>
        <v>192011</v>
      </c>
      <c r="J232" s="49">
        <f t="shared" si="124"/>
        <v>0</v>
      </c>
      <c r="K232" s="77"/>
      <c r="L232" s="49">
        <f>ROUND(I232,0)+2968</f>
        <v>194979</v>
      </c>
      <c r="M232" s="49">
        <f t="shared" si="125"/>
        <v>2968</v>
      </c>
      <c r="N232" s="77" t="s">
        <v>169</v>
      </c>
      <c r="O232" s="49">
        <f>ROUND(L232,0)</f>
        <v>194979</v>
      </c>
      <c r="P232" s="49">
        <f t="shared" si="126"/>
        <v>0</v>
      </c>
      <c r="Q232" s="77"/>
      <c r="R232" s="49">
        <f>ROUND(O232,0)+1102</f>
        <v>196081</v>
      </c>
      <c r="S232" s="49">
        <f t="shared" si="127"/>
        <v>1102</v>
      </c>
      <c r="T232" s="77" t="s">
        <v>155</v>
      </c>
      <c r="U232" s="49">
        <f>ROUND(R232,0)</f>
        <v>196081</v>
      </c>
      <c r="V232" s="49">
        <f t="shared" si="128"/>
        <v>0</v>
      </c>
      <c r="W232" s="77"/>
      <c r="X232" s="49">
        <f>ROUND(U232,0)</f>
        <v>196081</v>
      </c>
      <c r="Y232" s="49">
        <f t="shared" si="129"/>
        <v>0</v>
      </c>
      <c r="Z232" s="77"/>
      <c r="AA232" s="49">
        <v>195558.51</v>
      </c>
      <c r="AB232" s="53">
        <f t="shared" si="123"/>
        <v>0.99733533590709966</v>
      </c>
      <c r="AC232" s="55"/>
    </row>
    <row r="233" spans="2:29" ht="17.399999999999999" customHeight="1" x14ac:dyDescent="0.25">
      <c r="B233" s="1" t="s">
        <v>656</v>
      </c>
      <c r="C233" s="212" t="s">
        <v>657</v>
      </c>
      <c r="D233" s="162" t="s">
        <v>642</v>
      </c>
      <c r="E233" s="50">
        <v>968536.30678672018</v>
      </c>
      <c r="F233" s="50">
        <f>ROUND(E233,0)</f>
        <v>968536</v>
      </c>
      <c r="G233" s="49">
        <f t="shared" si="122"/>
        <v>-0.30678672017529607</v>
      </c>
      <c r="H233" s="77"/>
      <c r="I233" s="49">
        <f>ROUND(F233,0)</f>
        <v>968536</v>
      </c>
      <c r="J233" s="49">
        <f t="shared" si="124"/>
        <v>0</v>
      </c>
      <c r="K233" s="77"/>
      <c r="L233" s="49">
        <f>ROUND(I233,0)</f>
        <v>968536</v>
      </c>
      <c r="M233" s="49">
        <f t="shared" si="125"/>
        <v>0</v>
      </c>
      <c r="N233" s="77"/>
      <c r="O233" s="49">
        <f>ROUND(L233,0)</f>
        <v>968536</v>
      </c>
      <c r="P233" s="49">
        <f t="shared" si="126"/>
        <v>0</v>
      </c>
      <c r="Q233" s="77"/>
      <c r="R233" s="49">
        <f>ROUND(O233,0)</f>
        <v>968536</v>
      </c>
      <c r="S233" s="49">
        <f t="shared" si="127"/>
        <v>0</v>
      </c>
      <c r="T233" s="77"/>
      <c r="U233" s="49">
        <f>ROUND(R233,0)</f>
        <v>968536</v>
      </c>
      <c r="V233" s="49">
        <f t="shared" si="128"/>
        <v>0</v>
      </c>
      <c r="W233" s="77"/>
      <c r="X233" s="49">
        <f>ROUND(U233,0)</f>
        <v>968536</v>
      </c>
      <c r="Y233" s="49">
        <f t="shared" si="129"/>
        <v>0</v>
      </c>
      <c r="Z233" s="77"/>
      <c r="AA233" s="49">
        <v>908370.84000000008</v>
      </c>
      <c r="AB233" s="53">
        <f t="shared" si="123"/>
        <v>0.93788030594629423</v>
      </c>
      <c r="AC233" s="49"/>
    </row>
    <row r="234" spans="2:29" ht="15.6" customHeight="1" x14ac:dyDescent="0.25">
      <c r="C234" s="212" t="s">
        <v>658</v>
      </c>
      <c r="D234" s="162" t="s">
        <v>659</v>
      </c>
      <c r="E234" s="50">
        <v>160349</v>
      </c>
      <c r="F234" s="50">
        <f>ROUND(E234,0)</f>
        <v>160349</v>
      </c>
      <c r="G234" s="49">
        <f>F234-E234</f>
        <v>0</v>
      </c>
      <c r="H234" s="77"/>
      <c r="I234" s="49">
        <f>ROUND(F234,0)</f>
        <v>160349</v>
      </c>
      <c r="J234" s="49">
        <f t="shared" si="124"/>
        <v>0</v>
      </c>
      <c r="K234" s="77"/>
      <c r="L234" s="49">
        <f>ROUND(I234,0)</f>
        <v>160349</v>
      </c>
      <c r="M234" s="49">
        <f t="shared" si="125"/>
        <v>0</v>
      </c>
      <c r="N234" s="77"/>
      <c r="O234" s="49">
        <f>ROUND(L234,0)</f>
        <v>160349</v>
      </c>
      <c r="P234" s="49">
        <f t="shared" si="126"/>
        <v>0</v>
      </c>
      <c r="Q234" s="77"/>
      <c r="R234" s="49">
        <f>ROUND(O234,0)</f>
        <v>160349</v>
      </c>
      <c r="S234" s="49">
        <f t="shared" si="127"/>
        <v>0</v>
      </c>
      <c r="T234" s="77"/>
      <c r="U234" s="49">
        <f>ROUND(R234,0)+2625</f>
        <v>162974</v>
      </c>
      <c r="V234" s="52">
        <f t="shared" si="128"/>
        <v>2625</v>
      </c>
      <c r="W234" s="77" t="s">
        <v>660</v>
      </c>
      <c r="X234" s="49">
        <f>ROUND(U234,0)</f>
        <v>162974</v>
      </c>
      <c r="Y234" s="49">
        <f t="shared" si="129"/>
        <v>0</v>
      </c>
      <c r="Z234" s="77"/>
      <c r="AA234" s="49">
        <v>148963.84</v>
      </c>
      <c r="AB234" s="53">
        <f t="shared" si="123"/>
        <v>0.91403438585295815</v>
      </c>
      <c r="AC234" s="55"/>
    </row>
    <row r="235" spans="2:29" x14ac:dyDescent="0.25">
      <c r="B235" s="1" t="s">
        <v>661</v>
      </c>
      <c r="C235" s="271" t="s">
        <v>662</v>
      </c>
      <c r="D235" s="214" t="s">
        <v>663</v>
      </c>
      <c r="E235" s="114">
        <v>1231648.2936508402</v>
      </c>
      <c r="F235" s="114">
        <f t="shared" ref="F235" si="143">SUM(F236:F238)</f>
        <v>1231648</v>
      </c>
      <c r="G235" s="83">
        <f t="shared" si="122"/>
        <v>-0.29365084017626941</v>
      </c>
      <c r="H235" s="204"/>
      <c r="I235" s="83">
        <f>SUM(I236:I238)</f>
        <v>1233648</v>
      </c>
      <c r="J235" s="83">
        <f t="shared" si="124"/>
        <v>2000</v>
      </c>
      <c r="K235" s="204"/>
      <c r="L235" s="83">
        <f>SUM(L236:L238)</f>
        <v>1234807</v>
      </c>
      <c r="M235" s="83">
        <f t="shared" si="125"/>
        <v>1159</v>
      </c>
      <c r="N235" s="204"/>
      <c r="O235" s="83">
        <f>SUM(O236:O238)</f>
        <v>1234807</v>
      </c>
      <c r="P235" s="83">
        <f t="shared" si="126"/>
        <v>0</v>
      </c>
      <c r="Q235" s="204"/>
      <c r="R235" s="83">
        <f>SUM(R236:R238)</f>
        <v>1252512</v>
      </c>
      <c r="S235" s="83">
        <f t="shared" si="127"/>
        <v>17705</v>
      </c>
      <c r="T235" s="204"/>
      <c r="U235" s="83">
        <f>SUM(U236:U238)</f>
        <v>1252512</v>
      </c>
      <c r="V235" s="83">
        <f t="shared" si="128"/>
        <v>0</v>
      </c>
      <c r="W235" s="204"/>
      <c r="X235" s="83">
        <f>SUM(X236:X238)</f>
        <v>1252776</v>
      </c>
      <c r="Y235" s="83">
        <f t="shared" si="129"/>
        <v>264</v>
      </c>
      <c r="Z235" s="204"/>
      <c r="AA235" s="83">
        <f>SUM(AA236:AA238)</f>
        <v>1180983.1399999999</v>
      </c>
      <c r="AB235" s="116">
        <f t="shared" si="123"/>
        <v>0.94269297943127894</v>
      </c>
      <c r="AC235" s="202"/>
    </row>
    <row r="236" spans="2:29" s="273" customFormat="1" ht="26.4" customHeight="1" x14ac:dyDescent="0.25">
      <c r="B236" s="272" t="s">
        <v>664</v>
      </c>
      <c r="C236" s="212" t="s">
        <v>665</v>
      </c>
      <c r="D236" s="162" t="s">
        <v>638</v>
      </c>
      <c r="E236" s="50">
        <v>71133</v>
      </c>
      <c r="F236" s="50">
        <f>ROUND(E236,0)</f>
        <v>71133</v>
      </c>
      <c r="G236" s="266">
        <f t="shared" si="122"/>
        <v>0</v>
      </c>
      <c r="H236" s="51"/>
      <c r="I236" s="49">
        <f>ROUND(F236,0)</f>
        <v>71133</v>
      </c>
      <c r="J236" s="266">
        <f t="shared" si="124"/>
        <v>0</v>
      </c>
      <c r="K236" s="51"/>
      <c r="L236" s="49">
        <f>ROUND(I236,0)+1159</f>
        <v>72292</v>
      </c>
      <c r="M236" s="266">
        <f t="shared" si="125"/>
        <v>1159</v>
      </c>
      <c r="N236" s="51" t="s">
        <v>169</v>
      </c>
      <c r="O236" s="49">
        <f>ROUND(L236,0)</f>
        <v>72292</v>
      </c>
      <c r="P236" s="266">
        <f t="shared" si="126"/>
        <v>0</v>
      </c>
      <c r="Q236" s="51"/>
      <c r="R236" s="49">
        <f>ROUND(O236,0)+17705</f>
        <v>89997</v>
      </c>
      <c r="S236" s="266">
        <f t="shared" si="127"/>
        <v>17705</v>
      </c>
      <c r="T236" s="51" t="s">
        <v>155</v>
      </c>
      <c r="U236" s="49">
        <f>ROUND(R236,0)</f>
        <v>89997</v>
      </c>
      <c r="V236" s="266">
        <f t="shared" si="128"/>
        <v>0</v>
      </c>
      <c r="W236" s="51"/>
      <c r="X236" s="49">
        <f>ROUND(U236,0)+264</f>
        <v>90261</v>
      </c>
      <c r="Y236" s="266">
        <f t="shared" si="129"/>
        <v>264</v>
      </c>
      <c r="Z236" s="77" t="s">
        <v>666</v>
      </c>
      <c r="AA236" s="49">
        <v>88348.94</v>
      </c>
      <c r="AB236" s="53">
        <f t="shared" si="123"/>
        <v>0.97881632155637543</v>
      </c>
      <c r="AC236" s="55"/>
    </row>
    <row r="237" spans="2:29" s="273" customFormat="1" ht="15.6" customHeight="1" x14ac:dyDescent="0.25">
      <c r="C237" s="212" t="s">
        <v>667</v>
      </c>
      <c r="D237" s="162" t="s">
        <v>642</v>
      </c>
      <c r="E237" s="50">
        <v>1001768.2936508402</v>
      </c>
      <c r="F237" s="50">
        <f>ROUND(E237,0)</f>
        <v>1001768</v>
      </c>
      <c r="G237" s="266">
        <f t="shared" si="122"/>
        <v>-0.29365084017626941</v>
      </c>
      <c r="H237" s="77"/>
      <c r="I237" s="49">
        <f>ROUND(F237,0)+2000</f>
        <v>1003768</v>
      </c>
      <c r="J237" s="266">
        <f t="shared" si="124"/>
        <v>2000</v>
      </c>
      <c r="K237" s="51" t="s">
        <v>668</v>
      </c>
      <c r="L237" s="49">
        <f>ROUND(I237,0)</f>
        <v>1003768</v>
      </c>
      <c r="M237" s="266">
        <f t="shared" si="125"/>
        <v>0</v>
      </c>
      <c r="N237" s="51"/>
      <c r="O237" s="49">
        <f>ROUND(L237,0)</f>
        <v>1003768</v>
      </c>
      <c r="P237" s="266">
        <f t="shared" si="126"/>
        <v>0</v>
      </c>
      <c r="Q237" s="51"/>
      <c r="R237" s="49">
        <f>ROUND(O237,0)</f>
        <v>1003768</v>
      </c>
      <c r="S237" s="266">
        <f t="shared" si="127"/>
        <v>0</v>
      </c>
      <c r="T237" s="51"/>
      <c r="U237" s="49">
        <f>ROUND(R237,0)</f>
        <v>1003768</v>
      </c>
      <c r="V237" s="266">
        <f t="shared" si="128"/>
        <v>0</v>
      </c>
      <c r="W237" s="51"/>
      <c r="X237" s="49">
        <f>ROUND(U237,0)</f>
        <v>1003768</v>
      </c>
      <c r="Y237" s="266">
        <f t="shared" si="129"/>
        <v>0</v>
      </c>
      <c r="Z237" s="51"/>
      <c r="AA237" s="49">
        <v>960973.6399999999</v>
      </c>
      <c r="AB237" s="53">
        <f t="shared" si="123"/>
        <v>0.95736628384248146</v>
      </c>
      <c r="AC237" s="49"/>
    </row>
    <row r="238" spans="2:29" s="273" customFormat="1" ht="13.95" customHeight="1" x14ac:dyDescent="0.25">
      <c r="C238" s="212" t="s">
        <v>669</v>
      </c>
      <c r="D238" s="162" t="s">
        <v>659</v>
      </c>
      <c r="E238" s="50">
        <v>158747</v>
      </c>
      <c r="F238" s="50">
        <f>ROUND(E238,0)</f>
        <v>158747</v>
      </c>
      <c r="G238" s="266">
        <f>F238-E238</f>
        <v>0</v>
      </c>
      <c r="H238" s="77"/>
      <c r="I238" s="49">
        <f>ROUND(F238,0)</f>
        <v>158747</v>
      </c>
      <c r="J238" s="266">
        <f t="shared" si="124"/>
        <v>0</v>
      </c>
      <c r="K238" s="77"/>
      <c r="L238" s="49">
        <f>ROUND(I238,0)</f>
        <v>158747</v>
      </c>
      <c r="M238" s="266">
        <f t="shared" si="125"/>
        <v>0</v>
      </c>
      <c r="N238" s="77"/>
      <c r="O238" s="49">
        <f>ROUND(L238,0)</f>
        <v>158747</v>
      </c>
      <c r="P238" s="266">
        <f t="shared" si="126"/>
        <v>0</v>
      </c>
      <c r="Q238" s="77"/>
      <c r="R238" s="49">
        <f>ROUND(O238,0)</f>
        <v>158747</v>
      </c>
      <c r="S238" s="266">
        <f t="shared" si="127"/>
        <v>0</v>
      </c>
      <c r="T238" s="77"/>
      <c r="U238" s="49">
        <f>ROUND(R238,0)</f>
        <v>158747</v>
      </c>
      <c r="V238" s="266">
        <f t="shared" si="128"/>
        <v>0</v>
      </c>
      <c r="W238" s="77"/>
      <c r="X238" s="49">
        <f>ROUND(U238,0)</f>
        <v>158747</v>
      </c>
      <c r="Y238" s="266">
        <f t="shared" si="129"/>
        <v>0</v>
      </c>
      <c r="Z238" s="77"/>
      <c r="AA238" s="49">
        <v>131660.56</v>
      </c>
      <c r="AB238" s="53">
        <f t="shared" si="123"/>
        <v>0.82937353146831116</v>
      </c>
      <c r="AC238" s="55"/>
    </row>
    <row r="239" spans="2:29" ht="17.399999999999999" customHeight="1" x14ac:dyDescent="0.25">
      <c r="C239" s="271" t="s">
        <v>670</v>
      </c>
      <c r="D239" s="214" t="s">
        <v>671</v>
      </c>
      <c r="E239" s="114">
        <v>2137999</v>
      </c>
      <c r="F239" s="114">
        <f>F240+F241+F242</f>
        <v>2137999</v>
      </c>
      <c r="G239" s="83">
        <f t="shared" si="122"/>
        <v>0</v>
      </c>
      <c r="H239" s="204"/>
      <c r="I239" s="83">
        <f>I240+I241+I242</f>
        <v>2137999</v>
      </c>
      <c r="J239" s="83">
        <f t="shared" si="124"/>
        <v>0</v>
      </c>
      <c r="K239" s="204"/>
      <c r="L239" s="83">
        <f>L240+L241+L242</f>
        <v>2137999</v>
      </c>
      <c r="M239" s="83">
        <f t="shared" si="125"/>
        <v>0</v>
      </c>
      <c r="N239" s="204"/>
      <c r="O239" s="83">
        <f>O240+O241+O242</f>
        <v>2137999</v>
      </c>
      <c r="P239" s="83">
        <f t="shared" si="126"/>
        <v>0</v>
      </c>
      <c r="Q239" s="204"/>
      <c r="R239" s="83">
        <f>R240+R241+R242</f>
        <v>2435337</v>
      </c>
      <c r="S239" s="83">
        <f t="shared" si="127"/>
        <v>297338</v>
      </c>
      <c r="T239" s="115" t="s">
        <v>672</v>
      </c>
      <c r="U239" s="83">
        <f>U240+U241+U242</f>
        <v>2459747</v>
      </c>
      <c r="V239" s="83">
        <f t="shared" si="128"/>
        <v>24410</v>
      </c>
      <c r="W239" s="115"/>
      <c r="X239" s="83">
        <f>X240+X241+X242</f>
        <v>2459747</v>
      </c>
      <c r="Y239" s="83">
        <f t="shared" si="129"/>
        <v>0</v>
      </c>
      <c r="Z239" s="115"/>
      <c r="AA239" s="83">
        <f>AA240+AA241+AA242</f>
        <v>2444258.5099999998</v>
      </c>
      <c r="AB239" s="116">
        <f t="shared" si="123"/>
        <v>0.9937032182578126</v>
      </c>
      <c r="AC239" s="202"/>
    </row>
    <row r="240" spans="2:29" s="273" customFormat="1" ht="18.600000000000001" customHeight="1" x14ac:dyDescent="0.25">
      <c r="B240" s="272" t="s">
        <v>673</v>
      </c>
      <c r="C240" s="274" t="s">
        <v>674</v>
      </c>
      <c r="D240" s="275" t="s">
        <v>675</v>
      </c>
      <c r="E240" s="50">
        <v>625207</v>
      </c>
      <c r="F240" s="50">
        <f>ROUND(E240,0)</f>
        <v>625207</v>
      </c>
      <c r="G240" s="266">
        <f t="shared" si="122"/>
        <v>0</v>
      </c>
      <c r="H240" s="51"/>
      <c r="I240" s="49">
        <f>ROUND(F240,0)</f>
        <v>625207</v>
      </c>
      <c r="J240" s="266">
        <f t="shared" si="124"/>
        <v>0</v>
      </c>
      <c r="K240" s="51"/>
      <c r="L240" s="49">
        <f>ROUND(I240,0)</f>
        <v>625207</v>
      </c>
      <c r="M240" s="266">
        <f t="shared" si="125"/>
        <v>0</v>
      </c>
      <c r="N240" s="51"/>
      <c r="O240" s="49">
        <f>ROUND(L240,0)</f>
        <v>625207</v>
      </c>
      <c r="P240" s="266">
        <f t="shared" si="126"/>
        <v>0</v>
      </c>
      <c r="Q240" s="51"/>
      <c r="R240" s="49">
        <f>ROUND(O240,0)-2770</f>
        <v>622437</v>
      </c>
      <c r="S240" s="266">
        <f t="shared" si="127"/>
        <v>-2770</v>
      </c>
      <c r="T240" s="77" t="s">
        <v>155</v>
      </c>
      <c r="U240" s="49">
        <f>ROUND(R240,0)+9026+5192*2</f>
        <v>641847</v>
      </c>
      <c r="V240" s="276">
        <f t="shared" si="128"/>
        <v>19410</v>
      </c>
      <c r="W240" s="86" t="s">
        <v>676</v>
      </c>
      <c r="X240" s="49">
        <f>ROUND(U240,0)</f>
        <v>641847</v>
      </c>
      <c r="Y240" s="266">
        <f t="shared" si="129"/>
        <v>0</v>
      </c>
      <c r="Z240" s="77"/>
      <c r="AA240" s="49">
        <v>635728.71</v>
      </c>
      <c r="AB240" s="53">
        <f t="shared" si="123"/>
        <v>0.99046768155027598</v>
      </c>
      <c r="AC240" s="55"/>
    </row>
    <row r="241" spans="2:29" s="273" customFormat="1" ht="16.2" customHeight="1" x14ac:dyDescent="0.25">
      <c r="B241" s="272" t="s">
        <v>677</v>
      </c>
      <c r="C241" s="274" t="s">
        <v>678</v>
      </c>
      <c r="D241" s="275" t="s">
        <v>679</v>
      </c>
      <c r="E241" s="50">
        <v>135000</v>
      </c>
      <c r="F241" s="50">
        <f>ROUND(E241,0)</f>
        <v>135000</v>
      </c>
      <c r="G241" s="266">
        <f t="shared" si="122"/>
        <v>0</v>
      </c>
      <c r="H241" s="51"/>
      <c r="I241" s="49">
        <f>ROUND(F241,0)</f>
        <v>135000</v>
      </c>
      <c r="J241" s="266">
        <f t="shared" si="124"/>
        <v>0</v>
      </c>
      <c r="K241" s="51"/>
      <c r="L241" s="49">
        <f>ROUND(I241,0)</f>
        <v>135000</v>
      </c>
      <c r="M241" s="266">
        <f t="shared" si="125"/>
        <v>0</v>
      </c>
      <c r="N241" s="51"/>
      <c r="O241" s="49">
        <f>ROUND(L241,0)</f>
        <v>135000</v>
      </c>
      <c r="P241" s="266">
        <f t="shared" si="126"/>
        <v>0</v>
      </c>
      <c r="Q241" s="51"/>
      <c r="R241" s="49">
        <f>ROUND(O241,0)+27810</f>
        <v>162810</v>
      </c>
      <c r="S241" s="266">
        <f t="shared" si="127"/>
        <v>27810</v>
      </c>
      <c r="T241" s="51"/>
      <c r="U241" s="49">
        <f>ROUND(R241,0)+5000</f>
        <v>167810</v>
      </c>
      <c r="V241" s="276">
        <f t="shared" si="128"/>
        <v>5000</v>
      </c>
      <c r="W241" s="51" t="s">
        <v>633</v>
      </c>
      <c r="X241" s="49">
        <f>ROUND(U241,0)</f>
        <v>167810</v>
      </c>
      <c r="Y241" s="266">
        <f t="shared" si="129"/>
        <v>0</v>
      </c>
      <c r="Z241" s="51"/>
      <c r="AA241" s="171">
        <v>165950.51999999999</v>
      </c>
      <c r="AB241" s="277">
        <f t="shared" si="123"/>
        <v>0.98891913473571291</v>
      </c>
      <c r="AC241" s="55"/>
    </row>
    <row r="242" spans="2:29" x14ac:dyDescent="0.25">
      <c r="B242" s="106" t="s">
        <v>677</v>
      </c>
      <c r="C242" s="212" t="s">
        <v>680</v>
      </c>
      <c r="D242" s="162" t="s">
        <v>681</v>
      </c>
      <c r="E242" s="50">
        <v>1377792</v>
      </c>
      <c r="F242" s="50">
        <f>ROUND(E242,0)</f>
        <v>1377792</v>
      </c>
      <c r="G242" s="266">
        <f t="shared" si="122"/>
        <v>0</v>
      </c>
      <c r="H242" s="51"/>
      <c r="I242" s="49">
        <f>ROUND(F242,0)</f>
        <v>1377792</v>
      </c>
      <c r="J242" s="266">
        <f t="shared" si="124"/>
        <v>0</v>
      </c>
      <c r="K242" s="51"/>
      <c r="L242" s="49">
        <f>ROUND(I242,0)</f>
        <v>1377792</v>
      </c>
      <c r="M242" s="266">
        <f t="shared" si="125"/>
        <v>0</v>
      </c>
      <c r="N242" s="51"/>
      <c r="O242" s="49">
        <f>ROUND(L242,0)</f>
        <v>1377792</v>
      </c>
      <c r="P242" s="266">
        <f t="shared" si="126"/>
        <v>0</v>
      </c>
      <c r="Q242" s="51"/>
      <c r="R242" s="49">
        <f>ROUND(O242,0)+47100+193098+32100</f>
        <v>1650090</v>
      </c>
      <c r="S242" s="266">
        <f t="shared" si="127"/>
        <v>272298</v>
      </c>
      <c r="T242" s="77"/>
      <c r="U242" s="49">
        <f>ROUND(R242,0)</f>
        <v>1650090</v>
      </c>
      <c r="V242" s="266">
        <f t="shared" si="128"/>
        <v>0</v>
      </c>
      <c r="W242" s="77"/>
      <c r="X242" s="49">
        <f>ROUND(U242,0)</f>
        <v>1650090</v>
      </c>
      <c r="Y242" s="266">
        <f t="shared" si="129"/>
        <v>0</v>
      </c>
      <c r="Z242" s="77"/>
      <c r="AA242" s="278">
        <v>1642579.28</v>
      </c>
      <c r="AB242" s="279">
        <f t="shared" si="123"/>
        <v>0.99544829675957069</v>
      </c>
      <c r="AC242" s="55"/>
    </row>
    <row r="243" spans="2:29" s="187" customFormat="1" ht="15.75" customHeight="1" x14ac:dyDescent="0.25">
      <c r="C243" s="271" t="s">
        <v>682</v>
      </c>
      <c r="D243" s="214" t="s">
        <v>683</v>
      </c>
      <c r="E243" s="216">
        <v>1977338.5930570001</v>
      </c>
      <c r="F243" s="216">
        <f t="shared" ref="F243" si="144">F244+F245+F246+F247+F248+F249+F250</f>
        <v>1974553</v>
      </c>
      <c r="G243" s="215">
        <f t="shared" si="122"/>
        <v>-2785.5930570000783</v>
      </c>
      <c r="H243" s="231"/>
      <c r="I243" s="215">
        <f>I244+I245+I246+I247+I248+I249+I250</f>
        <v>1979553</v>
      </c>
      <c r="J243" s="215">
        <f t="shared" si="124"/>
        <v>5000</v>
      </c>
      <c r="K243" s="231"/>
      <c r="L243" s="215">
        <f>L244+L245+L246+L247+L248+L249+L250</f>
        <v>1990205</v>
      </c>
      <c r="M243" s="215">
        <f t="shared" si="125"/>
        <v>10652</v>
      </c>
      <c r="N243" s="231"/>
      <c r="O243" s="215">
        <f>O244+O245+O246+O247+O248+O249+O250</f>
        <v>1993905</v>
      </c>
      <c r="P243" s="215">
        <f t="shared" si="126"/>
        <v>3700</v>
      </c>
      <c r="Q243" s="231"/>
      <c r="R243" s="215">
        <f>R244+R245+R246+R247+R248+R249+R250</f>
        <v>2044278</v>
      </c>
      <c r="S243" s="215">
        <f t="shared" si="127"/>
        <v>50373</v>
      </c>
      <c r="T243" s="231"/>
      <c r="U243" s="215">
        <f>U244+U245+U246+U247+U248+U249+U250</f>
        <v>2087578</v>
      </c>
      <c r="V243" s="215">
        <f t="shared" si="128"/>
        <v>43300</v>
      </c>
      <c r="W243" s="231"/>
      <c r="X243" s="215">
        <f>X244+X245+X246+X247+X248+X249+X250</f>
        <v>2083828</v>
      </c>
      <c r="Y243" s="215">
        <f t="shared" si="129"/>
        <v>-3750</v>
      </c>
      <c r="Z243" s="231"/>
      <c r="AA243" s="215">
        <f>AA244+AA245+AA246+AA247+AA248+AA249+AA250</f>
        <v>1942404.27</v>
      </c>
      <c r="AB243" s="220">
        <f t="shared" si="123"/>
        <v>0.93213272400601199</v>
      </c>
      <c r="AC243" s="217"/>
    </row>
    <row r="244" spans="2:29" s="46" customFormat="1" ht="28.8" customHeight="1" x14ac:dyDescent="0.25">
      <c r="B244" s="73" t="s">
        <v>684</v>
      </c>
      <c r="C244" s="212" t="s">
        <v>685</v>
      </c>
      <c r="D244" s="162" t="s">
        <v>638</v>
      </c>
      <c r="E244" s="50">
        <v>926167</v>
      </c>
      <c r="F244" s="50">
        <f>ROUND(E244,0)</f>
        <v>926167</v>
      </c>
      <c r="G244" s="49">
        <f t="shared" si="122"/>
        <v>0</v>
      </c>
      <c r="H244" s="77"/>
      <c r="I244" s="49">
        <f>ROUND(F244,0)</f>
        <v>926167</v>
      </c>
      <c r="J244" s="49">
        <f t="shared" si="124"/>
        <v>0</v>
      </c>
      <c r="K244" s="77"/>
      <c r="L244" s="49">
        <f>ROUND(I244,0)+10652</f>
        <v>936819</v>
      </c>
      <c r="M244" s="49">
        <f t="shared" si="125"/>
        <v>10652</v>
      </c>
      <c r="N244" s="77" t="s">
        <v>169</v>
      </c>
      <c r="O244" s="49">
        <f>ROUND(L244,0)</f>
        <v>936819</v>
      </c>
      <c r="P244" s="49">
        <f t="shared" si="126"/>
        <v>0</v>
      </c>
      <c r="Q244" s="77"/>
      <c r="R244" s="49">
        <f>ROUND(O244,0)+13121+33255</f>
        <v>983195</v>
      </c>
      <c r="S244" s="49">
        <f t="shared" si="127"/>
        <v>46376</v>
      </c>
      <c r="T244" s="77" t="s">
        <v>155</v>
      </c>
      <c r="U244" s="49">
        <f>ROUND(R244,0)</f>
        <v>983195</v>
      </c>
      <c r="V244" s="49">
        <f t="shared" si="128"/>
        <v>0</v>
      </c>
      <c r="W244" s="77"/>
      <c r="X244" s="49">
        <f>ROUND(U244,0)-3750</f>
        <v>979445</v>
      </c>
      <c r="Y244" s="49">
        <f t="shared" si="129"/>
        <v>-3750</v>
      </c>
      <c r="Z244" s="77" t="s">
        <v>686</v>
      </c>
      <c r="AA244" s="278">
        <f>1032222.57-AA245</f>
        <v>973983.86</v>
      </c>
      <c r="AB244" s="53">
        <f t="shared" si="123"/>
        <v>0.99442425046837746</v>
      </c>
      <c r="AC244" s="49"/>
    </row>
    <row r="245" spans="2:29" s="46" customFormat="1" x14ac:dyDescent="0.25">
      <c r="B245" s="46" t="s">
        <v>684</v>
      </c>
      <c r="C245" s="212" t="s">
        <v>687</v>
      </c>
      <c r="D245" s="162" t="s">
        <v>688</v>
      </c>
      <c r="E245" s="50">
        <v>74869</v>
      </c>
      <c r="F245" s="50">
        <f>ROUND(E245,0)</f>
        <v>74869</v>
      </c>
      <c r="G245" s="49">
        <f t="shared" si="122"/>
        <v>0</v>
      </c>
      <c r="H245" s="77"/>
      <c r="I245" s="49">
        <f>ROUND(F245,0)</f>
        <v>74869</v>
      </c>
      <c r="J245" s="49">
        <f t="shared" si="124"/>
        <v>0</v>
      </c>
      <c r="K245" s="77"/>
      <c r="L245" s="49">
        <f t="shared" ref="L245:L251" si="145">ROUND(I245,0)</f>
        <v>74869</v>
      </c>
      <c r="M245" s="49">
        <f t="shared" si="125"/>
        <v>0</v>
      </c>
      <c r="N245" s="77"/>
      <c r="O245" s="49">
        <f t="shared" ref="O245:O250" si="146">ROUND(L245,0)</f>
        <v>74869</v>
      </c>
      <c r="P245" s="49">
        <f t="shared" si="126"/>
        <v>0</v>
      </c>
      <c r="Q245" s="77"/>
      <c r="R245" s="49">
        <f t="shared" ref="R245:R250" si="147">ROUND(O245,0)</f>
        <v>74869</v>
      </c>
      <c r="S245" s="49">
        <f t="shared" si="127"/>
        <v>0</v>
      </c>
      <c r="T245" s="77"/>
      <c r="U245" s="49">
        <f t="shared" ref="U245:U247" si="148">ROUND(R245,0)</f>
        <v>74869</v>
      </c>
      <c r="V245" s="49">
        <f t="shared" si="128"/>
        <v>0</v>
      </c>
      <c r="W245" s="77"/>
      <c r="X245" s="49">
        <f t="shared" ref="X245:X247" si="149">ROUND(U245,0)</f>
        <v>74869</v>
      </c>
      <c r="Y245" s="49">
        <f t="shared" si="129"/>
        <v>0</v>
      </c>
      <c r="Z245" s="77"/>
      <c r="AA245" s="49">
        <v>58238.71</v>
      </c>
      <c r="AB245" s="53">
        <f t="shared" si="123"/>
        <v>0.77787482135463271</v>
      </c>
      <c r="AC245" s="55"/>
    </row>
    <row r="246" spans="2:29" s="46" customFormat="1" ht="17.25" customHeight="1" x14ac:dyDescent="0.25">
      <c r="B246" s="73" t="s">
        <v>689</v>
      </c>
      <c r="C246" s="212" t="s">
        <v>690</v>
      </c>
      <c r="D246" s="162" t="s">
        <v>642</v>
      </c>
      <c r="E246" s="50">
        <v>682154.59305699996</v>
      </c>
      <c r="F246" s="50">
        <f t="shared" ref="F246:F251" si="150">ROUND(E246,0)</f>
        <v>682155</v>
      </c>
      <c r="G246" s="49">
        <f t="shared" si="122"/>
        <v>0.40694300003815442</v>
      </c>
      <c r="H246" s="77"/>
      <c r="I246" s="49">
        <f>ROUND(F246,0)</f>
        <v>682155</v>
      </c>
      <c r="J246" s="49">
        <f t="shared" si="124"/>
        <v>0</v>
      </c>
      <c r="K246" s="77"/>
      <c r="L246" s="49">
        <f t="shared" si="145"/>
        <v>682155</v>
      </c>
      <c r="M246" s="49">
        <f t="shared" si="125"/>
        <v>0</v>
      </c>
      <c r="N246" s="77"/>
      <c r="O246" s="49">
        <f t="shared" si="146"/>
        <v>682155</v>
      </c>
      <c r="P246" s="49">
        <f t="shared" si="126"/>
        <v>0</v>
      </c>
      <c r="Q246" s="77"/>
      <c r="R246" s="49">
        <f t="shared" si="147"/>
        <v>682155</v>
      </c>
      <c r="S246" s="49">
        <f t="shared" si="127"/>
        <v>0</v>
      </c>
      <c r="T246" s="77"/>
      <c r="U246" s="49">
        <f t="shared" si="148"/>
        <v>682155</v>
      </c>
      <c r="V246" s="49">
        <f t="shared" si="128"/>
        <v>0</v>
      </c>
      <c r="W246" s="77"/>
      <c r="X246" s="49">
        <f t="shared" si="149"/>
        <v>682155</v>
      </c>
      <c r="Y246" s="49">
        <f t="shared" si="129"/>
        <v>0</v>
      </c>
      <c r="Z246" s="77"/>
      <c r="AA246" s="49">
        <v>607455.93000000005</v>
      </c>
      <c r="AB246" s="53">
        <f t="shared" si="123"/>
        <v>0.890495459243134</v>
      </c>
      <c r="AC246" s="49"/>
    </row>
    <row r="247" spans="2:29" s="46" customFormat="1" ht="18" customHeight="1" x14ac:dyDescent="0.25">
      <c r="B247" s="73"/>
      <c r="C247" s="212" t="s">
        <v>691</v>
      </c>
      <c r="D247" s="162" t="s">
        <v>659</v>
      </c>
      <c r="E247" s="50">
        <v>241081</v>
      </c>
      <c r="F247" s="50">
        <f t="shared" si="150"/>
        <v>241081</v>
      </c>
      <c r="G247" s="49">
        <f t="shared" si="122"/>
        <v>0</v>
      </c>
      <c r="H247" s="77"/>
      <c r="I247" s="49">
        <f>ROUND(F247,0)</f>
        <v>241081</v>
      </c>
      <c r="J247" s="49">
        <f t="shared" si="124"/>
        <v>0</v>
      </c>
      <c r="K247" s="77"/>
      <c r="L247" s="49">
        <f t="shared" si="145"/>
        <v>241081</v>
      </c>
      <c r="M247" s="49">
        <f t="shared" si="125"/>
        <v>0</v>
      </c>
      <c r="N247" s="77"/>
      <c r="O247" s="49">
        <f>ROUND(L247,0)+3700</f>
        <v>244781</v>
      </c>
      <c r="P247" s="49">
        <f t="shared" si="126"/>
        <v>3700</v>
      </c>
      <c r="Q247" s="86" t="s">
        <v>692</v>
      </c>
      <c r="R247" s="49">
        <f t="shared" si="147"/>
        <v>244781</v>
      </c>
      <c r="S247" s="49">
        <f t="shared" si="127"/>
        <v>0</v>
      </c>
      <c r="T247" s="77"/>
      <c r="U247" s="49">
        <f t="shared" si="148"/>
        <v>244781</v>
      </c>
      <c r="V247" s="49">
        <f t="shared" si="128"/>
        <v>0</v>
      </c>
      <c r="W247" s="77"/>
      <c r="X247" s="49">
        <f t="shared" si="149"/>
        <v>244781</v>
      </c>
      <c r="Y247" s="49">
        <f t="shared" si="129"/>
        <v>0</v>
      </c>
      <c r="Z247" s="77"/>
      <c r="AA247" s="49">
        <v>240558.77</v>
      </c>
      <c r="AB247" s="53">
        <f t="shared" si="123"/>
        <v>0.98275098966014518</v>
      </c>
      <c r="AC247" s="55"/>
    </row>
    <row r="248" spans="2:29" s="46" customFormat="1" ht="15.6" customHeight="1" x14ac:dyDescent="0.25">
      <c r="B248" s="73" t="s">
        <v>693</v>
      </c>
      <c r="C248" s="212" t="s">
        <v>694</v>
      </c>
      <c r="D248" s="162" t="s">
        <v>695</v>
      </c>
      <c r="E248" s="50">
        <v>6454</v>
      </c>
      <c r="F248" s="50">
        <f>ROUND(E248,0)-2786</f>
        <v>3668</v>
      </c>
      <c r="G248" s="49">
        <f t="shared" si="122"/>
        <v>-2786</v>
      </c>
      <c r="H248" s="51" t="s">
        <v>190</v>
      </c>
      <c r="I248" s="49">
        <f>ROUND(F248,0)</f>
        <v>3668</v>
      </c>
      <c r="J248" s="49">
        <f t="shared" si="124"/>
        <v>0</v>
      </c>
      <c r="K248" s="51"/>
      <c r="L248" s="49">
        <f t="shared" si="145"/>
        <v>3668</v>
      </c>
      <c r="M248" s="49">
        <f t="shared" si="125"/>
        <v>0</v>
      </c>
      <c r="N248" s="51"/>
      <c r="O248" s="49">
        <f t="shared" si="146"/>
        <v>3668</v>
      </c>
      <c r="P248" s="49">
        <f t="shared" si="126"/>
        <v>0</v>
      </c>
      <c r="Q248" s="51"/>
      <c r="R248" s="49">
        <f>ROUND(O248,0)+3997</f>
        <v>7665</v>
      </c>
      <c r="S248" s="49">
        <f t="shared" si="127"/>
        <v>3997</v>
      </c>
      <c r="T248" s="77" t="s">
        <v>191</v>
      </c>
      <c r="U248" s="49">
        <f>ROUND(R248,0)</f>
        <v>7665</v>
      </c>
      <c r="V248" s="49">
        <f t="shared" si="128"/>
        <v>0</v>
      </c>
      <c r="W248" s="77"/>
      <c r="X248" s="49">
        <f>ROUND(U248,0)</f>
        <v>7665</v>
      </c>
      <c r="Y248" s="49">
        <f t="shared" si="129"/>
        <v>0</v>
      </c>
      <c r="Z248" s="77"/>
      <c r="AA248" s="49">
        <v>5324</v>
      </c>
      <c r="AB248" s="53">
        <f t="shared" si="123"/>
        <v>0.69458577951728639</v>
      </c>
      <c r="AC248" s="55"/>
    </row>
    <row r="249" spans="2:29" s="187" customFormat="1" ht="13.95" customHeight="1" x14ac:dyDescent="0.25">
      <c r="B249" s="106" t="s">
        <v>696</v>
      </c>
      <c r="C249" s="212" t="s">
        <v>697</v>
      </c>
      <c r="D249" s="162" t="s">
        <v>698</v>
      </c>
      <c r="E249" s="50">
        <v>46613</v>
      </c>
      <c r="F249" s="50">
        <f t="shared" si="150"/>
        <v>46613</v>
      </c>
      <c r="G249" s="49">
        <f t="shared" si="122"/>
        <v>0</v>
      </c>
      <c r="H249" s="51"/>
      <c r="I249" s="49">
        <f>ROUND(F249,0)+5000</f>
        <v>51613</v>
      </c>
      <c r="J249" s="49">
        <f t="shared" si="124"/>
        <v>5000</v>
      </c>
      <c r="K249" s="120" t="s">
        <v>268</v>
      </c>
      <c r="L249" s="49">
        <f t="shared" si="145"/>
        <v>51613</v>
      </c>
      <c r="M249" s="49">
        <f t="shared" si="125"/>
        <v>0</v>
      </c>
      <c r="N249" s="120"/>
      <c r="O249" s="49">
        <f t="shared" si="146"/>
        <v>51613</v>
      </c>
      <c r="P249" s="49">
        <f t="shared" si="126"/>
        <v>0</v>
      </c>
      <c r="Q249" s="120"/>
      <c r="R249" s="49">
        <f t="shared" si="147"/>
        <v>51613</v>
      </c>
      <c r="S249" s="49">
        <f t="shared" si="127"/>
        <v>0</v>
      </c>
      <c r="T249" s="120"/>
      <c r="U249" s="49">
        <f>ROUND(R249,0)+6000+37300</f>
        <v>94913</v>
      </c>
      <c r="V249" s="52">
        <f t="shared" si="128"/>
        <v>43300</v>
      </c>
      <c r="W249" s="120" t="s">
        <v>269</v>
      </c>
      <c r="X249" s="49">
        <f>ROUND(U249,0)</f>
        <v>94913</v>
      </c>
      <c r="Y249" s="49">
        <f t="shared" si="129"/>
        <v>0</v>
      </c>
      <c r="Z249" s="120"/>
      <c r="AA249" s="49">
        <f>44417+12426</f>
        <v>56843</v>
      </c>
      <c r="AB249" s="53">
        <f t="shared" si="123"/>
        <v>0.59889583091884147</v>
      </c>
      <c r="AC249" s="55"/>
    </row>
    <row r="250" spans="2:29" s="187" customFormat="1" ht="15" customHeight="1" x14ac:dyDescent="0.25">
      <c r="B250" s="106" t="s">
        <v>699</v>
      </c>
      <c r="C250" s="212" t="s">
        <v>700</v>
      </c>
      <c r="D250" s="162" t="s">
        <v>701</v>
      </c>
      <c r="E250" s="50">
        <v>0</v>
      </c>
      <c r="F250" s="50">
        <f t="shared" si="150"/>
        <v>0</v>
      </c>
      <c r="G250" s="49">
        <f t="shared" si="122"/>
        <v>0</v>
      </c>
      <c r="H250" s="51"/>
      <c r="I250" s="49">
        <f>ROUND(F250,0)</f>
        <v>0</v>
      </c>
      <c r="J250" s="49">
        <f t="shared" si="124"/>
        <v>0</v>
      </c>
      <c r="K250" s="51"/>
      <c r="L250" s="49">
        <f t="shared" si="145"/>
        <v>0</v>
      </c>
      <c r="M250" s="49">
        <f t="shared" si="125"/>
        <v>0</v>
      </c>
      <c r="N250" s="51"/>
      <c r="O250" s="49">
        <f t="shared" si="146"/>
        <v>0</v>
      </c>
      <c r="P250" s="49">
        <f t="shared" si="126"/>
        <v>0</v>
      </c>
      <c r="Q250" s="51"/>
      <c r="R250" s="49">
        <f t="shared" si="147"/>
        <v>0</v>
      </c>
      <c r="S250" s="49">
        <f t="shared" si="127"/>
        <v>0</v>
      </c>
      <c r="T250" s="51"/>
      <c r="U250" s="49">
        <f t="shared" ref="U250" si="151">ROUND(R250,0)</f>
        <v>0</v>
      </c>
      <c r="V250" s="49">
        <f t="shared" si="128"/>
        <v>0</v>
      </c>
      <c r="W250" s="51"/>
      <c r="X250" s="49">
        <f t="shared" ref="X250" si="152">ROUND(U250,0)</f>
        <v>0</v>
      </c>
      <c r="Y250" s="49">
        <f t="shared" si="129"/>
        <v>0</v>
      </c>
      <c r="Z250" s="51"/>
      <c r="AA250" s="49">
        <f>ROUND(H250,0)</f>
        <v>0</v>
      </c>
      <c r="AB250" s="87"/>
      <c r="AC250" s="55"/>
    </row>
    <row r="251" spans="2:29" s="46" customFormat="1" ht="17.399999999999999" customHeight="1" x14ac:dyDescent="0.25">
      <c r="B251" s="106" t="s">
        <v>702</v>
      </c>
      <c r="C251" s="271" t="s">
        <v>703</v>
      </c>
      <c r="D251" s="214" t="s">
        <v>364</v>
      </c>
      <c r="E251" s="216">
        <v>836633.39</v>
      </c>
      <c r="F251" s="216">
        <f t="shared" si="150"/>
        <v>836633</v>
      </c>
      <c r="G251" s="215">
        <f>F251-E251</f>
        <v>-0.39000000001396984</v>
      </c>
      <c r="H251" s="115"/>
      <c r="I251" s="215">
        <f>ROUND(F251,0)</f>
        <v>836633</v>
      </c>
      <c r="J251" s="215">
        <f t="shared" si="124"/>
        <v>0</v>
      </c>
      <c r="K251" s="115"/>
      <c r="L251" s="215">
        <f t="shared" si="145"/>
        <v>836633</v>
      </c>
      <c r="M251" s="215">
        <f t="shared" si="125"/>
        <v>0</v>
      </c>
      <c r="N251" s="115"/>
      <c r="O251" s="215">
        <f>ROUND(L251,0)</f>
        <v>836633</v>
      </c>
      <c r="P251" s="215">
        <f t="shared" si="126"/>
        <v>0</v>
      </c>
      <c r="Q251" s="115"/>
      <c r="R251" s="215">
        <f>ROUND(O251,0)-30000</f>
        <v>806633</v>
      </c>
      <c r="S251" s="215">
        <f t="shared" si="127"/>
        <v>-30000</v>
      </c>
      <c r="T251" s="115" t="s">
        <v>704</v>
      </c>
      <c r="U251" s="215">
        <f>ROUND(R251,0)</f>
        <v>806633</v>
      </c>
      <c r="V251" s="215">
        <f t="shared" si="128"/>
        <v>0</v>
      </c>
      <c r="W251" s="115"/>
      <c r="X251" s="215">
        <f>ROUND(U251,0)</f>
        <v>806633</v>
      </c>
      <c r="Y251" s="215">
        <f t="shared" si="129"/>
        <v>0</v>
      </c>
      <c r="Z251" s="115"/>
      <c r="AA251" s="215">
        <v>607832.62</v>
      </c>
      <c r="AB251" s="220">
        <f t="shared" si="123"/>
        <v>0.75354296191700565</v>
      </c>
      <c r="AC251" s="83" t="s">
        <v>705</v>
      </c>
    </row>
    <row r="252" spans="2:29" s="46" customFormat="1" ht="15.75" customHeight="1" x14ac:dyDescent="0.25">
      <c r="B252" s="73"/>
      <c r="C252" s="271" t="s">
        <v>706</v>
      </c>
      <c r="D252" s="214" t="s">
        <v>707</v>
      </c>
      <c r="E252" s="216">
        <v>7240446.2743386505</v>
      </c>
      <c r="F252" s="216">
        <f>F253+F254+F255+F256+F257+F258+F259+F260</f>
        <v>7249299</v>
      </c>
      <c r="G252" s="215">
        <f t="shared" si="122"/>
        <v>8852.7256613494828</v>
      </c>
      <c r="H252" s="115"/>
      <c r="I252" s="215">
        <f>I253+I254+I255+I256+I257+I258+I259+I260</f>
        <v>7335799</v>
      </c>
      <c r="J252" s="215">
        <f t="shared" si="124"/>
        <v>86500</v>
      </c>
      <c r="K252" s="115"/>
      <c r="L252" s="215">
        <f>L253+L254+L255+L256+L257+L258+L259+L260</f>
        <v>7378123</v>
      </c>
      <c r="M252" s="215">
        <f t="shared" si="125"/>
        <v>42324</v>
      </c>
      <c r="N252" s="115"/>
      <c r="O252" s="215">
        <f>O253+O254+O255+O256+O257+O258+O259+O260</f>
        <v>7378123</v>
      </c>
      <c r="P252" s="215">
        <f t="shared" si="126"/>
        <v>0</v>
      </c>
      <c r="Q252" s="115"/>
      <c r="R252" s="215">
        <f>R253+R254+R255+R256+R257+R258+R259+R260</f>
        <v>7424608</v>
      </c>
      <c r="S252" s="215">
        <f t="shared" si="127"/>
        <v>46485</v>
      </c>
      <c r="T252" s="115"/>
      <c r="U252" s="215">
        <f>U253+U254+U255+U256+U257+U258+U259+U260</f>
        <v>7416867</v>
      </c>
      <c r="V252" s="215">
        <f t="shared" si="128"/>
        <v>-7741</v>
      </c>
      <c r="W252" s="115"/>
      <c r="X252" s="215">
        <f>X253+X254+X255+X256+X257+X258+X259+X260</f>
        <v>7420667</v>
      </c>
      <c r="Y252" s="215">
        <f t="shared" si="129"/>
        <v>3800</v>
      </c>
      <c r="Z252" s="115"/>
      <c r="AA252" s="215">
        <f>AA253+AA254+AA255+AA256+AA257+AA258+AA259+AA260</f>
        <v>6825399.8600000003</v>
      </c>
      <c r="AB252" s="220">
        <f t="shared" si="123"/>
        <v>0.9197825289829068</v>
      </c>
      <c r="AC252" s="217"/>
    </row>
    <row r="253" spans="2:29" s="46" customFormat="1" ht="30" customHeight="1" x14ac:dyDescent="0.25">
      <c r="B253" s="73" t="s">
        <v>708</v>
      </c>
      <c r="C253" s="212" t="s">
        <v>709</v>
      </c>
      <c r="D253" s="162" t="s">
        <v>638</v>
      </c>
      <c r="E253" s="50">
        <v>3750643</v>
      </c>
      <c r="F253" s="50">
        <f>ROUND(E253,0)</f>
        <v>3750643</v>
      </c>
      <c r="G253" s="49">
        <f t="shared" si="122"/>
        <v>0</v>
      </c>
      <c r="H253" s="77"/>
      <c r="I253" s="49">
        <f t="shared" ref="I253:I259" si="153">ROUND(F253,0)</f>
        <v>3750643</v>
      </c>
      <c r="J253" s="49">
        <f t="shared" si="124"/>
        <v>0</v>
      </c>
      <c r="K253" s="77"/>
      <c r="L253" s="49">
        <f>ROUND(I253,0)+41084</f>
        <v>3791727</v>
      </c>
      <c r="M253" s="49">
        <f t="shared" si="125"/>
        <v>41084</v>
      </c>
      <c r="N253" s="77" t="s">
        <v>169</v>
      </c>
      <c r="O253" s="49">
        <f>ROUND(L253,0)</f>
        <v>3791727</v>
      </c>
      <c r="P253" s="49">
        <f t="shared" si="126"/>
        <v>0</v>
      </c>
      <c r="Q253" s="77"/>
      <c r="R253" s="49">
        <f>ROUND(O253,0)-16862+34285+5175</f>
        <v>3814325</v>
      </c>
      <c r="S253" s="49">
        <f t="shared" si="127"/>
        <v>22598</v>
      </c>
      <c r="T253" s="77" t="s">
        <v>155</v>
      </c>
      <c r="U253" s="49">
        <f>ROUND(R253,0)+850+435-9026</f>
        <v>3806584</v>
      </c>
      <c r="V253" s="52">
        <f t="shared" si="128"/>
        <v>-7741</v>
      </c>
      <c r="W253" s="77" t="s">
        <v>710</v>
      </c>
      <c r="X253" s="49">
        <f>ROUND(U253,0)+3750</f>
        <v>3810334</v>
      </c>
      <c r="Y253" s="49">
        <f t="shared" si="129"/>
        <v>3750</v>
      </c>
      <c r="Z253" s="77" t="s">
        <v>686</v>
      </c>
      <c r="AA253" s="49">
        <f>3934300.45-AA259</f>
        <v>3809784.3400000003</v>
      </c>
      <c r="AB253" s="53">
        <f t="shared" si="123"/>
        <v>0.99985574492944718</v>
      </c>
      <c r="AC253" s="55"/>
    </row>
    <row r="254" spans="2:29" s="46" customFormat="1" ht="16.8" customHeight="1" x14ac:dyDescent="0.25">
      <c r="B254" s="73" t="s">
        <v>711</v>
      </c>
      <c r="C254" s="212" t="s">
        <v>712</v>
      </c>
      <c r="D254" s="162" t="s">
        <v>642</v>
      </c>
      <c r="E254" s="50">
        <v>1425817.7494320502</v>
      </c>
      <c r="F254" s="50">
        <f>ROUND(E254,0)+10864</f>
        <v>1436682</v>
      </c>
      <c r="G254" s="49">
        <f t="shared" si="122"/>
        <v>10864.250567949843</v>
      </c>
      <c r="H254" s="77" t="s">
        <v>713</v>
      </c>
      <c r="I254" s="49">
        <f>ROUND(F254,0)+43000</f>
        <v>1479682</v>
      </c>
      <c r="J254" s="55">
        <f t="shared" si="124"/>
        <v>43000</v>
      </c>
      <c r="K254" s="78" t="s">
        <v>714</v>
      </c>
      <c r="L254" s="49">
        <f t="shared" ref="L254:L259" si="154">ROUND(I254,0)</f>
        <v>1479682</v>
      </c>
      <c r="M254" s="49">
        <f t="shared" si="125"/>
        <v>0</v>
      </c>
      <c r="N254" s="77"/>
      <c r="O254" s="49">
        <f t="shared" ref="O254:O259" si="155">ROUND(L254,0)</f>
        <v>1479682</v>
      </c>
      <c r="P254" s="49">
        <f t="shared" si="126"/>
        <v>0</v>
      </c>
      <c r="Q254" s="77"/>
      <c r="R254" s="49">
        <f>ROUND(O254,0)-9300-3500</f>
        <v>1466882</v>
      </c>
      <c r="S254" s="49">
        <f t="shared" si="127"/>
        <v>-12800</v>
      </c>
      <c r="T254" s="77" t="s">
        <v>715</v>
      </c>
      <c r="U254" s="49">
        <f>ROUND(R254,0)</f>
        <v>1466882</v>
      </c>
      <c r="V254" s="49">
        <f t="shared" si="128"/>
        <v>0</v>
      </c>
      <c r="W254" s="77"/>
      <c r="X254" s="49">
        <f>ROUND(U254,0)</f>
        <v>1466882</v>
      </c>
      <c r="Y254" s="49">
        <f t="shared" si="129"/>
        <v>0</v>
      </c>
      <c r="Z254" s="77"/>
      <c r="AA254" s="49">
        <f>1645986.97-AA257</f>
        <v>1339537.97</v>
      </c>
      <c r="AB254" s="53">
        <f t="shared" si="123"/>
        <v>0.91318727068707639</v>
      </c>
      <c r="AC254" s="55"/>
    </row>
    <row r="255" spans="2:29" s="46" customFormat="1" ht="32.4" customHeight="1" x14ac:dyDescent="0.25">
      <c r="B255" s="46" t="s">
        <v>716</v>
      </c>
      <c r="C255" s="212" t="s">
        <v>717</v>
      </c>
      <c r="D255" s="162" t="s">
        <v>718</v>
      </c>
      <c r="E255" s="50">
        <v>250373</v>
      </c>
      <c r="F255" s="50">
        <f>ROUND(E255,0)</f>
        <v>250373</v>
      </c>
      <c r="G255" s="49">
        <f t="shared" si="122"/>
        <v>0</v>
      </c>
      <c r="H255" s="51"/>
      <c r="I255" s="49">
        <f t="shared" si="153"/>
        <v>250373</v>
      </c>
      <c r="J255" s="49">
        <f t="shared" si="124"/>
        <v>0</v>
      </c>
      <c r="K255" s="51"/>
      <c r="L255" s="49">
        <f t="shared" si="154"/>
        <v>250373</v>
      </c>
      <c r="M255" s="49">
        <f t="shared" si="125"/>
        <v>0</v>
      </c>
      <c r="N255" s="51"/>
      <c r="O255" s="49">
        <f t="shared" si="155"/>
        <v>250373</v>
      </c>
      <c r="P255" s="49">
        <f t="shared" si="126"/>
        <v>0</v>
      </c>
      <c r="Q255" s="51"/>
      <c r="R255" s="49">
        <f t="shared" ref="R255:R259" si="156">ROUND(O255,0)</f>
        <v>250373</v>
      </c>
      <c r="S255" s="49">
        <f t="shared" si="127"/>
        <v>0</v>
      </c>
      <c r="T255" s="51"/>
      <c r="U255" s="49">
        <f t="shared" ref="U255" si="157">ROUND(R255,0)</f>
        <v>250373</v>
      </c>
      <c r="V255" s="49">
        <f t="shared" si="128"/>
        <v>0</v>
      </c>
      <c r="W255" s="51"/>
      <c r="X255" s="49">
        <f t="shared" ref="X255" si="158">ROUND(U255,0)</f>
        <v>250373</v>
      </c>
      <c r="Y255" s="49">
        <f t="shared" si="129"/>
        <v>0</v>
      </c>
      <c r="Z255" s="51"/>
      <c r="AA255" s="49">
        <v>172859.72</v>
      </c>
      <c r="AB255" s="53">
        <f t="shared" si="123"/>
        <v>0.69040879008519285</v>
      </c>
      <c r="AC255" s="113" t="s">
        <v>719</v>
      </c>
    </row>
    <row r="256" spans="2:29" s="46" customFormat="1" ht="14.4" customHeight="1" x14ac:dyDescent="0.25">
      <c r="B256" s="73" t="s">
        <v>720</v>
      </c>
      <c r="C256" s="212" t="s">
        <v>721</v>
      </c>
      <c r="D256" s="162" t="s">
        <v>695</v>
      </c>
      <c r="E256" s="50">
        <v>16158</v>
      </c>
      <c r="F256" s="50">
        <f>ROUND(E256,0)-2011</f>
        <v>14147</v>
      </c>
      <c r="G256" s="49">
        <f t="shared" si="122"/>
        <v>-2011</v>
      </c>
      <c r="H256" s="51" t="s">
        <v>190</v>
      </c>
      <c r="I256" s="49">
        <f t="shared" si="153"/>
        <v>14147</v>
      </c>
      <c r="J256" s="49">
        <f t="shared" si="124"/>
        <v>0</v>
      </c>
      <c r="K256" s="51"/>
      <c r="L256" s="49">
        <f t="shared" si="154"/>
        <v>14147</v>
      </c>
      <c r="M256" s="49">
        <f t="shared" si="125"/>
        <v>0</v>
      </c>
      <c r="N256" s="51"/>
      <c r="O256" s="49">
        <f t="shared" si="155"/>
        <v>14147</v>
      </c>
      <c r="P256" s="49">
        <f t="shared" si="126"/>
        <v>0</v>
      </c>
      <c r="Q256" s="51"/>
      <c r="R256" s="49">
        <f>ROUND(O256,0)+14485</f>
        <v>28632</v>
      </c>
      <c r="S256" s="49">
        <f t="shared" si="127"/>
        <v>14485</v>
      </c>
      <c r="T256" s="77" t="s">
        <v>191</v>
      </c>
      <c r="U256" s="49">
        <f>ROUND(R256,0)</f>
        <v>28632</v>
      </c>
      <c r="V256" s="49">
        <f t="shared" si="128"/>
        <v>0</v>
      </c>
      <c r="W256" s="77"/>
      <c r="X256" s="49">
        <f>ROUND(U256,0)</f>
        <v>28632</v>
      </c>
      <c r="Y256" s="49">
        <f t="shared" si="129"/>
        <v>0</v>
      </c>
      <c r="Z256" s="77"/>
      <c r="AA256" s="49">
        <v>25386.18</v>
      </c>
      <c r="AB256" s="53">
        <f t="shared" si="123"/>
        <v>0.88663663034367146</v>
      </c>
      <c r="AC256" s="55"/>
    </row>
    <row r="257" spans="2:29" s="280" customFormat="1" ht="42.6" customHeight="1" x14ac:dyDescent="0.25">
      <c r="B257" s="73" t="s">
        <v>711</v>
      </c>
      <c r="C257" s="212" t="s">
        <v>722</v>
      </c>
      <c r="D257" s="162" t="s">
        <v>366</v>
      </c>
      <c r="E257" s="50">
        <v>390000</v>
      </c>
      <c r="F257" s="50">
        <f>ROUND(E257,0)</f>
        <v>390000</v>
      </c>
      <c r="G257" s="49">
        <f t="shared" si="122"/>
        <v>0</v>
      </c>
      <c r="H257" s="77"/>
      <c r="I257" s="49">
        <f>ROUND(F257,0)+43500</f>
        <v>433500</v>
      </c>
      <c r="J257" s="55">
        <f t="shared" si="124"/>
        <v>43500</v>
      </c>
      <c r="K257" s="78" t="s">
        <v>723</v>
      </c>
      <c r="L257" s="49">
        <f t="shared" si="154"/>
        <v>433500</v>
      </c>
      <c r="M257" s="49">
        <f t="shared" si="125"/>
        <v>0</v>
      </c>
      <c r="N257" s="77"/>
      <c r="O257" s="49">
        <f t="shared" si="155"/>
        <v>433500</v>
      </c>
      <c r="P257" s="49">
        <f t="shared" si="126"/>
        <v>0</v>
      </c>
      <c r="Q257" s="77"/>
      <c r="R257" s="49">
        <f t="shared" si="156"/>
        <v>433500</v>
      </c>
      <c r="S257" s="49">
        <f t="shared" si="127"/>
        <v>0</v>
      </c>
      <c r="T257" s="77"/>
      <c r="U257" s="49">
        <f t="shared" ref="U257" si="159">ROUND(R257,0)</f>
        <v>433500</v>
      </c>
      <c r="V257" s="49">
        <f t="shared" si="128"/>
        <v>0</v>
      </c>
      <c r="W257" s="77"/>
      <c r="X257" s="49">
        <f t="shared" ref="X257" si="160">ROUND(U257,0)</f>
        <v>433500</v>
      </c>
      <c r="Y257" s="49">
        <f t="shared" si="129"/>
        <v>0</v>
      </c>
      <c r="Z257" s="77"/>
      <c r="AA257" s="49">
        <v>306449</v>
      </c>
      <c r="AB257" s="53">
        <f t="shared" si="123"/>
        <v>0.70691810841983849</v>
      </c>
      <c r="AC257" s="55" t="s">
        <v>724</v>
      </c>
    </row>
    <row r="258" spans="2:29" s="280" customFormat="1" ht="15.6" customHeight="1" x14ac:dyDescent="0.25">
      <c r="B258" s="281" t="s">
        <v>725</v>
      </c>
      <c r="C258" s="212" t="s">
        <v>726</v>
      </c>
      <c r="D258" s="162" t="s">
        <v>727</v>
      </c>
      <c r="E258" s="50">
        <v>838367.24456400005</v>
      </c>
      <c r="F258" s="50">
        <f>ROUND(E258,0)</f>
        <v>838367</v>
      </c>
      <c r="G258" s="49">
        <f t="shared" si="122"/>
        <v>-0.24456400005146861</v>
      </c>
      <c r="H258" s="77" t="s">
        <v>728</v>
      </c>
      <c r="I258" s="49">
        <f t="shared" si="153"/>
        <v>838367</v>
      </c>
      <c r="J258" s="49">
        <f t="shared" si="124"/>
        <v>0</v>
      </c>
      <c r="K258" s="77"/>
      <c r="L258" s="49">
        <f t="shared" si="154"/>
        <v>838367</v>
      </c>
      <c r="M258" s="49">
        <f t="shared" si="125"/>
        <v>0</v>
      </c>
      <c r="N258" s="77"/>
      <c r="O258" s="49">
        <f t="shared" si="155"/>
        <v>838367</v>
      </c>
      <c r="P258" s="49">
        <f t="shared" si="126"/>
        <v>0</v>
      </c>
      <c r="Q258" s="77"/>
      <c r="R258" s="49">
        <f>ROUND(O258,0)+9300+3500</f>
        <v>851167</v>
      </c>
      <c r="S258" s="49">
        <f t="shared" si="127"/>
        <v>12800</v>
      </c>
      <c r="T258" s="77" t="s">
        <v>715</v>
      </c>
      <c r="U258" s="49">
        <f>ROUND(R258,0)</f>
        <v>851167</v>
      </c>
      <c r="V258" s="49">
        <f t="shared" si="128"/>
        <v>0</v>
      </c>
      <c r="W258" s="77"/>
      <c r="X258" s="49">
        <f>ROUND(U258,0)</f>
        <v>851167</v>
      </c>
      <c r="Y258" s="49">
        <f t="shared" si="129"/>
        <v>0</v>
      </c>
      <c r="Z258" s="77"/>
      <c r="AA258" s="49">
        <v>691027.74</v>
      </c>
      <c r="AB258" s="53">
        <f t="shared" si="123"/>
        <v>0.81185917687128373</v>
      </c>
      <c r="AC258" s="55"/>
    </row>
    <row r="259" spans="2:29" s="280" customFormat="1" ht="15" customHeight="1" x14ac:dyDescent="0.25">
      <c r="B259" s="73" t="s">
        <v>708</v>
      </c>
      <c r="C259" s="212" t="s">
        <v>729</v>
      </c>
      <c r="D259" s="162" t="s">
        <v>730</v>
      </c>
      <c r="E259" s="50">
        <v>173758</v>
      </c>
      <c r="F259" s="50">
        <f>ROUND(E259,0)</f>
        <v>173758</v>
      </c>
      <c r="G259" s="49">
        <f t="shared" si="122"/>
        <v>0</v>
      </c>
      <c r="H259" s="51"/>
      <c r="I259" s="49">
        <f t="shared" si="153"/>
        <v>173758</v>
      </c>
      <c r="J259" s="49">
        <f t="shared" si="124"/>
        <v>0</v>
      </c>
      <c r="K259" s="51"/>
      <c r="L259" s="49">
        <f t="shared" si="154"/>
        <v>173758</v>
      </c>
      <c r="M259" s="49">
        <f t="shared" si="125"/>
        <v>0</v>
      </c>
      <c r="N259" s="51"/>
      <c r="O259" s="49">
        <f t="shared" si="155"/>
        <v>173758</v>
      </c>
      <c r="P259" s="49">
        <f t="shared" si="126"/>
        <v>0</v>
      </c>
      <c r="Q259" s="51"/>
      <c r="R259" s="49">
        <f t="shared" si="156"/>
        <v>173758</v>
      </c>
      <c r="S259" s="49">
        <f t="shared" si="127"/>
        <v>0</v>
      </c>
      <c r="T259" s="51"/>
      <c r="U259" s="49">
        <f t="shared" ref="U259" si="161">ROUND(R259,0)</f>
        <v>173758</v>
      </c>
      <c r="V259" s="49">
        <f t="shared" si="128"/>
        <v>0</v>
      </c>
      <c r="W259" s="51"/>
      <c r="X259" s="49">
        <f t="shared" ref="X259" si="162">ROUND(U259,0)</f>
        <v>173758</v>
      </c>
      <c r="Y259" s="49">
        <f t="shared" si="129"/>
        <v>0</v>
      </c>
      <c r="Z259" s="51"/>
      <c r="AA259" s="49">
        <v>124516.11</v>
      </c>
      <c r="AB259" s="53">
        <f t="shared" si="123"/>
        <v>0.71660648718332398</v>
      </c>
      <c r="AC259" s="55" t="s">
        <v>731</v>
      </c>
    </row>
    <row r="260" spans="2:29" s="288" customFormat="1" ht="13.95" customHeight="1" x14ac:dyDescent="0.25">
      <c r="B260" s="281"/>
      <c r="C260" s="282" t="s">
        <v>732</v>
      </c>
      <c r="D260" s="283" t="s">
        <v>733</v>
      </c>
      <c r="E260" s="285">
        <v>395329.28034260002</v>
      </c>
      <c r="F260" s="285">
        <f t="shared" ref="F260:G260" si="163">F261+F262</f>
        <v>395329</v>
      </c>
      <c r="G260" s="284">
        <f t="shared" si="163"/>
        <v>-0.28034260001732036</v>
      </c>
      <c r="H260" s="284"/>
      <c r="I260" s="284">
        <f>I261+I262</f>
        <v>395329</v>
      </c>
      <c r="J260" s="284">
        <f t="shared" si="124"/>
        <v>0</v>
      </c>
      <c r="K260" s="284"/>
      <c r="L260" s="284">
        <f>L261+L262</f>
        <v>396569</v>
      </c>
      <c r="M260" s="284">
        <f t="shared" si="125"/>
        <v>1240</v>
      </c>
      <c r="N260" s="284"/>
      <c r="O260" s="284">
        <f>O261+O262</f>
        <v>396569</v>
      </c>
      <c r="P260" s="284">
        <f t="shared" si="126"/>
        <v>0</v>
      </c>
      <c r="Q260" s="284"/>
      <c r="R260" s="284">
        <f>R261+R262</f>
        <v>405971</v>
      </c>
      <c r="S260" s="284">
        <f t="shared" si="127"/>
        <v>9402</v>
      </c>
      <c r="T260" s="284"/>
      <c r="U260" s="284">
        <f>U261+U262</f>
        <v>405971</v>
      </c>
      <c r="V260" s="284">
        <f t="shared" si="128"/>
        <v>0</v>
      </c>
      <c r="W260" s="284"/>
      <c r="X260" s="284">
        <f>X261+X262</f>
        <v>406021</v>
      </c>
      <c r="Y260" s="284">
        <f t="shared" si="129"/>
        <v>50</v>
      </c>
      <c r="Z260" s="284"/>
      <c r="AA260" s="284">
        <f>AA261+AA262</f>
        <v>355838.80000000005</v>
      </c>
      <c r="AB260" s="286">
        <f t="shared" si="123"/>
        <v>0.87640491501671103</v>
      </c>
      <c r="AC260" s="287"/>
    </row>
    <row r="261" spans="2:29" s="280" customFormat="1" ht="27.6" customHeight="1" x14ac:dyDescent="0.25">
      <c r="B261" s="106" t="s">
        <v>734</v>
      </c>
      <c r="C261" s="289" t="s">
        <v>735</v>
      </c>
      <c r="D261" s="162" t="s">
        <v>736</v>
      </c>
      <c r="E261" s="50">
        <v>83788</v>
      </c>
      <c r="F261" s="50">
        <f>ROUND(E261,0)</f>
        <v>83788</v>
      </c>
      <c r="G261" s="49">
        <f t="shared" si="122"/>
        <v>0</v>
      </c>
      <c r="H261" s="77"/>
      <c r="I261" s="49">
        <f>ROUND(F261,0)</f>
        <v>83788</v>
      </c>
      <c r="J261" s="49">
        <f t="shared" si="124"/>
        <v>0</v>
      </c>
      <c r="K261" s="77"/>
      <c r="L261" s="49">
        <f>ROUND(I261,0)+1240</f>
        <v>85028</v>
      </c>
      <c r="M261" s="49">
        <f t="shared" si="125"/>
        <v>1240</v>
      </c>
      <c r="N261" s="77" t="s">
        <v>169</v>
      </c>
      <c r="O261" s="49">
        <f>ROUND(L261,0)</f>
        <v>85028</v>
      </c>
      <c r="P261" s="49">
        <f t="shared" si="126"/>
        <v>0</v>
      </c>
      <c r="Q261" s="77"/>
      <c r="R261" s="49">
        <f>ROUND(O261,0)+9402</f>
        <v>94430</v>
      </c>
      <c r="S261" s="49">
        <f t="shared" si="127"/>
        <v>9402</v>
      </c>
      <c r="T261" s="77" t="s">
        <v>155</v>
      </c>
      <c r="U261" s="49">
        <f>ROUND(R261,0)</f>
        <v>94430</v>
      </c>
      <c r="V261" s="49">
        <f t="shared" si="128"/>
        <v>0</v>
      </c>
      <c r="W261" s="77"/>
      <c r="X261" s="49">
        <f>ROUND(U261,0)+50</f>
        <v>94480</v>
      </c>
      <c r="Y261" s="49">
        <f t="shared" si="129"/>
        <v>50</v>
      </c>
      <c r="Z261" s="77" t="s">
        <v>737</v>
      </c>
      <c r="AA261" s="49">
        <v>94198.1</v>
      </c>
      <c r="AB261" s="53">
        <f t="shared" si="123"/>
        <v>0.99701629974597805</v>
      </c>
      <c r="AC261" s="49"/>
    </row>
    <row r="262" spans="2:29" s="187" customFormat="1" ht="12.6" customHeight="1" x14ac:dyDescent="0.25">
      <c r="B262" s="281" t="s">
        <v>738</v>
      </c>
      <c r="C262" s="289" t="s">
        <v>739</v>
      </c>
      <c r="D262" s="162" t="s">
        <v>740</v>
      </c>
      <c r="E262" s="50">
        <v>311541.28034260002</v>
      </c>
      <c r="F262" s="50">
        <f>ROUND(E262,0)</f>
        <v>311541</v>
      </c>
      <c r="G262" s="49">
        <f t="shared" si="122"/>
        <v>-0.28034260001732036</v>
      </c>
      <c r="H262" s="51"/>
      <c r="I262" s="49">
        <f>ROUND(F262,0)</f>
        <v>311541</v>
      </c>
      <c r="J262" s="49">
        <f t="shared" si="124"/>
        <v>0</v>
      </c>
      <c r="K262" s="51"/>
      <c r="L262" s="49">
        <f>ROUND(I262,0)</f>
        <v>311541</v>
      </c>
      <c r="M262" s="49">
        <f t="shared" si="125"/>
        <v>0</v>
      </c>
      <c r="N262" s="51"/>
      <c r="O262" s="49">
        <f>ROUND(L262,0)</f>
        <v>311541</v>
      </c>
      <c r="P262" s="49">
        <f t="shared" si="126"/>
        <v>0</v>
      </c>
      <c r="Q262" s="51"/>
      <c r="R262" s="49">
        <f>ROUND(O262,0)</f>
        <v>311541</v>
      </c>
      <c r="S262" s="49">
        <f t="shared" si="127"/>
        <v>0</v>
      </c>
      <c r="T262" s="51"/>
      <c r="U262" s="49">
        <f>ROUND(R262,0)</f>
        <v>311541</v>
      </c>
      <c r="V262" s="49">
        <f t="shared" si="128"/>
        <v>0</v>
      </c>
      <c r="W262" s="51"/>
      <c r="X262" s="49">
        <f>ROUND(U262,0)</f>
        <v>311541</v>
      </c>
      <c r="Y262" s="49">
        <f t="shared" si="129"/>
        <v>0</v>
      </c>
      <c r="Z262" s="51"/>
      <c r="AA262" s="49">
        <v>261640.7</v>
      </c>
      <c r="AB262" s="53">
        <f t="shared" si="123"/>
        <v>0.83982750264010197</v>
      </c>
      <c r="AC262" s="49"/>
    </row>
    <row r="263" spans="2:29" ht="18" customHeight="1" x14ac:dyDescent="0.25">
      <c r="C263" s="271" t="s">
        <v>741</v>
      </c>
      <c r="D263" s="214" t="s">
        <v>742</v>
      </c>
      <c r="E263" s="216">
        <v>1489092.9817770002</v>
      </c>
      <c r="F263" s="216">
        <f t="shared" ref="F263" si="164">F264+F265</f>
        <v>1541382</v>
      </c>
      <c r="G263" s="215">
        <f t="shared" ref="G263:G283" si="165">F263-E263</f>
        <v>52289.018222999759</v>
      </c>
      <c r="H263" s="215"/>
      <c r="I263" s="215">
        <f>I264+I265</f>
        <v>1541382</v>
      </c>
      <c r="J263" s="215">
        <f t="shared" si="124"/>
        <v>0</v>
      </c>
      <c r="K263" s="215"/>
      <c r="L263" s="215">
        <f>L264+L265</f>
        <v>1541382</v>
      </c>
      <c r="M263" s="215">
        <f t="shared" si="125"/>
        <v>0</v>
      </c>
      <c r="N263" s="215"/>
      <c r="O263" s="215">
        <f>O264+O265</f>
        <v>1541382</v>
      </c>
      <c r="P263" s="215">
        <f t="shared" si="126"/>
        <v>0</v>
      </c>
      <c r="Q263" s="215"/>
      <c r="R263" s="215">
        <f>R264+R265</f>
        <v>1570960</v>
      </c>
      <c r="S263" s="215">
        <f t="shared" si="127"/>
        <v>29578</v>
      </c>
      <c r="T263" s="215"/>
      <c r="U263" s="215">
        <f>U264+U265</f>
        <v>1570960</v>
      </c>
      <c r="V263" s="215">
        <f t="shared" si="128"/>
        <v>0</v>
      </c>
      <c r="W263" s="215"/>
      <c r="X263" s="215">
        <f>X264+X265</f>
        <v>1570960</v>
      </c>
      <c r="Y263" s="215">
        <f t="shared" si="129"/>
        <v>0</v>
      </c>
      <c r="Z263" s="215"/>
      <c r="AA263" s="215">
        <f>AA264+AA265</f>
        <v>1457261.63</v>
      </c>
      <c r="AB263" s="220">
        <f t="shared" ref="AB263:AB283" si="166">AA263/X263</f>
        <v>0.92762491088251764</v>
      </c>
      <c r="AC263" s="215"/>
    </row>
    <row r="264" spans="2:29" ht="13.5" customHeight="1" x14ac:dyDescent="0.25">
      <c r="C264" s="212" t="s">
        <v>743</v>
      </c>
      <c r="D264" s="162" t="s">
        <v>744</v>
      </c>
      <c r="E264" s="50">
        <v>593640</v>
      </c>
      <c r="F264" s="50">
        <f>ROUND(E264,0)+52289</f>
        <v>645929</v>
      </c>
      <c r="G264" s="49">
        <f t="shared" si="165"/>
        <v>52289</v>
      </c>
      <c r="H264" s="77" t="s">
        <v>154</v>
      </c>
      <c r="I264" s="49">
        <f>ROUND(F264,0)</f>
        <v>645929</v>
      </c>
      <c r="J264" s="49">
        <f t="shared" si="124"/>
        <v>0</v>
      </c>
      <c r="K264" s="77"/>
      <c r="L264" s="49">
        <f>ROUND(I264,0)</f>
        <v>645929</v>
      </c>
      <c r="M264" s="49">
        <f t="shared" si="125"/>
        <v>0</v>
      </c>
      <c r="N264" s="77"/>
      <c r="O264" s="49">
        <f>ROUND(L264,0)</f>
        <v>645929</v>
      </c>
      <c r="P264" s="49">
        <f t="shared" si="126"/>
        <v>0</v>
      </c>
      <c r="Q264" s="77"/>
      <c r="R264" s="49">
        <f>ROUND(O264,0)+29578</f>
        <v>675507</v>
      </c>
      <c r="S264" s="49">
        <f t="shared" si="127"/>
        <v>29578</v>
      </c>
      <c r="T264" s="77" t="s">
        <v>155</v>
      </c>
      <c r="U264" s="49">
        <f>ROUND(R264,0)</f>
        <v>675507</v>
      </c>
      <c r="V264" s="49">
        <f t="shared" si="128"/>
        <v>0</v>
      </c>
      <c r="W264" s="77"/>
      <c r="X264" s="49">
        <f>ROUND(U264,0)</f>
        <v>675507</v>
      </c>
      <c r="Y264" s="49">
        <f t="shared" si="129"/>
        <v>0</v>
      </c>
      <c r="Z264" s="77"/>
      <c r="AA264" s="49">
        <v>674185.45</v>
      </c>
      <c r="AB264" s="53">
        <f t="shared" si="166"/>
        <v>0.99804361760869975</v>
      </c>
      <c r="AC264" s="49"/>
    </row>
    <row r="265" spans="2:29" ht="28.95" customHeight="1" x14ac:dyDescent="0.25">
      <c r="C265" s="212" t="s">
        <v>745</v>
      </c>
      <c r="D265" s="162" t="s">
        <v>642</v>
      </c>
      <c r="E265" s="50">
        <v>895452.98177700012</v>
      </c>
      <c r="F265" s="50">
        <f>ROUND(E265,0)</f>
        <v>895453</v>
      </c>
      <c r="G265" s="49">
        <f t="shared" si="165"/>
        <v>1.8222999875433743E-2</v>
      </c>
      <c r="H265" s="290"/>
      <c r="I265" s="49">
        <f>ROUND(F265,0)</f>
        <v>895453</v>
      </c>
      <c r="J265" s="49">
        <f t="shared" ref="J265:J283" si="167">I265-F265</f>
        <v>0</v>
      </c>
      <c r="K265" s="290"/>
      <c r="L265" s="49">
        <f>ROUND(I265,0)</f>
        <v>895453</v>
      </c>
      <c r="M265" s="49">
        <f t="shared" ref="M265:M283" si="168">L265-I265</f>
        <v>0</v>
      </c>
      <c r="N265" s="290"/>
      <c r="O265" s="49">
        <f>ROUND(L265,0)</f>
        <v>895453</v>
      </c>
      <c r="P265" s="49">
        <f t="shared" ref="P265:P283" si="169">O265-L265</f>
        <v>0</v>
      </c>
      <c r="Q265" s="290"/>
      <c r="R265" s="49">
        <f>ROUND(O265,0)</f>
        <v>895453</v>
      </c>
      <c r="S265" s="49">
        <f t="shared" ref="S265:S283" si="170">R265-O265</f>
        <v>0</v>
      </c>
      <c r="T265" s="290"/>
      <c r="U265" s="49">
        <f>ROUND(R265,0)</f>
        <v>895453</v>
      </c>
      <c r="V265" s="49">
        <f t="shared" ref="V265:V283" si="171">U265-R265</f>
        <v>0</v>
      </c>
      <c r="W265" s="290"/>
      <c r="X265" s="49">
        <f>ROUND(U265,0)</f>
        <v>895453</v>
      </c>
      <c r="Y265" s="49">
        <f t="shared" ref="Y265:Y279" si="172">X265-U265</f>
        <v>0</v>
      </c>
      <c r="Z265" s="290"/>
      <c r="AA265" s="49">
        <v>783076.18</v>
      </c>
      <c r="AB265" s="53">
        <f t="shared" si="166"/>
        <v>0.8745028270607168</v>
      </c>
      <c r="AC265" s="79"/>
    </row>
    <row r="266" spans="2:29" ht="16.2" customHeight="1" x14ac:dyDescent="0.25">
      <c r="C266" s="291" t="s">
        <v>746</v>
      </c>
      <c r="D266" s="214" t="s">
        <v>747</v>
      </c>
      <c r="E266" s="216">
        <v>643256.80554049998</v>
      </c>
      <c r="F266" s="216">
        <f>F267+F268</f>
        <v>643257</v>
      </c>
      <c r="G266" s="215">
        <f t="shared" si="165"/>
        <v>0.19445950002409518</v>
      </c>
      <c r="H266" s="231"/>
      <c r="I266" s="215">
        <f>I267+I268</f>
        <v>643257</v>
      </c>
      <c r="J266" s="215">
        <f t="shared" si="167"/>
        <v>0</v>
      </c>
      <c r="K266" s="231"/>
      <c r="L266" s="215">
        <f>L267+L268</f>
        <v>643257</v>
      </c>
      <c r="M266" s="215">
        <f t="shared" si="168"/>
        <v>0</v>
      </c>
      <c r="N266" s="231"/>
      <c r="O266" s="215">
        <f>O267+O268</f>
        <v>643257</v>
      </c>
      <c r="P266" s="215">
        <f t="shared" si="169"/>
        <v>0</v>
      </c>
      <c r="Q266" s="231"/>
      <c r="R266" s="215">
        <f>R267+R268</f>
        <v>656559</v>
      </c>
      <c r="S266" s="215">
        <f t="shared" si="170"/>
        <v>13302</v>
      </c>
      <c r="T266" s="231"/>
      <c r="U266" s="215">
        <f>U267+U268</f>
        <v>656559</v>
      </c>
      <c r="V266" s="215">
        <f t="shared" si="171"/>
        <v>0</v>
      </c>
      <c r="W266" s="231"/>
      <c r="X266" s="215">
        <f>X267+X268</f>
        <v>656559</v>
      </c>
      <c r="Y266" s="215">
        <f t="shared" si="172"/>
        <v>0</v>
      </c>
      <c r="Z266" s="231"/>
      <c r="AA266" s="215">
        <f>AA267+AA268</f>
        <v>583590.58000000007</v>
      </c>
      <c r="AB266" s="220">
        <f t="shared" si="166"/>
        <v>0.88886235661989266</v>
      </c>
      <c r="AC266" s="215"/>
    </row>
    <row r="267" spans="2:29" ht="18" customHeight="1" x14ac:dyDescent="0.25">
      <c r="B267" s="106" t="s">
        <v>748</v>
      </c>
      <c r="C267" s="212" t="s">
        <v>749</v>
      </c>
      <c r="D267" s="162" t="s">
        <v>744</v>
      </c>
      <c r="E267" s="50">
        <v>299308</v>
      </c>
      <c r="F267" s="50">
        <f t="shared" ref="F267:F273" si="173">ROUND(E267,0)</f>
        <v>299308</v>
      </c>
      <c r="G267" s="49">
        <f t="shared" si="165"/>
        <v>0</v>
      </c>
      <c r="H267" s="51"/>
      <c r="I267" s="49">
        <f t="shared" ref="I267:I273" si="174">ROUND(F267,0)</f>
        <v>299308</v>
      </c>
      <c r="J267" s="49">
        <f t="shared" si="167"/>
        <v>0</v>
      </c>
      <c r="K267" s="51"/>
      <c r="L267" s="49">
        <f t="shared" ref="L267:L273" si="175">ROUND(I267,0)</f>
        <v>299308</v>
      </c>
      <c r="M267" s="49">
        <f t="shared" si="168"/>
        <v>0</v>
      </c>
      <c r="N267" s="51"/>
      <c r="O267" s="49">
        <f t="shared" ref="O267:O273" si="176">ROUND(L267,0)</f>
        <v>299308</v>
      </c>
      <c r="P267" s="49">
        <f t="shared" si="169"/>
        <v>0</v>
      </c>
      <c r="Q267" s="51"/>
      <c r="R267" s="49">
        <f>ROUND(O267,0)+13302</f>
        <v>312610</v>
      </c>
      <c r="S267" s="49">
        <f t="shared" si="170"/>
        <v>13302</v>
      </c>
      <c r="T267" s="77" t="s">
        <v>159</v>
      </c>
      <c r="U267" s="49">
        <f>ROUND(R267,0)</f>
        <v>312610</v>
      </c>
      <c r="V267" s="49">
        <f t="shared" si="171"/>
        <v>0</v>
      </c>
      <c r="W267" s="77"/>
      <c r="X267" s="49">
        <f>ROUND(U267,0)</f>
        <v>312610</v>
      </c>
      <c r="Y267" s="49">
        <f t="shared" si="172"/>
        <v>0</v>
      </c>
      <c r="Z267" s="77"/>
      <c r="AA267" s="49">
        <v>312569.75</v>
      </c>
      <c r="AB267" s="53">
        <f t="shared" si="166"/>
        <v>0.99987124532164673</v>
      </c>
      <c r="AC267" s="49"/>
    </row>
    <row r="268" spans="2:29" ht="16.5" customHeight="1" x14ac:dyDescent="0.25">
      <c r="B268" s="106" t="s">
        <v>750</v>
      </c>
      <c r="C268" s="212" t="s">
        <v>751</v>
      </c>
      <c r="D268" s="162" t="s">
        <v>752</v>
      </c>
      <c r="E268" s="50">
        <v>343948.80554049998</v>
      </c>
      <c r="F268" s="50">
        <f t="shared" si="173"/>
        <v>343949</v>
      </c>
      <c r="G268" s="49">
        <f t="shared" si="165"/>
        <v>0.19445950002409518</v>
      </c>
      <c r="H268" s="77"/>
      <c r="I268" s="49">
        <f t="shared" si="174"/>
        <v>343949</v>
      </c>
      <c r="J268" s="49">
        <f t="shared" si="167"/>
        <v>0</v>
      </c>
      <c r="K268" s="77"/>
      <c r="L268" s="49">
        <f t="shared" si="175"/>
        <v>343949</v>
      </c>
      <c r="M268" s="49">
        <f t="shared" si="168"/>
        <v>0</v>
      </c>
      <c r="N268" s="77"/>
      <c r="O268" s="49">
        <f t="shared" si="176"/>
        <v>343949</v>
      </c>
      <c r="P268" s="49">
        <f t="shared" si="169"/>
        <v>0</v>
      </c>
      <c r="Q268" s="77"/>
      <c r="R268" s="49">
        <f t="shared" ref="R268:R273" si="177">ROUND(O268,0)</f>
        <v>343949</v>
      </c>
      <c r="S268" s="49">
        <f t="shared" si="170"/>
        <v>0</v>
      </c>
      <c r="T268" s="77"/>
      <c r="U268" s="49">
        <f t="shared" ref="U268:U272" si="178">ROUND(R268,0)</f>
        <v>343949</v>
      </c>
      <c r="V268" s="49">
        <f t="shared" si="171"/>
        <v>0</v>
      </c>
      <c r="W268" s="77"/>
      <c r="X268" s="49">
        <f t="shared" ref="X268" si="179">ROUND(U268,0)</f>
        <v>343949</v>
      </c>
      <c r="Y268" s="49">
        <f t="shared" si="172"/>
        <v>0</v>
      </c>
      <c r="Z268" s="77"/>
      <c r="AA268" s="49">
        <v>271020.83</v>
      </c>
      <c r="AB268" s="53">
        <f t="shared" si="166"/>
        <v>0.78796807084771292</v>
      </c>
      <c r="AC268" s="49"/>
    </row>
    <row r="269" spans="2:29" ht="17.399999999999999" customHeight="1" x14ac:dyDescent="0.25">
      <c r="B269" s="106" t="s">
        <v>753</v>
      </c>
      <c r="C269" s="291" t="s">
        <v>754</v>
      </c>
      <c r="D269" s="214" t="s">
        <v>755</v>
      </c>
      <c r="E269" s="114">
        <v>316025.5193245</v>
      </c>
      <c r="F269" s="114">
        <f t="shared" si="173"/>
        <v>316026</v>
      </c>
      <c r="G269" s="83">
        <f t="shared" si="165"/>
        <v>0.48067550000268966</v>
      </c>
      <c r="H269" s="115"/>
      <c r="I269" s="83">
        <f t="shared" si="174"/>
        <v>316026</v>
      </c>
      <c r="J269" s="83">
        <f t="shared" si="167"/>
        <v>0</v>
      </c>
      <c r="K269" s="115"/>
      <c r="L269" s="83">
        <f t="shared" si="175"/>
        <v>316026</v>
      </c>
      <c r="M269" s="83">
        <f t="shared" si="168"/>
        <v>0</v>
      </c>
      <c r="N269" s="115"/>
      <c r="O269" s="83">
        <f>ROUND(L269,0)+9820</f>
        <v>325846</v>
      </c>
      <c r="P269" s="83">
        <f t="shared" si="169"/>
        <v>9820</v>
      </c>
      <c r="Q269" s="115" t="s">
        <v>593</v>
      </c>
      <c r="R269" s="83">
        <f t="shared" si="177"/>
        <v>325846</v>
      </c>
      <c r="S269" s="83">
        <f t="shared" si="170"/>
        <v>0</v>
      </c>
      <c r="T269" s="115"/>
      <c r="U269" s="83">
        <f>ROUND(R269,0)-5</f>
        <v>325841</v>
      </c>
      <c r="V269" s="83">
        <f t="shared" si="171"/>
        <v>-5</v>
      </c>
      <c r="W269" s="292" t="s">
        <v>756</v>
      </c>
      <c r="X269" s="83">
        <f>ROUND(U269,0)</f>
        <v>325841</v>
      </c>
      <c r="Y269" s="83">
        <f t="shared" si="172"/>
        <v>0</v>
      </c>
      <c r="Z269" s="115"/>
      <c r="AA269" s="83">
        <f>301954.48+8937</f>
        <v>310891.48</v>
      </c>
      <c r="AB269" s="116">
        <f t="shared" si="166"/>
        <v>0.95412019972931572</v>
      </c>
      <c r="AC269" s="83"/>
    </row>
    <row r="270" spans="2:29" ht="32.4" customHeight="1" x14ac:dyDescent="0.25">
      <c r="B270" s="106"/>
      <c r="C270" s="291" t="s">
        <v>757</v>
      </c>
      <c r="D270" s="214" t="s">
        <v>758</v>
      </c>
      <c r="E270" s="114">
        <v>3000</v>
      </c>
      <c r="F270" s="114">
        <f t="shared" si="173"/>
        <v>3000</v>
      </c>
      <c r="G270" s="83"/>
      <c r="H270" s="115"/>
      <c r="I270" s="83">
        <f t="shared" si="174"/>
        <v>3000</v>
      </c>
      <c r="J270" s="83">
        <f t="shared" si="167"/>
        <v>0</v>
      </c>
      <c r="K270" s="115"/>
      <c r="L270" s="83">
        <f t="shared" si="175"/>
        <v>3000</v>
      </c>
      <c r="M270" s="83">
        <f t="shared" si="168"/>
        <v>0</v>
      </c>
      <c r="N270" s="115"/>
      <c r="O270" s="83">
        <f t="shared" si="176"/>
        <v>3000</v>
      </c>
      <c r="P270" s="83">
        <f t="shared" si="169"/>
        <v>0</v>
      </c>
      <c r="Q270" s="115"/>
      <c r="R270" s="83">
        <f t="shared" si="177"/>
        <v>3000</v>
      </c>
      <c r="S270" s="83">
        <f t="shared" si="170"/>
        <v>0</v>
      </c>
      <c r="T270" s="115"/>
      <c r="U270" s="83">
        <f t="shared" si="178"/>
        <v>3000</v>
      </c>
      <c r="V270" s="83">
        <f t="shared" si="171"/>
        <v>0</v>
      </c>
      <c r="W270" s="115"/>
      <c r="X270" s="83">
        <f t="shared" ref="X270:X272" si="180">ROUND(U270,0)</f>
        <v>3000</v>
      </c>
      <c r="Y270" s="83">
        <f t="shared" si="172"/>
        <v>0</v>
      </c>
      <c r="Z270" s="115"/>
      <c r="AA270" s="83">
        <v>0</v>
      </c>
      <c r="AB270" s="116">
        <f t="shared" si="166"/>
        <v>0</v>
      </c>
      <c r="AC270" s="83"/>
    </row>
    <row r="271" spans="2:29" ht="31.95" customHeight="1" x14ac:dyDescent="0.25">
      <c r="B271" s="106" t="s">
        <v>759</v>
      </c>
      <c r="C271" s="291" t="s">
        <v>760</v>
      </c>
      <c r="D271" s="214" t="s">
        <v>761</v>
      </c>
      <c r="E271" s="114">
        <v>16292</v>
      </c>
      <c r="F271" s="114">
        <f t="shared" si="173"/>
        <v>16292</v>
      </c>
      <c r="G271" s="83">
        <f t="shared" si="165"/>
        <v>0</v>
      </c>
      <c r="H271" s="115"/>
      <c r="I271" s="83">
        <f t="shared" si="174"/>
        <v>16292</v>
      </c>
      <c r="J271" s="83">
        <f t="shared" si="167"/>
        <v>0</v>
      </c>
      <c r="K271" s="115"/>
      <c r="L271" s="83">
        <f t="shared" si="175"/>
        <v>16292</v>
      </c>
      <c r="M271" s="83">
        <f t="shared" si="168"/>
        <v>0</v>
      </c>
      <c r="N271" s="115"/>
      <c r="O271" s="83">
        <f t="shared" si="176"/>
        <v>16292</v>
      </c>
      <c r="P271" s="83">
        <f t="shared" si="169"/>
        <v>0</v>
      </c>
      <c r="Q271" s="115"/>
      <c r="R271" s="83">
        <f t="shared" si="177"/>
        <v>16292</v>
      </c>
      <c r="S271" s="83">
        <f t="shared" si="170"/>
        <v>0</v>
      </c>
      <c r="T271" s="115"/>
      <c r="U271" s="83">
        <f t="shared" si="178"/>
        <v>16292</v>
      </c>
      <c r="V271" s="83">
        <f t="shared" si="171"/>
        <v>0</v>
      </c>
      <c r="W271" s="115"/>
      <c r="X271" s="83">
        <f t="shared" si="180"/>
        <v>16292</v>
      </c>
      <c r="Y271" s="83">
        <f t="shared" si="172"/>
        <v>0</v>
      </c>
      <c r="Z271" s="115"/>
      <c r="AA271" s="83">
        <v>3767.41</v>
      </c>
      <c r="AB271" s="116">
        <f t="shared" si="166"/>
        <v>0.23124294132089368</v>
      </c>
      <c r="AC271" s="111"/>
    </row>
    <row r="272" spans="2:29" ht="27" customHeight="1" x14ac:dyDescent="0.25">
      <c r="B272" s="106" t="s">
        <v>762</v>
      </c>
      <c r="C272" s="291" t="s">
        <v>763</v>
      </c>
      <c r="D272" s="214" t="s">
        <v>257</v>
      </c>
      <c r="E272" s="114">
        <v>1049</v>
      </c>
      <c r="F272" s="114">
        <f t="shared" si="173"/>
        <v>1049</v>
      </c>
      <c r="G272" s="83">
        <f t="shared" si="165"/>
        <v>0</v>
      </c>
      <c r="H272" s="115"/>
      <c r="I272" s="83">
        <f t="shared" si="174"/>
        <v>1049</v>
      </c>
      <c r="J272" s="83">
        <f t="shared" si="167"/>
        <v>0</v>
      </c>
      <c r="K272" s="115"/>
      <c r="L272" s="83">
        <f t="shared" si="175"/>
        <v>1049</v>
      </c>
      <c r="M272" s="83">
        <f t="shared" si="168"/>
        <v>0</v>
      </c>
      <c r="N272" s="115"/>
      <c r="O272" s="83">
        <f t="shared" si="176"/>
        <v>1049</v>
      </c>
      <c r="P272" s="83">
        <f t="shared" si="169"/>
        <v>0</v>
      </c>
      <c r="Q272" s="115"/>
      <c r="R272" s="83">
        <f t="shared" si="177"/>
        <v>1049</v>
      </c>
      <c r="S272" s="83">
        <f t="shared" si="170"/>
        <v>0</v>
      </c>
      <c r="T272" s="115"/>
      <c r="U272" s="83">
        <f t="shared" si="178"/>
        <v>1049</v>
      </c>
      <c r="V272" s="83">
        <f t="shared" si="171"/>
        <v>0</v>
      </c>
      <c r="W272" s="115"/>
      <c r="X272" s="83">
        <f t="shared" si="180"/>
        <v>1049</v>
      </c>
      <c r="Y272" s="83">
        <f t="shared" si="172"/>
        <v>0</v>
      </c>
      <c r="Z272" s="115"/>
      <c r="AA272" s="83">
        <v>0</v>
      </c>
      <c r="AB272" s="116">
        <f t="shared" si="166"/>
        <v>0</v>
      </c>
      <c r="AC272" s="83" t="s">
        <v>764</v>
      </c>
    </row>
    <row r="273" spans="2:29" ht="57.6" customHeight="1" x14ac:dyDescent="0.25">
      <c r="B273" s="106" t="s">
        <v>765</v>
      </c>
      <c r="C273" s="291" t="s">
        <v>766</v>
      </c>
      <c r="D273" s="214" t="s">
        <v>767</v>
      </c>
      <c r="E273" s="114">
        <v>7000</v>
      </c>
      <c r="F273" s="114">
        <f t="shared" si="173"/>
        <v>7000</v>
      </c>
      <c r="G273" s="83">
        <f t="shared" si="165"/>
        <v>0</v>
      </c>
      <c r="H273" s="115"/>
      <c r="I273" s="83">
        <f t="shared" si="174"/>
        <v>7000</v>
      </c>
      <c r="J273" s="83">
        <f t="shared" si="167"/>
        <v>0</v>
      </c>
      <c r="K273" s="115"/>
      <c r="L273" s="83">
        <f t="shared" si="175"/>
        <v>7000</v>
      </c>
      <c r="M273" s="83">
        <f t="shared" si="168"/>
        <v>0</v>
      </c>
      <c r="N273" s="115"/>
      <c r="O273" s="83">
        <f t="shared" si="176"/>
        <v>7000</v>
      </c>
      <c r="P273" s="83">
        <f t="shared" si="169"/>
        <v>0</v>
      </c>
      <c r="Q273" s="115"/>
      <c r="R273" s="83">
        <f t="shared" si="177"/>
        <v>7000</v>
      </c>
      <c r="S273" s="83">
        <f t="shared" si="170"/>
        <v>0</v>
      </c>
      <c r="T273" s="115"/>
      <c r="U273" s="83">
        <f>ROUND(R273,0)+5</f>
        <v>7005</v>
      </c>
      <c r="V273" s="83">
        <f t="shared" si="171"/>
        <v>5</v>
      </c>
      <c r="W273" s="292" t="s">
        <v>768</v>
      </c>
      <c r="X273" s="83">
        <f>ROUND(U273,0)</f>
        <v>7005</v>
      </c>
      <c r="Y273" s="83">
        <f t="shared" si="172"/>
        <v>0</v>
      </c>
      <c r="Z273" s="115"/>
      <c r="AA273" s="83">
        <v>7003</v>
      </c>
      <c r="AB273" s="116">
        <f t="shared" si="166"/>
        <v>0.99971448965024978</v>
      </c>
      <c r="AC273" s="83"/>
    </row>
    <row r="274" spans="2:29" ht="27" customHeight="1" x14ac:dyDescent="0.25">
      <c r="C274" s="271" t="s">
        <v>769</v>
      </c>
      <c r="D274" s="214" t="s">
        <v>245</v>
      </c>
      <c r="E274" s="84">
        <v>106243</v>
      </c>
      <c r="F274" s="84">
        <f>F275+F276</f>
        <v>106243</v>
      </c>
      <c r="G274" s="83">
        <f t="shared" si="165"/>
        <v>0</v>
      </c>
      <c r="H274" s="115"/>
      <c r="I274" s="85">
        <f>I275+I276</f>
        <v>106243</v>
      </c>
      <c r="J274" s="83">
        <f t="shared" si="167"/>
        <v>0</v>
      </c>
      <c r="K274" s="115"/>
      <c r="L274" s="85">
        <f>L275+L276</f>
        <v>106243</v>
      </c>
      <c r="M274" s="83">
        <f t="shared" si="168"/>
        <v>0</v>
      </c>
      <c r="N274" s="115"/>
      <c r="O274" s="85">
        <f>O275+O276</f>
        <v>106243</v>
      </c>
      <c r="P274" s="83">
        <f t="shared" si="169"/>
        <v>0</v>
      </c>
      <c r="Q274" s="115"/>
      <c r="R274" s="85">
        <f>R275+R276</f>
        <v>106243</v>
      </c>
      <c r="S274" s="83">
        <f t="shared" si="170"/>
        <v>0</v>
      </c>
      <c r="T274" s="115"/>
      <c r="U274" s="85">
        <f>U275+U276</f>
        <v>106243</v>
      </c>
      <c r="V274" s="83">
        <f t="shared" si="171"/>
        <v>0</v>
      </c>
      <c r="W274" s="115"/>
      <c r="X274" s="85">
        <f>X275+X276</f>
        <v>106243</v>
      </c>
      <c r="Y274" s="83">
        <f t="shared" si="172"/>
        <v>0</v>
      </c>
      <c r="Z274" s="115"/>
      <c r="AA274" s="85">
        <f>AA275+AA276</f>
        <v>28904.54</v>
      </c>
      <c r="AB274" s="259">
        <f t="shared" si="166"/>
        <v>0.27206065340775393</v>
      </c>
      <c r="AC274" s="111"/>
    </row>
    <row r="275" spans="2:29" ht="14.4" customHeight="1" x14ac:dyDescent="0.25">
      <c r="B275" s="106" t="s">
        <v>770</v>
      </c>
      <c r="C275" s="212" t="s">
        <v>771</v>
      </c>
      <c r="D275" s="162" t="s">
        <v>772</v>
      </c>
      <c r="E275" s="50">
        <v>70943</v>
      </c>
      <c r="F275" s="50">
        <f>ROUND(E275,0)</f>
        <v>70943</v>
      </c>
      <c r="G275" s="49">
        <f t="shared" si="165"/>
        <v>0</v>
      </c>
      <c r="H275" s="77"/>
      <c r="I275" s="49">
        <f>ROUND(F275,0)</f>
        <v>70943</v>
      </c>
      <c r="J275" s="49">
        <f t="shared" si="167"/>
        <v>0</v>
      </c>
      <c r="K275" s="77"/>
      <c r="L275" s="49">
        <f>ROUND(I275,0)</f>
        <v>70943</v>
      </c>
      <c r="M275" s="49">
        <f t="shared" si="168"/>
        <v>0</v>
      </c>
      <c r="N275" s="77"/>
      <c r="O275" s="49">
        <f>ROUND(L275,0)</f>
        <v>70943</v>
      </c>
      <c r="P275" s="49">
        <f t="shared" si="169"/>
        <v>0</v>
      </c>
      <c r="Q275" s="77"/>
      <c r="R275" s="49">
        <f>ROUND(O275,0)</f>
        <v>70943</v>
      </c>
      <c r="S275" s="49">
        <f t="shared" si="170"/>
        <v>0</v>
      </c>
      <c r="T275" s="77"/>
      <c r="U275" s="49">
        <f>ROUND(R275,0)</f>
        <v>70943</v>
      </c>
      <c r="V275" s="49">
        <f t="shared" si="171"/>
        <v>0</v>
      </c>
      <c r="W275" s="77"/>
      <c r="X275" s="49">
        <f>ROUND(U275,0)</f>
        <v>70943</v>
      </c>
      <c r="Y275" s="49">
        <f t="shared" si="172"/>
        <v>0</v>
      </c>
      <c r="Z275" s="77"/>
      <c r="AA275" s="49">
        <v>28154.54</v>
      </c>
      <c r="AB275" s="53">
        <f t="shared" si="166"/>
        <v>0.39686142396008062</v>
      </c>
      <c r="AC275" s="55"/>
    </row>
    <row r="276" spans="2:29" s="187" customFormat="1" ht="15" customHeight="1" x14ac:dyDescent="0.25">
      <c r="B276" s="106" t="s">
        <v>773</v>
      </c>
      <c r="C276" s="212" t="s">
        <v>774</v>
      </c>
      <c r="D276" s="162" t="s">
        <v>775</v>
      </c>
      <c r="E276" s="50">
        <v>35300</v>
      </c>
      <c r="F276" s="50">
        <f>ROUND(E276,0)</f>
        <v>35300</v>
      </c>
      <c r="G276" s="49">
        <f t="shared" si="165"/>
        <v>0</v>
      </c>
      <c r="H276" s="77"/>
      <c r="I276" s="49">
        <f>ROUND(F276,0)</f>
        <v>35300</v>
      </c>
      <c r="J276" s="49">
        <f t="shared" si="167"/>
        <v>0</v>
      </c>
      <c r="K276" s="77"/>
      <c r="L276" s="49">
        <f>ROUND(I276,0)</f>
        <v>35300</v>
      </c>
      <c r="M276" s="49">
        <f t="shared" si="168"/>
        <v>0</v>
      </c>
      <c r="N276" s="77"/>
      <c r="O276" s="49">
        <f>ROUND(L276,0)</f>
        <v>35300</v>
      </c>
      <c r="P276" s="49">
        <f t="shared" si="169"/>
        <v>0</v>
      </c>
      <c r="Q276" s="77"/>
      <c r="R276" s="49">
        <f>ROUND(O276,0)</f>
        <v>35300</v>
      </c>
      <c r="S276" s="49">
        <f t="shared" si="170"/>
        <v>0</v>
      </c>
      <c r="T276" s="77"/>
      <c r="U276" s="49">
        <f>ROUND(R276,0)</f>
        <v>35300</v>
      </c>
      <c r="V276" s="49">
        <f t="shared" si="171"/>
        <v>0</v>
      </c>
      <c r="W276" s="77"/>
      <c r="X276" s="49">
        <f>ROUND(U276,0)</f>
        <v>35300</v>
      </c>
      <c r="Y276" s="49">
        <f t="shared" si="172"/>
        <v>0</v>
      </c>
      <c r="Z276" s="77"/>
      <c r="AA276" s="49">
        <v>750</v>
      </c>
      <c r="AB276" s="53">
        <f t="shared" si="166"/>
        <v>2.1246458923512748E-2</v>
      </c>
      <c r="AC276" s="55"/>
    </row>
    <row r="277" spans="2:29" s="187" customFormat="1" ht="17.399999999999999" customHeight="1" outlineLevel="1" x14ac:dyDescent="0.25">
      <c r="C277" s="206" t="s">
        <v>776</v>
      </c>
      <c r="D277" s="207" t="s">
        <v>777</v>
      </c>
      <c r="E277" s="60">
        <v>0</v>
      </c>
      <c r="F277" s="60">
        <f>SUM(F278:F279)</f>
        <v>0</v>
      </c>
      <c r="G277" s="59">
        <f t="shared" si="165"/>
        <v>0</v>
      </c>
      <c r="H277" s="61"/>
      <c r="I277" s="59">
        <f>SUM(I278:I279)</f>
        <v>0</v>
      </c>
      <c r="J277" s="59">
        <f t="shared" si="167"/>
        <v>0</v>
      </c>
      <c r="K277" s="61"/>
      <c r="L277" s="59">
        <f>SUM(L278:L279)</f>
        <v>0</v>
      </c>
      <c r="M277" s="59">
        <f t="shared" si="168"/>
        <v>0</v>
      </c>
      <c r="N277" s="61"/>
      <c r="O277" s="59">
        <f>SUM(O278:O279)</f>
        <v>0</v>
      </c>
      <c r="P277" s="59">
        <f t="shared" si="169"/>
        <v>0</v>
      </c>
      <c r="Q277" s="61"/>
      <c r="R277" s="59">
        <f>SUM(R278:R279)</f>
        <v>0</v>
      </c>
      <c r="S277" s="59">
        <f t="shared" si="170"/>
        <v>0</v>
      </c>
      <c r="T277" s="61"/>
      <c r="U277" s="59">
        <f>SUM(U278:U279)</f>
        <v>150000</v>
      </c>
      <c r="V277" s="59">
        <f t="shared" si="171"/>
        <v>150000</v>
      </c>
      <c r="W277" s="61"/>
      <c r="X277" s="59">
        <f>SUM(X278:X279)</f>
        <v>150000</v>
      </c>
      <c r="Y277" s="59">
        <f t="shared" si="172"/>
        <v>0</v>
      </c>
      <c r="Z277" s="61"/>
      <c r="AA277" s="59">
        <f>SUM(AA278:AA279)</f>
        <v>150000</v>
      </c>
      <c r="AB277" s="62">
        <f t="shared" si="166"/>
        <v>1</v>
      </c>
      <c r="AC277" s="63"/>
    </row>
    <row r="278" spans="2:29" ht="17.25" customHeight="1" outlineLevel="1" x14ac:dyDescent="0.25">
      <c r="C278" s="200" t="s">
        <v>147</v>
      </c>
      <c r="D278" s="201" t="s">
        <v>778</v>
      </c>
      <c r="E278" s="114"/>
      <c r="F278" s="114"/>
      <c r="G278" s="83">
        <f t="shared" si="165"/>
        <v>0</v>
      </c>
      <c r="H278" s="115"/>
      <c r="I278" s="83"/>
      <c r="J278" s="83">
        <f t="shared" si="167"/>
        <v>0</v>
      </c>
      <c r="K278" s="115"/>
      <c r="L278" s="83"/>
      <c r="M278" s="83">
        <f t="shared" si="168"/>
        <v>0</v>
      </c>
      <c r="N278" s="115"/>
      <c r="O278" s="83"/>
      <c r="P278" s="83">
        <f t="shared" si="169"/>
        <v>0</v>
      </c>
      <c r="Q278" s="115"/>
      <c r="R278" s="83"/>
      <c r="S278" s="83">
        <f t="shared" si="170"/>
        <v>0</v>
      </c>
      <c r="T278" s="115"/>
      <c r="U278" s="83">
        <v>150000</v>
      </c>
      <c r="V278" s="205">
        <f t="shared" si="171"/>
        <v>150000</v>
      </c>
      <c r="W278" s="115" t="s">
        <v>436</v>
      </c>
      <c r="X278" s="83">
        <v>150000</v>
      </c>
      <c r="Y278" s="83">
        <f t="shared" si="172"/>
        <v>0</v>
      </c>
      <c r="Z278" s="115"/>
      <c r="AA278" s="83">
        <v>150000</v>
      </c>
      <c r="AB278" s="116">
        <f t="shared" si="166"/>
        <v>1</v>
      </c>
      <c r="AC278" s="202"/>
    </row>
    <row r="279" spans="2:29" ht="14.4" outlineLevel="1" thickBot="1" x14ac:dyDescent="0.3">
      <c r="C279" s="200" t="s">
        <v>223</v>
      </c>
      <c r="D279" s="201" t="s">
        <v>779</v>
      </c>
      <c r="E279" s="114"/>
      <c r="F279" s="114"/>
      <c r="G279" s="83">
        <f t="shared" si="165"/>
        <v>0</v>
      </c>
      <c r="H279" s="115"/>
      <c r="I279" s="83"/>
      <c r="J279" s="83">
        <f t="shared" si="167"/>
        <v>0</v>
      </c>
      <c r="K279" s="115"/>
      <c r="L279" s="83"/>
      <c r="M279" s="83">
        <f t="shared" si="168"/>
        <v>0</v>
      </c>
      <c r="N279" s="115"/>
      <c r="O279" s="83"/>
      <c r="P279" s="83">
        <f t="shared" si="169"/>
        <v>0</v>
      </c>
      <c r="Q279" s="115"/>
      <c r="R279" s="83"/>
      <c r="S279" s="83">
        <f t="shared" si="170"/>
        <v>0</v>
      </c>
      <c r="T279" s="115"/>
      <c r="U279" s="83"/>
      <c r="V279" s="83">
        <f t="shared" si="171"/>
        <v>0</v>
      </c>
      <c r="W279" s="115"/>
      <c r="X279" s="83"/>
      <c r="Y279" s="83">
        <f t="shared" si="172"/>
        <v>0</v>
      </c>
      <c r="Z279" s="115"/>
      <c r="AA279" s="83"/>
      <c r="AB279" s="116"/>
      <c r="AC279" s="202"/>
    </row>
    <row r="280" spans="2:29" s="187" customFormat="1" ht="30" customHeight="1" thickBot="1" x14ac:dyDescent="0.3">
      <c r="C280" s="293"/>
      <c r="D280" s="294" t="s">
        <v>780</v>
      </c>
      <c r="E280" s="296">
        <v>54533532.808720239</v>
      </c>
      <c r="F280" s="296">
        <f>F135+F145+F147+F148+F153+F155+F191+F204+F223+F277+0.5</f>
        <v>54591888.5</v>
      </c>
      <c r="G280" s="295">
        <f t="shared" si="165"/>
        <v>58355.691279761493</v>
      </c>
      <c r="H280" s="297"/>
      <c r="I280" s="295">
        <f>I135+I145+I147+I148+I153+I155+I191+I204+I223+I277+0.5</f>
        <v>55068746.5</v>
      </c>
      <c r="J280" s="295">
        <f t="shared" si="167"/>
        <v>476858</v>
      </c>
      <c r="K280" s="297"/>
      <c r="L280" s="295">
        <f>L135+L145+L147+L148+L153+L155+L191+L204+L223+L277+0.5</f>
        <v>55226538.5</v>
      </c>
      <c r="M280" s="295">
        <f t="shared" si="168"/>
        <v>157792</v>
      </c>
      <c r="N280" s="297"/>
      <c r="O280" s="295">
        <f>O135+O145+O147+O148+O153+O155+O191+O204+O223+O277+0.5</f>
        <v>55344618.5</v>
      </c>
      <c r="P280" s="295">
        <f t="shared" si="169"/>
        <v>118080</v>
      </c>
      <c r="Q280" s="297"/>
      <c r="R280" s="295">
        <f>R135+R145+R147+R148+R153+R155+R191+R204+R223+R277+0.5</f>
        <v>53843814.5</v>
      </c>
      <c r="S280" s="295">
        <f t="shared" si="170"/>
        <v>-1500804</v>
      </c>
      <c r="T280" s="297"/>
      <c r="U280" s="295">
        <f>U135+U145+U147+U148+U153+U155+U191+U204+U223+U277+0.5</f>
        <v>54855582.5</v>
      </c>
      <c r="V280" s="295">
        <f>U280-R280</f>
        <v>1011768</v>
      </c>
      <c r="W280" s="297"/>
      <c r="X280" s="295">
        <f>X135+X145+X147+X148+X153+X155+X191+X204+X223+X277+0.5</f>
        <v>55012172.5</v>
      </c>
      <c r="Y280" s="295">
        <f>X280-U280</f>
        <v>156590</v>
      </c>
      <c r="Z280" s="297"/>
      <c r="AA280" s="295">
        <f>AA135+AA145+AA147+AA148+AA153+AA155+AA191+AA204+AA223+AA277+0.5</f>
        <v>44552515.960000001</v>
      </c>
      <c r="AB280" s="298">
        <f t="shared" si="166"/>
        <v>0.80986650654452885</v>
      </c>
      <c r="AC280" s="299"/>
    </row>
    <row r="281" spans="2:29" s="46" customFormat="1" ht="42" customHeight="1" thickBot="1" x14ac:dyDescent="0.3">
      <c r="C281" s="206" t="s">
        <v>288</v>
      </c>
      <c r="D281" s="207" t="s">
        <v>781</v>
      </c>
      <c r="E281" s="60">
        <v>3601890.1379218102</v>
      </c>
      <c r="F281" s="60">
        <f>ROUND(E281,0)</f>
        <v>3601890</v>
      </c>
      <c r="G281" s="59">
        <f t="shared" si="165"/>
        <v>-0.13792181015014648</v>
      </c>
      <c r="H281" s="75"/>
      <c r="I281" s="59">
        <f>ROUND(F281,0)</f>
        <v>3601890</v>
      </c>
      <c r="J281" s="59">
        <f t="shared" si="167"/>
        <v>0</v>
      </c>
      <c r="K281" s="75"/>
      <c r="L281" s="59">
        <f>ROUND(I281,0)</f>
        <v>3601890</v>
      </c>
      <c r="M281" s="59">
        <f t="shared" si="168"/>
        <v>0</v>
      </c>
      <c r="N281" s="75"/>
      <c r="O281" s="59">
        <f>ROUND(L281,0)</f>
        <v>3601890</v>
      </c>
      <c r="P281" s="59">
        <f t="shared" si="169"/>
        <v>0</v>
      </c>
      <c r="Q281" s="75"/>
      <c r="R281" s="59">
        <f>ROUND(O281,0)</f>
        <v>3601890</v>
      </c>
      <c r="S281" s="59">
        <f t="shared" si="170"/>
        <v>0</v>
      </c>
      <c r="T281" s="75"/>
      <c r="U281" s="59">
        <f>ROUND(R281,0)+133641+37335</f>
        <v>3772866</v>
      </c>
      <c r="V281" s="59">
        <f t="shared" si="171"/>
        <v>170976</v>
      </c>
      <c r="W281" s="75" t="s">
        <v>782</v>
      </c>
      <c r="X281" s="59">
        <f>ROUND(U281,0)</f>
        <v>3772866</v>
      </c>
      <c r="Y281" s="59">
        <f t="shared" ref="Y281:Y283" si="181">X281-U281</f>
        <v>0</v>
      </c>
      <c r="Z281" s="75"/>
      <c r="AA281" s="59">
        <v>3772866</v>
      </c>
      <c r="AB281" s="62">
        <f t="shared" si="166"/>
        <v>1</v>
      </c>
      <c r="AC281" s="63"/>
    </row>
    <row r="282" spans="2:29" ht="14.4" thickBot="1" x14ac:dyDescent="0.3">
      <c r="C282" s="293"/>
      <c r="D282" s="294" t="s">
        <v>783</v>
      </c>
      <c r="E282" s="301">
        <v>58135422.946642049</v>
      </c>
      <c r="F282" s="301">
        <f>F280+F281</f>
        <v>58193778.5</v>
      </c>
      <c r="G282" s="300">
        <f t="shared" si="165"/>
        <v>58355.553357951343</v>
      </c>
      <c r="H282" s="302"/>
      <c r="I282" s="300">
        <f>I280+I281</f>
        <v>58670636.5</v>
      </c>
      <c r="J282" s="300">
        <f t="shared" si="167"/>
        <v>476858</v>
      </c>
      <c r="K282" s="302"/>
      <c r="L282" s="300">
        <f>L280+L281</f>
        <v>58828428.5</v>
      </c>
      <c r="M282" s="300">
        <f t="shared" si="168"/>
        <v>157792</v>
      </c>
      <c r="N282" s="302"/>
      <c r="O282" s="300">
        <f>O280+O281</f>
        <v>58946508.5</v>
      </c>
      <c r="P282" s="300">
        <f t="shared" si="169"/>
        <v>118080</v>
      </c>
      <c r="Q282" s="302"/>
      <c r="R282" s="300">
        <f>R280+R281</f>
        <v>57445704.5</v>
      </c>
      <c r="S282" s="300">
        <f t="shared" si="170"/>
        <v>-1500804</v>
      </c>
      <c r="T282" s="302"/>
      <c r="U282" s="300">
        <f>U280+U281</f>
        <v>58628448.5</v>
      </c>
      <c r="V282" s="300">
        <f t="shared" si="171"/>
        <v>1182744</v>
      </c>
      <c r="W282" s="302"/>
      <c r="X282" s="300">
        <f>X280+X281</f>
        <v>58785038.5</v>
      </c>
      <c r="Y282" s="300">
        <f t="shared" si="181"/>
        <v>156590</v>
      </c>
      <c r="Z282" s="302"/>
      <c r="AA282" s="300">
        <f>AA280+AA281</f>
        <v>48325381.960000001</v>
      </c>
      <c r="AB282" s="303">
        <f t="shared" si="166"/>
        <v>0.82206941073960516</v>
      </c>
      <c r="AC282" s="304"/>
    </row>
    <row r="283" spans="2:29" ht="15" thickTop="1" thickBot="1" x14ac:dyDescent="0.3">
      <c r="C283" s="305" t="s">
        <v>784</v>
      </c>
      <c r="D283" s="306" t="s">
        <v>785</v>
      </c>
      <c r="E283" s="308">
        <v>26873.285557955503</v>
      </c>
      <c r="F283" s="308">
        <f>F129-F282-0.2</f>
        <v>26873.3</v>
      </c>
      <c r="G283" s="307">
        <f t="shared" si="165"/>
        <v>1.4442044495808659E-2</v>
      </c>
      <c r="H283" s="309"/>
      <c r="I283" s="307">
        <f>I129-I282-0.2</f>
        <v>43996.3</v>
      </c>
      <c r="J283" s="307">
        <f t="shared" si="167"/>
        <v>17123.000000000004</v>
      </c>
      <c r="K283" s="309"/>
      <c r="L283" s="307">
        <f>L129-L282-0.2</f>
        <v>47155.3</v>
      </c>
      <c r="M283" s="307">
        <f t="shared" si="168"/>
        <v>3159</v>
      </c>
      <c r="N283" s="309"/>
      <c r="O283" s="307">
        <f>O129-O282-0.2</f>
        <v>47075.3</v>
      </c>
      <c r="P283" s="307">
        <f t="shared" si="169"/>
        <v>-80</v>
      </c>
      <c r="Q283" s="309"/>
      <c r="R283" s="307">
        <f>R129-R282-0.2</f>
        <v>44090.3</v>
      </c>
      <c r="S283" s="307">
        <f t="shared" si="170"/>
        <v>-2985</v>
      </c>
      <c r="T283" s="309"/>
      <c r="U283" s="307">
        <f>U129-U282-0.2</f>
        <v>50568.129999998215</v>
      </c>
      <c r="V283" s="307">
        <f t="shared" si="171"/>
        <v>6477.8299999982119</v>
      </c>
      <c r="W283" s="309"/>
      <c r="X283" s="307">
        <f>X129-X282-0.2</f>
        <v>780757.12999999826</v>
      </c>
      <c r="Y283" s="307">
        <f t="shared" si="181"/>
        <v>730189</v>
      </c>
      <c r="Z283" s="309"/>
      <c r="AA283" s="307">
        <f>AA129-AA282-0.2</f>
        <v>9754859.1400000043</v>
      </c>
      <c r="AB283" s="310">
        <f t="shared" si="166"/>
        <v>12.494101898243345</v>
      </c>
      <c r="AC283" s="311"/>
    </row>
  </sheetData>
  <mergeCells count="13">
    <mergeCell ref="C132:D132"/>
    <mergeCell ref="C133:D133"/>
    <mergeCell ref="AA161:AA162"/>
    <mergeCell ref="AB161:AB162"/>
    <mergeCell ref="K168:K169"/>
    <mergeCell ref="C2:D2"/>
    <mergeCell ref="C3:D3"/>
    <mergeCell ref="AA54:AA55"/>
    <mergeCell ref="AB54:AB55"/>
    <mergeCell ref="T57:T58"/>
    <mergeCell ref="W57:W58"/>
    <mergeCell ref="AA57:AA58"/>
    <mergeCell ref="AB57:AB58"/>
  </mergeCells>
  <conditionalFormatting sqref="E283:G283">
    <cfRule type="cellIs" dxfId="7" priority="8" operator="lessThan">
      <formula>0</formula>
    </cfRule>
  </conditionalFormatting>
  <conditionalFormatting sqref="I283:J283">
    <cfRule type="cellIs" dxfId="6" priority="6" operator="lessThan">
      <formula>0</formula>
    </cfRule>
  </conditionalFormatting>
  <conditionalFormatting sqref="L283:M283">
    <cfRule type="cellIs" dxfId="5" priority="5" operator="lessThan">
      <formula>0</formula>
    </cfRule>
  </conditionalFormatting>
  <conditionalFormatting sqref="O283:P283">
    <cfRule type="cellIs" dxfId="4" priority="4" operator="lessThan">
      <formula>0</formula>
    </cfRule>
  </conditionalFormatting>
  <conditionalFormatting sqref="R283:S283">
    <cfRule type="cellIs" dxfId="3" priority="3" operator="lessThan">
      <formula>0</formula>
    </cfRule>
  </conditionalFormatting>
  <conditionalFormatting sqref="U283:V283">
    <cfRule type="cellIs" dxfId="2" priority="2" operator="lessThan">
      <formula>0</formula>
    </cfRule>
  </conditionalFormatting>
  <conditionalFormatting sqref="X283:Y283">
    <cfRule type="cellIs" dxfId="1" priority="1" operator="lessThan">
      <formula>0</formula>
    </cfRule>
  </conditionalFormatting>
  <conditionalFormatting sqref="AA283:AC283">
    <cfRule type="cellIs" dxfId="0" priority="7" operator="lessThan">
      <formula>0</formula>
    </cfRule>
  </conditionalFormatting>
  <pageMargins left="0.47244094488188981" right="0.47244094488188981" top="0.47244094488188981" bottom="0.47244094488188981" header="0.27559055118110237" footer="0.27559055118110237"/>
  <pageSetup paperSize="9" scale="85"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2023.gada budzeta plans_apvieno</vt:lpstr>
      <vt:lpstr>'2023.gada budzeta plans_apvieno'!Print_Area</vt:lpstr>
      <vt:lpstr>'2023.gada budzeta plans_apvieno'!Print_Titles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Sarmīte Mūze</cp:lastModifiedBy>
  <dcterms:created xsi:type="dcterms:W3CDTF">2024-01-12T20:14:14Z</dcterms:created>
  <dcterms:modified xsi:type="dcterms:W3CDTF">2024-01-12T21:55:03Z</dcterms:modified>
</cp:coreProperties>
</file>