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1_JANVĀRIS\25.01.2024\Dokumentu PROJEKTI\"/>
    </mc:Choice>
  </mc:AlternateContent>
  <xr:revisionPtr revIDLastSave="0" documentId="8_{E5B9AE17-CDFB-4FA7-9624-D0DC7FDA3FC7}" xr6:coauthVersionLast="47" xr6:coauthVersionMax="47" xr10:uidLastSave="{00000000-0000-0000-0000-000000000000}"/>
  <bookViews>
    <workbookView xWindow="-120" yWindow="-120" windowWidth="29040" windowHeight="15720" xr2:uid="{4D707C49-6B86-456E-993F-452B614E7811}"/>
  </bookViews>
  <sheets>
    <sheet name="2024.gada budzeta plans_apvieno" sheetId="1" r:id="rId1"/>
  </sheets>
  <definedNames>
    <definedName name="_0812">#REF!</definedName>
    <definedName name="_xlnm._FilterDatabase" localSheetId="0" hidden="1">'2024.gada budzeta plans_apvieno'!#REF!</definedName>
    <definedName name="Apmaksa" localSheetId="0">#REF!</definedName>
    <definedName name="Apmaksa">#REF!</definedName>
    <definedName name="Darijums" localSheetId="0">#REF!</definedName>
    <definedName name="Darijums">#REF!</definedName>
    <definedName name="Excel_BuiltIn__FilterDatabase" localSheetId="0">#REF!</definedName>
    <definedName name="Excel_BuiltIn__FilterDatabase">#REF!</definedName>
    <definedName name="Firmas" localSheetId="0">#REF!</definedName>
    <definedName name="Firmas">#REF!</definedName>
    <definedName name="Kolonnas_virsraksta_reģions1..B11.1">#REF!</definedName>
    <definedName name="Kolonnas_virsraksta_reģions1..D4">#REF!</definedName>
    <definedName name="Kolonnas_virsraksta_reģions2..D7">#REF!</definedName>
    <definedName name="Kolonnas_virsraksta_reģions3..C12">#REF!</definedName>
    <definedName name="KolonnasNosaukums1">#REF!</definedName>
    <definedName name="Parvadataji" localSheetId="0">#REF!</definedName>
    <definedName name="Parvadataji">#REF!</definedName>
    <definedName name="_xlnm.Print_Area" localSheetId="0">'2024.gada budzeta plans_apvieno'!$A$1:$H$291</definedName>
    <definedName name="_xlnm.Print_Titles" localSheetId="0">'2024.gada budzeta plans_apvieno'!$5:$5</definedName>
    <definedName name="Saist_apmers_ar_galvojumu">#REF!</definedName>
    <definedName name="Z_1893421C_DBAA_4C10_AA6C_4D0F39122205_.wvu.FilterData" localSheetId="0">#REF!</definedName>
    <definedName name="Z_1893421C_DBAA_4C10_AA6C_4D0F39122205_.wvu.FilterData">#REF!</definedName>
    <definedName name="Z_483F8D4B_D649_4D59_A67B_5E8B6C0D2E28_.wvu.FilterData" localSheetId="0">#REF!</definedName>
    <definedName name="Z_483F8D4B_D649_4D59_A67B_5E8B6C0D2E28_.wvu.FilterData">#REF!</definedName>
    <definedName name="Z_56A06D27_97E5_4D01_ADCE_F8E0A2A870EF_.wvu.FilterData" localSheetId="0">#REF!</definedName>
    <definedName name="Z_56A06D27_97E5_4D01_ADCE_F8E0A2A870EF_.wvu.FilterData">#REF!</definedName>
    <definedName name="Z_81EB1DB6_89AB_4045_90FA_EF2BA7E792F9_.wvu.FilterData" localSheetId="0">#REF!</definedName>
    <definedName name="Z_81EB1DB6_89AB_4045_90FA_EF2BA7E792F9_.wvu.FilterData">#REF!</definedName>
    <definedName name="Z_81EB1DB6_89AB_4045_90FA_EF2BA7E792F9_.wvu.PrintArea" localSheetId="0">#REF!</definedName>
    <definedName name="Z_81EB1DB6_89AB_4045_90FA_EF2BA7E792F9_.wvu.PrintArea">#REF!</definedName>
    <definedName name="Z_8545B4E6_A517_4BD7_BFB7_42FEB5F229AD_.wvu.FilterData" localSheetId="0">#REF!</definedName>
    <definedName name="Z_8545B4E6_A517_4BD7_BFB7_42FEB5F229AD_.wvu.FilterData">#REF!</definedName>
    <definedName name="Z_877A1030_2452_46B0_88DF_8A068656C08E_.wvu.FilterData" localSheetId="0">#REF!</definedName>
    <definedName name="Z_877A1030_2452_46B0_88DF_8A068656C08E_.wvu.FilterData">#REF!</definedName>
    <definedName name="Z_ABD8A783_3A6C_4629_9559_1E4E89E80131_.wvu.FilterData" localSheetId="0">#REF!</definedName>
    <definedName name="Z_ABD8A783_3A6C_4629_9559_1E4E89E80131_.wvu.FilterData">#REF!</definedName>
    <definedName name="Z_AF277C95_CBD9_4696_AC72_D010599E9831_.wvu.FilterData" localSheetId="0">#REF!</definedName>
    <definedName name="Z_AF277C95_CBD9_4696_AC72_D010599E9831_.wvu.FilterData">#REF!</definedName>
    <definedName name="Z_B7CBCF06_FF41_423A_9AB3_E1D1F70C6FC5_.wvu.FilterData" localSheetId="0">#REF!</definedName>
    <definedName name="Z_B7CBCF06_FF41_423A_9AB3_E1D1F70C6FC5_.wvu.FilterData">#REF!</definedName>
    <definedName name="Z_C5511FB8_86C5_41F3_ADCD_B10310F066F5_.wvu.FilterData" localSheetId="0">#REF!</definedName>
    <definedName name="Z_C5511FB8_86C5_41F3_ADCD_B10310F066F5_.wvu.FilterData">#REF!</definedName>
    <definedName name="Z_DB8ECBD1_2D44_4F97_BCC9_F610BA0A3109_.wvu.FilterData" localSheetId="0">#REF!</definedName>
    <definedName name="Z_DB8ECBD1_2D44_4F97_BCC9_F610BA0A3109_.wvu.FilterData">#REF!</definedName>
    <definedName name="Z_DEE3A27E_689A_4E9F_A3EB_C84F1E3B413E_.wvu.FilterData" localSheetId="0">#REF!</definedName>
    <definedName name="Z_DEE3A27E_689A_4E9F_A3EB_C84F1E3B413E_.wvu.FilterData">#REF!</definedName>
    <definedName name="Z_F1F489B9_0F61_4F1F_A151_75EF77465344_.wvu.Cols" localSheetId="0">#REF!</definedName>
    <definedName name="Z_F1F489B9_0F61_4F1F_A151_75EF77465344_.wvu.Cols">#REF!</definedName>
    <definedName name="Z_F1F489B9_0F61_4F1F_A151_75EF77465344_.wvu.FilterData" localSheetId="0">#REF!</definedName>
    <definedName name="Z_F1F489B9_0F61_4F1F_A151_75EF77465344_.wvu.FilterData">#REF!</definedName>
    <definedName name="Z_F1F489B9_0F61_4F1F_A151_75EF77465344_.wvu.PrintArea" localSheetId="0">#REF!</definedName>
    <definedName name="Z_F1F489B9_0F61_4F1F_A151_75EF77465344_.wvu.PrintArea">#REF!</definedName>
    <definedName name="Z_F1F489B9_0F61_4F1F_A151_75EF77465344_.wvu.PrintTitles" localSheetId="0">#REF!</definedName>
    <definedName name="Z_F1F489B9_0F61_4F1F_A151_75EF77465344_.wvu.PrintTit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9" i="1" l="1"/>
  <c r="G287" i="1"/>
  <c r="G286" i="1"/>
  <c r="F285" i="1"/>
  <c r="G285" i="1" s="1"/>
  <c r="F284" i="1"/>
  <c r="F283" i="1"/>
  <c r="F281" i="1"/>
  <c r="G281" i="1" s="1"/>
  <c r="F280" i="1"/>
  <c r="F279" i="1"/>
  <c r="F278" i="1"/>
  <c r="F277" i="1"/>
  <c r="G277" i="1" s="1"/>
  <c r="F276" i="1"/>
  <c r="G276" i="1" s="1"/>
  <c r="F275" i="1"/>
  <c r="F274" i="1"/>
  <c r="F272" i="1"/>
  <c r="G272" i="1" s="1"/>
  <c r="F271" i="1"/>
  <c r="G269" i="1"/>
  <c r="F268" i="1"/>
  <c r="F267" i="1"/>
  <c r="F265" i="1"/>
  <c r="G265" i="1" s="1"/>
  <c r="G264" i="1"/>
  <c r="F263" i="1"/>
  <c r="F262" i="1"/>
  <c r="G262" i="1" s="1"/>
  <c r="F261" i="1"/>
  <c r="F260" i="1"/>
  <c r="F259" i="1"/>
  <c r="G259" i="1" s="1"/>
  <c r="G258" i="1"/>
  <c r="F257" i="1"/>
  <c r="F256" i="1"/>
  <c r="G256" i="1" s="1"/>
  <c r="F254" i="1"/>
  <c r="F253" i="1"/>
  <c r="F252" i="1"/>
  <c r="G252" i="1" s="1"/>
  <c r="F251" i="1"/>
  <c r="F250" i="1"/>
  <c r="F249" i="1"/>
  <c r="G249" i="1" s="1"/>
  <c r="F248" i="1"/>
  <c r="F247" i="1"/>
  <c r="F245" i="1"/>
  <c r="F244" i="1"/>
  <c r="F243" i="1"/>
  <c r="F241" i="1"/>
  <c r="F240" i="1"/>
  <c r="F239" i="1"/>
  <c r="G239" i="1" s="1"/>
  <c r="F237" i="1"/>
  <c r="F236" i="1"/>
  <c r="G236" i="1" s="1"/>
  <c r="F235" i="1"/>
  <c r="G235" i="1" s="1"/>
  <c r="G233" i="1"/>
  <c r="F232" i="1"/>
  <c r="F231" i="1"/>
  <c r="G229" i="1"/>
  <c r="F228" i="1"/>
  <c r="G228" i="1" s="1"/>
  <c r="F227" i="1"/>
  <c r="F225" i="1"/>
  <c r="G225" i="1" s="1"/>
  <c r="F223" i="1"/>
  <c r="G223" i="1" s="1"/>
  <c r="F222" i="1"/>
  <c r="F221" i="1"/>
  <c r="F220" i="1"/>
  <c r="F219" i="1"/>
  <c r="F218" i="1"/>
  <c r="F217" i="1"/>
  <c r="F216" i="1"/>
  <c r="F214" i="1"/>
  <c r="F213" i="1"/>
  <c r="G213" i="1" s="1"/>
  <c r="F211" i="1"/>
  <c r="G211" i="1" s="1"/>
  <c r="F210" i="1"/>
  <c r="F209" i="1"/>
  <c r="G209" i="1" s="1"/>
  <c r="F208" i="1"/>
  <c r="F207" i="1"/>
  <c r="G207" i="1" s="1"/>
  <c r="F204" i="1"/>
  <c r="G204" i="1" s="1"/>
  <c r="F203" i="1"/>
  <c r="G202" i="1"/>
  <c r="F201" i="1"/>
  <c r="F199" i="1"/>
  <c r="F198" i="1"/>
  <c r="F197" i="1"/>
  <c r="F196" i="1"/>
  <c r="F195" i="1"/>
  <c r="F194" i="1"/>
  <c r="F193" i="1"/>
  <c r="F192" i="1"/>
  <c r="G192" i="1" s="1"/>
  <c r="F189" i="1"/>
  <c r="G189" i="1" s="1"/>
  <c r="F188" i="1"/>
  <c r="G188" i="1" s="1"/>
  <c r="F187" i="1"/>
  <c r="G187" i="1" s="1"/>
  <c r="F186" i="1"/>
  <c r="F185" i="1"/>
  <c r="F184" i="1"/>
  <c r="F183" i="1"/>
  <c r="F182" i="1"/>
  <c r="F181" i="1"/>
  <c r="G181" i="1" s="1"/>
  <c r="F180" i="1"/>
  <c r="F179" i="1"/>
  <c r="F178" i="1"/>
  <c r="F176" i="1"/>
  <c r="G176" i="1" s="1"/>
  <c r="F175" i="1"/>
  <c r="G175" i="1" s="1"/>
  <c r="F174" i="1"/>
  <c r="G174" i="1" s="1"/>
  <c r="F173" i="1"/>
  <c r="F171" i="1"/>
  <c r="F170" i="1"/>
  <c r="G170" i="1" s="1"/>
  <c r="F169" i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F159" i="1"/>
  <c r="F158" i="1"/>
  <c r="F157" i="1"/>
  <c r="F156" i="1"/>
  <c r="G156" i="1" s="1"/>
  <c r="F155" i="1"/>
  <c r="F153" i="1"/>
  <c r="F152" i="1"/>
  <c r="G152" i="1" s="1"/>
  <c r="F151" i="1"/>
  <c r="F149" i="1"/>
  <c r="F147" i="1"/>
  <c r="F146" i="1"/>
  <c r="F145" i="1"/>
  <c r="F144" i="1"/>
  <c r="F142" i="1"/>
  <c r="F141" i="1"/>
  <c r="F140" i="1"/>
  <c r="F139" i="1"/>
  <c r="F138" i="1"/>
  <c r="G138" i="1" s="1"/>
  <c r="F137" i="1"/>
  <c r="F136" i="1"/>
  <c r="F135" i="1"/>
  <c r="F134" i="1"/>
  <c r="F133" i="1"/>
  <c r="F132" i="1"/>
  <c r="G132" i="1" s="1"/>
  <c r="F131" i="1"/>
  <c r="G131" i="1" s="1"/>
  <c r="F123" i="1"/>
  <c r="G123" i="1" s="1"/>
  <c r="F122" i="1"/>
  <c r="F121" i="1"/>
  <c r="F120" i="1"/>
  <c r="F119" i="1"/>
  <c r="F118" i="1"/>
  <c r="G118" i="1" s="1"/>
  <c r="F117" i="1"/>
  <c r="G117" i="1" s="1"/>
  <c r="F116" i="1"/>
  <c r="F115" i="1"/>
  <c r="F114" i="1"/>
  <c r="F113" i="1"/>
  <c r="F112" i="1"/>
  <c r="G112" i="1" s="1"/>
  <c r="F109" i="1"/>
  <c r="F106" i="1"/>
  <c r="F105" i="1"/>
  <c r="F104" i="1"/>
  <c r="F103" i="1"/>
  <c r="G103" i="1" s="1"/>
  <c r="F101" i="1"/>
  <c r="F100" i="1"/>
  <c r="F99" i="1"/>
  <c r="F97" i="1"/>
  <c r="F95" i="1" s="1"/>
  <c r="G95" i="1" s="1"/>
  <c r="G96" i="1"/>
  <c r="F94" i="1"/>
  <c r="G94" i="1" s="1"/>
  <c r="F93" i="1"/>
  <c r="F92" i="1" s="1"/>
  <c r="G92" i="1" s="1"/>
  <c r="F90" i="1"/>
  <c r="F89" i="1"/>
  <c r="F87" i="1"/>
  <c r="F86" i="1"/>
  <c r="F85" i="1"/>
  <c r="G85" i="1" s="1"/>
  <c r="F84" i="1"/>
  <c r="F83" i="1"/>
  <c r="F82" i="1"/>
  <c r="F81" i="1"/>
  <c r="G81" i="1" s="1"/>
  <c r="F80" i="1"/>
  <c r="F79" i="1"/>
  <c r="F78" i="1"/>
  <c r="F77" i="1"/>
  <c r="F76" i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F68" i="1"/>
  <c r="F67" i="1"/>
  <c r="G67" i="1" s="1"/>
  <c r="F65" i="1"/>
  <c r="F64" i="1"/>
  <c r="F63" i="1"/>
  <c r="F62" i="1"/>
  <c r="F61" i="1"/>
  <c r="F60" i="1"/>
  <c r="G59" i="1"/>
  <c r="F58" i="1"/>
  <c r="F57" i="1"/>
  <c r="F56" i="1"/>
  <c r="G56" i="1" s="1"/>
  <c r="F55" i="1"/>
  <c r="F54" i="1"/>
  <c r="G54" i="1" s="1"/>
  <c r="F53" i="1"/>
  <c r="F52" i="1"/>
  <c r="F51" i="1"/>
  <c r="G49" i="1"/>
  <c r="G48" i="1"/>
  <c r="F47" i="1"/>
  <c r="G47" i="1" s="1"/>
  <c r="F46" i="1"/>
  <c r="F45" i="1"/>
  <c r="F44" i="1"/>
  <c r="F41" i="1"/>
  <c r="F40" i="1"/>
  <c r="F39" i="1"/>
  <c r="F38" i="1"/>
  <c r="F36" i="1"/>
  <c r="G36" i="1" s="1"/>
  <c r="F35" i="1"/>
  <c r="F33" i="1"/>
  <c r="F32" i="1"/>
  <c r="G32" i="1" s="1"/>
  <c r="F31" i="1"/>
  <c r="G31" i="1" s="1"/>
  <c r="F30" i="1"/>
  <c r="G30" i="1" s="1"/>
  <c r="F29" i="1"/>
  <c r="F28" i="1"/>
  <c r="G28" i="1" s="1"/>
  <c r="F26" i="1"/>
  <c r="F25" i="1"/>
  <c r="F24" i="1"/>
  <c r="F21" i="1"/>
  <c r="G21" i="1" s="1"/>
  <c r="F20" i="1"/>
  <c r="F18" i="1"/>
  <c r="F17" i="1"/>
  <c r="F15" i="1"/>
  <c r="F14" i="1"/>
  <c r="F12" i="1"/>
  <c r="G12" i="1" s="1"/>
  <c r="F11" i="1"/>
  <c r="F8" i="1"/>
  <c r="G8" i="1" s="1"/>
  <c r="F206" i="1" l="1"/>
  <c r="F143" i="1"/>
  <c r="G143" i="1" s="1"/>
  <c r="G51" i="1"/>
  <c r="F102" i="1"/>
  <c r="G102" i="1" s="1"/>
  <c r="G137" i="1"/>
  <c r="G178" i="1"/>
  <c r="G183" i="1"/>
  <c r="G198" i="1"/>
  <c r="G257" i="1"/>
  <c r="G263" i="1"/>
  <c r="G271" i="1"/>
  <c r="G39" i="1"/>
  <c r="G52" i="1"/>
  <c r="F88" i="1"/>
  <c r="G88" i="1" s="1"/>
  <c r="G244" i="1"/>
  <c r="G280" i="1"/>
  <c r="G147" i="1"/>
  <c r="G90" i="1"/>
  <c r="G121" i="1"/>
  <c r="G185" i="1"/>
  <c r="G41" i="1"/>
  <c r="G169" i="1"/>
  <c r="G237" i="1"/>
  <c r="G25" i="1"/>
  <c r="G186" i="1"/>
  <c r="G245" i="1"/>
  <c r="G93" i="1"/>
  <c r="G122" i="1"/>
  <c r="G173" i="1"/>
  <c r="G260" i="1"/>
  <c r="G17" i="1"/>
  <c r="G57" i="1"/>
  <c r="F270" i="1"/>
  <c r="G270" i="1" s="1"/>
  <c r="G65" i="1"/>
  <c r="G84" i="1"/>
  <c r="G135" i="1"/>
  <c r="G184" i="1"/>
  <c r="G203" i="1"/>
  <c r="F212" i="1"/>
  <c r="G212" i="1" s="1"/>
  <c r="G221" i="1"/>
  <c r="G247" i="1"/>
  <c r="G253" i="1"/>
  <c r="F7" i="1"/>
  <c r="G7" i="1" s="1"/>
  <c r="G26" i="1"/>
  <c r="G63" i="1"/>
  <c r="G104" i="1"/>
  <c r="G106" i="1"/>
  <c r="G182" i="1"/>
  <c r="G195" i="1"/>
  <c r="G208" i="1"/>
  <c r="G227" i="1"/>
  <c r="G241" i="1"/>
  <c r="G251" i="1"/>
  <c r="G278" i="1"/>
  <c r="G79" i="1"/>
  <c r="G89" i="1"/>
  <c r="G136" i="1"/>
  <c r="G141" i="1"/>
  <c r="G217" i="1"/>
  <c r="G219" i="1"/>
  <c r="G284" i="1"/>
  <c r="G29" i="1"/>
  <c r="G116" i="1"/>
  <c r="F215" i="1"/>
  <c r="F238" i="1"/>
  <c r="G238" i="1" s="1"/>
  <c r="G11" i="1"/>
  <c r="G82" i="1"/>
  <c r="G261" i="1"/>
  <c r="G40" i="1"/>
  <c r="G80" i="1"/>
  <c r="G155" i="1"/>
  <c r="G201" i="1"/>
  <c r="G220" i="1"/>
  <c r="F230" i="1"/>
  <c r="G230" i="1" s="1"/>
  <c r="G248" i="1"/>
  <c r="G279" i="1"/>
  <c r="G61" i="1"/>
  <c r="G64" i="1"/>
  <c r="G101" i="1"/>
  <c r="G105" i="1"/>
  <c r="G14" i="1"/>
  <c r="G77" i="1"/>
  <c r="G86" i="1"/>
  <c r="F226" i="1"/>
  <c r="G226" i="1" s="1"/>
  <c r="G289" i="1"/>
  <c r="G45" i="1"/>
  <c r="G179" i="1"/>
  <c r="G196" i="1"/>
  <c r="G199" i="1"/>
  <c r="G216" i="1"/>
  <c r="G218" i="1"/>
  <c r="G232" i="1"/>
  <c r="G254" i="1"/>
  <c r="G268" i="1"/>
  <c r="F19" i="1"/>
  <c r="G19" i="1" s="1"/>
  <c r="G240" i="1"/>
  <c r="G15" i="1"/>
  <c r="F13" i="1"/>
  <c r="G13" i="1" s="1"/>
  <c r="G76" i="1"/>
  <c r="F110" i="1"/>
  <c r="F108" i="1" s="1"/>
  <c r="G108" i="1" s="1"/>
  <c r="G109" i="1"/>
  <c r="G139" i="1"/>
  <c r="G60" i="1"/>
  <c r="G62" i="1"/>
  <c r="G157" i="1"/>
  <c r="F154" i="1"/>
  <c r="G35" i="1"/>
  <c r="F34" i="1"/>
  <c r="G34" i="1" s="1"/>
  <c r="F50" i="1"/>
  <c r="G53" i="1"/>
  <c r="G78" i="1"/>
  <c r="G38" i="1"/>
  <c r="F37" i="1"/>
  <c r="G37" i="1" s="1"/>
  <c r="G44" i="1"/>
  <c r="F16" i="1"/>
  <c r="G16" i="1" s="1"/>
  <c r="G69" i="1"/>
  <c r="G20" i="1"/>
  <c r="G33" i="1"/>
  <c r="G142" i="1"/>
  <c r="G46" i="1"/>
  <c r="F246" i="1"/>
  <c r="G246" i="1" s="1"/>
  <c r="G250" i="1"/>
  <c r="G99" i="1"/>
  <c r="F98" i="1"/>
  <c r="G83" i="1"/>
  <c r="G24" i="1"/>
  <c r="F23" i="1"/>
  <c r="G18" i="1"/>
  <c r="G140" i="1"/>
  <c r="F10" i="1"/>
  <c r="G55" i="1"/>
  <c r="G100" i="1"/>
  <c r="G113" i="1"/>
  <c r="G58" i="1"/>
  <c r="G68" i="1"/>
  <c r="G87" i="1"/>
  <c r="G97" i="1"/>
  <c r="G115" i="1"/>
  <c r="G146" i="1"/>
  <c r="G159" i="1"/>
  <c r="F66" i="1"/>
  <c r="G66" i="1" s="1"/>
  <c r="G120" i="1"/>
  <c r="G180" i="1"/>
  <c r="F177" i="1"/>
  <c r="G134" i="1"/>
  <c r="G114" i="1"/>
  <c r="G145" i="1"/>
  <c r="G158" i="1"/>
  <c r="G149" i="1"/>
  <c r="F27" i="1"/>
  <c r="G27" i="1" s="1"/>
  <c r="F148" i="1"/>
  <c r="G148" i="1" s="1"/>
  <c r="G160" i="1"/>
  <c r="G119" i="1"/>
  <c r="F130" i="1"/>
  <c r="G133" i="1"/>
  <c r="G151" i="1"/>
  <c r="G153" i="1"/>
  <c r="G171" i="1"/>
  <c r="F191" i="1"/>
  <c r="G283" i="1"/>
  <c r="F282" i="1"/>
  <c r="G282" i="1" s="1"/>
  <c r="G193" i="1"/>
  <c r="G231" i="1"/>
  <c r="G194" i="1"/>
  <c r="G274" i="1"/>
  <c r="F273" i="1"/>
  <c r="G273" i="1" s="1"/>
  <c r="F111" i="1"/>
  <c r="G111" i="1" s="1"/>
  <c r="F234" i="1"/>
  <c r="G234" i="1" s="1"/>
  <c r="G197" i="1"/>
  <c r="F200" i="1"/>
  <c r="G200" i="1" s="1"/>
  <c r="G210" i="1"/>
  <c r="G222" i="1"/>
  <c r="G214" i="1"/>
  <c r="G243" i="1"/>
  <c r="F242" i="1"/>
  <c r="G242" i="1" s="1"/>
  <c r="G267" i="1"/>
  <c r="G275" i="1"/>
  <c r="F266" i="1"/>
  <c r="G191" i="1" l="1"/>
  <c r="G190" i="1" s="1"/>
  <c r="G206" i="1"/>
  <c r="F190" i="1"/>
  <c r="G215" i="1"/>
  <c r="G154" i="1"/>
  <c r="F205" i="1"/>
  <c r="G144" i="1"/>
  <c r="F6" i="1"/>
  <c r="G6" i="1" s="1"/>
  <c r="G10" i="1"/>
  <c r="F9" i="1"/>
  <c r="G9" i="1" s="1"/>
  <c r="G110" i="1"/>
  <c r="G177" i="1"/>
  <c r="F172" i="1"/>
  <c r="G172" i="1" s="1"/>
  <c r="F255" i="1"/>
  <c r="G255" i="1" s="1"/>
  <c r="G266" i="1"/>
  <c r="F43" i="1"/>
  <c r="G50" i="1"/>
  <c r="G98" i="1"/>
  <c r="F91" i="1"/>
  <c r="G91" i="1" s="1"/>
  <c r="G130" i="1"/>
  <c r="F224" i="1"/>
  <c r="G224" i="1" s="1"/>
  <c r="G23" i="1"/>
  <c r="F22" i="1"/>
  <c r="G22" i="1" s="1"/>
  <c r="G150" i="1" l="1"/>
  <c r="G205" i="1"/>
  <c r="F150" i="1"/>
  <c r="F288" i="1" s="1"/>
  <c r="F42" i="1"/>
  <c r="G43" i="1"/>
  <c r="G288" i="1" l="1"/>
  <c r="F290" i="1"/>
  <c r="G290" i="1" s="1"/>
  <c r="G42" i="1"/>
  <c r="F107" i="1"/>
  <c r="F124" i="1" l="1"/>
  <c r="G107" i="1"/>
  <c r="F291" i="1" l="1"/>
  <c r="G291" i="1" s="1"/>
  <c r="G1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E280" authorId="0" shapeId="0" xr:uid="{1FEC8D2C-EF0C-4F33-B543-812775F077BC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F280" authorId="0" shapeId="0" xr:uid="{E6C2A649-3613-49EF-AF47-BB4AD655BCAE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sharedStrings.xml><?xml version="1.0" encoding="utf-8"?>
<sst xmlns="http://schemas.openxmlformats.org/spreadsheetml/2006/main" count="806" uniqueCount="655">
  <si>
    <t>Ādažu pašvaldības apvienotais budžets</t>
  </si>
  <si>
    <t>KA</t>
  </si>
  <si>
    <t>2024. gads</t>
  </si>
  <si>
    <t xml:space="preserve">Ieņēmumu daļa </t>
  </si>
  <si>
    <t xml:space="preserve">N.p.k. </t>
  </si>
  <si>
    <t>Sadaļa</t>
  </si>
  <si>
    <t>CKS</t>
  </si>
  <si>
    <t>2024. gada budžets</t>
  </si>
  <si>
    <t>25.01.2024. grozījumi</t>
  </si>
  <si>
    <t>Izmaiņa 25.01.2024. - 28.12.2023.</t>
  </si>
  <si>
    <t xml:space="preserve">Komentāri 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</si>
  <si>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</si>
  <si>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</si>
  <si>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</si>
  <si>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</si>
  <si>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</si>
  <si>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</si>
  <si>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</si>
  <si>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</si>
  <si>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</si>
  <si>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</si>
  <si>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</si>
  <si>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</si>
  <si>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</si>
  <si>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</si>
  <si>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</si>
  <si>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</si>
  <si>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</si>
  <si>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</si>
  <si>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</si>
  <si>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</si>
  <si>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</si>
  <si>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</si>
  <si>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</si>
  <si>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</si>
  <si>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</si>
  <si>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</si>
  <si>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</si>
  <si>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</si>
  <si>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</si>
  <si>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</si>
  <si>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</si>
  <si>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</si>
  <si>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</si>
  <si>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</si>
  <si>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</si>
  <si>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</si>
  <si>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</si>
  <si>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</si>
  <si>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</si>
  <si>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</si>
  <si>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</si>
  <si>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</si>
  <si>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</si>
  <si>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</si>
  <si>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</si>
  <si>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</si>
  <si>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</si>
  <si>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</si>
  <si>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</si>
  <si>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</si>
  <si>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</si>
  <si>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</si>
  <si>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</si>
  <si>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</si>
  <si>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</si>
  <si>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</si>
  <si>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</si>
  <si>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</si>
  <si>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</si>
  <si>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</si>
  <si>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</si>
  <si>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</si>
  <si>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</si>
  <si>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</si>
  <si>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</si>
  <si>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</si>
  <si>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</si>
  <si>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</si>
  <si>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09.5.1.7.</t>
  </si>
  <si>
    <t>6.2.4.</t>
  </si>
  <si>
    <t>t.sk.: - nodeva par reklāmas, afišu un sludinājumu izvietošanu publiskās vietās</t>
  </si>
  <si>
    <t>09.5.2.1.</t>
  </si>
  <si>
    <t>6.2.5.</t>
  </si>
  <si>
    <t>t.sk.: - nodeva par būvatļaujas saņemšanu</t>
  </si>
  <si>
    <t>09.5.2.9.</t>
  </si>
  <si>
    <t>6.2.6.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</si>
  <si>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</si>
  <si>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</si>
  <si>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</si>
  <si>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</si>
  <si>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</si>
  <si>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</si>
  <si>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</si>
  <si>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</si>
  <si>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</si>
  <si>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</si>
  <si>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</si>
  <si>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</si>
  <si>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</si>
  <si>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</si>
  <si>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</si>
  <si>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</si>
  <si>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</si>
  <si>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</si>
  <si>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</si>
  <si>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</si>
  <si>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</si>
  <si>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</si>
  <si>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</si>
  <si>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</si>
  <si>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</si>
  <si>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</si>
  <si>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</si>
  <si>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</si>
  <si>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</si>
  <si>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</si>
  <si>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</si>
  <si>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Precizēta MD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</si>
  <si>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</si>
  <si>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</si>
  <si>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</si>
  <si>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</si>
  <si>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</si>
  <si>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</si>
  <si>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</si>
  <si>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</si>
  <si>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</si>
  <si>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</si>
  <si>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</si>
  <si>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</si>
  <si>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</si>
  <si>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</si>
  <si>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</si>
  <si>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</si>
  <si>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</si>
  <si>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</si>
  <si>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</si>
  <si>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</si>
  <si>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</si>
  <si>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</si>
  <si>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</si>
  <si>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</si>
  <si>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</si>
  <si>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</si>
  <si>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</si>
  <si>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</si>
  <si>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</si>
  <si>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</si>
  <si>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</si>
  <si>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</si>
  <si>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</si>
  <si>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</si>
  <si>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</si>
  <si>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</si>
  <si>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</si>
  <si>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Vecštāles ceļa rekonstrukcijai</t>
  </si>
  <si>
    <t>0420 (18.6.2.9.)</t>
  </si>
  <si>
    <t>10.1.11.</t>
  </si>
  <si>
    <t>valsts dotācija ceļu uzturēšanai</t>
  </si>
  <si>
    <t>Precizēta dotācija +59'292, papildus dotācija par pārņemtajiem ceļiem EUR 1'248</t>
  </si>
  <si>
    <t>Valsts finansējums projektu konkursā "Atbalsts jaunatnes politikas īstenošanai vietējā līmenī" Projekts "Mobilais darbs ar jaunatni Ādažu novadā"</t>
  </si>
  <si>
    <t>10.1.12.</t>
  </si>
  <si>
    <t>Dotācijas Ukrainas pilsoņu atbalstam</t>
  </si>
  <si>
    <t>10.1.13.</t>
  </si>
  <si>
    <t>Dotācijas "Energoresursu atbalsts"</t>
  </si>
  <si>
    <t>18.6.2.6.1.</t>
  </si>
  <si>
    <t>10.1.14.</t>
  </si>
  <si>
    <t>Dotācija nodarbinātības pasākumiem</t>
  </si>
  <si>
    <t>0630</t>
  </si>
  <si>
    <t>18.6.2.9.;</t>
  </si>
  <si>
    <t>10.1.15.</t>
  </si>
  <si>
    <t>pārējās dotācijas</t>
  </si>
  <si>
    <t>10.2.</t>
  </si>
  <si>
    <t>ES struktūrfondu līdzekļi un aktivitāšu līdzfinansējumi</t>
  </si>
  <si>
    <t>0634</t>
  </si>
  <si>
    <t>18.6.3.6.</t>
  </si>
  <si>
    <t>10.2.1.</t>
  </si>
  <si>
    <t>Plūdu risku projekts</t>
  </si>
  <si>
    <t>Precizēta projekta NP</t>
  </si>
  <si>
    <t>10.2.2.</t>
  </si>
  <si>
    <t>Pastaigu taka gar Baltezera kanālu</t>
  </si>
  <si>
    <t>18.6.3.4</t>
  </si>
  <si>
    <t>10.2.3.</t>
  </si>
  <si>
    <t>LAD, Jūras Zeme projekts, Mākslu skolas ārtelpas projekts Garā iela 20, Carnikavā</t>
  </si>
  <si>
    <t>10.2.4.</t>
  </si>
  <si>
    <t>Publiskās ārtelpas izveide Gaujas ielā 31 Ādažos</t>
  </si>
  <si>
    <t>10.2.5.</t>
  </si>
  <si>
    <t>Projekts "Eiropas pilsētu iniciatīva"</t>
  </si>
  <si>
    <t>10.2.6.</t>
  </si>
  <si>
    <t>Projekts jauniešu asociāciju federācija Eiropas mobilitātei. CERV programmas projekts "YOUTth and democracy: empowering Europe's next generation"</t>
  </si>
  <si>
    <t>10.2.7.</t>
  </si>
  <si>
    <t>Projekts par energokopienām. Magliano Alpi pašvaldības Itālijā CERV Town Twinning programmas projektsa ietvaros</t>
  </si>
  <si>
    <t>0632.6</t>
  </si>
  <si>
    <t>10.2.8.</t>
  </si>
  <si>
    <t>LIFE NewBauhaus projekts</t>
  </si>
  <si>
    <t>0632.5</t>
  </si>
  <si>
    <t>10.2.9.</t>
  </si>
  <si>
    <t>TEP “Atjaunojamo energoresursu izmantošana Ādažu novadā” (EUCF)</t>
  </si>
  <si>
    <t xml:space="preserve">18.6.3.13. </t>
  </si>
  <si>
    <t>10.2.10.</t>
  </si>
  <si>
    <t>SAM 9.2.4.2. projekts "Pasākumi vietējās sabiedrības veselības veicināšanai Ādažu novadā"</t>
  </si>
  <si>
    <t xml:space="preserve">18.6.3.14.  </t>
  </si>
  <si>
    <t>10.2.11.</t>
  </si>
  <si>
    <t>VISA projekts "Atbalsts izglītojamo individuālo kompetenču attīstībai"</t>
  </si>
  <si>
    <t>10.2.12.</t>
  </si>
  <si>
    <t>SAM 9311 Deinstitucionalizācija - Dienas centrs - specializētās darbnīcas</t>
  </si>
  <si>
    <t>10.2.13.</t>
  </si>
  <si>
    <t>Dienas centrs - pakalpojumi (Ā)</t>
  </si>
  <si>
    <t>10.2.14.</t>
  </si>
  <si>
    <t>ESF projekts Atbalsts priekšlaicīgas mācību pārtraukšanas samazināšanai ©</t>
  </si>
  <si>
    <t>18.6.3.20.</t>
  </si>
  <si>
    <t>10.2.15.</t>
  </si>
  <si>
    <t>SAM 5.5.1. Kultūras objektu būvniecība ©</t>
  </si>
  <si>
    <t>10.2.16.</t>
  </si>
  <si>
    <t>ERASMUS + projekti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</si>
  <si>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</si>
  <si>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</si>
  <si>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</si>
  <si>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</si>
  <si>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</si>
  <si>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</si>
  <si>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0633.6</t>
  </si>
  <si>
    <t>10.2.20.</t>
  </si>
  <si>
    <t>EKII projekts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</si>
  <si>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</si>
  <si>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</si>
  <si>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</si>
  <si>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</si>
  <si>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</si>
  <si>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</si>
  <si>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</si>
  <si>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</si>
  <si>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</si>
  <si>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</si>
  <si>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</si>
  <si>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</si>
  <si>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</si>
  <si>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</si>
  <si>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</si>
  <si>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</si>
  <si>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</si>
  <si>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</si>
  <si>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</si>
  <si>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</si>
  <si>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</si>
  <si>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</si>
  <si>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</si>
  <si>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</si>
  <si>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</si>
  <si>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</si>
  <si>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</si>
  <si>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</si>
  <si>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</si>
  <si>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</si>
  <si>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</si>
  <si>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</si>
  <si>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</si>
  <si>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</si>
  <si>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</si>
  <si>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</si>
  <si>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</si>
  <si>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</si>
  <si>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21.3.8.9.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</si>
  <si>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</si>
  <si>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</si>
  <si>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</si>
  <si>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</si>
  <si>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</si>
  <si>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</si>
  <si>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</si>
  <si>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>21.3.9.3.</t>
  </si>
  <si>
    <t>12.4.2.</t>
  </si>
  <si>
    <t>ieņēmumi no biļešu realizācijas</t>
  </si>
  <si>
    <t>21.3.9.4.</t>
  </si>
  <si>
    <t>12.4.3.</t>
  </si>
  <si>
    <t>ieņēmumi no dzīvokļu un komunālajiem pakalpojumiem ©</t>
  </si>
  <si>
    <t>21.3.9.9.; CKS</t>
  </si>
  <si>
    <t>12.6.</t>
  </si>
  <si>
    <t>pārējie ieņēmumi/stāvvietu ieņēmumi</t>
  </si>
  <si>
    <t>Finansējums Piekrastes apsaimniekošanai ieskaitīts 2023.gada beigās (stāv KA)</t>
  </si>
  <si>
    <t>KOPĀ IEŅĒMUMI:</t>
  </si>
  <si>
    <t>13.</t>
  </si>
  <si>
    <t>Naudas līdzekļu atlikums gada sākumā</t>
  </si>
  <si>
    <t>13.1.</t>
  </si>
  <si>
    <t>Naudas atlikums iezīmētiem mērķiem</t>
  </si>
  <si>
    <t>EUR 104'970 DRN; 
EUR 230 Nodarbinātība; 
EUR - 1 Plūdi; 
EUR 750 ind. komp. att.; 
EUR - 1'034 DI soc. pakalp.; 
EUR - 1'841 Atbalsts priekšlaicīgas māc. Pārtraukš. Samaz.; 
EUR 19'357 Carn. Stad (VK aizņēmums); 
EUR 1'832 Mākslas skolas dotāc; 
EUR 41 ĀBJSS dotāc.; 
EUR 1'093 Aotoceļu MD; 
EUR 13'000 drošības nauda CKS (jāatmaksā); 
EUR 168'382 CKS Saimnieciskā darbība; 
EUR 10'621 Piekrastes apsaimn.; 
EUR 3'808 5-6 gad. MD; 
EUR 904 māc. līdz. MD; 
EUR 17'685 MD pedag.+interešu izgl; 
EUR 76'439 MD ēdināš; 
EUR 38'150 DI darbnīcas;
EUR 31'285 Atskaitīts LAD finansējums Salas dambim (jāatgriež kredīts)
EUR 133'640 Atskaitīts LAD finansējums Lilastes stāvlaukumam (jāatgriež kredīts)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</si>
  <si>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</si>
  <si>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</si>
  <si>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</si>
  <si>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</si>
  <si>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</si>
  <si>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</si>
  <si>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Jaunas pirmsskolas izglītības iestādes Podniekos</t>
  </si>
  <si>
    <t>F40321210</t>
  </si>
  <si>
    <t>SAM 5.1.1. Pretplūdu pasākumi Ādažu centra polderī, Ādažu novadā</t>
  </si>
  <si>
    <t>Precizēta aizņēmumu summa pēc līguma summas pārcelšanas no 2023.gada</t>
  </si>
  <si>
    <t>14.5.</t>
  </si>
  <si>
    <t>14.6.</t>
  </si>
  <si>
    <t>Carnikavas stadiona rekonstrukcija</t>
  </si>
  <si>
    <t>14.3.</t>
  </si>
  <si>
    <t>Ādažu vidusskolas ēkas B korpusa un savienojuma daļas starp korpusiem (C un B) fasādes atjaunošana</t>
  </si>
  <si>
    <t>Decembra rēķins izrakstīts 30.12., samaksa pārceļas uz 2024.gadu, pārcelts 2023.gada aizņēmuma neizņemtais atlikums.</t>
  </si>
  <si>
    <t>14.4.</t>
  </si>
  <si>
    <t>Ādažu vidusskolas ēkas A korpusa, savienojuma daļas starp korpusiem (A un B), kā arī, vidusskolas centrālās daļas, tai skaitā torņa fasādes atjaunošana.</t>
  </si>
  <si>
    <t>14.10.</t>
  </si>
  <si>
    <t>Katlu mājas pārbūve Carnikavā, Tulpju iela 5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</si>
  <si>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</si>
  <si>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</si>
  <si>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</si>
  <si>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</si>
  <si>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</si>
  <si>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</si>
  <si>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23.03.2023. grozījumi</t>
  </si>
  <si>
    <t>Izmaiņa 23.03.2023. - 26.01.2023.</t>
  </si>
  <si>
    <t>Komentāri</t>
  </si>
  <si>
    <t>Vispārējie valdības dienesti</t>
  </si>
  <si>
    <t>0110</t>
  </si>
  <si>
    <t>pārvalde</t>
  </si>
  <si>
    <t>0111</t>
  </si>
  <si>
    <t>1.2.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</si>
  <si>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</si>
  <si>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</si>
  <si>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</si>
  <si>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</si>
  <si>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</si>
  <si>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</si>
  <si>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</si>
  <si>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</si>
  <si>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</si>
  <si>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</si>
  <si>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</si>
  <si>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</si>
  <si>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</si>
  <si>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</si>
  <si>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</si>
  <si>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</si>
  <si>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</si>
  <si>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</si>
  <si>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</si>
  <si>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</si>
  <si>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</si>
  <si>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</si>
  <si>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</si>
  <si>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</si>
  <si>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</si>
  <si>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Uzkopšanas gada maksa ielikta CKS, bet janvāra maksājums vēl jāveic caur policijas budžetu</t>
  </si>
  <si>
    <t>Ekonomiskā darbība</t>
  </si>
  <si>
    <t>0490</t>
  </si>
  <si>
    <t>Sabiedriskās attiecības, laikraksts</t>
  </si>
  <si>
    <t>4.1.1.</t>
  </si>
  <si>
    <t>Sabiedrisko attiecību nodaļa</t>
  </si>
  <si>
    <t>4.1.2.</t>
  </si>
  <si>
    <t>Ādažu vēstis</t>
  </si>
  <si>
    <t>0420</t>
  </si>
  <si>
    <t>Autoceļu fonds</t>
  </si>
  <si>
    <t>KA EUR 1'093, precizēta dotācija +59'292, papildus dotācija par pārņemtajiem ceļiem EUR 1'248</t>
  </si>
  <si>
    <t>Vides aizsardzība</t>
  </si>
  <si>
    <t>0510</t>
  </si>
  <si>
    <t>Dabas resursu nodokļa izlietojums</t>
  </si>
  <si>
    <t>Pašvaldības teritoriju un mājokļu apsaimniekošana</t>
  </si>
  <si>
    <t>0620</t>
  </si>
  <si>
    <t>Būvvalde</t>
  </si>
  <si>
    <t>0660</t>
  </si>
  <si>
    <t>6.3.</t>
  </si>
  <si>
    <t>Teritorijas plānošanas nodaļa</t>
  </si>
  <si>
    <t>6.4.</t>
  </si>
  <si>
    <t>Attīstības un projektu nodaļa</t>
  </si>
  <si>
    <t>6.4.1.</t>
  </si>
  <si>
    <t>nodaļa</t>
  </si>
  <si>
    <t>0630.1</t>
  </si>
  <si>
    <t>6.4.2.</t>
  </si>
  <si>
    <t>Projekts "Sabiedrība ar dvēseli"</t>
  </si>
  <si>
    <t>6.4.3.</t>
  </si>
  <si>
    <t>Iedzīvotāju iniciatīvas un konkursi.</t>
  </si>
  <si>
    <t>6.4.4.</t>
  </si>
  <si>
    <t>0633.1</t>
  </si>
  <si>
    <t>6.4.5.</t>
  </si>
  <si>
    <t>”Mobilitātes punkta infrastruktūras izveidošana Rīgas metropoles areālā – “Carnikava””</t>
  </si>
  <si>
    <t>0633.2</t>
  </si>
  <si>
    <t>6.4.6.</t>
  </si>
  <si>
    <t>0632.4</t>
  </si>
  <si>
    <t>6.4.7.</t>
  </si>
  <si>
    <t>6.4.8.</t>
  </si>
  <si>
    <t>6.4.9.</t>
  </si>
  <si>
    <t>6.4.10.</t>
  </si>
  <si>
    <t>6.4.11.</t>
  </si>
  <si>
    <t>6.4.12.</t>
  </si>
  <si>
    <t>6.4.13.</t>
  </si>
  <si>
    <t>6.4.14.</t>
  </si>
  <si>
    <t>ANM pasākuma "Atbalsta pasākumi cilvēkiem ar invaliditāti mājokļu vides pieejamības nodrošināšanai" projekts</t>
  </si>
  <si>
    <t>Pārrobežu EST-LAT projekts "Militārais mantojums ©</t>
  </si>
  <si>
    <t>0633.5</t>
  </si>
  <si>
    <t>6.5.</t>
  </si>
  <si>
    <t>Objektu un teritorijas apsaimniekošana un uzturēšana</t>
  </si>
  <si>
    <t>0670</t>
  </si>
  <si>
    <t>6.5.1.</t>
  </si>
  <si>
    <t xml:space="preserve">Nekustamā īpašumas nodaļa </t>
  </si>
  <si>
    <t>0649</t>
  </si>
  <si>
    <t>6.5.2.</t>
  </si>
  <si>
    <t>Vecštāles ceļa rekonstrukcija</t>
  </si>
  <si>
    <t>6.5.3.</t>
  </si>
  <si>
    <t>precizēts KA, VK aizņēmuma summa un atlikušais ienākošais ERAF finansējums</t>
  </si>
  <si>
    <t>CKS_apsaimniek</t>
  </si>
  <si>
    <t>6.5.4.</t>
  </si>
  <si>
    <t>Pašvaldības aģentūra "Carnikavas Komunālserviss"</t>
  </si>
  <si>
    <t>6.5.5.</t>
  </si>
  <si>
    <t>P/A "Carnikavas komunālserviss" teritorijas un īpašumu apsaimniekošana</t>
  </si>
  <si>
    <t>6.5.5.1</t>
  </si>
  <si>
    <t>Dotācija CKS teritorijas uzturēšanai</t>
  </si>
  <si>
    <t>1) KA - EUR 13'000 drošības nauda CKS (jāatmaksā).
2) Uzkopšanas gada maksa ielikta CKS, bet janvāra maksājums vēl jāveic caur policijas budžetu. (EUR 645)</t>
  </si>
  <si>
    <t>6.5.5.2.</t>
  </si>
  <si>
    <t>Dotācija CKS ceļu uzturēšanai</t>
  </si>
  <si>
    <t>6.5.5.3.</t>
  </si>
  <si>
    <t>Teritorijas uzturēšana (Dome)</t>
  </si>
  <si>
    <t>6.5.6.</t>
  </si>
  <si>
    <t>Tirgus laukuma lietus kanalizācijas izbūve Ādažos</t>
  </si>
  <si>
    <t>6.5.7.</t>
  </si>
  <si>
    <t>Viršu ielas/atzars uz Sproģu ielu asfaltbetona seguma atjaunošana posmā no Dzērveņu ielas līdz Serģu iela (980 m)</t>
  </si>
  <si>
    <t>6.5.8.</t>
  </si>
  <si>
    <t>Dzirnupes ielas tilta projekts, Carnikava</t>
  </si>
  <si>
    <t>6.5.9.</t>
  </si>
  <si>
    <t>6.5.10.</t>
  </si>
  <si>
    <t>Attekas ielas turpinājums 0,5 km - projektēšana</t>
  </si>
  <si>
    <t>6.5.11.</t>
  </si>
  <si>
    <t xml:space="preserve">Apgaismes stabi Attekas ielas savienojumā no Ķiršu līdz Draudzības ielai. </t>
  </si>
  <si>
    <t>6.5.12.</t>
  </si>
  <si>
    <t>6.5.13.</t>
  </si>
  <si>
    <t>0633.4</t>
  </si>
  <si>
    <t>6.5.14.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</si>
  <si>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</si>
  <si>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</si>
  <si>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</si>
  <si>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</si>
  <si>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</si>
  <si>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</si>
  <si>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0841.2</t>
  </si>
  <si>
    <t>7.1.2.</t>
  </si>
  <si>
    <t>Tautas nams "Ozolaine" ©</t>
  </si>
  <si>
    <t>0841.3</t>
  </si>
  <si>
    <t>7.1.3.</t>
  </si>
  <si>
    <t>Muzejs un Carnikavas novadpētniecības centrs</t>
  </si>
  <si>
    <t>08412</t>
  </si>
  <si>
    <t>7.1.4.</t>
  </si>
  <si>
    <t>Tūrisms</t>
  </si>
  <si>
    <t>0844.1</t>
  </si>
  <si>
    <t>7.3.</t>
  </si>
  <si>
    <t>SAM 5.5.1. Kultūras objektu būvniecība (maksājumi projekta partneriem) ©</t>
  </si>
  <si>
    <t>0844.2</t>
  </si>
  <si>
    <t>7.4.</t>
  </si>
  <si>
    <t>ES projekts Eiropa pilsoņiem (diskriminētām personām) ©</t>
  </si>
  <si>
    <t>0830</t>
  </si>
  <si>
    <t>7.5.</t>
  </si>
  <si>
    <t xml:space="preserve">Ādažu bibliotēka </t>
  </si>
  <si>
    <t>0831</t>
  </si>
  <si>
    <t>7.6.</t>
  </si>
  <si>
    <t xml:space="preserve">Carnikavas bibliotēka </t>
  </si>
  <si>
    <t>7.8.</t>
  </si>
  <si>
    <t>Sporta daļa</t>
  </si>
  <si>
    <t>7.8.1.</t>
  </si>
  <si>
    <t>-  sporta funkcijas nodrošināšana</t>
  </si>
  <si>
    <t>Atalgojums, kas pāriet uz CKS</t>
  </si>
  <si>
    <t>7.8.2.</t>
  </si>
  <si>
    <t>- uzturēšanas izmaksas (CKS)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</si>
  <si>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</si>
  <si>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</si>
  <si>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</si>
  <si>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</si>
  <si>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</si>
  <si>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</si>
  <si>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</si>
  <si>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</si>
  <si>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</si>
  <si>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</si>
  <si>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</si>
  <si>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</si>
  <si>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</si>
  <si>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</si>
  <si>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</si>
  <si>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</si>
  <si>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</si>
  <si>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</si>
  <si>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</si>
  <si>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</si>
  <si>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</si>
  <si>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</si>
  <si>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</si>
  <si>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</si>
  <si>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</si>
  <si>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</si>
  <si>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</si>
  <si>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8.3.2.</t>
  </si>
  <si>
    <t>DI projekts- specializētās darbnīcas</t>
  </si>
  <si>
    <t>DI projekta KA</t>
  </si>
  <si>
    <t>1014.1</t>
  </si>
  <si>
    <t>8.3.3.</t>
  </si>
  <si>
    <t>DI centra pakalpojumi (projekts)</t>
  </si>
  <si>
    <t>8.4.</t>
  </si>
  <si>
    <t>Bāriņtiesa</t>
  </si>
  <si>
    <t>8.5.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</si>
  <si>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</si>
  <si>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</si>
  <si>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</si>
  <si>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</si>
  <si>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</si>
  <si>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</si>
  <si>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</si>
  <si>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</si>
  <si>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</si>
  <si>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</si>
  <si>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</si>
  <si>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9.2.</t>
  </si>
  <si>
    <t>Ādažu Pirmsskolas izglītības iestāde</t>
  </si>
  <si>
    <t>0911</t>
  </si>
  <si>
    <t>9.2.1.</t>
  </si>
  <si>
    <t>pedagogu algas, grāmatas (mērķdotācija)</t>
  </si>
  <si>
    <t>Mērķdotācijas KA</t>
  </si>
  <si>
    <t>0910</t>
  </si>
  <si>
    <t>9.2.2.</t>
  </si>
  <si>
    <t>pārējās izmaksas</t>
  </si>
  <si>
    <t>Atalgojums, kas pāriet uz CKS un algas korekcija, precizējot MD</t>
  </si>
  <si>
    <t>9.2.3.</t>
  </si>
  <si>
    <t>uzturēšanas izmaksas (CKS)</t>
  </si>
  <si>
    <t>9.3.</t>
  </si>
  <si>
    <t>Kadagas PII</t>
  </si>
  <si>
    <t>0921</t>
  </si>
  <si>
    <t>9.3.1.</t>
  </si>
  <si>
    <t>0920</t>
  </si>
  <si>
    <t>9.3.2.</t>
  </si>
  <si>
    <t>9.3.3.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</si>
  <si>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</si>
  <si>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</si>
  <si>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</si>
  <si>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</si>
  <si>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</si>
  <si>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</si>
  <si>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</si>
  <si>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</si>
  <si>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</si>
  <si>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</si>
  <si>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</si>
  <si>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</si>
  <si>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</si>
  <si>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</si>
  <si>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</si>
  <si>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</si>
  <si>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</si>
  <si>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</si>
  <si>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</si>
  <si>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</si>
  <si>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</si>
  <si>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</si>
  <si>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</si>
  <si>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</si>
  <si>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</si>
  <si>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</si>
  <si>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</si>
  <si>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</si>
  <si>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</si>
  <si>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</si>
  <si>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</si>
  <si>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</si>
  <si>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Precizēts sadalījums starp pašvaldību un MD</t>
  </si>
  <si>
    <t>9.7.4.</t>
  </si>
  <si>
    <t>09822</t>
  </si>
  <si>
    <t>9.7.5.</t>
  </si>
  <si>
    <t>projekts "Skolas soma"</t>
  </si>
  <si>
    <t>09825</t>
  </si>
  <si>
    <t>9.7.6.</t>
  </si>
  <si>
    <t>projekti Erasmus+; NordPlus</t>
  </si>
  <si>
    <t>0982</t>
  </si>
  <si>
    <t>9.7.7.</t>
  </si>
  <si>
    <t>mācību vides labiekārtošana</t>
  </si>
  <si>
    <t>09823</t>
  </si>
  <si>
    <t>9.8.</t>
  </si>
  <si>
    <t>KA (VK aizņēmums) un uz 2024.gadu pārceļam'summa, jo būvnieks navarēja pabeigt projektu, saskaņā ar līguma termiņiem</t>
  </si>
  <si>
    <t>9.9.</t>
  </si>
  <si>
    <t>Ādažu vidusskola</t>
  </si>
  <si>
    <t>0954</t>
  </si>
  <si>
    <t>9.9.1.</t>
  </si>
  <si>
    <t>0950</t>
  </si>
  <si>
    <t>9.9.2.</t>
  </si>
  <si>
    <t>Atalgojums, kas pāriet uz CKS; atalgojuma korekcija, dalot likmes MD</t>
  </si>
  <si>
    <t>9.9.3.</t>
  </si>
  <si>
    <t>0957</t>
  </si>
  <si>
    <t>9.9.4.</t>
  </si>
  <si>
    <t>projekts Erasmus+</t>
  </si>
  <si>
    <t>0951</t>
  </si>
  <si>
    <t>9.9.5.</t>
  </si>
  <si>
    <t>9.9.6.</t>
  </si>
  <si>
    <t>Decembra rēķins izrakstīts 30.12., samaksa pārceļas uz 2024.gadu</t>
  </si>
  <si>
    <t>9.9.7.</t>
  </si>
  <si>
    <t>0981</t>
  </si>
  <si>
    <t>9.9.8.</t>
  </si>
  <si>
    <t>sākumskolas uzturēšanas izmaksas</t>
  </si>
  <si>
    <t>Atalgojums, kas pāriet uz CKS; atalgojuma korekcija, dalot likes MD</t>
  </si>
  <si>
    <t>9.9.9.</t>
  </si>
  <si>
    <t>sākumskolas uzturēšanas izmaksas (CKS)</t>
  </si>
  <si>
    <t>9.9.10.</t>
  </si>
  <si>
    <t>sākumskolas ēdināšana (mērķdotācija)</t>
  </si>
  <si>
    <t>9.9.11.</t>
  </si>
  <si>
    <t xml:space="preserve">PII </t>
  </si>
  <si>
    <t>0952.1</t>
  </si>
  <si>
    <t>9.9.11.1.</t>
  </si>
  <si>
    <t>- pedagogu algas (mērķdotācija)</t>
  </si>
  <si>
    <t>0952</t>
  </si>
  <si>
    <t>9.9.11.2.</t>
  </si>
  <si>
    <t>-  uzturēšana</t>
  </si>
  <si>
    <t>9.9.11.3.</t>
  </si>
  <si>
    <t>9.10.</t>
  </si>
  <si>
    <t>Ādažu novada  Mākslu skola</t>
  </si>
  <si>
    <t>9.10.1.</t>
  </si>
  <si>
    <t>pedagogu algas (mērķdotācija)</t>
  </si>
  <si>
    <t>KA, precizēta MD</t>
  </si>
  <si>
    <t>9.10.2.</t>
  </si>
  <si>
    <t>Atalgojuma pieaugums pēc MD apstiprināšanas un algu tarifikācijas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</si>
  <si>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</si>
  <si>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</si>
  <si>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</si>
  <si>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</si>
  <si>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</si>
  <si>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</si>
  <si>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</si>
  <si>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</si>
  <si>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</si>
  <si>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>Izglītības un jaunatnes nodaļa</t>
  </si>
  <si>
    <t>9.13.</t>
  </si>
  <si>
    <t>Līdzfinansējums skolēnu dalībai konkursos</t>
  </si>
  <si>
    <t>0931</t>
  </si>
  <si>
    <t>9.14.</t>
  </si>
  <si>
    <t xml:space="preserve">ESF projekts Atbalsts priekšlaicīgas mācību pārtraukšanas samazināšanai © </t>
  </si>
  <si>
    <t>0932</t>
  </si>
  <si>
    <t>9.15.</t>
  </si>
  <si>
    <t>ESF projekts Karjeras atbalsts vispārējās un profesionālās izglītības iestādēs ©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</si>
  <si>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</si>
  <si>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</si>
  <si>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</si>
  <si>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</si>
  <si>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9.18.</t>
  </si>
  <si>
    <t>0956</t>
  </si>
  <si>
    <t>9.18.1.</t>
  </si>
  <si>
    <t>Ādaži</t>
  </si>
  <si>
    <t>09824</t>
  </si>
  <si>
    <t>9.18.2.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</si>
  <si>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</si>
  <si>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</si>
  <si>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</si>
  <si>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</si>
  <si>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</si>
  <si>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</si>
  <si>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</si>
  <si>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EUR 37'335 Atskaitīts LAD finansējums Salas dambim (jāatgriež kredīts)
EUR 133'640 Atskaitīts LAD finansējums Lilastes stāvlaukumam (jāatgriež kredīts)</t>
  </si>
  <si>
    <t>PAVISAM KOPĀ IZDEVUMI:</t>
  </si>
  <si>
    <t>-</t>
  </si>
  <si>
    <t>Naudas līdzekļu atlikums uz gada beigām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</si>
</sst>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b/>
      <sz val="2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color theme="1"/>
      <name val="Arial"/>
      <family val="2"/>
      <charset val="186"/>
    </font>
    <font>
      <sz val="11"/>
      <color rgb="FF7030A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7030A0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rgb="FF7030A0"/>
      <name val="Times New Roman"/>
      <family val="1"/>
      <charset val="186"/>
    </font>
    <font>
      <sz val="11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9" fontId="8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2" applyFont="1"/>
    <xf numFmtId="0" fontId="3" fillId="0" borderId="0" xfId="3" applyFont="1"/>
    <xf numFmtId="0" fontId="4" fillId="0" borderId="0" xfId="3" applyFont="1"/>
    <xf numFmtId="0" fontId="2" fillId="0" borderId="0" xfId="2" applyFont="1" applyAlignment="1">
      <alignment wrapText="1"/>
    </xf>
    <xf numFmtId="0" fontId="5" fillId="0" borderId="0" xfId="2" applyFont="1" applyAlignment="1">
      <alignment wrapText="1"/>
    </xf>
    <xf numFmtId="164" fontId="5" fillId="0" borderId="0" xfId="1" applyNumberFormat="1" applyFont="1" applyAlignment="1">
      <alignment wrapText="1"/>
    </xf>
    <xf numFmtId="164" fontId="7" fillId="0" borderId="0" xfId="1" applyNumberFormat="1" applyFont="1" applyAlignment="1">
      <alignment wrapText="1"/>
    </xf>
    <xf numFmtId="9" fontId="2" fillId="0" borderId="0" xfId="4" applyFont="1" applyAlignment="1">
      <alignment wrapText="1"/>
    </xf>
    <xf numFmtId="3" fontId="2" fillId="0" borderId="0" xfId="2" applyNumberFormat="1" applyFont="1"/>
    <xf numFmtId="164" fontId="5" fillId="0" borderId="0" xfId="1" applyNumberFormat="1" applyFont="1"/>
    <xf numFmtId="164" fontId="7" fillId="0" borderId="0" xfId="1" applyNumberFormat="1" applyFont="1"/>
    <xf numFmtId="1" fontId="2" fillId="0" borderId="0" xfId="4" applyNumberFormat="1" applyFont="1" applyFill="1"/>
    <xf numFmtId="164" fontId="10" fillId="0" borderId="0" xfId="5" applyNumberFormat="1" applyFont="1"/>
    <xf numFmtId="164" fontId="11" fillId="0" borderId="0" xfId="1" applyNumberFormat="1" applyFont="1"/>
    <xf numFmtId="164" fontId="12" fillId="0" borderId="0" xfId="1" applyNumberFormat="1" applyFont="1"/>
    <xf numFmtId="9" fontId="2" fillId="0" borderId="0" xfId="4" applyFont="1"/>
    <xf numFmtId="0" fontId="13" fillId="0" borderId="0" xfId="6"/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9" fontId="10" fillId="0" borderId="3" xfId="4" applyFont="1" applyBorder="1" applyAlignment="1">
      <alignment horizontal="center" vertical="center" wrapText="1"/>
    </xf>
    <xf numFmtId="0" fontId="10" fillId="2" borderId="4" xfId="2" applyFont="1" applyFill="1" applyBorder="1"/>
    <xf numFmtId="0" fontId="10" fillId="2" borderId="5" xfId="2" applyFont="1" applyFill="1" applyBorder="1" applyAlignment="1">
      <alignment wrapText="1"/>
    </xf>
    <xf numFmtId="164" fontId="10" fillId="2" borderId="6" xfId="1" applyNumberFormat="1" applyFont="1" applyFill="1" applyBorder="1"/>
    <xf numFmtId="164" fontId="12" fillId="2" borderId="6" xfId="1" applyNumberFormat="1" applyFont="1" applyFill="1" applyBorder="1"/>
    <xf numFmtId="3" fontId="10" fillId="2" borderId="6" xfId="2" applyNumberFormat="1" applyFont="1" applyFill="1" applyBorder="1"/>
    <xf numFmtId="9" fontId="2" fillId="2" borderId="6" xfId="4" applyFont="1" applyFill="1" applyBorder="1" applyAlignment="1">
      <alignment wrapText="1"/>
    </xf>
    <xf numFmtId="0" fontId="10" fillId="3" borderId="4" xfId="2" quotePrefix="1" applyFont="1" applyFill="1" applyBorder="1"/>
    <xf numFmtId="0" fontId="10" fillId="3" borderId="5" xfId="2" applyFont="1" applyFill="1" applyBorder="1" applyAlignment="1">
      <alignment wrapText="1"/>
    </xf>
    <xf numFmtId="3" fontId="10" fillId="3" borderId="6" xfId="2" applyNumberFormat="1" applyFont="1" applyFill="1" applyBorder="1"/>
    <xf numFmtId="164" fontId="10" fillId="3" borderId="6" xfId="1" applyNumberFormat="1" applyFont="1" applyFill="1" applyBorder="1"/>
    <xf numFmtId="164" fontId="12" fillId="3" borderId="6" xfId="1" applyNumberFormat="1" applyFont="1" applyFill="1" applyBorder="1"/>
    <xf numFmtId="9" fontId="10" fillId="3" borderId="6" xfId="4" applyFont="1" applyFill="1" applyBorder="1"/>
    <xf numFmtId="0" fontId="15" fillId="0" borderId="0" xfId="2" applyFont="1"/>
    <xf numFmtId="0" fontId="2" fillId="0" borderId="7" xfId="2" applyFont="1" applyBorder="1" applyAlignment="1">
      <alignment horizontal="left" indent="1"/>
    </xf>
    <xf numFmtId="0" fontId="2" fillId="0" borderId="8" xfId="2" applyFont="1" applyBorder="1" applyAlignment="1">
      <alignment horizontal="left" wrapText="1" indent="2"/>
    </xf>
    <xf numFmtId="3" fontId="2" fillId="0" borderId="9" xfId="2" applyNumberFormat="1" applyFont="1" applyBorder="1"/>
    <xf numFmtId="164" fontId="2" fillId="0" borderId="9" xfId="1" applyNumberFormat="1" applyFont="1" applyBorder="1"/>
    <xf numFmtId="164" fontId="7" fillId="0" borderId="9" xfId="1" applyNumberFormat="1" applyFont="1" applyBorder="1"/>
    <xf numFmtId="9" fontId="2" fillId="0" borderId="9" xfId="4" applyFont="1" applyFill="1" applyBorder="1"/>
    <xf numFmtId="0" fontId="10" fillId="3" borderId="7" xfId="2" applyFont="1" applyFill="1" applyBorder="1"/>
    <xf numFmtId="0" fontId="10" fillId="3" borderId="8" xfId="2" applyFont="1" applyFill="1" applyBorder="1" applyAlignment="1">
      <alignment wrapText="1"/>
    </xf>
    <xf numFmtId="3" fontId="10" fillId="3" borderId="9" xfId="2" applyNumberFormat="1" applyFont="1" applyFill="1" applyBorder="1"/>
    <xf numFmtId="164" fontId="10" fillId="3" borderId="9" xfId="1" applyNumberFormat="1" applyFont="1" applyFill="1" applyBorder="1"/>
    <xf numFmtId="164" fontId="12" fillId="3" borderId="9" xfId="1" applyNumberFormat="1" applyFont="1" applyFill="1" applyBorder="1"/>
    <xf numFmtId="9" fontId="10" fillId="3" borderId="9" xfId="4" applyFont="1" applyFill="1" applyBorder="1"/>
    <xf numFmtId="9" fontId="2" fillId="0" borderId="9" xfId="4" applyFont="1" applyBorder="1"/>
    <xf numFmtId="9" fontId="2" fillId="0" borderId="10" xfId="4" applyFont="1" applyFill="1" applyBorder="1"/>
    <xf numFmtId="0" fontId="1" fillId="0" borderId="0" xfId="2"/>
    <xf numFmtId="9" fontId="2" fillId="0" borderId="10" xfId="4" applyFont="1" applyFill="1" applyBorder="1" applyAlignment="1">
      <alignment wrapText="1"/>
    </xf>
    <xf numFmtId="0" fontId="16" fillId="0" borderId="7" xfId="2" applyFont="1" applyBorder="1" applyAlignment="1">
      <alignment horizontal="left" indent="2"/>
    </xf>
    <xf numFmtId="0" fontId="16" fillId="0" borderId="8" xfId="2" applyFont="1" applyBorder="1" applyAlignment="1">
      <alignment horizontal="left" wrapText="1" indent="3"/>
    </xf>
    <xf numFmtId="0" fontId="15" fillId="0" borderId="0" xfId="2" quotePrefix="1" applyFont="1"/>
    <xf numFmtId="9" fontId="2" fillId="3" borderId="9" xfId="4" applyFont="1" applyFill="1" applyBorder="1" applyAlignment="1">
      <alignment wrapText="1"/>
    </xf>
    <xf numFmtId="0" fontId="2" fillId="4" borderId="8" xfId="2" applyFont="1" applyFill="1" applyBorder="1" applyAlignment="1">
      <alignment horizontal="left" wrapText="1" indent="2"/>
    </xf>
    <xf numFmtId="9" fontId="2" fillId="0" borderId="9" xfId="4" applyFont="1" applyFill="1" applyBorder="1" applyAlignment="1">
      <alignment wrapText="1"/>
    </xf>
    <xf numFmtId="0" fontId="10" fillId="3" borderId="7" xfId="2" quotePrefix="1" applyFont="1" applyFill="1" applyBorder="1"/>
    <xf numFmtId="0" fontId="2" fillId="2" borderId="7" xfId="2" applyFont="1" applyFill="1" applyBorder="1" applyAlignment="1">
      <alignment horizontal="left" indent="1"/>
    </xf>
    <xf numFmtId="0" fontId="2" fillId="2" borderId="8" xfId="2" applyFont="1" applyFill="1" applyBorder="1" applyAlignment="1">
      <alignment horizontal="left" wrapText="1" indent="2"/>
    </xf>
    <xf numFmtId="3" fontId="2" fillId="2" borderId="9" xfId="2" applyNumberFormat="1" applyFont="1" applyFill="1" applyBorder="1"/>
    <xf numFmtId="164" fontId="2" fillId="5" borderId="9" xfId="1" applyNumberFormat="1" applyFont="1" applyFill="1" applyBorder="1"/>
    <xf numFmtId="164" fontId="7" fillId="5" borderId="9" xfId="1" applyNumberFormat="1" applyFont="1" applyFill="1" applyBorder="1"/>
    <xf numFmtId="3" fontId="2" fillId="5" borderId="9" xfId="2" applyNumberFormat="1" applyFont="1" applyFill="1" applyBorder="1"/>
    <xf numFmtId="164" fontId="5" fillId="0" borderId="9" xfId="1" applyNumberFormat="1" applyFont="1" applyBorder="1"/>
    <xf numFmtId="3" fontId="2" fillId="6" borderId="9" xfId="2" applyNumberFormat="1" applyFont="1" applyFill="1" applyBorder="1"/>
    <xf numFmtId="164" fontId="2" fillId="6" borderId="9" xfId="1" applyNumberFormat="1" applyFont="1" applyFill="1" applyBorder="1"/>
    <xf numFmtId="164" fontId="7" fillId="6" borderId="9" xfId="1" applyNumberFormat="1" applyFont="1" applyFill="1" applyBorder="1"/>
    <xf numFmtId="3" fontId="2" fillId="6" borderId="9" xfId="2" applyNumberFormat="1" applyFont="1" applyFill="1" applyBorder="1" applyAlignment="1">
      <alignment wrapText="1"/>
    </xf>
    <xf numFmtId="3" fontId="16" fillId="7" borderId="9" xfId="2" applyNumberFormat="1" applyFont="1" applyFill="1" applyBorder="1"/>
    <xf numFmtId="164" fontId="16" fillId="7" borderId="9" xfId="1" applyNumberFormat="1" applyFont="1" applyFill="1" applyBorder="1"/>
    <xf numFmtId="164" fontId="17" fillId="7" borderId="9" xfId="1" applyNumberFormat="1" applyFont="1" applyFill="1" applyBorder="1"/>
    <xf numFmtId="9" fontId="16" fillId="7" borderId="9" xfId="4" applyFont="1" applyFill="1" applyBorder="1" applyAlignment="1">
      <alignment wrapText="1"/>
    </xf>
    <xf numFmtId="0" fontId="16" fillId="0" borderId="0" xfId="2" applyFont="1"/>
    <xf numFmtId="3" fontId="16" fillId="8" borderId="9" xfId="2" applyNumberFormat="1" applyFont="1" applyFill="1" applyBorder="1"/>
    <xf numFmtId="9" fontId="16" fillId="8" borderId="9" xfId="4" applyFont="1" applyFill="1" applyBorder="1"/>
    <xf numFmtId="0" fontId="2" fillId="0" borderId="0" xfId="2" quotePrefix="1" applyFont="1"/>
    <xf numFmtId="0" fontId="2" fillId="9" borderId="8" xfId="2" applyFont="1" applyFill="1" applyBorder="1" applyAlignment="1">
      <alignment horizontal="left" wrapText="1" indent="2"/>
    </xf>
    <xf numFmtId="164" fontId="2" fillId="0" borderId="9" xfId="1" applyNumberFormat="1" applyFont="1" applyFill="1" applyBorder="1"/>
    <xf numFmtId="0" fontId="2" fillId="0" borderId="8" xfId="2" applyFont="1" applyBorder="1" applyAlignment="1">
      <alignment horizontal="left" wrapText="1" indent="3"/>
    </xf>
    <xf numFmtId="9" fontId="2" fillId="11" borderId="9" xfId="4" applyFont="1" applyFill="1" applyBorder="1" applyAlignment="1">
      <alignment wrapText="1"/>
    </xf>
    <xf numFmtId="164" fontId="2" fillId="2" borderId="9" xfId="1" applyNumberFormat="1" applyFont="1" applyFill="1" applyBorder="1"/>
    <xf numFmtId="164" fontId="7" fillId="2" borderId="9" xfId="1" applyNumberFormat="1" applyFont="1" applyFill="1" applyBorder="1"/>
    <xf numFmtId="9" fontId="2" fillId="2" borderId="9" xfId="4" applyFont="1" applyFill="1" applyBorder="1" applyAlignment="1">
      <alignment wrapText="1"/>
    </xf>
    <xf numFmtId="0" fontId="5" fillId="0" borderId="0" xfId="2" applyFont="1"/>
    <xf numFmtId="9" fontId="2" fillId="0" borderId="12" xfId="4" applyFont="1" applyFill="1" applyBorder="1"/>
    <xf numFmtId="0" fontId="1" fillId="10" borderId="0" xfId="2" applyFill="1"/>
    <xf numFmtId="0" fontId="2" fillId="9" borderId="8" xfId="2" applyFont="1" applyFill="1" applyBorder="1" applyAlignment="1">
      <alignment horizontal="left" wrapText="1" indent="3"/>
    </xf>
    <xf numFmtId="0" fontId="5" fillId="0" borderId="5" xfId="2" applyFont="1" applyBorder="1" applyAlignment="1">
      <alignment horizontal="left" wrapText="1" indent="2"/>
    </xf>
    <xf numFmtId="0" fontId="2" fillId="4" borderId="7" xfId="2" applyFont="1" applyFill="1" applyBorder="1" applyAlignment="1">
      <alignment horizontal="left" indent="2"/>
    </xf>
    <xf numFmtId="0" fontId="2" fillId="4" borderId="8" xfId="2" applyFont="1" applyFill="1" applyBorder="1" applyAlignment="1">
      <alignment horizontal="left" wrapText="1" indent="3"/>
    </xf>
    <xf numFmtId="1" fontId="2" fillId="0" borderId="9" xfId="4" applyNumberFormat="1" applyFont="1" applyFill="1" applyBorder="1"/>
    <xf numFmtId="0" fontId="10" fillId="0" borderId="13" xfId="2" applyFont="1" applyBorder="1"/>
    <xf numFmtId="0" fontId="10" fillId="0" borderId="14" xfId="2" applyFont="1" applyBorder="1" applyAlignment="1">
      <alignment horizontal="right" wrapText="1"/>
    </xf>
    <xf numFmtId="3" fontId="10" fillId="0" borderId="3" xfId="2" applyNumberFormat="1" applyFont="1" applyBorder="1"/>
    <xf numFmtId="164" fontId="10" fillId="0" borderId="3" xfId="1" applyNumberFormat="1" applyFont="1" applyBorder="1"/>
    <xf numFmtId="164" fontId="12" fillId="0" borderId="3" xfId="1" applyNumberFormat="1" applyFont="1" applyBorder="1"/>
    <xf numFmtId="9" fontId="10" fillId="0" borderId="3" xfId="4" applyFont="1" applyBorder="1"/>
    <xf numFmtId="0" fontId="10" fillId="0" borderId="15" xfId="2" quotePrefix="1" applyFont="1" applyBorder="1"/>
    <xf numFmtId="0" fontId="10" fillId="0" borderId="16" xfId="2" applyFont="1" applyBorder="1" applyAlignment="1">
      <alignment wrapText="1"/>
    </xf>
    <xf numFmtId="3" fontId="10" fillId="0" borderId="17" xfId="2" applyNumberFormat="1" applyFont="1" applyBorder="1"/>
    <xf numFmtId="164" fontId="10" fillId="0" borderId="17" xfId="1" applyNumberFormat="1" applyFont="1" applyBorder="1"/>
    <xf numFmtId="164" fontId="12" fillId="0" borderId="17" xfId="1" applyNumberFormat="1" applyFont="1" applyBorder="1"/>
    <xf numFmtId="9" fontId="10" fillId="0" borderId="17" xfId="4" applyFont="1" applyFill="1" applyBorder="1"/>
    <xf numFmtId="0" fontId="10" fillId="3" borderId="18" xfId="2" applyFont="1" applyFill="1" applyBorder="1" applyAlignment="1">
      <alignment wrapText="1"/>
    </xf>
    <xf numFmtId="164" fontId="10" fillId="3" borderId="12" xfId="1" applyNumberFormat="1" applyFont="1" applyFill="1" applyBorder="1"/>
    <xf numFmtId="164" fontId="12" fillId="3" borderId="12" xfId="1" applyNumberFormat="1" applyFont="1" applyFill="1" applyBorder="1"/>
    <xf numFmtId="49" fontId="2" fillId="0" borderId="18" xfId="2" applyNumberFormat="1" applyFont="1" applyBorder="1" applyAlignment="1">
      <alignment horizontal="left" wrapText="1" indent="4"/>
    </xf>
    <xf numFmtId="3" fontId="2" fillId="0" borderId="18" xfId="2" applyNumberFormat="1" applyFont="1" applyBorder="1"/>
    <xf numFmtId="164" fontId="2" fillId="0" borderId="12" xfId="1" applyNumberFormat="1" applyFont="1" applyBorder="1"/>
    <xf numFmtId="49" fontId="2" fillId="13" borderId="18" xfId="2" applyNumberFormat="1" applyFont="1" applyFill="1" applyBorder="1" applyAlignment="1">
      <alignment horizontal="left" wrapText="1" indent="4"/>
    </xf>
    <xf numFmtId="49" fontId="5" fillId="13" borderId="18" xfId="2" applyNumberFormat="1" applyFont="1" applyFill="1" applyBorder="1" applyAlignment="1">
      <alignment horizontal="left" wrapText="1" indent="4"/>
    </xf>
    <xf numFmtId="164" fontId="7" fillId="0" borderId="12" xfId="1" applyNumberFormat="1" applyFont="1" applyBorder="1"/>
    <xf numFmtId="3" fontId="2" fillId="0" borderId="19" xfId="2" applyNumberFormat="1" applyFont="1" applyBorder="1"/>
    <xf numFmtId="9" fontId="2" fillId="0" borderId="20" xfId="4" applyFont="1" applyFill="1" applyBorder="1"/>
    <xf numFmtId="49" fontId="2" fillId="0" borderId="21" xfId="2" applyNumberFormat="1" applyFont="1" applyBorder="1" applyAlignment="1">
      <alignment horizontal="left" wrapText="1" indent="4"/>
    </xf>
    <xf numFmtId="164" fontId="2" fillId="0" borderId="22" xfId="1" applyNumberFormat="1" applyFont="1" applyBorder="1"/>
    <xf numFmtId="9" fontId="2" fillId="0" borderId="11" xfId="4" applyFont="1" applyFill="1" applyBorder="1" applyAlignment="1">
      <alignment wrapText="1"/>
    </xf>
    <xf numFmtId="49" fontId="2" fillId="0" borderId="8" xfId="2" applyNumberFormat="1" applyFont="1" applyBorder="1" applyAlignment="1">
      <alignment horizontal="left" wrapText="1" indent="4"/>
    </xf>
    <xf numFmtId="164" fontId="2" fillId="0" borderId="8" xfId="1" applyNumberFormat="1" applyFont="1" applyBorder="1"/>
    <xf numFmtId="9" fontId="2" fillId="0" borderId="6" xfId="4" applyFont="1" applyFill="1" applyBorder="1"/>
    <xf numFmtId="49" fontId="5" fillId="0" borderId="8" xfId="2" applyNumberFormat="1" applyFont="1" applyBorder="1" applyAlignment="1">
      <alignment horizontal="left" wrapText="1" indent="4"/>
    </xf>
    <xf numFmtId="164" fontId="7" fillId="0" borderId="23" xfId="1" applyNumberFormat="1" applyFont="1" applyBorder="1"/>
    <xf numFmtId="3" fontId="2" fillId="0" borderId="20" xfId="2" applyNumberFormat="1" applyFont="1" applyBorder="1"/>
    <xf numFmtId="0" fontId="2" fillId="4" borderId="24" xfId="2" applyFont="1" applyFill="1" applyBorder="1" applyAlignment="1">
      <alignment horizontal="left" indent="2"/>
    </xf>
    <xf numFmtId="49" fontId="5" fillId="13" borderId="8" xfId="2" applyNumberFormat="1" applyFont="1" applyFill="1" applyBorder="1" applyAlignment="1">
      <alignment horizontal="left" wrapText="1" indent="4"/>
    </xf>
    <xf numFmtId="49" fontId="5" fillId="0" borderId="25" xfId="2" applyNumberFormat="1" applyFont="1" applyBorder="1" applyAlignment="1">
      <alignment horizontal="left" wrapText="1" indent="4"/>
    </xf>
    <xf numFmtId="0" fontId="10" fillId="0" borderId="26" xfId="2" applyFont="1" applyBorder="1"/>
    <xf numFmtId="0" fontId="10" fillId="0" borderId="27" xfId="2" applyFont="1" applyBorder="1" applyAlignment="1">
      <alignment horizontal="right" wrapText="1"/>
    </xf>
    <xf numFmtId="9" fontId="10" fillId="0" borderId="17" xfId="4" applyFont="1" applyBorder="1"/>
    <xf numFmtId="0" fontId="10" fillId="0" borderId="0" xfId="2" applyFont="1"/>
    <xf numFmtId="10" fontId="2" fillId="0" borderId="0" xfId="8" applyNumberFormat="1" applyFont="1"/>
    <xf numFmtId="49" fontId="10" fillId="3" borderId="28" xfId="2" applyNumberFormat="1" applyFont="1" applyFill="1" applyBorder="1" applyAlignment="1">
      <alignment horizontal="left" indent="2"/>
    </xf>
    <xf numFmtId="49" fontId="10" fillId="3" borderId="29" xfId="2" applyNumberFormat="1" applyFont="1" applyFill="1" applyBorder="1" applyAlignment="1">
      <alignment wrapText="1"/>
    </xf>
    <xf numFmtId="3" fontId="10" fillId="3" borderId="30" xfId="2" applyNumberFormat="1" applyFont="1" applyFill="1" applyBorder="1"/>
    <xf numFmtId="164" fontId="10" fillId="3" borderId="30" xfId="1" applyNumberFormat="1" applyFont="1" applyFill="1" applyBorder="1"/>
    <xf numFmtId="164" fontId="12" fillId="3" borderId="30" xfId="1" applyNumberFormat="1" applyFont="1" applyFill="1" applyBorder="1"/>
    <xf numFmtId="9" fontId="10" fillId="3" borderId="30" xfId="4" applyFont="1" applyFill="1" applyBorder="1"/>
    <xf numFmtId="49" fontId="2" fillId="2" borderId="7" xfId="2" applyNumberFormat="1" applyFont="1" applyFill="1" applyBorder="1" applyAlignment="1">
      <alignment horizontal="left" indent="1"/>
    </xf>
    <xf numFmtId="49" fontId="2" fillId="2" borderId="8" xfId="2" applyNumberFormat="1" applyFont="1" applyFill="1" applyBorder="1" applyAlignment="1">
      <alignment horizontal="left" wrapText="1" indent="2"/>
    </xf>
    <xf numFmtId="9" fontId="2" fillId="2" borderId="9" xfId="4" applyFont="1" applyFill="1" applyBorder="1"/>
    <xf numFmtId="49" fontId="10" fillId="3" borderId="7" xfId="2" applyNumberFormat="1" applyFont="1" applyFill="1" applyBorder="1"/>
    <xf numFmtId="49" fontId="10" fillId="3" borderId="8" xfId="2" applyNumberFormat="1" applyFont="1" applyFill="1" applyBorder="1" applyAlignment="1">
      <alignment wrapText="1"/>
    </xf>
    <xf numFmtId="0" fontId="18" fillId="0" borderId="0" xfId="2" applyFont="1"/>
    <xf numFmtId="49" fontId="2" fillId="0" borderId="7" xfId="2" applyNumberFormat="1" applyFont="1" applyBorder="1" applyAlignment="1">
      <alignment horizontal="left" indent="2"/>
    </xf>
    <xf numFmtId="49" fontId="2" fillId="0" borderId="8" xfId="2" applyNumberFormat="1" applyFont="1" applyBorder="1" applyAlignment="1">
      <alignment horizontal="left" wrapText="1" indent="2"/>
    </xf>
    <xf numFmtId="49" fontId="10" fillId="2" borderId="8" xfId="2" applyNumberFormat="1" applyFont="1" applyFill="1" applyBorder="1" applyAlignment="1">
      <alignment horizontal="left" wrapText="1" indent="2"/>
    </xf>
    <xf numFmtId="3" fontId="10" fillId="2" borderId="9" xfId="2" applyNumberFormat="1" applyFont="1" applyFill="1" applyBorder="1"/>
    <xf numFmtId="164" fontId="10" fillId="2" borderId="9" xfId="1" applyNumberFormat="1" applyFont="1" applyFill="1" applyBorder="1"/>
    <xf numFmtId="164" fontId="12" fillId="2" borderId="9" xfId="1" applyNumberFormat="1" applyFont="1" applyFill="1" applyBorder="1"/>
    <xf numFmtId="9" fontId="2" fillId="0" borderId="9" xfId="4" applyFont="1" applyBorder="1" applyAlignment="1">
      <alignment wrapText="1"/>
    </xf>
    <xf numFmtId="49" fontId="2" fillId="14" borderId="7" xfId="2" applyNumberFormat="1" applyFont="1" applyFill="1" applyBorder="1" applyAlignment="1">
      <alignment horizontal="left" indent="2"/>
    </xf>
    <xf numFmtId="0" fontId="2" fillId="11" borderId="8" xfId="2" applyFont="1" applyFill="1" applyBorder="1" applyAlignment="1">
      <alignment horizontal="left" wrapText="1" indent="3"/>
    </xf>
    <xf numFmtId="0" fontId="5" fillId="0" borderId="0" xfId="2" quotePrefix="1" applyFont="1"/>
    <xf numFmtId="9" fontId="2" fillId="0" borderId="11" xfId="4" applyFont="1" applyBorder="1" applyAlignment="1">
      <alignment wrapText="1"/>
    </xf>
    <xf numFmtId="9" fontId="10" fillId="2" borderId="9" xfId="4" applyFont="1" applyFill="1" applyBorder="1"/>
    <xf numFmtId="164" fontId="2" fillId="12" borderId="9" xfId="1" applyNumberFormat="1" applyFont="1" applyFill="1" applyBorder="1"/>
    <xf numFmtId="164" fontId="7" fillId="12" borderId="9" xfId="1" applyNumberFormat="1" applyFont="1" applyFill="1" applyBorder="1"/>
    <xf numFmtId="0" fontId="19" fillId="0" borderId="0" xfId="2" quotePrefix="1" applyFont="1"/>
    <xf numFmtId="49" fontId="19" fillId="0" borderId="7" xfId="2" applyNumberFormat="1" applyFont="1" applyBorder="1" applyAlignment="1">
      <alignment horizontal="left" indent="3"/>
    </xf>
    <xf numFmtId="0" fontId="19" fillId="11" borderId="8" xfId="2" applyFont="1" applyFill="1" applyBorder="1" applyAlignment="1">
      <alignment horizontal="left" wrapText="1" indent="6"/>
    </xf>
    <xf numFmtId="3" fontId="19" fillId="0" borderId="9" xfId="2" applyNumberFormat="1" applyFont="1" applyBorder="1"/>
    <xf numFmtId="164" fontId="19" fillId="12" borderId="9" xfId="1" applyNumberFormat="1" applyFont="1" applyFill="1" applyBorder="1"/>
    <xf numFmtId="164" fontId="20" fillId="12" borderId="9" xfId="1" applyNumberFormat="1" applyFont="1" applyFill="1" applyBorder="1"/>
    <xf numFmtId="9" fontId="19" fillId="0" borderId="9" xfId="4" applyFont="1" applyBorder="1" applyAlignment="1">
      <alignment wrapText="1"/>
    </xf>
    <xf numFmtId="0" fontId="19" fillId="0" borderId="0" xfId="2" applyFont="1"/>
    <xf numFmtId="3" fontId="2" fillId="11" borderId="9" xfId="2" applyNumberFormat="1" applyFont="1" applyFill="1" applyBorder="1"/>
    <xf numFmtId="0" fontId="5" fillId="11" borderId="8" xfId="2" applyFont="1" applyFill="1" applyBorder="1" applyAlignment="1">
      <alignment horizontal="left" wrapText="1" indent="3"/>
    </xf>
    <xf numFmtId="164" fontId="7" fillId="0" borderId="9" xfId="1" applyNumberFormat="1" applyFont="1" applyFill="1" applyBorder="1"/>
    <xf numFmtId="9" fontId="19" fillId="0" borderId="9" xfId="4" applyFont="1" applyFill="1" applyBorder="1" applyAlignment="1">
      <alignment wrapText="1"/>
    </xf>
    <xf numFmtId="9" fontId="19" fillId="2" borderId="9" xfId="4" applyFont="1" applyFill="1" applyBorder="1" applyAlignment="1">
      <alignment wrapText="1"/>
    </xf>
    <xf numFmtId="49" fontId="2" fillId="14" borderId="7" xfId="2" applyNumberFormat="1" applyFont="1" applyFill="1" applyBorder="1" applyAlignment="1">
      <alignment horizontal="left" indent="1"/>
    </xf>
    <xf numFmtId="0" fontId="2" fillId="11" borderId="8" xfId="2" applyFont="1" applyFill="1" applyBorder="1" applyAlignment="1">
      <alignment horizontal="left" indent="2"/>
    </xf>
    <xf numFmtId="0" fontId="15" fillId="11" borderId="8" xfId="2" applyFont="1" applyFill="1" applyBorder="1" applyAlignment="1">
      <alignment horizontal="left" indent="2"/>
    </xf>
    <xf numFmtId="0" fontId="15" fillId="11" borderId="0" xfId="2" applyFont="1" applyFill="1"/>
    <xf numFmtId="0" fontId="2" fillId="11" borderId="31" xfId="2" applyFont="1" applyFill="1" applyBorder="1" applyAlignment="1">
      <alignment horizontal="left" indent="3"/>
    </xf>
    <xf numFmtId="164" fontId="2" fillId="11" borderId="9" xfId="1" applyNumberFormat="1" applyFont="1" applyFill="1" applyBorder="1"/>
    <xf numFmtId="164" fontId="7" fillId="11" borderId="9" xfId="1" applyNumberFormat="1" applyFont="1" applyFill="1" applyBorder="1"/>
    <xf numFmtId="9" fontId="2" fillId="11" borderId="9" xfId="4" applyFont="1" applyFill="1" applyBorder="1"/>
    <xf numFmtId="0" fontId="15" fillId="0" borderId="8" xfId="2" applyFont="1" applyBorder="1" applyAlignment="1">
      <alignment horizontal="left" indent="2"/>
    </xf>
    <xf numFmtId="0" fontId="2" fillId="0" borderId="31" xfId="2" applyFont="1" applyBorder="1" applyAlignment="1">
      <alignment horizontal="left" indent="3"/>
    </xf>
    <xf numFmtId="0" fontId="15" fillId="14" borderId="8" xfId="2" applyFont="1" applyFill="1" applyBorder="1" applyAlignment="1">
      <alignment horizontal="left" indent="2"/>
    </xf>
    <xf numFmtId="0" fontId="2" fillId="0" borderId="0" xfId="2" applyFont="1" applyAlignment="1">
      <alignment horizontal="right"/>
    </xf>
    <xf numFmtId="3" fontId="2" fillId="4" borderId="9" xfId="2" applyNumberFormat="1" applyFont="1" applyFill="1" applyBorder="1"/>
    <xf numFmtId="164" fontId="2" fillId="4" borderId="9" xfId="1" applyNumberFormat="1" applyFont="1" applyFill="1" applyBorder="1"/>
    <xf numFmtId="164" fontId="7" fillId="4" borderId="9" xfId="1" applyNumberFormat="1" applyFont="1" applyFill="1" applyBorder="1"/>
    <xf numFmtId="9" fontId="2" fillId="4" borderId="9" xfId="4" applyFont="1" applyFill="1" applyBorder="1" applyAlignment="1">
      <alignment wrapText="1"/>
    </xf>
    <xf numFmtId="49" fontId="10" fillId="2" borderId="7" xfId="2" applyNumberFormat="1" applyFont="1" applyFill="1" applyBorder="1" applyAlignment="1">
      <alignment horizontal="left" indent="1"/>
    </xf>
    <xf numFmtId="0" fontId="2" fillId="4" borderId="0" xfId="2" quotePrefix="1" applyFont="1" applyFill="1"/>
    <xf numFmtId="0" fontId="2" fillId="4" borderId="0" xfId="2" applyFont="1" applyFill="1"/>
    <xf numFmtId="49" fontId="2" fillId="4" borderId="7" xfId="2" applyNumberFormat="1" applyFont="1" applyFill="1" applyBorder="1" applyAlignment="1">
      <alignment horizontal="left" indent="2"/>
    </xf>
    <xf numFmtId="49" fontId="2" fillId="4" borderId="8" xfId="2" applyNumberFormat="1" applyFont="1" applyFill="1" applyBorder="1" applyAlignment="1">
      <alignment horizontal="left" wrapText="1" indent="4"/>
    </xf>
    <xf numFmtId="0" fontId="21" fillId="0" borderId="0" xfId="2" applyFont="1"/>
    <xf numFmtId="0" fontId="21" fillId="0" borderId="0" xfId="2" quotePrefix="1" applyFont="1"/>
    <xf numFmtId="49" fontId="10" fillId="0" borderId="7" xfId="2" applyNumberFormat="1" applyFont="1" applyBorder="1" applyAlignment="1">
      <alignment horizontal="left" indent="2"/>
    </xf>
    <xf numFmtId="49" fontId="10" fillId="0" borderId="8" xfId="2" applyNumberFormat="1" applyFont="1" applyBorder="1" applyAlignment="1">
      <alignment horizontal="left" wrapText="1" indent="4"/>
    </xf>
    <xf numFmtId="3" fontId="10" fillId="0" borderId="9" xfId="2" applyNumberFormat="1" applyFont="1" applyBorder="1"/>
    <xf numFmtId="164" fontId="10" fillId="0" borderId="9" xfId="1" applyNumberFormat="1" applyFont="1" applyBorder="1"/>
    <xf numFmtId="164" fontId="12" fillId="0" borderId="9" xfId="1" applyNumberFormat="1" applyFont="1" applyBorder="1"/>
    <xf numFmtId="0" fontId="22" fillId="0" borderId="0" xfId="2" applyFont="1"/>
    <xf numFmtId="49" fontId="2" fillId="0" borderId="7" xfId="2" applyNumberFormat="1" applyFont="1" applyBorder="1" applyAlignment="1">
      <alignment horizontal="left" indent="3"/>
    </xf>
    <xf numFmtId="9" fontId="16" fillId="0" borderId="9" xfId="4" applyFont="1" applyFill="1" applyBorder="1" applyAlignment="1">
      <alignment wrapText="1"/>
    </xf>
    <xf numFmtId="49" fontId="23" fillId="2" borderId="7" xfId="2" applyNumberFormat="1" applyFont="1" applyFill="1" applyBorder="1" applyAlignment="1">
      <alignment horizontal="left" indent="1"/>
    </xf>
    <xf numFmtId="49" fontId="10" fillId="0" borderId="13" xfId="2" applyNumberFormat="1" applyFont="1" applyBorder="1"/>
    <xf numFmtId="49" fontId="10" fillId="0" borderId="14" xfId="2" applyNumberFormat="1" applyFont="1" applyBorder="1" applyAlignment="1">
      <alignment horizontal="right" wrapText="1"/>
    </xf>
    <xf numFmtId="3" fontId="10" fillId="0" borderId="32" xfId="2" applyNumberFormat="1" applyFont="1" applyBorder="1"/>
    <xf numFmtId="164" fontId="10" fillId="0" borderId="32" xfId="1" applyNumberFormat="1" applyFont="1" applyBorder="1"/>
    <xf numFmtId="164" fontId="12" fillId="0" borderId="32" xfId="1" applyNumberFormat="1" applyFont="1" applyBorder="1"/>
    <xf numFmtId="9" fontId="10" fillId="0" borderId="32" xfId="4" applyFont="1" applyBorder="1"/>
    <xf numFmtId="3" fontId="10" fillId="0" borderId="33" xfId="2" applyNumberFormat="1" applyFont="1" applyBorder="1"/>
    <xf numFmtId="164" fontId="12" fillId="0" borderId="33" xfId="1" applyNumberFormat="1" applyFont="1" applyBorder="1"/>
    <xf numFmtId="9" fontId="2" fillId="0" borderId="33" xfId="4" applyFont="1" applyBorder="1"/>
    <xf numFmtId="49" fontId="10" fillId="3" borderId="34" xfId="2" applyNumberFormat="1" applyFont="1" applyFill="1" applyBorder="1" applyAlignment="1">
      <alignment horizontal="center"/>
    </xf>
    <xf numFmtId="49" fontId="10" fillId="3" borderId="35" xfId="2" applyNumberFormat="1" applyFont="1" applyFill="1" applyBorder="1" applyAlignment="1">
      <alignment wrapText="1"/>
    </xf>
    <xf numFmtId="3" fontId="10" fillId="3" borderId="36" xfId="2" applyNumberFormat="1" applyFont="1" applyFill="1" applyBorder="1"/>
    <xf numFmtId="164" fontId="10" fillId="3" borderId="36" xfId="1" applyNumberFormat="1" applyFont="1" applyFill="1" applyBorder="1"/>
    <xf numFmtId="164" fontId="12" fillId="3" borderId="36" xfId="1" applyNumberFormat="1" applyFont="1" applyFill="1" applyBorder="1"/>
    <xf numFmtId="9" fontId="10" fillId="3" borderId="36" xfId="4" applyFont="1" applyFill="1" applyBorder="1"/>
    <xf numFmtId="164" fontId="10" fillId="0" borderId="33" xfId="1" applyNumberFormat="1" applyFont="1" applyBorder="1"/>
    <xf numFmtId="0" fontId="9" fillId="0" borderId="0" xfId="3" applyFont="1"/>
    <xf numFmtId="0" fontId="1" fillId="0" borderId="0" xfId="2"/>
    <xf numFmtId="0" fontId="3" fillId="0" borderId="0" xfId="3" applyFont="1"/>
  </cellXfs>
  <cellStyles count="9">
    <cellStyle name="Comma" xfId="1" builtinId="3"/>
    <cellStyle name="Hyperlink" xfId="6" builtinId="8"/>
    <cellStyle name="Komats 10" xfId="5" xr:uid="{0A081C59-B592-488D-B266-E5DEB1C9B352}"/>
    <cellStyle name="Normal" xfId="0" builtinId="0"/>
    <cellStyle name="Normal 2 2" xfId="7" xr:uid="{BE445FD1-DA98-42D5-AC37-AB215F8213A8}"/>
    <cellStyle name="Parasts 2 2 5" xfId="2" xr:uid="{0208B81F-A7CA-4ABB-B432-1B8F12A25CF3}"/>
    <cellStyle name="Parasts 2 2 5 2" xfId="3" xr:uid="{CA4E78CF-89FC-444C-9281-CDD215ADDA6E}"/>
    <cellStyle name="Percent 4" xfId="8" xr:uid="{759BF357-B5C8-450B-AEA7-ACC20E2C738A}"/>
    <cellStyle name="Procenti 2 3" xfId="4" xr:uid="{10EDE7BE-AA88-45A6-9AAD-8DE21165A68A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06BD-8114-4E88-8D51-30506F5BB91F}">
  <sheetPr>
    <tabColor rgb="FF92D050"/>
    <pageSetUpPr fitToPage="1"/>
  </sheetPr>
  <dimension ref="A1:H291"/>
  <sheetViews>
    <sheetView tabSelected="1" zoomScaleNormal="100" zoomScaleSheetLayoutView="80" workbookViewId="0">
      <pane xSplit="4" ySplit="5" topLeftCell="E6" activePane="bottomRight" state="frozen"/>
      <selection activeCell="C1" sqref="C1"/>
      <selection pane="topRight" activeCell="E1" sqref="E1"/>
      <selection pane="bottomLeft" activeCell="C6" sqref="C6"/>
      <selection pane="bottomRight" activeCell="A74" sqref="A74:XFD74"/>
    </sheetView>
  </sheetViews>
  <sheetFormatPr defaultRowHeight="15" outlineLevelRow="1" outlineLevelCol="2" x14ac:dyDescent="0.25"/>
  <cols>
    <col min="1" max="1" width="7.85546875" style="1" hidden="1" customWidth="1" outlineLevel="2"/>
    <col min="2" max="2" width="11.42578125" style="1" hidden="1" customWidth="1" outlineLevel="2"/>
    <col min="3" max="3" width="15" style="132" customWidth="1" collapsed="1"/>
    <col min="4" max="4" width="56" style="5" customWidth="1"/>
    <col min="5" max="5" width="14.85546875" style="10" customWidth="1"/>
    <col min="6" max="6" width="14.85546875" style="11" customWidth="1" collapsed="1"/>
    <col min="7" max="7" width="14.85546875" style="1" customWidth="1" outlineLevel="1"/>
    <col min="8" max="8" width="54" style="16" customWidth="1" outlineLevel="1" collapsed="1"/>
    <col min="9" max="169" width="9" style="1"/>
    <col min="170" max="171" width="0" style="1" hidden="1" customWidth="1"/>
    <col min="172" max="172" width="13.7109375" style="1" customWidth="1"/>
    <col min="173" max="173" width="52.85546875" style="1" customWidth="1"/>
    <col min="174" max="213" width="0" style="1" hidden="1" customWidth="1"/>
    <col min="214" max="215" width="14.85546875" style="1" customWidth="1"/>
    <col min="216" max="217" width="0" style="1" hidden="1" customWidth="1"/>
    <col min="218" max="218" width="14.85546875" style="1" customWidth="1"/>
    <col min="219" max="220" width="0" style="1" hidden="1" customWidth="1"/>
    <col min="221" max="221" width="14.85546875" style="1" customWidth="1"/>
    <col min="222" max="223" width="0" style="1" hidden="1" customWidth="1"/>
    <col min="224" max="224" width="14.85546875" style="1" customWidth="1"/>
    <col min="225" max="226" width="0" style="1" hidden="1" customWidth="1"/>
    <col min="227" max="227" width="14.85546875" style="1" customWidth="1"/>
    <col min="228" max="229" width="0" style="1" hidden="1" customWidth="1"/>
    <col min="230" max="231" width="14.85546875" style="1" customWidth="1"/>
    <col min="232" max="232" width="44.42578125" style="1" customWidth="1"/>
    <col min="233" max="237" width="14.85546875" style="1" customWidth="1"/>
    <col min="238" max="238" width="63.85546875" style="1" customWidth="1"/>
    <col min="239" max="239" width="13.28515625" style="1" customWidth="1"/>
    <col min="240" max="425" width="9" style="1"/>
    <col min="426" max="427" width="0" style="1" hidden="1" customWidth="1"/>
    <col min="428" max="428" width="13.7109375" style="1" customWidth="1"/>
    <col min="429" max="429" width="52.85546875" style="1" customWidth="1"/>
    <col min="430" max="469" width="0" style="1" hidden="1" customWidth="1"/>
    <col min="470" max="471" width="14.85546875" style="1" customWidth="1"/>
    <col min="472" max="473" width="0" style="1" hidden="1" customWidth="1"/>
    <col min="474" max="474" width="14.85546875" style="1" customWidth="1"/>
    <col min="475" max="476" width="0" style="1" hidden="1" customWidth="1"/>
    <col min="477" max="477" width="14.85546875" style="1" customWidth="1"/>
    <col min="478" max="479" width="0" style="1" hidden="1" customWidth="1"/>
    <col min="480" max="480" width="14.85546875" style="1" customWidth="1"/>
    <col min="481" max="482" width="0" style="1" hidden="1" customWidth="1"/>
    <col min="483" max="483" width="14.85546875" style="1" customWidth="1"/>
    <col min="484" max="485" width="0" style="1" hidden="1" customWidth="1"/>
    <col min="486" max="487" width="14.85546875" style="1" customWidth="1"/>
    <col min="488" max="488" width="44.42578125" style="1" customWidth="1"/>
    <col min="489" max="493" width="14.85546875" style="1" customWidth="1"/>
    <col min="494" max="494" width="63.85546875" style="1" customWidth="1"/>
    <col min="495" max="495" width="13.28515625" style="1" customWidth="1"/>
    <col min="496" max="681" width="9" style="1"/>
    <col min="682" max="683" width="0" style="1" hidden="1" customWidth="1"/>
    <col min="684" max="684" width="13.7109375" style="1" customWidth="1"/>
    <col min="685" max="685" width="52.85546875" style="1" customWidth="1"/>
    <col min="686" max="725" width="0" style="1" hidden="1" customWidth="1"/>
    <col min="726" max="727" width="14.85546875" style="1" customWidth="1"/>
    <col min="728" max="729" width="0" style="1" hidden="1" customWidth="1"/>
    <col min="730" max="730" width="14.85546875" style="1" customWidth="1"/>
    <col min="731" max="732" width="0" style="1" hidden="1" customWidth="1"/>
    <col min="733" max="733" width="14.85546875" style="1" customWidth="1"/>
    <col min="734" max="735" width="0" style="1" hidden="1" customWidth="1"/>
    <col min="736" max="736" width="14.85546875" style="1" customWidth="1"/>
    <col min="737" max="738" width="0" style="1" hidden="1" customWidth="1"/>
    <col min="739" max="739" width="14.85546875" style="1" customWidth="1"/>
    <col min="740" max="741" width="0" style="1" hidden="1" customWidth="1"/>
    <col min="742" max="743" width="14.85546875" style="1" customWidth="1"/>
    <col min="744" max="744" width="44.42578125" style="1" customWidth="1"/>
    <col min="745" max="749" width="14.85546875" style="1" customWidth="1"/>
    <col min="750" max="750" width="63.85546875" style="1" customWidth="1"/>
    <col min="751" max="751" width="13.28515625" style="1" customWidth="1"/>
    <col min="752" max="937" width="9" style="1"/>
    <col min="938" max="939" width="0" style="1" hidden="1" customWidth="1"/>
    <col min="940" max="940" width="13.7109375" style="1" customWidth="1"/>
    <col min="941" max="941" width="52.85546875" style="1" customWidth="1"/>
    <col min="942" max="981" width="0" style="1" hidden="1" customWidth="1"/>
    <col min="982" max="983" width="14.85546875" style="1" customWidth="1"/>
    <col min="984" max="985" width="0" style="1" hidden="1" customWidth="1"/>
    <col min="986" max="986" width="14.85546875" style="1" customWidth="1"/>
    <col min="987" max="988" width="0" style="1" hidden="1" customWidth="1"/>
    <col min="989" max="989" width="14.85546875" style="1" customWidth="1"/>
    <col min="990" max="991" width="0" style="1" hidden="1" customWidth="1"/>
    <col min="992" max="992" width="14.85546875" style="1" customWidth="1"/>
    <col min="993" max="994" width="0" style="1" hidden="1" customWidth="1"/>
    <col min="995" max="995" width="14.85546875" style="1" customWidth="1"/>
    <col min="996" max="997" width="0" style="1" hidden="1" customWidth="1"/>
    <col min="998" max="999" width="14.85546875" style="1" customWidth="1"/>
    <col min="1000" max="1000" width="44.42578125" style="1" customWidth="1"/>
    <col min="1001" max="1005" width="14.85546875" style="1" customWidth="1"/>
    <col min="1006" max="1006" width="63.85546875" style="1" customWidth="1"/>
    <col min="1007" max="1007" width="13.28515625" style="1" customWidth="1"/>
    <col min="1008" max="1193" width="9" style="1"/>
    <col min="1194" max="1195" width="0" style="1" hidden="1" customWidth="1"/>
    <col min="1196" max="1196" width="13.7109375" style="1" customWidth="1"/>
    <col min="1197" max="1197" width="52.85546875" style="1" customWidth="1"/>
    <col min="1198" max="1237" width="0" style="1" hidden="1" customWidth="1"/>
    <col min="1238" max="1239" width="14.85546875" style="1" customWidth="1"/>
    <col min="1240" max="1241" width="0" style="1" hidden="1" customWidth="1"/>
    <col min="1242" max="1242" width="14.85546875" style="1" customWidth="1"/>
    <col min="1243" max="1244" width="0" style="1" hidden="1" customWidth="1"/>
    <col min="1245" max="1245" width="14.85546875" style="1" customWidth="1"/>
    <col min="1246" max="1247" width="0" style="1" hidden="1" customWidth="1"/>
    <col min="1248" max="1248" width="14.85546875" style="1" customWidth="1"/>
    <col min="1249" max="1250" width="0" style="1" hidden="1" customWidth="1"/>
    <col min="1251" max="1251" width="14.85546875" style="1" customWidth="1"/>
    <col min="1252" max="1253" width="0" style="1" hidden="1" customWidth="1"/>
    <col min="1254" max="1255" width="14.85546875" style="1" customWidth="1"/>
    <col min="1256" max="1256" width="44.42578125" style="1" customWidth="1"/>
    <col min="1257" max="1261" width="14.85546875" style="1" customWidth="1"/>
    <col min="1262" max="1262" width="63.85546875" style="1" customWidth="1"/>
    <col min="1263" max="1263" width="13.28515625" style="1" customWidth="1"/>
    <col min="1264" max="1449" width="9" style="1"/>
    <col min="1450" max="1451" width="0" style="1" hidden="1" customWidth="1"/>
    <col min="1452" max="1452" width="13.7109375" style="1" customWidth="1"/>
    <col min="1453" max="1453" width="52.85546875" style="1" customWidth="1"/>
    <col min="1454" max="1493" width="0" style="1" hidden="1" customWidth="1"/>
    <col min="1494" max="1495" width="14.85546875" style="1" customWidth="1"/>
    <col min="1496" max="1497" width="0" style="1" hidden="1" customWidth="1"/>
    <col min="1498" max="1498" width="14.85546875" style="1" customWidth="1"/>
    <col min="1499" max="1500" width="0" style="1" hidden="1" customWidth="1"/>
    <col min="1501" max="1501" width="14.85546875" style="1" customWidth="1"/>
    <col min="1502" max="1503" width="0" style="1" hidden="1" customWidth="1"/>
    <col min="1504" max="1504" width="14.85546875" style="1" customWidth="1"/>
    <col min="1505" max="1506" width="0" style="1" hidden="1" customWidth="1"/>
    <col min="1507" max="1507" width="14.85546875" style="1" customWidth="1"/>
    <col min="1508" max="1509" width="0" style="1" hidden="1" customWidth="1"/>
    <col min="1510" max="1511" width="14.85546875" style="1" customWidth="1"/>
    <col min="1512" max="1512" width="44.42578125" style="1" customWidth="1"/>
    <col min="1513" max="1517" width="14.85546875" style="1" customWidth="1"/>
    <col min="1518" max="1518" width="63.85546875" style="1" customWidth="1"/>
    <col min="1519" max="1519" width="13.28515625" style="1" customWidth="1"/>
    <col min="1520" max="1705" width="9" style="1"/>
    <col min="1706" max="1707" width="0" style="1" hidden="1" customWidth="1"/>
    <col min="1708" max="1708" width="13.7109375" style="1" customWidth="1"/>
    <col min="1709" max="1709" width="52.85546875" style="1" customWidth="1"/>
    <col min="1710" max="1749" width="0" style="1" hidden="1" customWidth="1"/>
    <col min="1750" max="1751" width="14.85546875" style="1" customWidth="1"/>
    <col min="1752" max="1753" width="0" style="1" hidden="1" customWidth="1"/>
    <col min="1754" max="1754" width="14.85546875" style="1" customWidth="1"/>
    <col min="1755" max="1756" width="0" style="1" hidden="1" customWidth="1"/>
    <col min="1757" max="1757" width="14.85546875" style="1" customWidth="1"/>
    <col min="1758" max="1759" width="0" style="1" hidden="1" customWidth="1"/>
    <col min="1760" max="1760" width="14.85546875" style="1" customWidth="1"/>
    <col min="1761" max="1762" width="0" style="1" hidden="1" customWidth="1"/>
    <col min="1763" max="1763" width="14.85546875" style="1" customWidth="1"/>
    <col min="1764" max="1765" width="0" style="1" hidden="1" customWidth="1"/>
    <col min="1766" max="1767" width="14.85546875" style="1" customWidth="1"/>
    <col min="1768" max="1768" width="44.42578125" style="1" customWidth="1"/>
    <col min="1769" max="1773" width="14.85546875" style="1" customWidth="1"/>
    <col min="1774" max="1774" width="63.85546875" style="1" customWidth="1"/>
    <col min="1775" max="1775" width="13.28515625" style="1" customWidth="1"/>
    <col min="1776" max="1961" width="9" style="1"/>
    <col min="1962" max="1963" width="0" style="1" hidden="1" customWidth="1"/>
    <col min="1964" max="1964" width="13.7109375" style="1" customWidth="1"/>
    <col min="1965" max="1965" width="52.85546875" style="1" customWidth="1"/>
    <col min="1966" max="2005" width="0" style="1" hidden="1" customWidth="1"/>
    <col min="2006" max="2007" width="14.85546875" style="1" customWidth="1"/>
    <col min="2008" max="2009" width="0" style="1" hidden="1" customWidth="1"/>
    <col min="2010" max="2010" width="14.85546875" style="1" customWidth="1"/>
    <col min="2011" max="2012" width="0" style="1" hidden="1" customWidth="1"/>
    <col min="2013" max="2013" width="14.85546875" style="1" customWidth="1"/>
    <col min="2014" max="2015" width="0" style="1" hidden="1" customWidth="1"/>
    <col min="2016" max="2016" width="14.85546875" style="1" customWidth="1"/>
    <col min="2017" max="2018" width="0" style="1" hidden="1" customWidth="1"/>
    <col min="2019" max="2019" width="14.85546875" style="1" customWidth="1"/>
    <col min="2020" max="2021" width="0" style="1" hidden="1" customWidth="1"/>
    <col min="2022" max="2023" width="14.85546875" style="1" customWidth="1"/>
    <col min="2024" max="2024" width="44.42578125" style="1" customWidth="1"/>
    <col min="2025" max="2029" width="14.85546875" style="1" customWidth="1"/>
    <col min="2030" max="2030" width="63.85546875" style="1" customWidth="1"/>
    <col min="2031" max="2031" width="13.28515625" style="1" customWidth="1"/>
    <col min="2032" max="2217" width="9" style="1"/>
    <col min="2218" max="2219" width="0" style="1" hidden="1" customWidth="1"/>
    <col min="2220" max="2220" width="13.7109375" style="1" customWidth="1"/>
    <col min="2221" max="2221" width="52.85546875" style="1" customWidth="1"/>
    <col min="2222" max="2261" width="0" style="1" hidden="1" customWidth="1"/>
    <col min="2262" max="2263" width="14.85546875" style="1" customWidth="1"/>
    <col min="2264" max="2265" width="0" style="1" hidden="1" customWidth="1"/>
    <col min="2266" max="2266" width="14.85546875" style="1" customWidth="1"/>
    <col min="2267" max="2268" width="0" style="1" hidden="1" customWidth="1"/>
    <col min="2269" max="2269" width="14.85546875" style="1" customWidth="1"/>
    <col min="2270" max="2271" width="0" style="1" hidden="1" customWidth="1"/>
    <col min="2272" max="2272" width="14.85546875" style="1" customWidth="1"/>
    <col min="2273" max="2274" width="0" style="1" hidden="1" customWidth="1"/>
    <col min="2275" max="2275" width="14.85546875" style="1" customWidth="1"/>
    <col min="2276" max="2277" width="0" style="1" hidden="1" customWidth="1"/>
    <col min="2278" max="2279" width="14.85546875" style="1" customWidth="1"/>
    <col min="2280" max="2280" width="44.42578125" style="1" customWidth="1"/>
    <col min="2281" max="2285" width="14.85546875" style="1" customWidth="1"/>
    <col min="2286" max="2286" width="63.85546875" style="1" customWidth="1"/>
    <col min="2287" max="2287" width="13.28515625" style="1" customWidth="1"/>
    <col min="2288" max="2473" width="9" style="1"/>
    <col min="2474" max="2475" width="0" style="1" hidden="1" customWidth="1"/>
    <col min="2476" max="2476" width="13.7109375" style="1" customWidth="1"/>
    <col min="2477" max="2477" width="52.85546875" style="1" customWidth="1"/>
    <col min="2478" max="2517" width="0" style="1" hidden="1" customWidth="1"/>
    <col min="2518" max="2519" width="14.85546875" style="1" customWidth="1"/>
    <col min="2520" max="2521" width="0" style="1" hidden="1" customWidth="1"/>
    <col min="2522" max="2522" width="14.85546875" style="1" customWidth="1"/>
    <col min="2523" max="2524" width="0" style="1" hidden="1" customWidth="1"/>
    <col min="2525" max="2525" width="14.85546875" style="1" customWidth="1"/>
    <col min="2526" max="2527" width="0" style="1" hidden="1" customWidth="1"/>
    <col min="2528" max="2528" width="14.85546875" style="1" customWidth="1"/>
    <col min="2529" max="2530" width="0" style="1" hidden="1" customWidth="1"/>
    <col min="2531" max="2531" width="14.85546875" style="1" customWidth="1"/>
    <col min="2532" max="2533" width="0" style="1" hidden="1" customWidth="1"/>
    <col min="2534" max="2535" width="14.85546875" style="1" customWidth="1"/>
    <col min="2536" max="2536" width="44.42578125" style="1" customWidth="1"/>
    <col min="2537" max="2541" width="14.85546875" style="1" customWidth="1"/>
    <col min="2542" max="2542" width="63.85546875" style="1" customWidth="1"/>
    <col min="2543" max="2543" width="13.28515625" style="1" customWidth="1"/>
    <col min="2544" max="2729" width="9" style="1"/>
    <col min="2730" max="2731" width="0" style="1" hidden="1" customWidth="1"/>
    <col min="2732" max="2732" width="13.7109375" style="1" customWidth="1"/>
    <col min="2733" max="2733" width="52.85546875" style="1" customWidth="1"/>
    <col min="2734" max="2773" width="0" style="1" hidden="1" customWidth="1"/>
    <col min="2774" max="2775" width="14.85546875" style="1" customWidth="1"/>
    <col min="2776" max="2777" width="0" style="1" hidden="1" customWidth="1"/>
    <col min="2778" max="2778" width="14.85546875" style="1" customWidth="1"/>
    <col min="2779" max="2780" width="0" style="1" hidden="1" customWidth="1"/>
    <col min="2781" max="2781" width="14.85546875" style="1" customWidth="1"/>
    <col min="2782" max="2783" width="0" style="1" hidden="1" customWidth="1"/>
    <col min="2784" max="2784" width="14.85546875" style="1" customWidth="1"/>
    <col min="2785" max="2786" width="0" style="1" hidden="1" customWidth="1"/>
    <col min="2787" max="2787" width="14.85546875" style="1" customWidth="1"/>
    <col min="2788" max="2789" width="0" style="1" hidden="1" customWidth="1"/>
    <col min="2790" max="2791" width="14.85546875" style="1" customWidth="1"/>
    <col min="2792" max="2792" width="44.42578125" style="1" customWidth="1"/>
    <col min="2793" max="2797" width="14.85546875" style="1" customWidth="1"/>
    <col min="2798" max="2798" width="63.85546875" style="1" customWidth="1"/>
    <col min="2799" max="2799" width="13.28515625" style="1" customWidth="1"/>
    <col min="2800" max="2985" width="9" style="1"/>
    <col min="2986" max="2987" width="0" style="1" hidden="1" customWidth="1"/>
    <col min="2988" max="2988" width="13.7109375" style="1" customWidth="1"/>
    <col min="2989" max="2989" width="52.85546875" style="1" customWidth="1"/>
    <col min="2990" max="3029" width="0" style="1" hidden="1" customWidth="1"/>
    <col min="3030" max="3031" width="14.85546875" style="1" customWidth="1"/>
    <col min="3032" max="3033" width="0" style="1" hidden="1" customWidth="1"/>
    <col min="3034" max="3034" width="14.85546875" style="1" customWidth="1"/>
    <col min="3035" max="3036" width="0" style="1" hidden="1" customWidth="1"/>
    <col min="3037" max="3037" width="14.85546875" style="1" customWidth="1"/>
    <col min="3038" max="3039" width="0" style="1" hidden="1" customWidth="1"/>
    <col min="3040" max="3040" width="14.85546875" style="1" customWidth="1"/>
    <col min="3041" max="3042" width="0" style="1" hidden="1" customWidth="1"/>
    <col min="3043" max="3043" width="14.85546875" style="1" customWidth="1"/>
    <col min="3044" max="3045" width="0" style="1" hidden="1" customWidth="1"/>
    <col min="3046" max="3047" width="14.85546875" style="1" customWidth="1"/>
    <col min="3048" max="3048" width="44.42578125" style="1" customWidth="1"/>
    <col min="3049" max="3053" width="14.85546875" style="1" customWidth="1"/>
    <col min="3054" max="3054" width="63.85546875" style="1" customWidth="1"/>
    <col min="3055" max="3055" width="13.28515625" style="1" customWidth="1"/>
    <col min="3056" max="3241" width="9" style="1"/>
    <col min="3242" max="3243" width="0" style="1" hidden="1" customWidth="1"/>
    <col min="3244" max="3244" width="13.7109375" style="1" customWidth="1"/>
    <col min="3245" max="3245" width="52.85546875" style="1" customWidth="1"/>
    <col min="3246" max="3285" width="0" style="1" hidden="1" customWidth="1"/>
    <col min="3286" max="3287" width="14.85546875" style="1" customWidth="1"/>
    <col min="3288" max="3289" width="0" style="1" hidden="1" customWidth="1"/>
    <col min="3290" max="3290" width="14.85546875" style="1" customWidth="1"/>
    <col min="3291" max="3292" width="0" style="1" hidden="1" customWidth="1"/>
    <col min="3293" max="3293" width="14.85546875" style="1" customWidth="1"/>
    <col min="3294" max="3295" width="0" style="1" hidden="1" customWidth="1"/>
    <col min="3296" max="3296" width="14.85546875" style="1" customWidth="1"/>
    <col min="3297" max="3298" width="0" style="1" hidden="1" customWidth="1"/>
    <col min="3299" max="3299" width="14.85546875" style="1" customWidth="1"/>
    <col min="3300" max="3301" width="0" style="1" hidden="1" customWidth="1"/>
    <col min="3302" max="3303" width="14.85546875" style="1" customWidth="1"/>
    <col min="3304" max="3304" width="44.42578125" style="1" customWidth="1"/>
    <col min="3305" max="3309" width="14.85546875" style="1" customWidth="1"/>
    <col min="3310" max="3310" width="63.85546875" style="1" customWidth="1"/>
    <col min="3311" max="3311" width="13.28515625" style="1" customWidth="1"/>
    <col min="3312" max="3497" width="9" style="1"/>
    <col min="3498" max="3499" width="0" style="1" hidden="1" customWidth="1"/>
    <col min="3500" max="3500" width="13.7109375" style="1" customWidth="1"/>
    <col min="3501" max="3501" width="52.85546875" style="1" customWidth="1"/>
    <col min="3502" max="3541" width="0" style="1" hidden="1" customWidth="1"/>
    <col min="3542" max="3543" width="14.85546875" style="1" customWidth="1"/>
    <col min="3544" max="3545" width="0" style="1" hidden="1" customWidth="1"/>
    <col min="3546" max="3546" width="14.85546875" style="1" customWidth="1"/>
    <col min="3547" max="3548" width="0" style="1" hidden="1" customWidth="1"/>
    <col min="3549" max="3549" width="14.85546875" style="1" customWidth="1"/>
    <col min="3550" max="3551" width="0" style="1" hidden="1" customWidth="1"/>
    <col min="3552" max="3552" width="14.85546875" style="1" customWidth="1"/>
    <col min="3553" max="3554" width="0" style="1" hidden="1" customWidth="1"/>
    <col min="3555" max="3555" width="14.85546875" style="1" customWidth="1"/>
    <col min="3556" max="3557" width="0" style="1" hidden="1" customWidth="1"/>
    <col min="3558" max="3559" width="14.85546875" style="1" customWidth="1"/>
    <col min="3560" max="3560" width="44.42578125" style="1" customWidth="1"/>
    <col min="3561" max="3565" width="14.85546875" style="1" customWidth="1"/>
    <col min="3566" max="3566" width="63.85546875" style="1" customWidth="1"/>
    <col min="3567" max="3567" width="13.28515625" style="1" customWidth="1"/>
    <col min="3568" max="3753" width="9" style="1"/>
    <col min="3754" max="3755" width="0" style="1" hidden="1" customWidth="1"/>
    <col min="3756" max="3756" width="13.7109375" style="1" customWidth="1"/>
    <col min="3757" max="3757" width="52.85546875" style="1" customWidth="1"/>
    <col min="3758" max="3797" width="0" style="1" hidden="1" customWidth="1"/>
    <col min="3798" max="3799" width="14.85546875" style="1" customWidth="1"/>
    <col min="3800" max="3801" width="0" style="1" hidden="1" customWidth="1"/>
    <col min="3802" max="3802" width="14.85546875" style="1" customWidth="1"/>
    <col min="3803" max="3804" width="0" style="1" hidden="1" customWidth="1"/>
    <col min="3805" max="3805" width="14.85546875" style="1" customWidth="1"/>
    <col min="3806" max="3807" width="0" style="1" hidden="1" customWidth="1"/>
    <col min="3808" max="3808" width="14.85546875" style="1" customWidth="1"/>
    <col min="3809" max="3810" width="0" style="1" hidden="1" customWidth="1"/>
    <col min="3811" max="3811" width="14.85546875" style="1" customWidth="1"/>
    <col min="3812" max="3813" width="0" style="1" hidden="1" customWidth="1"/>
    <col min="3814" max="3815" width="14.85546875" style="1" customWidth="1"/>
    <col min="3816" max="3816" width="44.42578125" style="1" customWidth="1"/>
    <col min="3817" max="3821" width="14.85546875" style="1" customWidth="1"/>
    <col min="3822" max="3822" width="63.85546875" style="1" customWidth="1"/>
    <col min="3823" max="3823" width="13.28515625" style="1" customWidth="1"/>
    <col min="3824" max="4009" width="9" style="1"/>
    <col min="4010" max="4011" width="0" style="1" hidden="1" customWidth="1"/>
    <col min="4012" max="4012" width="13.7109375" style="1" customWidth="1"/>
    <col min="4013" max="4013" width="52.85546875" style="1" customWidth="1"/>
    <col min="4014" max="4053" width="0" style="1" hidden="1" customWidth="1"/>
    <col min="4054" max="4055" width="14.85546875" style="1" customWidth="1"/>
    <col min="4056" max="4057" width="0" style="1" hidden="1" customWidth="1"/>
    <col min="4058" max="4058" width="14.85546875" style="1" customWidth="1"/>
    <col min="4059" max="4060" width="0" style="1" hidden="1" customWidth="1"/>
    <col min="4061" max="4061" width="14.85546875" style="1" customWidth="1"/>
    <col min="4062" max="4063" width="0" style="1" hidden="1" customWidth="1"/>
    <col min="4064" max="4064" width="14.85546875" style="1" customWidth="1"/>
    <col min="4065" max="4066" width="0" style="1" hidden="1" customWidth="1"/>
    <col min="4067" max="4067" width="14.85546875" style="1" customWidth="1"/>
    <col min="4068" max="4069" width="0" style="1" hidden="1" customWidth="1"/>
    <col min="4070" max="4071" width="14.85546875" style="1" customWidth="1"/>
    <col min="4072" max="4072" width="44.42578125" style="1" customWidth="1"/>
    <col min="4073" max="4077" width="14.85546875" style="1" customWidth="1"/>
    <col min="4078" max="4078" width="63.85546875" style="1" customWidth="1"/>
    <col min="4079" max="4079" width="13.28515625" style="1" customWidth="1"/>
    <col min="4080" max="4265" width="9" style="1"/>
    <col min="4266" max="4267" width="0" style="1" hidden="1" customWidth="1"/>
    <col min="4268" max="4268" width="13.7109375" style="1" customWidth="1"/>
    <col min="4269" max="4269" width="52.85546875" style="1" customWidth="1"/>
    <col min="4270" max="4309" width="0" style="1" hidden="1" customWidth="1"/>
    <col min="4310" max="4311" width="14.85546875" style="1" customWidth="1"/>
    <col min="4312" max="4313" width="0" style="1" hidden="1" customWidth="1"/>
    <col min="4314" max="4314" width="14.85546875" style="1" customWidth="1"/>
    <col min="4315" max="4316" width="0" style="1" hidden="1" customWidth="1"/>
    <col min="4317" max="4317" width="14.85546875" style="1" customWidth="1"/>
    <col min="4318" max="4319" width="0" style="1" hidden="1" customWidth="1"/>
    <col min="4320" max="4320" width="14.85546875" style="1" customWidth="1"/>
    <col min="4321" max="4322" width="0" style="1" hidden="1" customWidth="1"/>
    <col min="4323" max="4323" width="14.85546875" style="1" customWidth="1"/>
    <col min="4324" max="4325" width="0" style="1" hidden="1" customWidth="1"/>
    <col min="4326" max="4327" width="14.85546875" style="1" customWidth="1"/>
    <col min="4328" max="4328" width="44.42578125" style="1" customWidth="1"/>
    <col min="4329" max="4333" width="14.85546875" style="1" customWidth="1"/>
    <col min="4334" max="4334" width="63.85546875" style="1" customWidth="1"/>
    <col min="4335" max="4335" width="13.28515625" style="1" customWidth="1"/>
    <col min="4336" max="4521" width="9" style="1"/>
    <col min="4522" max="4523" width="0" style="1" hidden="1" customWidth="1"/>
    <col min="4524" max="4524" width="13.7109375" style="1" customWidth="1"/>
    <col min="4525" max="4525" width="52.85546875" style="1" customWidth="1"/>
    <col min="4526" max="4565" width="0" style="1" hidden="1" customWidth="1"/>
    <col min="4566" max="4567" width="14.85546875" style="1" customWidth="1"/>
    <col min="4568" max="4569" width="0" style="1" hidden="1" customWidth="1"/>
    <col min="4570" max="4570" width="14.85546875" style="1" customWidth="1"/>
    <col min="4571" max="4572" width="0" style="1" hidden="1" customWidth="1"/>
    <col min="4573" max="4573" width="14.85546875" style="1" customWidth="1"/>
    <col min="4574" max="4575" width="0" style="1" hidden="1" customWidth="1"/>
    <col min="4576" max="4576" width="14.85546875" style="1" customWidth="1"/>
    <col min="4577" max="4578" width="0" style="1" hidden="1" customWidth="1"/>
    <col min="4579" max="4579" width="14.85546875" style="1" customWidth="1"/>
    <col min="4580" max="4581" width="0" style="1" hidden="1" customWidth="1"/>
    <col min="4582" max="4583" width="14.85546875" style="1" customWidth="1"/>
    <col min="4584" max="4584" width="44.42578125" style="1" customWidth="1"/>
    <col min="4585" max="4589" width="14.85546875" style="1" customWidth="1"/>
    <col min="4590" max="4590" width="63.85546875" style="1" customWidth="1"/>
    <col min="4591" max="4591" width="13.28515625" style="1" customWidth="1"/>
    <col min="4592" max="4777" width="9" style="1"/>
    <col min="4778" max="4779" width="0" style="1" hidden="1" customWidth="1"/>
    <col min="4780" max="4780" width="13.7109375" style="1" customWidth="1"/>
    <col min="4781" max="4781" width="52.85546875" style="1" customWidth="1"/>
    <col min="4782" max="4821" width="0" style="1" hidden="1" customWidth="1"/>
    <col min="4822" max="4823" width="14.85546875" style="1" customWidth="1"/>
    <col min="4824" max="4825" width="0" style="1" hidden="1" customWidth="1"/>
    <col min="4826" max="4826" width="14.85546875" style="1" customWidth="1"/>
    <col min="4827" max="4828" width="0" style="1" hidden="1" customWidth="1"/>
    <col min="4829" max="4829" width="14.85546875" style="1" customWidth="1"/>
    <col min="4830" max="4831" width="0" style="1" hidden="1" customWidth="1"/>
    <col min="4832" max="4832" width="14.85546875" style="1" customWidth="1"/>
    <col min="4833" max="4834" width="0" style="1" hidden="1" customWidth="1"/>
    <col min="4835" max="4835" width="14.85546875" style="1" customWidth="1"/>
    <col min="4836" max="4837" width="0" style="1" hidden="1" customWidth="1"/>
    <col min="4838" max="4839" width="14.85546875" style="1" customWidth="1"/>
    <col min="4840" max="4840" width="44.42578125" style="1" customWidth="1"/>
    <col min="4841" max="4845" width="14.85546875" style="1" customWidth="1"/>
    <col min="4846" max="4846" width="63.85546875" style="1" customWidth="1"/>
    <col min="4847" max="4847" width="13.28515625" style="1" customWidth="1"/>
    <col min="4848" max="5033" width="9" style="1"/>
    <col min="5034" max="5035" width="0" style="1" hidden="1" customWidth="1"/>
    <col min="5036" max="5036" width="13.7109375" style="1" customWidth="1"/>
    <col min="5037" max="5037" width="52.85546875" style="1" customWidth="1"/>
    <col min="5038" max="5077" width="0" style="1" hidden="1" customWidth="1"/>
    <col min="5078" max="5079" width="14.85546875" style="1" customWidth="1"/>
    <col min="5080" max="5081" width="0" style="1" hidden="1" customWidth="1"/>
    <col min="5082" max="5082" width="14.85546875" style="1" customWidth="1"/>
    <col min="5083" max="5084" width="0" style="1" hidden="1" customWidth="1"/>
    <col min="5085" max="5085" width="14.85546875" style="1" customWidth="1"/>
    <col min="5086" max="5087" width="0" style="1" hidden="1" customWidth="1"/>
    <col min="5088" max="5088" width="14.85546875" style="1" customWidth="1"/>
    <col min="5089" max="5090" width="0" style="1" hidden="1" customWidth="1"/>
    <col min="5091" max="5091" width="14.85546875" style="1" customWidth="1"/>
    <col min="5092" max="5093" width="0" style="1" hidden="1" customWidth="1"/>
    <col min="5094" max="5095" width="14.85546875" style="1" customWidth="1"/>
    <col min="5096" max="5096" width="44.42578125" style="1" customWidth="1"/>
    <col min="5097" max="5101" width="14.85546875" style="1" customWidth="1"/>
    <col min="5102" max="5102" width="63.85546875" style="1" customWidth="1"/>
    <col min="5103" max="5103" width="13.28515625" style="1" customWidth="1"/>
    <col min="5104" max="5289" width="9" style="1"/>
    <col min="5290" max="5291" width="0" style="1" hidden="1" customWidth="1"/>
    <col min="5292" max="5292" width="13.7109375" style="1" customWidth="1"/>
    <col min="5293" max="5293" width="52.85546875" style="1" customWidth="1"/>
    <col min="5294" max="5333" width="0" style="1" hidden="1" customWidth="1"/>
    <col min="5334" max="5335" width="14.85546875" style="1" customWidth="1"/>
    <col min="5336" max="5337" width="0" style="1" hidden="1" customWidth="1"/>
    <col min="5338" max="5338" width="14.85546875" style="1" customWidth="1"/>
    <col min="5339" max="5340" width="0" style="1" hidden="1" customWidth="1"/>
    <col min="5341" max="5341" width="14.85546875" style="1" customWidth="1"/>
    <col min="5342" max="5343" width="0" style="1" hidden="1" customWidth="1"/>
    <col min="5344" max="5344" width="14.85546875" style="1" customWidth="1"/>
    <col min="5345" max="5346" width="0" style="1" hidden="1" customWidth="1"/>
    <col min="5347" max="5347" width="14.85546875" style="1" customWidth="1"/>
    <col min="5348" max="5349" width="0" style="1" hidden="1" customWidth="1"/>
    <col min="5350" max="5351" width="14.85546875" style="1" customWidth="1"/>
    <col min="5352" max="5352" width="44.42578125" style="1" customWidth="1"/>
    <col min="5353" max="5357" width="14.85546875" style="1" customWidth="1"/>
    <col min="5358" max="5358" width="63.85546875" style="1" customWidth="1"/>
    <col min="5359" max="5359" width="13.28515625" style="1" customWidth="1"/>
    <col min="5360" max="5545" width="9" style="1"/>
    <col min="5546" max="5547" width="0" style="1" hidden="1" customWidth="1"/>
    <col min="5548" max="5548" width="13.7109375" style="1" customWidth="1"/>
    <col min="5549" max="5549" width="52.85546875" style="1" customWidth="1"/>
    <col min="5550" max="5589" width="0" style="1" hidden="1" customWidth="1"/>
    <col min="5590" max="5591" width="14.85546875" style="1" customWidth="1"/>
    <col min="5592" max="5593" width="0" style="1" hidden="1" customWidth="1"/>
    <col min="5594" max="5594" width="14.85546875" style="1" customWidth="1"/>
    <col min="5595" max="5596" width="0" style="1" hidden="1" customWidth="1"/>
    <col min="5597" max="5597" width="14.85546875" style="1" customWidth="1"/>
    <col min="5598" max="5599" width="0" style="1" hidden="1" customWidth="1"/>
    <col min="5600" max="5600" width="14.85546875" style="1" customWidth="1"/>
    <col min="5601" max="5602" width="0" style="1" hidden="1" customWidth="1"/>
    <col min="5603" max="5603" width="14.85546875" style="1" customWidth="1"/>
    <col min="5604" max="5605" width="0" style="1" hidden="1" customWidth="1"/>
    <col min="5606" max="5607" width="14.85546875" style="1" customWidth="1"/>
    <col min="5608" max="5608" width="44.42578125" style="1" customWidth="1"/>
    <col min="5609" max="5613" width="14.85546875" style="1" customWidth="1"/>
    <col min="5614" max="5614" width="63.85546875" style="1" customWidth="1"/>
    <col min="5615" max="5615" width="13.28515625" style="1" customWidth="1"/>
    <col min="5616" max="5801" width="9" style="1"/>
    <col min="5802" max="5803" width="0" style="1" hidden="1" customWidth="1"/>
    <col min="5804" max="5804" width="13.7109375" style="1" customWidth="1"/>
    <col min="5805" max="5805" width="52.85546875" style="1" customWidth="1"/>
    <col min="5806" max="5845" width="0" style="1" hidden="1" customWidth="1"/>
    <col min="5846" max="5847" width="14.85546875" style="1" customWidth="1"/>
    <col min="5848" max="5849" width="0" style="1" hidden="1" customWidth="1"/>
    <col min="5850" max="5850" width="14.85546875" style="1" customWidth="1"/>
    <col min="5851" max="5852" width="0" style="1" hidden="1" customWidth="1"/>
    <col min="5853" max="5853" width="14.85546875" style="1" customWidth="1"/>
    <col min="5854" max="5855" width="0" style="1" hidden="1" customWidth="1"/>
    <col min="5856" max="5856" width="14.85546875" style="1" customWidth="1"/>
    <col min="5857" max="5858" width="0" style="1" hidden="1" customWidth="1"/>
    <col min="5859" max="5859" width="14.85546875" style="1" customWidth="1"/>
    <col min="5860" max="5861" width="0" style="1" hidden="1" customWidth="1"/>
    <col min="5862" max="5863" width="14.85546875" style="1" customWidth="1"/>
    <col min="5864" max="5864" width="44.42578125" style="1" customWidth="1"/>
    <col min="5865" max="5869" width="14.85546875" style="1" customWidth="1"/>
    <col min="5870" max="5870" width="63.85546875" style="1" customWidth="1"/>
    <col min="5871" max="5871" width="13.28515625" style="1" customWidth="1"/>
    <col min="5872" max="6057" width="9" style="1"/>
    <col min="6058" max="6059" width="0" style="1" hidden="1" customWidth="1"/>
    <col min="6060" max="6060" width="13.7109375" style="1" customWidth="1"/>
    <col min="6061" max="6061" width="52.85546875" style="1" customWidth="1"/>
    <col min="6062" max="6101" width="0" style="1" hidden="1" customWidth="1"/>
    <col min="6102" max="6103" width="14.85546875" style="1" customWidth="1"/>
    <col min="6104" max="6105" width="0" style="1" hidden="1" customWidth="1"/>
    <col min="6106" max="6106" width="14.85546875" style="1" customWidth="1"/>
    <col min="6107" max="6108" width="0" style="1" hidden="1" customWidth="1"/>
    <col min="6109" max="6109" width="14.85546875" style="1" customWidth="1"/>
    <col min="6110" max="6111" width="0" style="1" hidden="1" customWidth="1"/>
    <col min="6112" max="6112" width="14.85546875" style="1" customWidth="1"/>
    <col min="6113" max="6114" width="0" style="1" hidden="1" customWidth="1"/>
    <col min="6115" max="6115" width="14.85546875" style="1" customWidth="1"/>
    <col min="6116" max="6117" width="0" style="1" hidden="1" customWidth="1"/>
    <col min="6118" max="6119" width="14.85546875" style="1" customWidth="1"/>
    <col min="6120" max="6120" width="44.42578125" style="1" customWidth="1"/>
    <col min="6121" max="6125" width="14.85546875" style="1" customWidth="1"/>
    <col min="6126" max="6126" width="63.85546875" style="1" customWidth="1"/>
    <col min="6127" max="6127" width="13.28515625" style="1" customWidth="1"/>
    <col min="6128" max="6313" width="9" style="1"/>
    <col min="6314" max="6315" width="0" style="1" hidden="1" customWidth="1"/>
    <col min="6316" max="6316" width="13.7109375" style="1" customWidth="1"/>
    <col min="6317" max="6317" width="52.85546875" style="1" customWidth="1"/>
    <col min="6318" max="6357" width="0" style="1" hidden="1" customWidth="1"/>
    <col min="6358" max="6359" width="14.85546875" style="1" customWidth="1"/>
    <col min="6360" max="6361" width="0" style="1" hidden="1" customWidth="1"/>
    <col min="6362" max="6362" width="14.85546875" style="1" customWidth="1"/>
    <col min="6363" max="6364" width="0" style="1" hidden="1" customWidth="1"/>
    <col min="6365" max="6365" width="14.85546875" style="1" customWidth="1"/>
    <col min="6366" max="6367" width="0" style="1" hidden="1" customWidth="1"/>
    <col min="6368" max="6368" width="14.85546875" style="1" customWidth="1"/>
    <col min="6369" max="6370" width="0" style="1" hidden="1" customWidth="1"/>
    <col min="6371" max="6371" width="14.85546875" style="1" customWidth="1"/>
    <col min="6372" max="6373" width="0" style="1" hidden="1" customWidth="1"/>
    <col min="6374" max="6375" width="14.85546875" style="1" customWidth="1"/>
    <col min="6376" max="6376" width="44.42578125" style="1" customWidth="1"/>
    <col min="6377" max="6381" width="14.85546875" style="1" customWidth="1"/>
    <col min="6382" max="6382" width="63.85546875" style="1" customWidth="1"/>
    <col min="6383" max="6383" width="13.28515625" style="1" customWidth="1"/>
    <col min="6384" max="6569" width="9" style="1"/>
    <col min="6570" max="6571" width="0" style="1" hidden="1" customWidth="1"/>
    <col min="6572" max="6572" width="13.7109375" style="1" customWidth="1"/>
    <col min="6573" max="6573" width="52.85546875" style="1" customWidth="1"/>
    <col min="6574" max="6613" width="0" style="1" hidden="1" customWidth="1"/>
    <col min="6614" max="6615" width="14.85546875" style="1" customWidth="1"/>
    <col min="6616" max="6617" width="0" style="1" hidden="1" customWidth="1"/>
    <col min="6618" max="6618" width="14.85546875" style="1" customWidth="1"/>
    <col min="6619" max="6620" width="0" style="1" hidden="1" customWidth="1"/>
    <col min="6621" max="6621" width="14.85546875" style="1" customWidth="1"/>
    <col min="6622" max="6623" width="0" style="1" hidden="1" customWidth="1"/>
    <col min="6624" max="6624" width="14.85546875" style="1" customWidth="1"/>
    <col min="6625" max="6626" width="0" style="1" hidden="1" customWidth="1"/>
    <col min="6627" max="6627" width="14.85546875" style="1" customWidth="1"/>
    <col min="6628" max="6629" width="0" style="1" hidden="1" customWidth="1"/>
    <col min="6630" max="6631" width="14.85546875" style="1" customWidth="1"/>
    <col min="6632" max="6632" width="44.42578125" style="1" customWidth="1"/>
    <col min="6633" max="6637" width="14.85546875" style="1" customWidth="1"/>
    <col min="6638" max="6638" width="63.85546875" style="1" customWidth="1"/>
    <col min="6639" max="6639" width="13.28515625" style="1" customWidth="1"/>
    <col min="6640" max="6825" width="9" style="1"/>
    <col min="6826" max="6827" width="0" style="1" hidden="1" customWidth="1"/>
    <col min="6828" max="6828" width="13.7109375" style="1" customWidth="1"/>
    <col min="6829" max="6829" width="52.85546875" style="1" customWidth="1"/>
    <col min="6830" max="6869" width="0" style="1" hidden="1" customWidth="1"/>
    <col min="6870" max="6871" width="14.85546875" style="1" customWidth="1"/>
    <col min="6872" max="6873" width="0" style="1" hidden="1" customWidth="1"/>
    <col min="6874" max="6874" width="14.85546875" style="1" customWidth="1"/>
    <col min="6875" max="6876" width="0" style="1" hidden="1" customWidth="1"/>
    <col min="6877" max="6877" width="14.85546875" style="1" customWidth="1"/>
    <col min="6878" max="6879" width="0" style="1" hidden="1" customWidth="1"/>
    <col min="6880" max="6880" width="14.85546875" style="1" customWidth="1"/>
    <col min="6881" max="6882" width="0" style="1" hidden="1" customWidth="1"/>
    <col min="6883" max="6883" width="14.85546875" style="1" customWidth="1"/>
    <col min="6884" max="6885" width="0" style="1" hidden="1" customWidth="1"/>
    <col min="6886" max="6887" width="14.85546875" style="1" customWidth="1"/>
    <col min="6888" max="6888" width="44.42578125" style="1" customWidth="1"/>
    <col min="6889" max="6893" width="14.85546875" style="1" customWidth="1"/>
    <col min="6894" max="6894" width="63.85546875" style="1" customWidth="1"/>
    <col min="6895" max="6895" width="13.28515625" style="1" customWidth="1"/>
    <col min="6896" max="7081" width="9" style="1"/>
    <col min="7082" max="7083" width="0" style="1" hidden="1" customWidth="1"/>
    <col min="7084" max="7084" width="13.7109375" style="1" customWidth="1"/>
    <col min="7085" max="7085" width="52.85546875" style="1" customWidth="1"/>
    <col min="7086" max="7125" width="0" style="1" hidden="1" customWidth="1"/>
    <col min="7126" max="7127" width="14.85546875" style="1" customWidth="1"/>
    <col min="7128" max="7129" width="0" style="1" hidden="1" customWidth="1"/>
    <col min="7130" max="7130" width="14.85546875" style="1" customWidth="1"/>
    <col min="7131" max="7132" width="0" style="1" hidden="1" customWidth="1"/>
    <col min="7133" max="7133" width="14.85546875" style="1" customWidth="1"/>
    <col min="7134" max="7135" width="0" style="1" hidden="1" customWidth="1"/>
    <col min="7136" max="7136" width="14.85546875" style="1" customWidth="1"/>
    <col min="7137" max="7138" width="0" style="1" hidden="1" customWidth="1"/>
    <col min="7139" max="7139" width="14.85546875" style="1" customWidth="1"/>
    <col min="7140" max="7141" width="0" style="1" hidden="1" customWidth="1"/>
    <col min="7142" max="7143" width="14.85546875" style="1" customWidth="1"/>
    <col min="7144" max="7144" width="44.42578125" style="1" customWidth="1"/>
    <col min="7145" max="7149" width="14.85546875" style="1" customWidth="1"/>
    <col min="7150" max="7150" width="63.85546875" style="1" customWidth="1"/>
    <col min="7151" max="7151" width="13.28515625" style="1" customWidth="1"/>
    <col min="7152" max="7337" width="9" style="1"/>
    <col min="7338" max="7339" width="0" style="1" hidden="1" customWidth="1"/>
    <col min="7340" max="7340" width="13.7109375" style="1" customWidth="1"/>
    <col min="7341" max="7341" width="52.85546875" style="1" customWidth="1"/>
    <col min="7342" max="7381" width="0" style="1" hidden="1" customWidth="1"/>
    <col min="7382" max="7383" width="14.85546875" style="1" customWidth="1"/>
    <col min="7384" max="7385" width="0" style="1" hidden="1" customWidth="1"/>
    <col min="7386" max="7386" width="14.85546875" style="1" customWidth="1"/>
    <col min="7387" max="7388" width="0" style="1" hidden="1" customWidth="1"/>
    <col min="7389" max="7389" width="14.85546875" style="1" customWidth="1"/>
    <col min="7390" max="7391" width="0" style="1" hidden="1" customWidth="1"/>
    <col min="7392" max="7392" width="14.85546875" style="1" customWidth="1"/>
    <col min="7393" max="7394" width="0" style="1" hidden="1" customWidth="1"/>
    <col min="7395" max="7395" width="14.85546875" style="1" customWidth="1"/>
    <col min="7396" max="7397" width="0" style="1" hidden="1" customWidth="1"/>
    <col min="7398" max="7399" width="14.85546875" style="1" customWidth="1"/>
    <col min="7400" max="7400" width="44.42578125" style="1" customWidth="1"/>
    <col min="7401" max="7405" width="14.85546875" style="1" customWidth="1"/>
    <col min="7406" max="7406" width="63.85546875" style="1" customWidth="1"/>
    <col min="7407" max="7407" width="13.28515625" style="1" customWidth="1"/>
    <col min="7408" max="7593" width="9" style="1"/>
    <col min="7594" max="7595" width="0" style="1" hidden="1" customWidth="1"/>
    <col min="7596" max="7596" width="13.7109375" style="1" customWidth="1"/>
    <col min="7597" max="7597" width="52.85546875" style="1" customWidth="1"/>
    <col min="7598" max="7637" width="0" style="1" hidden="1" customWidth="1"/>
    <col min="7638" max="7639" width="14.85546875" style="1" customWidth="1"/>
    <col min="7640" max="7641" width="0" style="1" hidden="1" customWidth="1"/>
    <col min="7642" max="7642" width="14.85546875" style="1" customWidth="1"/>
    <col min="7643" max="7644" width="0" style="1" hidden="1" customWidth="1"/>
    <col min="7645" max="7645" width="14.85546875" style="1" customWidth="1"/>
    <col min="7646" max="7647" width="0" style="1" hidden="1" customWidth="1"/>
    <col min="7648" max="7648" width="14.85546875" style="1" customWidth="1"/>
    <col min="7649" max="7650" width="0" style="1" hidden="1" customWidth="1"/>
    <col min="7651" max="7651" width="14.85546875" style="1" customWidth="1"/>
    <col min="7652" max="7653" width="0" style="1" hidden="1" customWidth="1"/>
    <col min="7654" max="7655" width="14.85546875" style="1" customWidth="1"/>
    <col min="7656" max="7656" width="44.42578125" style="1" customWidth="1"/>
    <col min="7657" max="7661" width="14.85546875" style="1" customWidth="1"/>
    <col min="7662" max="7662" width="63.85546875" style="1" customWidth="1"/>
    <col min="7663" max="7663" width="13.28515625" style="1" customWidth="1"/>
    <col min="7664" max="7849" width="9" style="1"/>
    <col min="7850" max="7851" width="0" style="1" hidden="1" customWidth="1"/>
    <col min="7852" max="7852" width="13.7109375" style="1" customWidth="1"/>
    <col min="7853" max="7853" width="52.85546875" style="1" customWidth="1"/>
    <col min="7854" max="7893" width="0" style="1" hidden="1" customWidth="1"/>
    <col min="7894" max="7895" width="14.85546875" style="1" customWidth="1"/>
    <col min="7896" max="7897" width="0" style="1" hidden="1" customWidth="1"/>
    <col min="7898" max="7898" width="14.85546875" style="1" customWidth="1"/>
    <col min="7899" max="7900" width="0" style="1" hidden="1" customWidth="1"/>
    <col min="7901" max="7901" width="14.85546875" style="1" customWidth="1"/>
    <col min="7902" max="7903" width="0" style="1" hidden="1" customWidth="1"/>
    <col min="7904" max="7904" width="14.85546875" style="1" customWidth="1"/>
    <col min="7905" max="7906" width="0" style="1" hidden="1" customWidth="1"/>
    <col min="7907" max="7907" width="14.85546875" style="1" customWidth="1"/>
    <col min="7908" max="7909" width="0" style="1" hidden="1" customWidth="1"/>
    <col min="7910" max="7911" width="14.85546875" style="1" customWidth="1"/>
    <col min="7912" max="7912" width="44.42578125" style="1" customWidth="1"/>
    <col min="7913" max="7917" width="14.85546875" style="1" customWidth="1"/>
    <col min="7918" max="7918" width="63.85546875" style="1" customWidth="1"/>
    <col min="7919" max="7919" width="13.28515625" style="1" customWidth="1"/>
    <col min="7920" max="8105" width="9" style="1"/>
    <col min="8106" max="8107" width="0" style="1" hidden="1" customWidth="1"/>
    <col min="8108" max="8108" width="13.7109375" style="1" customWidth="1"/>
    <col min="8109" max="8109" width="52.85546875" style="1" customWidth="1"/>
    <col min="8110" max="8149" width="0" style="1" hidden="1" customWidth="1"/>
    <col min="8150" max="8151" width="14.85546875" style="1" customWidth="1"/>
    <col min="8152" max="8153" width="0" style="1" hidden="1" customWidth="1"/>
    <col min="8154" max="8154" width="14.85546875" style="1" customWidth="1"/>
    <col min="8155" max="8156" width="0" style="1" hidden="1" customWidth="1"/>
    <col min="8157" max="8157" width="14.85546875" style="1" customWidth="1"/>
    <col min="8158" max="8159" width="0" style="1" hidden="1" customWidth="1"/>
    <col min="8160" max="8160" width="14.85546875" style="1" customWidth="1"/>
    <col min="8161" max="8162" width="0" style="1" hidden="1" customWidth="1"/>
    <col min="8163" max="8163" width="14.85546875" style="1" customWidth="1"/>
    <col min="8164" max="8165" width="0" style="1" hidden="1" customWidth="1"/>
    <col min="8166" max="8167" width="14.85546875" style="1" customWidth="1"/>
    <col min="8168" max="8168" width="44.42578125" style="1" customWidth="1"/>
    <col min="8169" max="8173" width="14.85546875" style="1" customWidth="1"/>
    <col min="8174" max="8174" width="63.85546875" style="1" customWidth="1"/>
    <col min="8175" max="8175" width="13.28515625" style="1" customWidth="1"/>
    <col min="8176" max="8361" width="9" style="1"/>
    <col min="8362" max="8363" width="0" style="1" hidden="1" customWidth="1"/>
    <col min="8364" max="8364" width="13.7109375" style="1" customWidth="1"/>
    <col min="8365" max="8365" width="52.85546875" style="1" customWidth="1"/>
    <col min="8366" max="8405" width="0" style="1" hidden="1" customWidth="1"/>
    <col min="8406" max="8407" width="14.85546875" style="1" customWidth="1"/>
    <col min="8408" max="8409" width="0" style="1" hidden="1" customWidth="1"/>
    <col min="8410" max="8410" width="14.85546875" style="1" customWidth="1"/>
    <col min="8411" max="8412" width="0" style="1" hidden="1" customWidth="1"/>
    <col min="8413" max="8413" width="14.85546875" style="1" customWidth="1"/>
    <col min="8414" max="8415" width="0" style="1" hidden="1" customWidth="1"/>
    <col min="8416" max="8416" width="14.85546875" style="1" customWidth="1"/>
    <col min="8417" max="8418" width="0" style="1" hidden="1" customWidth="1"/>
    <col min="8419" max="8419" width="14.85546875" style="1" customWidth="1"/>
    <col min="8420" max="8421" width="0" style="1" hidden="1" customWidth="1"/>
    <col min="8422" max="8423" width="14.85546875" style="1" customWidth="1"/>
    <col min="8424" max="8424" width="44.42578125" style="1" customWidth="1"/>
    <col min="8425" max="8429" width="14.85546875" style="1" customWidth="1"/>
    <col min="8430" max="8430" width="63.85546875" style="1" customWidth="1"/>
    <col min="8431" max="8431" width="13.28515625" style="1" customWidth="1"/>
    <col min="8432" max="8617" width="9" style="1"/>
    <col min="8618" max="8619" width="0" style="1" hidden="1" customWidth="1"/>
    <col min="8620" max="8620" width="13.7109375" style="1" customWidth="1"/>
    <col min="8621" max="8621" width="52.85546875" style="1" customWidth="1"/>
    <col min="8622" max="8661" width="0" style="1" hidden="1" customWidth="1"/>
    <col min="8662" max="8663" width="14.85546875" style="1" customWidth="1"/>
    <col min="8664" max="8665" width="0" style="1" hidden="1" customWidth="1"/>
    <col min="8666" max="8666" width="14.85546875" style="1" customWidth="1"/>
    <col min="8667" max="8668" width="0" style="1" hidden="1" customWidth="1"/>
    <col min="8669" max="8669" width="14.85546875" style="1" customWidth="1"/>
    <col min="8670" max="8671" width="0" style="1" hidden="1" customWidth="1"/>
    <col min="8672" max="8672" width="14.85546875" style="1" customWidth="1"/>
    <col min="8673" max="8674" width="0" style="1" hidden="1" customWidth="1"/>
    <col min="8675" max="8675" width="14.85546875" style="1" customWidth="1"/>
    <col min="8676" max="8677" width="0" style="1" hidden="1" customWidth="1"/>
    <col min="8678" max="8679" width="14.85546875" style="1" customWidth="1"/>
    <col min="8680" max="8680" width="44.42578125" style="1" customWidth="1"/>
    <col min="8681" max="8685" width="14.85546875" style="1" customWidth="1"/>
    <col min="8686" max="8686" width="63.85546875" style="1" customWidth="1"/>
    <col min="8687" max="8687" width="13.28515625" style="1" customWidth="1"/>
    <col min="8688" max="8873" width="9" style="1"/>
    <col min="8874" max="8875" width="0" style="1" hidden="1" customWidth="1"/>
    <col min="8876" max="8876" width="13.7109375" style="1" customWidth="1"/>
    <col min="8877" max="8877" width="52.85546875" style="1" customWidth="1"/>
    <col min="8878" max="8917" width="0" style="1" hidden="1" customWidth="1"/>
    <col min="8918" max="8919" width="14.85546875" style="1" customWidth="1"/>
    <col min="8920" max="8921" width="0" style="1" hidden="1" customWidth="1"/>
    <col min="8922" max="8922" width="14.85546875" style="1" customWidth="1"/>
    <col min="8923" max="8924" width="0" style="1" hidden="1" customWidth="1"/>
    <col min="8925" max="8925" width="14.85546875" style="1" customWidth="1"/>
    <col min="8926" max="8927" width="0" style="1" hidden="1" customWidth="1"/>
    <col min="8928" max="8928" width="14.85546875" style="1" customWidth="1"/>
    <col min="8929" max="8930" width="0" style="1" hidden="1" customWidth="1"/>
    <col min="8931" max="8931" width="14.85546875" style="1" customWidth="1"/>
    <col min="8932" max="8933" width="0" style="1" hidden="1" customWidth="1"/>
    <col min="8934" max="8935" width="14.85546875" style="1" customWidth="1"/>
    <col min="8936" max="8936" width="44.42578125" style="1" customWidth="1"/>
    <col min="8937" max="8941" width="14.85546875" style="1" customWidth="1"/>
    <col min="8942" max="8942" width="63.85546875" style="1" customWidth="1"/>
    <col min="8943" max="8943" width="13.28515625" style="1" customWidth="1"/>
    <col min="8944" max="9129" width="9" style="1"/>
    <col min="9130" max="9131" width="0" style="1" hidden="1" customWidth="1"/>
    <col min="9132" max="9132" width="13.7109375" style="1" customWidth="1"/>
    <col min="9133" max="9133" width="52.85546875" style="1" customWidth="1"/>
    <col min="9134" max="9173" width="0" style="1" hidden="1" customWidth="1"/>
    <col min="9174" max="9175" width="14.85546875" style="1" customWidth="1"/>
    <col min="9176" max="9177" width="0" style="1" hidden="1" customWidth="1"/>
    <col min="9178" max="9178" width="14.85546875" style="1" customWidth="1"/>
    <col min="9179" max="9180" width="0" style="1" hidden="1" customWidth="1"/>
    <col min="9181" max="9181" width="14.85546875" style="1" customWidth="1"/>
    <col min="9182" max="9183" width="0" style="1" hidden="1" customWidth="1"/>
    <col min="9184" max="9184" width="14.85546875" style="1" customWidth="1"/>
    <col min="9185" max="9186" width="0" style="1" hidden="1" customWidth="1"/>
    <col min="9187" max="9187" width="14.85546875" style="1" customWidth="1"/>
    <col min="9188" max="9189" width="0" style="1" hidden="1" customWidth="1"/>
    <col min="9190" max="9191" width="14.85546875" style="1" customWidth="1"/>
    <col min="9192" max="9192" width="44.42578125" style="1" customWidth="1"/>
    <col min="9193" max="9197" width="14.85546875" style="1" customWidth="1"/>
    <col min="9198" max="9198" width="63.85546875" style="1" customWidth="1"/>
    <col min="9199" max="9199" width="13.28515625" style="1" customWidth="1"/>
    <col min="9200" max="9385" width="9" style="1"/>
    <col min="9386" max="9387" width="0" style="1" hidden="1" customWidth="1"/>
    <col min="9388" max="9388" width="13.7109375" style="1" customWidth="1"/>
    <col min="9389" max="9389" width="52.85546875" style="1" customWidth="1"/>
    <col min="9390" max="9429" width="0" style="1" hidden="1" customWidth="1"/>
    <col min="9430" max="9431" width="14.85546875" style="1" customWidth="1"/>
    <col min="9432" max="9433" width="0" style="1" hidden="1" customWidth="1"/>
    <col min="9434" max="9434" width="14.85546875" style="1" customWidth="1"/>
    <col min="9435" max="9436" width="0" style="1" hidden="1" customWidth="1"/>
    <col min="9437" max="9437" width="14.85546875" style="1" customWidth="1"/>
    <col min="9438" max="9439" width="0" style="1" hidden="1" customWidth="1"/>
    <col min="9440" max="9440" width="14.85546875" style="1" customWidth="1"/>
    <col min="9441" max="9442" width="0" style="1" hidden="1" customWidth="1"/>
    <col min="9443" max="9443" width="14.85546875" style="1" customWidth="1"/>
    <col min="9444" max="9445" width="0" style="1" hidden="1" customWidth="1"/>
    <col min="9446" max="9447" width="14.85546875" style="1" customWidth="1"/>
    <col min="9448" max="9448" width="44.42578125" style="1" customWidth="1"/>
    <col min="9449" max="9453" width="14.85546875" style="1" customWidth="1"/>
    <col min="9454" max="9454" width="63.85546875" style="1" customWidth="1"/>
    <col min="9455" max="9455" width="13.28515625" style="1" customWidth="1"/>
    <col min="9456" max="9641" width="9" style="1"/>
    <col min="9642" max="9643" width="0" style="1" hidden="1" customWidth="1"/>
    <col min="9644" max="9644" width="13.7109375" style="1" customWidth="1"/>
    <col min="9645" max="9645" width="52.85546875" style="1" customWidth="1"/>
    <col min="9646" max="9685" width="0" style="1" hidden="1" customWidth="1"/>
    <col min="9686" max="9687" width="14.85546875" style="1" customWidth="1"/>
    <col min="9688" max="9689" width="0" style="1" hidden="1" customWidth="1"/>
    <col min="9690" max="9690" width="14.85546875" style="1" customWidth="1"/>
    <col min="9691" max="9692" width="0" style="1" hidden="1" customWidth="1"/>
    <col min="9693" max="9693" width="14.85546875" style="1" customWidth="1"/>
    <col min="9694" max="9695" width="0" style="1" hidden="1" customWidth="1"/>
    <col min="9696" max="9696" width="14.85546875" style="1" customWidth="1"/>
    <col min="9697" max="9698" width="0" style="1" hidden="1" customWidth="1"/>
    <col min="9699" max="9699" width="14.85546875" style="1" customWidth="1"/>
    <col min="9700" max="9701" width="0" style="1" hidden="1" customWidth="1"/>
    <col min="9702" max="9703" width="14.85546875" style="1" customWidth="1"/>
    <col min="9704" max="9704" width="44.42578125" style="1" customWidth="1"/>
    <col min="9705" max="9709" width="14.85546875" style="1" customWidth="1"/>
    <col min="9710" max="9710" width="63.85546875" style="1" customWidth="1"/>
    <col min="9711" max="9711" width="13.28515625" style="1" customWidth="1"/>
    <col min="9712" max="9897" width="9" style="1"/>
    <col min="9898" max="9899" width="0" style="1" hidden="1" customWidth="1"/>
    <col min="9900" max="9900" width="13.7109375" style="1" customWidth="1"/>
    <col min="9901" max="9901" width="52.85546875" style="1" customWidth="1"/>
    <col min="9902" max="9941" width="0" style="1" hidden="1" customWidth="1"/>
    <col min="9942" max="9943" width="14.85546875" style="1" customWidth="1"/>
    <col min="9944" max="9945" width="0" style="1" hidden="1" customWidth="1"/>
    <col min="9946" max="9946" width="14.85546875" style="1" customWidth="1"/>
    <col min="9947" max="9948" width="0" style="1" hidden="1" customWidth="1"/>
    <col min="9949" max="9949" width="14.85546875" style="1" customWidth="1"/>
    <col min="9950" max="9951" width="0" style="1" hidden="1" customWidth="1"/>
    <col min="9952" max="9952" width="14.85546875" style="1" customWidth="1"/>
    <col min="9953" max="9954" width="0" style="1" hidden="1" customWidth="1"/>
    <col min="9955" max="9955" width="14.85546875" style="1" customWidth="1"/>
    <col min="9956" max="9957" width="0" style="1" hidden="1" customWidth="1"/>
    <col min="9958" max="9959" width="14.85546875" style="1" customWidth="1"/>
    <col min="9960" max="9960" width="44.42578125" style="1" customWidth="1"/>
    <col min="9961" max="9965" width="14.85546875" style="1" customWidth="1"/>
    <col min="9966" max="9966" width="63.85546875" style="1" customWidth="1"/>
    <col min="9967" max="9967" width="13.28515625" style="1" customWidth="1"/>
    <col min="9968" max="10153" width="9" style="1"/>
    <col min="10154" max="10155" width="0" style="1" hidden="1" customWidth="1"/>
    <col min="10156" max="10156" width="13.7109375" style="1" customWidth="1"/>
    <col min="10157" max="10157" width="52.85546875" style="1" customWidth="1"/>
    <col min="10158" max="10197" width="0" style="1" hidden="1" customWidth="1"/>
    <col min="10198" max="10199" width="14.85546875" style="1" customWidth="1"/>
    <col min="10200" max="10201" width="0" style="1" hidden="1" customWidth="1"/>
    <col min="10202" max="10202" width="14.85546875" style="1" customWidth="1"/>
    <col min="10203" max="10204" width="0" style="1" hidden="1" customWidth="1"/>
    <col min="10205" max="10205" width="14.85546875" style="1" customWidth="1"/>
    <col min="10206" max="10207" width="0" style="1" hidden="1" customWidth="1"/>
    <col min="10208" max="10208" width="14.85546875" style="1" customWidth="1"/>
    <col min="10209" max="10210" width="0" style="1" hidden="1" customWidth="1"/>
    <col min="10211" max="10211" width="14.85546875" style="1" customWidth="1"/>
    <col min="10212" max="10213" width="0" style="1" hidden="1" customWidth="1"/>
    <col min="10214" max="10215" width="14.85546875" style="1" customWidth="1"/>
    <col min="10216" max="10216" width="44.42578125" style="1" customWidth="1"/>
    <col min="10217" max="10221" width="14.85546875" style="1" customWidth="1"/>
    <col min="10222" max="10222" width="63.85546875" style="1" customWidth="1"/>
    <col min="10223" max="10223" width="13.28515625" style="1" customWidth="1"/>
    <col min="10224" max="10409" width="9" style="1"/>
    <col min="10410" max="10411" width="0" style="1" hidden="1" customWidth="1"/>
    <col min="10412" max="10412" width="13.7109375" style="1" customWidth="1"/>
    <col min="10413" max="10413" width="52.85546875" style="1" customWidth="1"/>
    <col min="10414" max="10453" width="0" style="1" hidden="1" customWidth="1"/>
    <col min="10454" max="10455" width="14.85546875" style="1" customWidth="1"/>
    <col min="10456" max="10457" width="0" style="1" hidden="1" customWidth="1"/>
    <col min="10458" max="10458" width="14.85546875" style="1" customWidth="1"/>
    <col min="10459" max="10460" width="0" style="1" hidden="1" customWidth="1"/>
    <col min="10461" max="10461" width="14.85546875" style="1" customWidth="1"/>
    <col min="10462" max="10463" width="0" style="1" hidden="1" customWidth="1"/>
    <col min="10464" max="10464" width="14.85546875" style="1" customWidth="1"/>
    <col min="10465" max="10466" width="0" style="1" hidden="1" customWidth="1"/>
    <col min="10467" max="10467" width="14.85546875" style="1" customWidth="1"/>
    <col min="10468" max="10469" width="0" style="1" hidden="1" customWidth="1"/>
    <col min="10470" max="10471" width="14.85546875" style="1" customWidth="1"/>
    <col min="10472" max="10472" width="44.42578125" style="1" customWidth="1"/>
    <col min="10473" max="10477" width="14.85546875" style="1" customWidth="1"/>
    <col min="10478" max="10478" width="63.85546875" style="1" customWidth="1"/>
    <col min="10479" max="10479" width="13.28515625" style="1" customWidth="1"/>
    <col min="10480" max="10665" width="9" style="1"/>
    <col min="10666" max="10667" width="0" style="1" hidden="1" customWidth="1"/>
    <col min="10668" max="10668" width="13.7109375" style="1" customWidth="1"/>
    <col min="10669" max="10669" width="52.85546875" style="1" customWidth="1"/>
    <col min="10670" max="10709" width="0" style="1" hidden="1" customWidth="1"/>
    <col min="10710" max="10711" width="14.85546875" style="1" customWidth="1"/>
    <col min="10712" max="10713" width="0" style="1" hidden="1" customWidth="1"/>
    <col min="10714" max="10714" width="14.85546875" style="1" customWidth="1"/>
    <col min="10715" max="10716" width="0" style="1" hidden="1" customWidth="1"/>
    <col min="10717" max="10717" width="14.85546875" style="1" customWidth="1"/>
    <col min="10718" max="10719" width="0" style="1" hidden="1" customWidth="1"/>
    <col min="10720" max="10720" width="14.85546875" style="1" customWidth="1"/>
    <col min="10721" max="10722" width="0" style="1" hidden="1" customWidth="1"/>
    <col min="10723" max="10723" width="14.85546875" style="1" customWidth="1"/>
    <col min="10724" max="10725" width="0" style="1" hidden="1" customWidth="1"/>
    <col min="10726" max="10727" width="14.85546875" style="1" customWidth="1"/>
    <col min="10728" max="10728" width="44.42578125" style="1" customWidth="1"/>
    <col min="10729" max="10733" width="14.85546875" style="1" customWidth="1"/>
    <col min="10734" max="10734" width="63.85546875" style="1" customWidth="1"/>
    <col min="10735" max="10735" width="13.28515625" style="1" customWidth="1"/>
    <col min="10736" max="10921" width="9" style="1"/>
    <col min="10922" max="10923" width="0" style="1" hidden="1" customWidth="1"/>
    <col min="10924" max="10924" width="13.7109375" style="1" customWidth="1"/>
    <col min="10925" max="10925" width="52.85546875" style="1" customWidth="1"/>
    <col min="10926" max="10965" width="0" style="1" hidden="1" customWidth="1"/>
    <col min="10966" max="10967" width="14.85546875" style="1" customWidth="1"/>
    <col min="10968" max="10969" width="0" style="1" hidden="1" customWidth="1"/>
    <col min="10970" max="10970" width="14.85546875" style="1" customWidth="1"/>
    <col min="10971" max="10972" width="0" style="1" hidden="1" customWidth="1"/>
    <col min="10973" max="10973" width="14.85546875" style="1" customWidth="1"/>
    <col min="10974" max="10975" width="0" style="1" hidden="1" customWidth="1"/>
    <col min="10976" max="10976" width="14.85546875" style="1" customWidth="1"/>
    <col min="10977" max="10978" width="0" style="1" hidden="1" customWidth="1"/>
    <col min="10979" max="10979" width="14.85546875" style="1" customWidth="1"/>
    <col min="10980" max="10981" width="0" style="1" hidden="1" customWidth="1"/>
    <col min="10982" max="10983" width="14.85546875" style="1" customWidth="1"/>
    <col min="10984" max="10984" width="44.42578125" style="1" customWidth="1"/>
    <col min="10985" max="10989" width="14.85546875" style="1" customWidth="1"/>
    <col min="10990" max="10990" width="63.85546875" style="1" customWidth="1"/>
    <col min="10991" max="10991" width="13.28515625" style="1" customWidth="1"/>
    <col min="10992" max="11177" width="9" style="1"/>
    <col min="11178" max="11179" width="0" style="1" hidden="1" customWidth="1"/>
    <col min="11180" max="11180" width="13.7109375" style="1" customWidth="1"/>
    <col min="11181" max="11181" width="52.85546875" style="1" customWidth="1"/>
    <col min="11182" max="11221" width="0" style="1" hidden="1" customWidth="1"/>
    <col min="11222" max="11223" width="14.85546875" style="1" customWidth="1"/>
    <col min="11224" max="11225" width="0" style="1" hidden="1" customWidth="1"/>
    <col min="11226" max="11226" width="14.85546875" style="1" customWidth="1"/>
    <col min="11227" max="11228" width="0" style="1" hidden="1" customWidth="1"/>
    <col min="11229" max="11229" width="14.85546875" style="1" customWidth="1"/>
    <col min="11230" max="11231" width="0" style="1" hidden="1" customWidth="1"/>
    <col min="11232" max="11232" width="14.85546875" style="1" customWidth="1"/>
    <col min="11233" max="11234" width="0" style="1" hidden="1" customWidth="1"/>
    <col min="11235" max="11235" width="14.85546875" style="1" customWidth="1"/>
    <col min="11236" max="11237" width="0" style="1" hidden="1" customWidth="1"/>
    <col min="11238" max="11239" width="14.85546875" style="1" customWidth="1"/>
    <col min="11240" max="11240" width="44.42578125" style="1" customWidth="1"/>
    <col min="11241" max="11245" width="14.85546875" style="1" customWidth="1"/>
    <col min="11246" max="11246" width="63.85546875" style="1" customWidth="1"/>
    <col min="11247" max="11247" width="13.28515625" style="1" customWidth="1"/>
    <col min="11248" max="11433" width="9" style="1"/>
    <col min="11434" max="11435" width="0" style="1" hidden="1" customWidth="1"/>
    <col min="11436" max="11436" width="13.7109375" style="1" customWidth="1"/>
    <col min="11437" max="11437" width="52.85546875" style="1" customWidth="1"/>
    <col min="11438" max="11477" width="0" style="1" hidden="1" customWidth="1"/>
    <col min="11478" max="11479" width="14.85546875" style="1" customWidth="1"/>
    <col min="11480" max="11481" width="0" style="1" hidden="1" customWidth="1"/>
    <col min="11482" max="11482" width="14.85546875" style="1" customWidth="1"/>
    <col min="11483" max="11484" width="0" style="1" hidden="1" customWidth="1"/>
    <col min="11485" max="11485" width="14.85546875" style="1" customWidth="1"/>
    <col min="11486" max="11487" width="0" style="1" hidden="1" customWidth="1"/>
    <col min="11488" max="11488" width="14.85546875" style="1" customWidth="1"/>
    <col min="11489" max="11490" width="0" style="1" hidden="1" customWidth="1"/>
    <col min="11491" max="11491" width="14.85546875" style="1" customWidth="1"/>
    <col min="11492" max="11493" width="0" style="1" hidden="1" customWidth="1"/>
    <col min="11494" max="11495" width="14.85546875" style="1" customWidth="1"/>
    <col min="11496" max="11496" width="44.42578125" style="1" customWidth="1"/>
    <col min="11497" max="11501" width="14.85546875" style="1" customWidth="1"/>
    <col min="11502" max="11502" width="63.85546875" style="1" customWidth="1"/>
    <col min="11503" max="11503" width="13.28515625" style="1" customWidth="1"/>
    <col min="11504" max="11689" width="9" style="1"/>
    <col min="11690" max="11691" width="0" style="1" hidden="1" customWidth="1"/>
    <col min="11692" max="11692" width="13.7109375" style="1" customWidth="1"/>
    <col min="11693" max="11693" width="52.85546875" style="1" customWidth="1"/>
    <col min="11694" max="11733" width="0" style="1" hidden="1" customWidth="1"/>
    <col min="11734" max="11735" width="14.85546875" style="1" customWidth="1"/>
    <col min="11736" max="11737" width="0" style="1" hidden="1" customWidth="1"/>
    <col min="11738" max="11738" width="14.85546875" style="1" customWidth="1"/>
    <col min="11739" max="11740" width="0" style="1" hidden="1" customWidth="1"/>
    <col min="11741" max="11741" width="14.85546875" style="1" customWidth="1"/>
    <col min="11742" max="11743" width="0" style="1" hidden="1" customWidth="1"/>
    <col min="11744" max="11744" width="14.85546875" style="1" customWidth="1"/>
    <col min="11745" max="11746" width="0" style="1" hidden="1" customWidth="1"/>
    <col min="11747" max="11747" width="14.85546875" style="1" customWidth="1"/>
    <col min="11748" max="11749" width="0" style="1" hidden="1" customWidth="1"/>
    <col min="11750" max="11751" width="14.85546875" style="1" customWidth="1"/>
    <col min="11752" max="11752" width="44.42578125" style="1" customWidth="1"/>
    <col min="11753" max="11757" width="14.85546875" style="1" customWidth="1"/>
    <col min="11758" max="11758" width="63.85546875" style="1" customWidth="1"/>
    <col min="11759" max="11759" width="13.28515625" style="1" customWidth="1"/>
    <col min="11760" max="11945" width="9" style="1"/>
    <col min="11946" max="11947" width="0" style="1" hidden="1" customWidth="1"/>
    <col min="11948" max="11948" width="13.7109375" style="1" customWidth="1"/>
    <col min="11949" max="11949" width="52.85546875" style="1" customWidth="1"/>
    <col min="11950" max="11989" width="0" style="1" hidden="1" customWidth="1"/>
    <col min="11990" max="11991" width="14.85546875" style="1" customWidth="1"/>
    <col min="11992" max="11993" width="0" style="1" hidden="1" customWidth="1"/>
    <col min="11994" max="11994" width="14.85546875" style="1" customWidth="1"/>
    <col min="11995" max="11996" width="0" style="1" hidden="1" customWidth="1"/>
    <col min="11997" max="11997" width="14.85546875" style="1" customWidth="1"/>
    <col min="11998" max="11999" width="0" style="1" hidden="1" customWidth="1"/>
    <col min="12000" max="12000" width="14.85546875" style="1" customWidth="1"/>
    <col min="12001" max="12002" width="0" style="1" hidden="1" customWidth="1"/>
    <col min="12003" max="12003" width="14.85546875" style="1" customWidth="1"/>
    <col min="12004" max="12005" width="0" style="1" hidden="1" customWidth="1"/>
    <col min="12006" max="12007" width="14.85546875" style="1" customWidth="1"/>
    <col min="12008" max="12008" width="44.42578125" style="1" customWidth="1"/>
    <col min="12009" max="12013" width="14.85546875" style="1" customWidth="1"/>
    <col min="12014" max="12014" width="63.85546875" style="1" customWidth="1"/>
    <col min="12015" max="12015" width="13.28515625" style="1" customWidth="1"/>
    <col min="12016" max="12201" width="9" style="1"/>
    <col min="12202" max="12203" width="0" style="1" hidden="1" customWidth="1"/>
    <col min="12204" max="12204" width="13.7109375" style="1" customWidth="1"/>
    <col min="12205" max="12205" width="52.85546875" style="1" customWidth="1"/>
    <col min="12206" max="12245" width="0" style="1" hidden="1" customWidth="1"/>
    <col min="12246" max="12247" width="14.85546875" style="1" customWidth="1"/>
    <col min="12248" max="12249" width="0" style="1" hidden="1" customWidth="1"/>
    <col min="12250" max="12250" width="14.85546875" style="1" customWidth="1"/>
    <col min="12251" max="12252" width="0" style="1" hidden="1" customWidth="1"/>
    <col min="12253" max="12253" width="14.85546875" style="1" customWidth="1"/>
    <col min="12254" max="12255" width="0" style="1" hidden="1" customWidth="1"/>
    <col min="12256" max="12256" width="14.85546875" style="1" customWidth="1"/>
    <col min="12257" max="12258" width="0" style="1" hidden="1" customWidth="1"/>
    <col min="12259" max="12259" width="14.85546875" style="1" customWidth="1"/>
    <col min="12260" max="12261" width="0" style="1" hidden="1" customWidth="1"/>
    <col min="12262" max="12263" width="14.85546875" style="1" customWidth="1"/>
    <col min="12264" max="12264" width="44.42578125" style="1" customWidth="1"/>
    <col min="12265" max="12269" width="14.85546875" style="1" customWidth="1"/>
    <col min="12270" max="12270" width="63.85546875" style="1" customWidth="1"/>
    <col min="12271" max="12271" width="13.28515625" style="1" customWidth="1"/>
    <col min="12272" max="12457" width="9" style="1"/>
    <col min="12458" max="12459" width="0" style="1" hidden="1" customWidth="1"/>
    <col min="12460" max="12460" width="13.7109375" style="1" customWidth="1"/>
    <col min="12461" max="12461" width="52.85546875" style="1" customWidth="1"/>
    <col min="12462" max="12501" width="0" style="1" hidden="1" customWidth="1"/>
    <col min="12502" max="12503" width="14.85546875" style="1" customWidth="1"/>
    <col min="12504" max="12505" width="0" style="1" hidden="1" customWidth="1"/>
    <col min="12506" max="12506" width="14.85546875" style="1" customWidth="1"/>
    <col min="12507" max="12508" width="0" style="1" hidden="1" customWidth="1"/>
    <col min="12509" max="12509" width="14.85546875" style="1" customWidth="1"/>
    <col min="12510" max="12511" width="0" style="1" hidden="1" customWidth="1"/>
    <col min="12512" max="12512" width="14.85546875" style="1" customWidth="1"/>
    <col min="12513" max="12514" width="0" style="1" hidden="1" customWidth="1"/>
    <col min="12515" max="12515" width="14.85546875" style="1" customWidth="1"/>
    <col min="12516" max="12517" width="0" style="1" hidden="1" customWidth="1"/>
    <col min="12518" max="12519" width="14.85546875" style="1" customWidth="1"/>
    <col min="12520" max="12520" width="44.42578125" style="1" customWidth="1"/>
    <col min="12521" max="12525" width="14.85546875" style="1" customWidth="1"/>
    <col min="12526" max="12526" width="63.85546875" style="1" customWidth="1"/>
    <col min="12527" max="12527" width="13.28515625" style="1" customWidth="1"/>
    <col min="12528" max="12713" width="9" style="1"/>
    <col min="12714" max="12715" width="0" style="1" hidden="1" customWidth="1"/>
    <col min="12716" max="12716" width="13.7109375" style="1" customWidth="1"/>
    <col min="12717" max="12717" width="52.85546875" style="1" customWidth="1"/>
    <col min="12718" max="12757" width="0" style="1" hidden="1" customWidth="1"/>
    <col min="12758" max="12759" width="14.85546875" style="1" customWidth="1"/>
    <col min="12760" max="12761" width="0" style="1" hidden="1" customWidth="1"/>
    <col min="12762" max="12762" width="14.85546875" style="1" customWidth="1"/>
    <col min="12763" max="12764" width="0" style="1" hidden="1" customWidth="1"/>
    <col min="12765" max="12765" width="14.85546875" style="1" customWidth="1"/>
    <col min="12766" max="12767" width="0" style="1" hidden="1" customWidth="1"/>
    <col min="12768" max="12768" width="14.85546875" style="1" customWidth="1"/>
    <col min="12769" max="12770" width="0" style="1" hidden="1" customWidth="1"/>
    <col min="12771" max="12771" width="14.85546875" style="1" customWidth="1"/>
    <col min="12772" max="12773" width="0" style="1" hidden="1" customWidth="1"/>
    <col min="12774" max="12775" width="14.85546875" style="1" customWidth="1"/>
    <col min="12776" max="12776" width="44.42578125" style="1" customWidth="1"/>
    <col min="12777" max="12781" width="14.85546875" style="1" customWidth="1"/>
    <col min="12782" max="12782" width="63.85546875" style="1" customWidth="1"/>
    <col min="12783" max="12783" width="13.28515625" style="1" customWidth="1"/>
    <col min="12784" max="12969" width="9" style="1"/>
    <col min="12970" max="12971" width="0" style="1" hidden="1" customWidth="1"/>
    <col min="12972" max="12972" width="13.7109375" style="1" customWidth="1"/>
    <col min="12973" max="12973" width="52.85546875" style="1" customWidth="1"/>
    <col min="12974" max="13013" width="0" style="1" hidden="1" customWidth="1"/>
    <col min="13014" max="13015" width="14.85546875" style="1" customWidth="1"/>
    <col min="13016" max="13017" width="0" style="1" hidden="1" customWidth="1"/>
    <col min="13018" max="13018" width="14.85546875" style="1" customWidth="1"/>
    <col min="13019" max="13020" width="0" style="1" hidden="1" customWidth="1"/>
    <col min="13021" max="13021" width="14.85546875" style="1" customWidth="1"/>
    <col min="13022" max="13023" width="0" style="1" hidden="1" customWidth="1"/>
    <col min="13024" max="13024" width="14.85546875" style="1" customWidth="1"/>
    <col min="13025" max="13026" width="0" style="1" hidden="1" customWidth="1"/>
    <col min="13027" max="13027" width="14.85546875" style="1" customWidth="1"/>
    <col min="13028" max="13029" width="0" style="1" hidden="1" customWidth="1"/>
    <col min="13030" max="13031" width="14.85546875" style="1" customWidth="1"/>
    <col min="13032" max="13032" width="44.42578125" style="1" customWidth="1"/>
    <col min="13033" max="13037" width="14.85546875" style="1" customWidth="1"/>
    <col min="13038" max="13038" width="63.85546875" style="1" customWidth="1"/>
    <col min="13039" max="13039" width="13.28515625" style="1" customWidth="1"/>
    <col min="13040" max="13225" width="9" style="1"/>
    <col min="13226" max="13227" width="0" style="1" hidden="1" customWidth="1"/>
    <col min="13228" max="13228" width="13.7109375" style="1" customWidth="1"/>
    <col min="13229" max="13229" width="52.85546875" style="1" customWidth="1"/>
    <col min="13230" max="13269" width="0" style="1" hidden="1" customWidth="1"/>
    <col min="13270" max="13271" width="14.85546875" style="1" customWidth="1"/>
    <col min="13272" max="13273" width="0" style="1" hidden="1" customWidth="1"/>
    <col min="13274" max="13274" width="14.85546875" style="1" customWidth="1"/>
    <col min="13275" max="13276" width="0" style="1" hidden="1" customWidth="1"/>
    <col min="13277" max="13277" width="14.85546875" style="1" customWidth="1"/>
    <col min="13278" max="13279" width="0" style="1" hidden="1" customWidth="1"/>
    <col min="13280" max="13280" width="14.85546875" style="1" customWidth="1"/>
    <col min="13281" max="13282" width="0" style="1" hidden="1" customWidth="1"/>
    <col min="13283" max="13283" width="14.85546875" style="1" customWidth="1"/>
    <col min="13284" max="13285" width="0" style="1" hidden="1" customWidth="1"/>
    <col min="13286" max="13287" width="14.85546875" style="1" customWidth="1"/>
    <col min="13288" max="13288" width="44.42578125" style="1" customWidth="1"/>
    <col min="13289" max="13293" width="14.85546875" style="1" customWidth="1"/>
    <col min="13294" max="13294" width="63.85546875" style="1" customWidth="1"/>
    <col min="13295" max="13295" width="13.28515625" style="1" customWidth="1"/>
    <col min="13296" max="13481" width="9" style="1"/>
    <col min="13482" max="13483" width="0" style="1" hidden="1" customWidth="1"/>
    <col min="13484" max="13484" width="13.7109375" style="1" customWidth="1"/>
    <col min="13485" max="13485" width="52.85546875" style="1" customWidth="1"/>
    <col min="13486" max="13525" width="0" style="1" hidden="1" customWidth="1"/>
    <col min="13526" max="13527" width="14.85546875" style="1" customWidth="1"/>
    <col min="13528" max="13529" width="0" style="1" hidden="1" customWidth="1"/>
    <col min="13530" max="13530" width="14.85546875" style="1" customWidth="1"/>
    <col min="13531" max="13532" width="0" style="1" hidden="1" customWidth="1"/>
    <col min="13533" max="13533" width="14.85546875" style="1" customWidth="1"/>
    <col min="13534" max="13535" width="0" style="1" hidden="1" customWidth="1"/>
    <col min="13536" max="13536" width="14.85546875" style="1" customWidth="1"/>
    <col min="13537" max="13538" width="0" style="1" hidden="1" customWidth="1"/>
    <col min="13539" max="13539" width="14.85546875" style="1" customWidth="1"/>
    <col min="13540" max="13541" width="0" style="1" hidden="1" customWidth="1"/>
    <col min="13542" max="13543" width="14.85546875" style="1" customWidth="1"/>
    <col min="13544" max="13544" width="44.42578125" style="1" customWidth="1"/>
    <col min="13545" max="13549" width="14.85546875" style="1" customWidth="1"/>
    <col min="13550" max="13550" width="63.85546875" style="1" customWidth="1"/>
    <col min="13551" max="13551" width="13.28515625" style="1" customWidth="1"/>
    <col min="13552" max="13737" width="9" style="1"/>
    <col min="13738" max="13739" width="0" style="1" hidden="1" customWidth="1"/>
    <col min="13740" max="13740" width="13.7109375" style="1" customWidth="1"/>
    <col min="13741" max="13741" width="52.85546875" style="1" customWidth="1"/>
    <col min="13742" max="13781" width="0" style="1" hidden="1" customWidth="1"/>
    <col min="13782" max="13783" width="14.85546875" style="1" customWidth="1"/>
    <col min="13784" max="13785" width="0" style="1" hidden="1" customWidth="1"/>
    <col min="13786" max="13786" width="14.85546875" style="1" customWidth="1"/>
    <col min="13787" max="13788" width="0" style="1" hidden="1" customWidth="1"/>
    <col min="13789" max="13789" width="14.85546875" style="1" customWidth="1"/>
    <col min="13790" max="13791" width="0" style="1" hidden="1" customWidth="1"/>
    <col min="13792" max="13792" width="14.85546875" style="1" customWidth="1"/>
    <col min="13793" max="13794" width="0" style="1" hidden="1" customWidth="1"/>
    <col min="13795" max="13795" width="14.85546875" style="1" customWidth="1"/>
    <col min="13796" max="13797" width="0" style="1" hidden="1" customWidth="1"/>
    <col min="13798" max="13799" width="14.85546875" style="1" customWidth="1"/>
    <col min="13800" max="13800" width="44.42578125" style="1" customWidth="1"/>
    <col min="13801" max="13805" width="14.85546875" style="1" customWidth="1"/>
    <col min="13806" max="13806" width="63.85546875" style="1" customWidth="1"/>
    <col min="13807" max="13807" width="13.28515625" style="1" customWidth="1"/>
    <col min="13808" max="13993" width="9" style="1"/>
    <col min="13994" max="13995" width="0" style="1" hidden="1" customWidth="1"/>
    <col min="13996" max="13996" width="13.7109375" style="1" customWidth="1"/>
    <col min="13997" max="13997" width="52.85546875" style="1" customWidth="1"/>
    <col min="13998" max="14037" width="0" style="1" hidden="1" customWidth="1"/>
    <col min="14038" max="14039" width="14.85546875" style="1" customWidth="1"/>
    <col min="14040" max="14041" width="0" style="1" hidden="1" customWidth="1"/>
    <col min="14042" max="14042" width="14.85546875" style="1" customWidth="1"/>
    <col min="14043" max="14044" width="0" style="1" hidden="1" customWidth="1"/>
    <col min="14045" max="14045" width="14.85546875" style="1" customWidth="1"/>
    <col min="14046" max="14047" width="0" style="1" hidden="1" customWidth="1"/>
    <col min="14048" max="14048" width="14.85546875" style="1" customWidth="1"/>
    <col min="14049" max="14050" width="0" style="1" hidden="1" customWidth="1"/>
    <col min="14051" max="14051" width="14.85546875" style="1" customWidth="1"/>
    <col min="14052" max="14053" width="0" style="1" hidden="1" customWidth="1"/>
    <col min="14054" max="14055" width="14.85546875" style="1" customWidth="1"/>
    <col min="14056" max="14056" width="44.42578125" style="1" customWidth="1"/>
    <col min="14057" max="14061" width="14.85546875" style="1" customWidth="1"/>
    <col min="14062" max="14062" width="63.85546875" style="1" customWidth="1"/>
    <col min="14063" max="14063" width="13.28515625" style="1" customWidth="1"/>
    <col min="14064" max="14249" width="9" style="1"/>
    <col min="14250" max="14251" width="0" style="1" hidden="1" customWidth="1"/>
    <col min="14252" max="14252" width="13.7109375" style="1" customWidth="1"/>
    <col min="14253" max="14253" width="52.85546875" style="1" customWidth="1"/>
    <col min="14254" max="14293" width="0" style="1" hidden="1" customWidth="1"/>
    <col min="14294" max="14295" width="14.85546875" style="1" customWidth="1"/>
    <col min="14296" max="14297" width="0" style="1" hidden="1" customWidth="1"/>
    <col min="14298" max="14298" width="14.85546875" style="1" customWidth="1"/>
    <col min="14299" max="14300" width="0" style="1" hidden="1" customWidth="1"/>
    <col min="14301" max="14301" width="14.85546875" style="1" customWidth="1"/>
    <col min="14302" max="14303" width="0" style="1" hidden="1" customWidth="1"/>
    <col min="14304" max="14304" width="14.85546875" style="1" customWidth="1"/>
    <col min="14305" max="14306" width="0" style="1" hidden="1" customWidth="1"/>
    <col min="14307" max="14307" width="14.85546875" style="1" customWidth="1"/>
    <col min="14308" max="14309" width="0" style="1" hidden="1" customWidth="1"/>
    <col min="14310" max="14311" width="14.85546875" style="1" customWidth="1"/>
    <col min="14312" max="14312" width="44.42578125" style="1" customWidth="1"/>
    <col min="14313" max="14317" width="14.85546875" style="1" customWidth="1"/>
    <col min="14318" max="14318" width="63.85546875" style="1" customWidth="1"/>
    <col min="14319" max="14319" width="13.28515625" style="1" customWidth="1"/>
    <col min="14320" max="14505" width="9" style="1"/>
    <col min="14506" max="14507" width="0" style="1" hidden="1" customWidth="1"/>
    <col min="14508" max="14508" width="13.7109375" style="1" customWidth="1"/>
    <col min="14509" max="14509" width="52.85546875" style="1" customWidth="1"/>
    <col min="14510" max="14549" width="0" style="1" hidden="1" customWidth="1"/>
    <col min="14550" max="14551" width="14.85546875" style="1" customWidth="1"/>
    <col min="14552" max="14553" width="0" style="1" hidden="1" customWidth="1"/>
    <col min="14554" max="14554" width="14.85546875" style="1" customWidth="1"/>
    <col min="14555" max="14556" width="0" style="1" hidden="1" customWidth="1"/>
    <col min="14557" max="14557" width="14.85546875" style="1" customWidth="1"/>
    <col min="14558" max="14559" width="0" style="1" hidden="1" customWidth="1"/>
    <col min="14560" max="14560" width="14.85546875" style="1" customWidth="1"/>
    <col min="14561" max="14562" width="0" style="1" hidden="1" customWidth="1"/>
    <col min="14563" max="14563" width="14.85546875" style="1" customWidth="1"/>
    <col min="14564" max="14565" width="0" style="1" hidden="1" customWidth="1"/>
    <col min="14566" max="14567" width="14.85546875" style="1" customWidth="1"/>
    <col min="14568" max="14568" width="44.42578125" style="1" customWidth="1"/>
    <col min="14569" max="14573" width="14.85546875" style="1" customWidth="1"/>
    <col min="14574" max="14574" width="63.85546875" style="1" customWidth="1"/>
    <col min="14575" max="14575" width="13.28515625" style="1" customWidth="1"/>
    <col min="14576" max="14761" width="9" style="1"/>
    <col min="14762" max="14763" width="0" style="1" hidden="1" customWidth="1"/>
    <col min="14764" max="14764" width="13.7109375" style="1" customWidth="1"/>
    <col min="14765" max="14765" width="52.85546875" style="1" customWidth="1"/>
    <col min="14766" max="14805" width="0" style="1" hidden="1" customWidth="1"/>
    <col min="14806" max="14807" width="14.85546875" style="1" customWidth="1"/>
    <col min="14808" max="14809" width="0" style="1" hidden="1" customWidth="1"/>
    <col min="14810" max="14810" width="14.85546875" style="1" customWidth="1"/>
    <col min="14811" max="14812" width="0" style="1" hidden="1" customWidth="1"/>
    <col min="14813" max="14813" width="14.85546875" style="1" customWidth="1"/>
    <col min="14814" max="14815" width="0" style="1" hidden="1" customWidth="1"/>
    <col min="14816" max="14816" width="14.85546875" style="1" customWidth="1"/>
    <col min="14817" max="14818" width="0" style="1" hidden="1" customWidth="1"/>
    <col min="14819" max="14819" width="14.85546875" style="1" customWidth="1"/>
    <col min="14820" max="14821" width="0" style="1" hidden="1" customWidth="1"/>
    <col min="14822" max="14823" width="14.85546875" style="1" customWidth="1"/>
    <col min="14824" max="14824" width="44.42578125" style="1" customWidth="1"/>
    <col min="14825" max="14829" width="14.85546875" style="1" customWidth="1"/>
    <col min="14830" max="14830" width="63.85546875" style="1" customWidth="1"/>
    <col min="14831" max="14831" width="13.28515625" style="1" customWidth="1"/>
    <col min="14832" max="15017" width="9" style="1"/>
    <col min="15018" max="15019" width="0" style="1" hidden="1" customWidth="1"/>
    <col min="15020" max="15020" width="13.7109375" style="1" customWidth="1"/>
    <col min="15021" max="15021" width="52.85546875" style="1" customWidth="1"/>
    <col min="15022" max="15061" width="0" style="1" hidden="1" customWidth="1"/>
    <col min="15062" max="15063" width="14.85546875" style="1" customWidth="1"/>
    <col min="15064" max="15065" width="0" style="1" hidden="1" customWidth="1"/>
    <col min="15066" max="15066" width="14.85546875" style="1" customWidth="1"/>
    <col min="15067" max="15068" width="0" style="1" hidden="1" customWidth="1"/>
    <col min="15069" max="15069" width="14.85546875" style="1" customWidth="1"/>
    <col min="15070" max="15071" width="0" style="1" hidden="1" customWidth="1"/>
    <col min="15072" max="15072" width="14.85546875" style="1" customWidth="1"/>
    <col min="15073" max="15074" width="0" style="1" hidden="1" customWidth="1"/>
    <col min="15075" max="15075" width="14.85546875" style="1" customWidth="1"/>
    <col min="15076" max="15077" width="0" style="1" hidden="1" customWidth="1"/>
    <col min="15078" max="15079" width="14.85546875" style="1" customWidth="1"/>
    <col min="15080" max="15080" width="44.42578125" style="1" customWidth="1"/>
    <col min="15081" max="15085" width="14.85546875" style="1" customWidth="1"/>
    <col min="15086" max="15086" width="63.85546875" style="1" customWidth="1"/>
    <col min="15087" max="15087" width="13.28515625" style="1" customWidth="1"/>
    <col min="15088" max="15273" width="9" style="1"/>
    <col min="15274" max="15275" width="0" style="1" hidden="1" customWidth="1"/>
    <col min="15276" max="15276" width="13.7109375" style="1" customWidth="1"/>
    <col min="15277" max="15277" width="52.85546875" style="1" customWidth="1"/>
    <col min="15278" max="15317" width="0" style="1" hidden="1" customWidth="1"/>
    <col min="15318" max="15319" width="14.85546875" style="1" customWidth="1"/>
    <col min="15320" max="15321" width="0" style="1" hidden="1" customWidth="1"/>
    <col min="15322" max="15322" width="14.85546875" style="1" customWidth="1"/>
    <col min="15323" max="15324" width="0" style="1" hidden="1" customWidth="1"/>
    <col min="15325" max="15325" width="14.85546875" style="1" customWidth="1"/>
    <col min="15326" max="15327" width="0" style="1" hidden="1" customWidth="1"/>
    <col min="15328" max="15328" width="14.85546875" style="1" customWidth="1"/>
    <col min="15329" max="15330" width="0" style="1" hidden="1" customWidth="1"/>
    <col min="15331" max="15331" width="14.85546875" style="1" customWidth="1"/>
    <col min="15332" max="15333" width="0" style="1" hidden="1" customWidth="1"/>
    <col min="15334" max="15335" width="14.85546875" style="1" customWidth="1"/>
    <col min="15336" max="15336" width="44.42578125" style="1" customWidth="1"/>
    <col min="15337" max="15341" width="14.85546875" style="1" customWidth="1"/>
    <col min="15342" max="15342" width="63.85546875" style="1" customWidth="1"/>
    <col min="15343" max="15343" width="13.28515625" style="1" customWidth="1"/>
    <col min="15344" max="15529" width="9" style="1"/>
    <col min="15530" max="15531" width="0" style="1" hidden="1" customWidth="1"/>
    <col min="15532" max="15532" width="13.7109375" style="1" customWidth="1"/>
    <col min="15533" max="15533" width="52.85546875" style="1" customWidth="1"/>
    <col min="15534" max="15573" width="0" style="1" hidden="1" customWidth="1"/>
    <col min="15574" max="15575" width="14.85546875" style="1" customWidth="1"/>
    <col min="15576" max="15577" width="0" style="1" hidden="1" customWidth="1"/>
    <col min="15578" max="15578" width="14.85546875" style="1" customWidth="1"/>
    <col min="15579" max="15580" width="0" style="1" hidden="1" customWidth="1"/>
    <col min="15581" max="15581" width="14.85546875" style="1" customWidth="1"/>
    <col min="15582" max="15583" width="0" style="1" hidden="1" customWidth="1"/>
    <col min="15584" max="15584" width="14.85546875" style="1" customWidth="1"/>
    <col min="15585" max="15586" width="0" style="1" hidden="1" customWidth="1"/>
    <col min="15587" max="15587" width="14.85546875" style="1" customWidth="1"/>
    <col min="15588" max="15589" width="0" style="1" hidden="1" customWidth="1"/>
    <col min="15590" max="15591" width="14.85546875" style="1" customWidth="1"/>
    <col min="15592" max="15592" width="44.42578125" style="1" customWidth="1"/>
    <col min="15593" max="15597" width="14.85546875" style="1" customWidth="1"/>
    <col min="15598" max="15598" width="63.85546875" style="1" customWidth="1"/>
    <col min="15599" max="15599" width="13.28515625" style="1" customWidth="1"/>
    <col min="15600" max="15785" width="9" style="1"/>
    <col min="15786" max="15787" width="0" style="1" hidden="1" customWidth="1"/>
    <col min="15788" max="15788" width="13.7109375" style="1" customWidth="1"/>
    <col min="15789" max="15789" width="52.85546875" style="1" customWidth="1"/>
    <col min="15790" max="15829" width="0" style="1" hidden="1" customWidth="1"/>
    <col min="15830" max="15831" width="14.85546875" style="1" customWidth="1"/>
    <col min="15832" max="15833" width="0" style="1" hidden="1" customWidth="1"/>
    <col min="15834" max="15834" width="14.85546875" style="1" customWidth="1"/>
    <col min="15835" max="15836" width="0" style="1" hidden="1" customWidth="1"/>
    <col min="15837" max="15837" width="14.85546875" style="1" customWidth="1"/>
    <col min="15838" max="15839" width="0" style="1" hidden="1" customWidth="1"/>
    <col min="15840" max="15840" width="14.85546875" style="1" customWidth="1"/>
    <col min="15841" max="15842" width="0" style="1" hidden="1" customWidth="1"/>
    <col min="15843" max="15843" width="14.85546875" style="1" customWidth="1"/>
    <col min="15844" max="15845" width="0" style="1" hidden="1" customWidth="1"/>
    <col min="15846" max="15847" width="14.85546875" style="1" customWidth="1"/>
    <col min="15848" max="15848" width="44.42578125" style="1" customWidth="1"/>
    <col min="15849" max="15853" width="14.85546875" style="1" customWidth="1"/>
    <col min="15854" max="15854" width="63.85546875" style="1" customWidth="1"/>
    <col min="15855" max="15855" width="13.28515625" style="1" customWidth="1"/>
    <col min="15856" max="16041" width="9" style="1"/>
    <col min="16042" max="16043" width="0" style="1" hidden="1" customWidth="1"/>
    <col min="16044" max="16044" width="13.7109375" style="1" customWidth="1"/>
    <col min="16045" max="16045" width="52.85546875" style="1" customWidth="1"/>
    <col min="16046" max="16085" width="0" style="1" hidden="1" customWidth="1"/>
    <col min="16086" max="16087" width="14.85546875" style="1" customWidth="1"/>
    <col min="16088" max="16089" width="0" style="1" hidden="1" customWidth="1"/>
    <col min="16090" max="16090" width="14.85546875" style="1" customWidth="1"/>
    <col min="16091" max="16092" width="0" style="1" hidden="1" customWidth="1"/>
    <col min="16093" max="16093" width="14.85546875" style="1" customWidth="1"/>
    <col min="16094" max="16095" width="0" style="1" hidden="1" customWidth="1"/>
    <col min="16096" max="16096" width="14.85546875" style="1" customWidth="1"/>
    <col min="16097" max="16098" width="0" style="1" hidden="1" customWidth="1"/>
    <col min="16099" max="16099" width="14.85546875" style="1" customWidth="1"/>
    <col min="16100" max="16101" width="0" style="1" hidden="1" customWidth="1"/>
    <col min="16102" max="16103" width="14.85546875" style="1" customWidth="1"/>
    <col min="16104" max="16104" width="44.42578125" style="1" customWidth="1"/>
    <col min="16105" max="16109" width="14.85546875" style="1" customWidth="1"/>
    <col min="16110" max="16110" width="63.85546875" style="1" customWidth="1"/>
    <col min="16111" max="16111" width="13.28515625" style="1" customWidth="1"/>
    <col min="16112" max="16310" width="9" style="1"/>
    <col min="16311" max="16343" width="9.140625" style="1" customWidth="1"/>
    <col min="16344" max="16351" width="9" style="1"/>
    <col min="16352" max="16384" width="9.140625" style="1" customWidth="1"/>
  </cols>
  <sheetData>
    <row r="1" spans="1:8" ht="25.5" outlineLevel="1" x14ac:dyDescent="0.35">
      <c r="C1" s="2" t="s">
        <v>0</v>
      </c>
      <c r="D1" s="3"/>
      <c r="E1" s="6"/>
      <c r="F1" s="7"/>
      <c r="G1" s="4"/>
      <c r="H1" s="8"/>
    </row>
    <row r="2" spans="1:8" ht="25.5" outlineLevel="1" x14ac:dyDescent="0.35">
      <c r="C2" s="223" t="s">
        <v>2</v>
      </c>
      <c r="D2" s="223"/>
      <c r="G2" s="9"/>
      <c r="H2" s="12"/>
    </row>
    <row r="3" spans="1:8" ht="20.25" outlineLevel="1" x14ac:dyDescent="0.3">
      <c r="C3" s="221" t="s">
        <v>3</v>
      </c>
      <c r="D3" s="221"/>
      <c r="E3" s="14"/>
      <c r="F3" s="15"/>
      <c r="G3" s="13"/>
    </row>
    <row r="4" spans="1:8" ht="15.75" outlineLevel="1" thickBot="1" x14ac:dyDescent="0.3">
      <c r="C4" s="17"/>
      <c r="E4" s="14"/>
      <c r="F4" s="15"/>
      <c r="G4" s="16"/>
    </row>
    <row r="5" spans="1:8" ht="55.15" customHeight="1" thickBot="1" x14ac:dyDescent="0.3">
      <c r="C5" s="18" t="s">
        <v>4</v>
      </c>
      <c r="D5" s="19" t="s">
        <v>5</v>
      </c>
      <c r="E5" s="21" t="s">
        <v>7</v>
      </c>
      <c r="F5" s="22" t="s">
        <v>8</v>
      </c>
      <c r="G5" s="20" t="s">
        <v>9</v>
      </c>
      <c r="H5" s="23" t="s">
        <v>10</v>
      </c>
    </row>
    <row r="6" spans="1:8" x14ac:dyDescent="0.25">
      <c r="C6" s="24" t="s">
        <v>11</v>
      </c>
      <c r="D6" s="25" t="s">
        <v>12</v>
      </c>
      <c r="E6" s="26">
        <v>38074624</v>
      </c>
      <c r="F6" s="27">
        <f t="shared" ref="F6" si="0">ROUND((F7+F10+F13+F16+F19),0)</f>
        <v>38074624</v>
      </c>
      <c r="G6" s="28">
        <f>F6-E6</f>
        <v>0</v>
      </c>
      <c r="H6" s="29"/>
    </row>
    <row r="7" spans="1:8" x14ac:dyDescent="0.25">
      <c r="B7" s="1" t="s">
        <v>13</v>
      </c>
      <c r="C7" s="30" t="s">
        <v>14</v>
      </c>
      <c r="D7" s="31" t="s">
        <v>15</v>
      </c>
      <c r="E7" s="33">
        <v>34831773</v>
      </c>
      <c r="F7" s="34">
        <f t="shared" ref="F7" si="1">SUM(F8:F8)</f>
        <v>34831773</v>
      </c>
      <c r="G7" s="32">
        <f t="shared" ref="G7:G71" si="2">F7-E7</f>
        <v>0</v>
      </c>
      <c r="H7" s="35"/>
    </row>
    <row r="8" spans="1:8" ht="18" customHeight="1" x14ac:dyDescent="0.25">
      <c r="A8" s="1" t="s">
        <v>16</v>
      </c>
      <c r="B8" s="36" t="s">
        <v>17</v>
      </c>
      <c r="C8" s="37" t="s">
        <v>18</v>
      </c>
      <c r="D8" s="38" t="s">
        <v>19</v>
      </c>
      <c r="E8" s="40">
        <v>34831773</v>
      </c>
      <c r="F8" s="41">
        <f>ROUND(E8,0)</f>
        <v>34831773</v>
      </c>
      <c r="G8" s="39">
        <f t="shared" si="2"/>
        <v>0</v>
      </c>
      <c r="H8" s="42"/>
    </row>
    <row r="9" spans="1:8" ht="32.450000000000003" customHeight="1" x14ac:dyDescent="0.25">
      <c r="C9" s="24" t="s">
        <v>20</v>
      </c>
      <c r="D9" s="25" t="s">
        <v>21</v>
      </c>
      <c r="E9" s="26">
        <v>3172850.61</v>
      </c>
      <c r="F9" s="27">
        <f>F10+F13+F16</f>
        <v>3172851</v>
      </c>
      <c r="G9" s="28">
        <f t="shared" si="2"/>
        <v>0.39000000013038516</v>
      </c>
      <c r="H9" s="29"/>
    </row>
    <row r="10" spans="1:8" x14ac:dyDescent="0.25">
      <c r="B10" s="1" t="s">
        <v>22</v>
      </c>
      <c r="C10" s="43" t="s">
        <v>23</v>
      </c>
      <c r="D10" s="44" t="s">
        <v>24</v>
      </c>
      <c r="E10" s="46">
        <v>2040017.74</v>
      </c>
      <c r="F10" s="47">
        <f>SUM(F11:F12)</f>
        <v>2040018</v>
      </c>
      <c r="G10" s="45">
        <f t="shared" si="2"/>
        <v>0.26000000000931323</v>
      </c>
      <c r="H10" s="48"/>
    </row>
    <row r="11" spans="1:8" x14ac:dyDescent="0.25">
      <c r="A11" s="1" t="s">
        <v>16</v>
      </c>
      <c r="B11" s="36" t="s">
        <v>25</v>
      </c>
      <c r="C11" s="37" t="s">
        <v>26</v>
      </c>
      <c r="D11" s="38" t="s">
        <v>19</v>
      </c>
      <c r="E11" s="40">
        <v>1900000</v>
      </c>
      <c r="F11" s="41">
        <f>ROUND(E11,0)</f>
        <v>1900000</v>
      </c>
      <c r="G11" s="39">
        <f t="shared" si="2"/>
        <v>0</v>
      </c>
      <c r="H11" s="49"/>
    </row>
    <row r="12" spans="1:8" x14ac:dyDescent="0.25">
      <c r="A12" s="1" t="s">
        <v>16</v>
      </c>
      <c r="B12" s="36" t="s">
        <v>27</v>
      </c>
      <c r="C12" s="37" t="s">
        <v>28</v>
      </c>
      <c r="D12" s="38" t="s">
        <v>29</v>
      </c>
      <c r="E12" s="40">
        <v>140017.74</v>
      </c>
      <c r="F12" s="41">
        <f>ROUND(E12,0)</f>
        <v>140018</v>
      </c>
      <c r="G12" s="39">
        <f t="shared" si="2"/>
        <v>0.26000000000931323</v>
      </c>
      <c r="H12" s="42"/>
    </row>
    <row r="13" spans="1:8" x14ac:dyDescent="0.25">
      <c r="B13" s="1" t="s">
        <v>30</v>
      </c>
      <c r="C13" s="43" t="s">
        <v>31</v>
      </c>
      <c r="D13" s="44" t="s">
        <v>32</v>
      </c>
      <c r="E13" s="46">
        <v>410966.93</v>
      </c>
      <c r="F13" s="47">
        <f>SUM(F14:F15)</f>
        <v>410967</v>
      </c>
      <c r="G13" s="45">
        <f t="shared" si="2"/>
        <v>7.0000000006984919E-2</v>
      </c>
      <c r="H13" s="48"/>
    </row>
    <row r="14" spans="1:8" x14ac:dyDescent="0.25">
      <c r="A14" s="1" t="s">
        <v>16</v>
      </c>
      <c r="B14" s="36" t="s">
        <v>33</v>
      </c>
      <c r="C14" s="37" t="s">
        <v>34</v>
      </c>
      <c r="D14" s="38" t="s">
        <v>35</v>
      </c>
      <c r="E14" s="40">
        <v>350989</v>
      </c>
      <c r="F14" s="41">
        <f>ROUND(E14,0)</f>
        <v>350989</v>
      </c>
      <c r="G14" s="39">
        <f t="shared" si="2"/>
        <v>0</v>
      </c>
      <c r="H14" s="50"/>
    </row>
    <row r="15" spans="1:8" x14ac:dyDescent="0.25">
      <c r="A15" s="1" t="s">
        <v>16</v>
      </c>
      <c r="B15" s="36" t="s">
        <v>36</v>
      </c>
      <c r="C15" s="37" t="s">
        <v>37</v>
      </c>
      <c r="D15" s="38" t="s">
        <v>29</v>
      </c>
      <c r="E15" s="40">
        <v>59977.93</v>
      </c>
      <c r="F15" s="41">
        <f>ROUND(E15,0)</f>
        <v>59978</v>
      </c>
      <c r="G15" s="39">
        <f t="shared" si="2"/>
        <v>6.9999999999708962E-2</v>
      </c>
      <c r="H15" s="42"/>
    </row>
    <row r="16" spans="1:8" ht="29.25" x14ac:dyDescent="0.25">
      <c r="B16" s="1" t="s">
        <v>38</v>
      </c>
      <c r="C16" s="43" t="s">
        <v>39</v>
      </c>
      <c r="D16" s="44" t="s">
        <v>40</v>
      </c>
      <c r="E16" s="46">
        <v>721865.94</v>
      </c>
      <c r="F16" s="47">
        <f>SUM(F17:F18)</f>
        <v>721866</v>
      </c>
      <c r="G16" s="45">
        <f t="shared" si="2"/>
        <v>6.0000000055879354E-2</v>
      </c>
      <c r="H16" s="48"/>
    </row>
    <row r="17" spans="1:8" ht="18.75" customHeight="1" x14ac:dyDescent="0.25">
      <c r="A17" s="1" t="s">
        <v>16</v>
      </c>
      <c r="B17" s="36" t="s">
        <v>41</v>
      </c>
      <c r="C17" s="37" t="s">
        <v>42</v>
      </c>
      <c r="D17" s="38" t="s">
        <v>35</v>
      </c>
      <c r="E17" s="40">
        <v>650000</v>
      </c>
      <c r="F17" s="41">
        <f>ROUND(E17,0)</f>
        <v>650000</v>
      </c>
      <c r="G17" s="39">
        <f t="shared" si="2"/>
        <v>0</v>
      </c>
      <c r="H17" s="50"/>
    </row>
    <row r="18" spans="1:8" x14ac:dyDescent="0.25">
      <c r="A18" s="1" t="s">
        <v>16</v>
      </c>
      <c r="B18" s="36" t="s">
        <v>43</v>
      </c>
      <c r="C18" s="37" t="s">
        <v>44</v>
      </c>
      <c r="D18" s="38" t="s">
        <v>29</v>
      </c>
      <c r="E18" s="40">
        <v>71865.94</v>
      </c>
      <c r="F18" s="41">
        <f>ROUND(E18,0)</f>
        <v>71866</v>
      </c>
      <c r="G18" s="39">
        <f t="shared" si="2"/>
        <v>5.9999999997671694E-2</v>
      </c>
      <c r="H18" s="49"/>
    </row>
    <row r="19" spans="1:8" ht="29.25" x14ac:dyDescent="0.25">
      <c r="B19" s="51"/>
      <c r="C19" s="43" t="s">
        <v>45</v>
      </c>
      <c r="D19" s="44" t="s">
        <v>46</v>
      </c>
      <c r="E19" s="46">
        <v>70000</v>
      </c>
      <c r="F19" s="47">
        <f t="shared" ref="F19" si="3">SUM(F20:F21)</f>
        <v>70000</v>
      </c>
      <c r="G19" s="45">
        <f t="shared" si="2"/>
        <v>0</v>
      </c>
      <c r="H19" s="48"/>
    </row>
    <row r="20" spans="1:8" ht="14.45" hidden="1" customHeight="1" outlineLevel="1" x14ac:dyDescent="0.25">
      <c r="B20" s="36" t="s">
        <v>47</v>
      </c>
      <c r="C20" s="37" t="s">
        <v>48</v>
      </c>
      <c r="D20" s="38" t="s">
        <v>49</v>
      </c>
      <c r="E20" s="40">
        <v>0</v>
      </c>
      <c r="F20" s="41">
        <f>ROUND(E20,0)</f>
        <v>0</v>
      </c>
      <c r="G20" s="39">
        <f t="shared" si="2"/>
        <v>0</v>
      </c>
      <c r="H20" s="50"/>
    </row>
    <row r="21" spans="1:8" ht="15.6" customHeight="1" collapsed="1" x14ac:dyDescent="0.25">
      <c r="B21" s="36" t="s">
        <v>50</v>
      </c>
      <c r="C21" s="37" t="s">
        <v>48</v>
      </c>
      <c r="D21" s="38" t="s">
        <v>51</v>
      </c>
      <c r="E21" s="40">
        <v>70000</v>
      </c>
      <c r="F21" s="41">
        <f>ROUND(E21,0)</f>
        <v>70000</v>
      </c>
      <c r="G21" s="39">
        <f t="shared" si="2"/>
        <v>0</v>
      </c>
      <c r="H21" s="52"/>
    </row>
    <row r="22" spans="1:8" ht="15.75" customHeight="1" x14ac:dyDescent="0.25">
      <c r="B22" s="1" t="s">
        <v>52</v>
      </c>
      <c r="C22" s="43" t="s">
        <v>53</v>
      </c>
      <c r="D22" s="44" t="s">
        <v>54</v>
      </c>
      <c r="E22" s="46">
        <v>160000</v>
      </c>
      <c r="F22" s="47">
        <f t="shared" ref="F22" si="4">F23+F27</f>
        <v>160000</v>
      </c>
      <c r="G22" s="45">
        <f t="shared" si="2"/>
        <v>0</v>
      </c>
      <c r="H22" s="48"/>
    </row>
    <row r="23" spans="1:8" x14ac:dyDescent="0.25">
      <c r="A23" s="1" t="s">
        <v>16</v>
      </c>
      <c r="B23" s="1" t="s">
        <v>55</v>
      </c>
      <c r="C23" s="37" t="s">
        <v>56</v>
      </c>
      <c r="D23" s="38" t="s">
        <v>57</v>
      </c>
      <c r="E23" s="40">
        <v>6700</v>
      </c>
      <c r="F23" s="41">
        <f>F24+F25+F26</f>
        <v>6700</v>
      </c>
      <c r="G23" s="39">
        <f>F23-E23</f>
        <v>0</v>
      </c>
      <c r="H23" s="49"/>
    </row>
    <row r="24" spans="1:8" x14ac:dyDescent="0.25">
      <c r="B24" s="36" t="s">
        <v>58</v>
      </c>
      <c r="C24" s="53" t="s">
        <v>59</v>
      </c>
      <c r="D24" s="54" t="s">
        <v>60</v>
      </c>
      <c r="E24" s="40">
        <v>1700</v>
      </c>
      <c r="F24" s="41">
        <f>ROUND(E24,0)</f>
        <v>1700</v>
      </c>
      <c r="G24" s="39">
        <f t="shared" si="2"/>
        <v>0</v>
      </c>
      <c r="H24" s="49"/>
    </row>
    <row r="25" spans="1:8" ht="26.25" x14ac:dyDescent="0.25">
      <c r="B25" s="36" t="s">
        <v>61</v>
      </c>
      <c r="C25" s="53" t="s">
        <v>62</v>
      </c>
      <c r="D25" s="54" t="s">
        <v>63</v>
      </c>
      <c r="E25" s="40">
        <v>4500</v>
      </c>
      <c r="F25" s="41">
        <f>ROUND(E25,0)</f>
        <v>4500</v>
      </c>
      <c r="G25" s="39">
        <f t="shared" si="2"/>
        <v>0</v>
      </c>
      <c r="H25" s="49"/>
    </row>
    <row r="26" spans="1:8" x14ac:dyDescent="0.25">
      <c r="B26" s="36" t="s">
        <v>64</v>
      </c>
      <c r="C26" s="53" t="s">
        <v>65</v>
      </c>
      <c r="D26" s="54" t="s">
        <v>66</v>
      </c>
      <c r="E26" s="40">
        <v>500</v>
      </c>
      <c r="F26" s="41">
        <f>ROUND(E26,0)</f>
        <v>500</v>
      </c>
      <c r="G26" s="39">
        <f t="shared" si="2"/>
        <v>0</v>
      </c>
      <c r="H26" s="49"/>
    </row>
    <row r="27" spans="1:8" x14ac:dyDescent="0.25">
      <c r="A27" s="1" t="s">
        <v>16</v>
      </c>
      <c r="B27" s="1" t="s">
        <v>67</v>
      </c>
      <c r="C27" s="37" t="s">
        <v>68</v>
      </c>
      <c r="D27" s="38" t="s">
        <v>69</v>
      </c>
      <c r="E27" s="40">
        <v>153300</v>
      </c>
      <c r="F27" s="41">
        <f t="shared" ref="F27" si="5">SUM(F28:F33)</f>
        <v>153300</v>
      </c>
      <c r="G27" s="39">
        <f t="shared" si="2"/>
        <v>0</v>
      </c>
      <c r="H27" s="49"/>
    </row>
    <row r="28" spans="1:8" ht="26.25" x14ac:dyDescent="0.25">
      <c r="B28" s="36" t="s">
        <v>70</v>
      </c>
      <c r="C28" s="53" t="s">
        <v>71</v>
      </c>
      <c r="D28" s="54" t="s">
        <v>72</v>
      </c>
      <c r="E28" s="40">
        <v>350</v>
      </c>
      <c r="F28" s="41">
        <f t="shared" ref="F28:F33" si="6">ROUND(E28,0)</f>
        <v>350</v>
      </c>
      <c r="G28" s="39">
        <f t="shared" si="2"/>
        <v>0</v>
      </c>
      <c r="H28" s="49"/>
    </row>
    <row r="29" spans="1:8" ht="26.25" x14ac:dyDescent="0.25">
      <c r="B29" s="55" t="s">
        <v>73</v>
      </c>
      <c r="C29" s="53" t="s">
        <v>74</v>
      </c>
      <c r="D29" s="54" t="s">
        <v>75</v>
      </c>
      <c r="E29" s="40">
        <v>1100</v>
      </c>
      <c r="F29" s="41">
        <f t="shared" si="6"/>
        <v>1100</v>
      </c>
      <c r="G29" s="39">
        <f t="shared" si="2"/>
        <v>0</v>
      </c>
      <c r="H29" s="49"/>
    </row>
    <row r="30" spans="1:8" x14ac:dyDescent="0.25">
      <c r="B30" s="36" t="s">
        <v>76</v>
      </c>
      <c r="C30" s="53" t="s">
        <v>77</v>
      </c>
      <c r="D30" s="54" t="s">
        <v>78</v>
      </c>
      <c r="E30" s="40">
        <v>27000</v>
      </c>
      <c r="F30" s="41">
        <f t="shared" si="6"/>
        <v>27000</v>
      </c>
      <c r="G30" s="39">
        <f t="shared" si="2"/>
        <v>0</v>
      </c>
      <c r="H30" s="49"/>
    </row>
    <row r="31" spans="1:8" ht="26.25" x14ac:dyDescent="0.25">
      <c r="B31" s="36" t="s">
        <v>79</v>
      </c>
      <c r="C31" s="53" t="s">
        <v>80</v>
      </c>
      <c r="D31" s="54" t="s">
        <v>81</v>
      </c>
      <c r="E31" s="40">
        <v>11500</v>
      </c>
      <c r="F31" s="41">
        <f t="shared" si="6"/>
        <v>11500</v>
      </c>
      <c r="G31" s="39">
        <f t="shared" si="2"/>
        <v>0</v>
      </c>
      <c r="H31" s="49"/>
    </row>
    <row r="32" spans="1:8" x14ac:dyDescent="0.25">
      <c r="B32" s="36" t="s">
        <v>82</v>
      </c>
      <c r="C32" s="53" t="s">
        <v>83</v>
      </c>
      <c r="D32" s="54" t="s">
        <v>84</v>
      </c>
      <c r="E32" s="40">
        <v>106350</v>
      </c>
      <c r="F32" s="41">
        <f t="shared" si="6"/>
        <v>106350</v>
      </c>
      <c r="G32" s="39">
        <f t="shared" si="2"/>
        <v>0</v>
      </c>
      <c r="H32" s="49"/>
    </row>
    <row r="33" spans="1:8" x14ac:dyDescent="0.25">
      <c r="B33" s="36" t="s">
        <v>85</v>
      </c>
      <c r="C33" s="53" t="s">
        <v>86</v>
      </c>
      <c r="D33" s="54" t="s">
        <v>87</v>
      </c>
      <c r="E33" s="40">
        <v>7000</v>
      </c>
      <c r="F33" s="41">
        <f t="shared" si="6"/>
        <v>7000</v>
      </c>
      <c r="G33" s="39">
        <f t="shared" si="2"/>
        <v>0</v>
      </c>
      <c r="H33" s="49"/>
    </row>
    <row r="34" spans="1:8" ht="18" customHeight="1" x14ac:dyDescent="0.25">
      <c r="B34" s="1" t="s">
        <v>88</v>
      </c>
      <c r="C34" s="43" t="s">
        <v>89</v>
      </c>
      <c r="D34" s="44" t="s">
        <v>90</v>
      </c>
      <c r="E34" s="46">
        <v>65000</v>
      </c>
      <c r="F34" s="47">
        <f>F35+F36</f>
        <v>65000</v>
      </c>
      <c r="G34" s="45">
        <f t="shared" si="2"/>
        <v>0</v>
      </c>
      <c r="H34" s="56"/>
    </row>
    <row r="35" spans="1:8" ht="16.5" customHeight="1" x14ac:dyDescent="0.25">
      <c r="B35" s="51" t="s">
        <v>91</v>
      </c>
      <c r="C35" s="37" t="s">
        <v>92</v>
      </c>
      <c r="D35" s="38" t="s">
        <v>90</v>
      </c>
      <c r="E35" s="40">
        <v>31000</v>
      </c>
      <c r="F35" s="41">
        <f>ROUND(E35,0)</f>
        <v>31000</v>
      </c>
      <c r="G35" s="39">
        <f t="shared" si="2"/>
        <v>0</v>
      </c>
      <c r="H35" s="42"/>
    </row>
    <row r="36" spans="1:8" x14ac:dyDescent="0.25">
      <c r="B36" s="51" t="s">
        <v>93</v>
      </c>
      <c r="C36" s="37" t="s">
        <v>94</v>
      </c>
      <c r="D36" s="38" t="s">
        <v>95</v>
      </c>
      <c r="E36" s="40">
        <v>34000</v>
      </c>
      <c r="F36" s="41">
        <f>ROUND(E36,0)</f>
        <v>34000</v>
      </c>
      <c r="G36" s="39">
        <f t="shared" si="2"/>
        <v>0</v>
      </c>
      <c r="H36" s="42"/>
    </row>
    <row r="37" spans="1:8" x14ac:dyDescent="0.25">
      <c r="B37" s="1" t="s">
        <v>96</v>
      </c>
      <c r="C37" s="43" t="s">
        <v>97</v>
      </c>
      <c r="D37" s="44" t="s">
        <v>98</v>
      </c>
      <c r="E37" s="46">
        <v>6453</v>
      </c>
      <c r="F37" s="47">
        <f>F38+F39+F40</f>
        <v>6453</v>
      </c>
      <c r="G37" s="45">
        <f t="shared" si="2"/>
        <v>0</v>
      </c>
      <c r="H37" s="48"/>
    </row>
    <row r="38" spans="1:8" ht="29.45" customHeight="1" x14ac:dyDescent="0.25">
      <c r="A38" s="1" t="s">
        <v>16</v>
      </c>
      <c r="B38" s="4" t="s">
        <v>99</v>
      </c>
      <c r="C38" s="37" t="s">
        <v>100</v>
      </c>
      <c r="D38" s="57" t="s">
        <v>101</v>
      </c>
      <c r="E38" s="40">
        <v>0</v>
      </c>
      <c r="F38" s="41">
        <f>ROUND(E38,0)</f>
        <v>0</v>
      </c>
      <c r="G38" s="39">
        <f t="shared" si="2"/>
        <v>0</v>
      </c>
      <c r="H38" s="58"/>
    </row>
    <row r="39" spans="1:8" x14ac:dyDescent="0.25">
      <c r="B39" s="1" t="s">
        <v>102</v>
      </c>
      <c r="C39" s="37" t="s">
        <v>103</v>
      </c>
      <c r="D39" s="38" t="s">
        <v>104</v>
      </c>
      <c r="E39" s="40">
        <v>500</v>
      </c>
      <c r="F39" s="41">
        <f>ROUND(E39,0)</f>
        <v>500</v>
      </c>
      <c r="G39" s="39">
        <f t="shared" si="2"/>
        <v>0</v>
      </c>
      <c r="H39" s="58"/>
    </row>
    <row r="40" spans="1:8" x14ac:dyDescent="0.25">
      <c r="C40" s="37" t="s">
        <v>105</v>
      </c>
      <c r="D40" s="38" t="s">
        <v>106</v>
      </c>
      <c r="E40" s="40">
        <v>5953</v>
      </c>
      <c r="F40" s="41">
        <f>ROUND(E40,0)</f>
        <v>5953</v>
      </c>
      <c r="G40" s="39">
        <f t="shared" si="2"/>
        <v>0</v>
      </c>
      <c r="H40" s="42"/>
    </row>
    <row r="41" spans="1:8" ht="15" customHeight="1" x14ac:dyDescent="0.25">
      <c r="B41" s="1" t="s">
        <v>107</v>
      </c>
      <c r="C41" s="59" t="s">
        <v>108</v>
      </c>
      <c r="D41" s="44" t="s">
        <v>109</v>
      </c>
      <c r="E41" s="46">
        <v>5856</v>
      </c>
      <c r="F41" s="47">
        <f>ROUND(E41,0)</f>
        <v>5856</v>
      </c>
      <c r="G41" s="45">
        <f t="shared" si="2"/>
        <v>0</v>
      </c>
      <c r="H41" s="56"/>
    </row>
    <row r="42" spans="1:8" x14ac:dyDescent="0.25">
      <c r="C42" s="59" t="s">
        <v>110</v>
      </c>
      <c r="D42" s="44" t="s">
        <v>111</v>
      </c>
      <c r="E42" s="46">
        <v>10153512</v>
      </c>
      <c r="F42" s="47">
        <f t="shared" ref="F42" si="7">F43+F66+F87</f>
        <v>10449615</v>
      </c>
      <c r="G42" s="45">
        <f t="shared" si="2"/>
        <v>296103</v>
      </c>
      <c r="H42" s="45"/>
    </row>
    <row r="43" spans="1:8" ht="17.45" customHeight="1" x14ac:dyDescent="0.25">
      <c r="B43" s="36"/>
      <c r="C43" s="60" t="s">
        <v>112</v>
      </c>
      <c r="D43" s="61" t="s">
        <v>113</v>
      </c>
      <c r="E43" s="63">
        <v>8993696</v>
      </c>
      <c r="F43" s="64">
        <f t="shared" ref="F43" si="8">SUM(F44:F47)+F50+SUM(F54:F65)</f>
        <v>9196833</v>
      </c>
      <c r="G43" s="65">
        <f t="shared" si="2"/>
        <v>203137</v>
      </c>
      <c r="H43" s="65"/>
    </row>
    <row r="44" spans="1:8" ht="16.899999999999999" customHeight="1" x14ac:dyDescent="0.25">
      <c r="A44" s="1" t="s">
        <v>114</v>
      </c>
      <c r="B44" s="1" t="s">
        <v>115</v>
      </c>
      <c r="C44" s="53" t="s">
        <v>116</v>
      </c>
      <c r="D44" s="38" t="s">
        <v>117</v>
      </c>
      <c r="E44" s="40">
        <v>651116</v>
      </c>
      <c r="F44" s="41">
        <f>ROUND(E44,0)+142597</f>
        <v>793713</v>
      </c>
      <c r="G44" s="39">
        <f t="shared" si="2"/>
        <v>142597</v>
      </c>
      <c r="H44" s="58" t="s">
        <v>118</v>
      </c>
    </row>
    <row r="45" spans="1:8" ht="13.9" customHeight="1" x14ac:dyDescent="0.25">
      <c r="A45" s="1" t="s">
        <v>114</v>
      </c>
      <c r="B45" s="51" t="s">
        <v>119</v>
      </c>
      <c r="C45" s="53" t="s">
        <v>120</v>
      </c>
      <c r="D45" s="38" t="s">
        <v>121</v>
      </c>
      <c r="E45" s="40">
        <v>314606</v>
      </c>
      <c r="F45" s="41">
        <f>ROUND(E45,0)</f>
        <v>314606</v>
      </c>
      <c r="G45" s="39">
        <f t="shared" si="2"/>
        <v>0</v>
      </c>
      <c r="H45" s="42"/>
    </row>
    <row r="46" spans="1:8" x14ac:dyDescent="0.25">
      <c r="B46" s="51" t="s">
        <v>122</v>
      </c>
      <c r="C46" s="53" t="s">
        <v>123</v>
      </c>
      <c r="D46" s="38" t="s">
        <v>124</v>
      </c>
      <c r="E46" s="40">
        <v>249276</v>
      </c>
      <c r="F46" s="41">
        <f>ROUND(E46,0)</f>
        <v>249276</v>
      </c>
      <c r="G46" s="39">
        <f t="shared" si="2"/>
        <v>0</v>
      </c>
      <c r="H46" s="58"/>
    </row>
    <row r="47" spans="1:8" ht="14.25" customHeight="1" x14ac:dyDescent="0.25">
      <c r="A47" s="1" t="s">
        <v>114</v>
      </c>
      <c r="B47" s="51" t="s">
        <v>125</v>
      </c>
      <c r="C47" s="53" t="s">
        <v>126</v>
      </c>
      <c r="D47" s="38" t="s">
        <v>127</v>
      </c>
      <c r="E47" s="39">
        <v>0</v>
      </c>
      <c r="F47" s="41">
        <f t="shared" ref="F47" si="9">F48+F49</f>
        <v>0</v>
      </c>
      <c r="G47" s="39">
        <f t="shared" si="2"/>
        <v>0</v>
      </c>
      <c r="H47" s="39"/>
    </row>
    <row r="48" spans="1:8" ht="14.25" customHeight="1" x14ac:dyDescent="0.25">
      <c r="B48" s="51"/>
      <c r="C48" s="53" t="s">
        <v>128</v>
      </c>
      <c r="D48" s="54" t="s">
        <v>129</v>
      </c>
      <c r="E48" s="66"/>
      <c r="F48" s="41"/>
      <c r="G48" s="39">
        <f t="shared" si="2"/>
        <v>0</v>
      </c>
      <c r="H48" s="58"/>
    </row>
    <row r="49" spans="1:8" ht="17.45" customHeight="1" x14ac:dyDescent="0.25">
      <c r="B49" s="51"/>
      <c r="C49" s="53" t="s">
        <v>130</v>
      </c>
      <c r="D49" s="54" t="s">
        <v>131</v>
      </c>
      <c r="E49" s="66"/>
      <c r="F49" s="41"/>
      <c r="G49" s="39">
        <f t="shared" si="2"/>
        <v>0</v>
      </c>
      <c r="H49" s="58"/>
    </row>
    <row r="50" spans="1:8" ht="13.9" customHeight="1" x14ac:dyDescent="0.25">
      <c r="B50" s="1" t="s">
        <v>132</v>
      </c>
      <c r="C50" s="53" t="s">
        <v>133</v>
      </c>
      <c r="D50" s="38" t="s">
        <v>134</v>
      </c>
      <c r="E50" s="68">
        <v>6510554</v>
      </c>
      <c r="F50" s="69">
        <f>F51+F52+F53</f>
        <v>6510554</v>
      </c>
      <c r="G50" s="67">
        <f t="shared" si="2"/>
        <v>0</v>
      </c>
      <c r="H50" s="70"/>
    </row>
    <row r="51" spans="1:8" s="75" customFormat="1" x14ac:dyDescent="0.25">
      <c r="A51" s="1" t="s">
        <v>114</v>
      </c>
      <c r="B51" s="51" t="s">
        <v>135</v>
      </c>
      <c r="C51" s="53" t="s">
        <v>136</v>
      </c>
      <c r="D51" s="54" t="s">
        <v>137</v>
      </c>
      <c r="E51" s="72">
        <v>1100762</v>
      </c>
      <c r="F51" s="73">
        <f t="shared" ref="F51:F64" si="10">ROUND(E51,0)</f>
        <v>1100762</v>
      </c>
      <c r="G51" s="71">
        <f t="shared" si="2"/>
        <v>0</v>
      </c>
      <c r="H51" s="74"/>
    </row>
    <row r="52" spans="1:8" s="75" customFormat="1" x14ac:dyDescent="0.25">
      <c r="A52" s="1" t="s">
        <v>114</v>
      </c>
      <c r="B52" s="51" t="s">
        <v>138</v>
      </c>
      <c r="C52" s="53" t="s">
        <v>139</v>
      </c>
      <c r="D52" s="54" t="s">
        <v>140</v>
      </c>
      <c r="E52" s="72">
        <v>5092428</v>
      </c>
      <c r="F52" s="73">
        <f>ROUND(E52,0)</f>
        <v>5092428</v>
      </c>
      <c r="G52" s="71">
        <f t="shared" si="2"/>
        <v>0</v>
      </c>
      <c r="H52" s="74"/>
    </row>
    <row r="53" spans="1:8" s="75" customFormat="1" x14ac:dyDescent="0.25">
      <c r="A53" s="1" t="s">
        <v>114</v>
      </c>
      <c r="B53" s="1"/>
      <c r="C53" s="53" t="s">
        <v>141</v>
      </c>
      <c r="D53" s="54" t="s">
        <v>142</v>
      </c>
      <c r="E53" s="72">
        <v>317364</v>
      </c>
      <c r="F53" s="73">
        <f t="shared" si="10"/>
        <v>317364</v>
      </c>
      <c r="G53" s="76">
        <f t="shared" si="2"/>
        <v>0</v>
      </c>
      <c r="H53" s="77"/>
    </row>
    <row r="54" spans="1:8" ht="31.5" customHeight="1" x14ac:dyDescent="0.25">
      <c r="A54" s="1" t="s">
        <v>114</v>
      </c>
      <c r="B54" s="1" t="s">
        <v>143</v>
      </c>
      <c r="C54" s="53" t="s">
        <v>144</v>
      </c>
      <c r="D54" s="38" t="s">
        <v>145</v>
      </c>
      <c r="E54" s="40">
        <v>13088</v>
      </c>
      <c r="F54" s="41">
        <f t="shared" si="10"/>
        <v>13088</v>
      </c>
      <c r="G54" s="39">
        <f t="shared" si="2"/>
        <v>0</v>
      </c>
      <c r="H54" s="49"/>
    </row>
    <row r="55" spans="1:8" ht="19.149999999999999" customHeight="1" x14ac:dyDescent="0.25">
      <c r="A55" s="1" t="s">
        <v>114</v>
      </c>
      <c r="B55" s="51" t="s">
        <v>146</v>
      </c>
      <c r="C55" s="53" t="s">
        <v>147</v>
      </c>
      <c r="D55" s="38" t="s">
        <v>148</v>
      </c>
      <c r="E55" s="40">
        <v>14485</v>
      </c>
      <c r="F55" s="41">
        <f>ROUND(E55,0)</f>
        <v>14485</v>
      </c>
      <c r="G55" s="39">
        <f t="shared" si="2"/>
        <v>0</v>
      </c>
      <c r="H55" s="42"/>
    </row>
    <row r="56" spans="1:8" ht="19.149999999999999" customHeight="1" x14ac:dyDescent="0.25">
      <c r="B56" s="51"/>
      <c r="C56" s="53" t="s">
        <v>149</v>
      </c>
      <c r="D56" s="38" t="s">
        <v>150</v>
      </c>
      <c r="E56" s="40">
        <v>3668</v>
      </c>
      <c r="F56" s="41">
        <f>ROUND(E56,0)</f>
        <v>3668</v>
      </c>
      <c r="G56" s="39">
        <f t="shared" si="2"/>
        <v>0</v>
      </c>
      <c r="H56" s="42"/>
    </row>
    <row r="57" spans="1:8" ht="18.600000000000001" customHeight="1" x14ac:dyDescent="0.25">
      <c r="B57" s="1" t="s">
        <v>151</v>
      </c>
      <c r="C57" s="53" t="s">
        <v>152</v>
      </c>
      <c r="D57" s="38" t="s">
        <v>153</v>
      </c>
      <c r="E57" s="40">
        <v>501000</v>
      </c>
      <c r="F57" s="41">
        <f t="shared" si="10"/>
        <v>501000</v>
      </c>
      <c r="G57" s="39">
        <f t="shared" si="2"/>
        <v>0</v>
      </c>
      <c r="H57" s="58"/>
    </row>
    <row r="58" spans="1:8" ht="31.5" customHeight="1" x14ac:dyDescent="0.25">
      <c r="C58" s="53" t="s">
        <v>154</v>
      </c>
      <c r="D58" s="38" t="s">
        <v>155</v>
      </c>
      <c r="E58" s="40">
        <v>0</v>
      </c>
      <c r="F58" s="41">
        <f t="shared" si="10"/>
        <v>0</v>
      </c>
      <c r="G58" s="39">
        <f t="shared" si="2"/>
        <v>0</v>
      </c>
      <c r="H58" s="42"/>
    </row>
    <row r="59" spans="1:8" ht="31.5" customHeight="1" x14ac:dyDescent="0.25">
      <c r="C59" s="53"/>
      <c r="D59" s="38" t="s">
        <v>156</v>
      </c>
      <c r="E59" s="40">
        <v>0</v>
      </c>
      <c r="F59" s="41"/>
      <c r="G59" s="39">
        <f t="shared" si="2"/>
        <v>0</v>
      </c>
      <c r="H59" s="42"/>
    </row>
    <row r="60" spans="1:8" ht="28.15" customHeight="1" x14ac:dyDescent="0.25">
      <c r="B60" s="78" t="s">
        <v>157</v>
      </c>
      <c r="C60" s="53" t="s">
        <v>158</v>
      </c>
      <c r="D60" s="79" t="s">
        <v>159</v>
      </c>
      <c r="E60" s="40">
        <v>342263</v>
      </c>
      <c r="F60" s="41">
        <f>ROUND(E60,0)+59292+1248</f>
        <v>402803</v>
      </c>
      <c r="G60" s="39">
        <f t="shared" si="2"/>
        <v>60540</v>
      </c>
      <c r="H60" s="58" t="s">
        <v>160</v>
      </c>
    </row>
    <row r="61" spans="1:8" ht="58.9" customHeight="1" x14ac:dyDescent="0.25">
      <c r="C61" s="53"/>
      <c r="D61" s="38" t="s">
        <v>161</v>
      </c>
      <c r="E61" s="40">
        <v>0</v>
      </c>
      <c r="F61" s="41">
        <f t="shared" si="10"/>
        <v>0</v>
      </c>
      <c r="G61" s="39">
        <f t="shared" si="2"/>
        <v>0</v>
      </c>
      <c r="H61" s="58"/>
    </row>
    <row r="62" spans="1:8" ht="15.6" customHeight="1" x14ac:dyDescent="0.25">
      <c r="C62" s="53" t="s">
        <v>162</v>
      </c>
      <c r="D62" s="38" t="s">
        <v>163</v>
      </c>
      <c r="E62" s="40">
        <v>50000</v>
      </c>
      <c r="F62" s="41">
        <f t="shared" si="10"/>
        <v>50000</v>
      </c>
      <c r="G62" s="39">
        <f t="shared" si="2"/>
        <v>0</v>
      </c>
      <c r="H62" s="58"/>
    </row>
    <row r="63" spans="1:8" ht="17.45" customHeight="1" x14ac:dyDescent="0.25">
      <c r="B63" s="1" t="s">
        <v>132</v>
      </c>
      <c r="C63" s="53" t="s">
        <v>164</v>
      </c>
      <c r="D63" s="38" t="s">
        <v>165</v>
      </c>
      <c r="E63" s="40">
        <v>200000</v>
      </c>
      <c r="F63" s="41">
        <f t="shared" si="10"/>
        <v>200000</v>
      </c>
      <c r="G63" s="39">
        <f t="shared" si="2"/>
        <v>0</v>
      </c>
      <c r="H63" s="58"/>
    </row>
    <row r="64" spans="1:8" x14ac:dyDescent="0.25">
      <c r="A64" s="1" t="s">
        <v>114</v>
      </c>
      <c r="B64" s="51" t="s">
        <v>166</v>
      </c>
      <c r="C64" s="53" t="s">
        <v>167</v>
      </c>
      <c r="D64" s="81" t="s">
        <v>168</v>
      </c>
      <c r="E64" s="40">
        <v>0</v>
      </c>
      <c r="F64" s="41">
        <f t="shared" si="10"/>
        <v>0</v>
      </c>
      <c r="G64" s="39">
        <f>F64-E64</f>
        <v>0</v>
      </c>
      <c r="H64" s="82"/>
    </row>
    <row r="65" spans="1:8" ht="18.600000000000001" customHeight="1" x14ac:dyDescent="0.25">
      <c r="A65" s="78" t="s">
        <v>169</v>
      </c>
      <c r="B65" s="1" t="s">
        <v>170</v>
      </c>
      <c r="C65" s="53" t="s">
        <v>171</v>
      </c>
      <c r="D65" s="38" t="s">
        <v>172</v>
      </c>
      <c r="E65" s="40">
        <v>143640</v>
      </c>
      <c r="F65" s="41">
        <f>ROUND(E65,0)</f>
        <v>143640</v>
      </c>
      <c r="G65" s="39">
        <f t="shared" si="2"/>
        <v>0</v>
      </c>
      <c r="H65" s="58"/>
    </row>
    <row r="66" spans="1:8" ht="32.25" customHeight="1" x14ac:dyDescent="0.25">
      <c r="C66" s="60" t="s">
        <v>173</v>
      </c>
      <c r="D66" s="61" t="s">
        <v>174</v>
      </c>
      <c r="E66" s="83">
        <v>1159816</v>
      </c>
      <c r="F66" s="84">
        <f t="shared" ref="F66" si="11">SUM(F67:F86)</f>
        <v>1252782</v>
      </c>
      <c r="G66" s="62">
        <f t="shared" si="2"/>
        <v>92966</v>
      </c>
      <c r="H66" s="85"/>
    </row>
    <row r="67" spans="1:8" x14ac:dyDescent="0.25">
      <c r="A67" s="1" t="s">
        <v>175</v>
      </c>
      <c r="B67" s="1" t="s">
        <v>176</v>
      </c>
      <c r="C67" s="53" t="s">
        <v>177</v>
      </c>
      <c r="D67" s="81" t="s">
        <v>178</v>
      </c>
      <c r="E67" s="40">
        <v>0</v>
      </c>
      <c r="F67" s="41">
        <f>ROUND(E67,0)+(109839-16873)</f>
        <v>92966</v>
      </c>
      <c r="G67" s="39">
        <f t="shared" si="2"/>
        <v>92966</v>
      </c>
      <c r="H67" s="50" t="s">
        <v>179</v>
      </c>
    </row>
    <row r="68" spans="1:8" x14ac:dyDescent="0.25">
      <c r="C68" s="53" t="s">
        <v>180</v>
      </c>
      <c r="D68" s="81" t="s">
        <v>181</v>
      </c>
      <c r="E68" s="40">
        <v>63988</v>
      </c>
      <c r="F68" s="41">
        <f t="shared" ref="F68:F87" si="12">ROUND(E68,0)</f>
        <v>63988</v>
      </c>
      <c r="G68" s="39">
        <f t="shared" si="2"/>
        <v>0</v>
      </c>
      <c r="H68" s="58"/>
    </row>
    <row r="69" spans="1:8" ht="30" x14ac:dyDescent="0.25">
      <c r="B69" s="86" t="s">
        <v>182</v>
      </c>
      <c r="C69" s="53" t="s">
        <v>183</v>
      </c>
      <c r="D69" s="81" t="s">
        <v>184</v>
      </c>
      <c r="E69" s="40">
        <v>2532</v>
      </c>
      <c r="F69" s="41">
        <f t="shared" si="12"/>
        <v>2532</v>
      </c>
      <c r="G69" s="39">
        <f t="shared" si="2"/>
        <v>0</v>
      </c>
      <c r="H69" s="50"/>
    </row>
    <row r="70" spans="1:8" x14ac:dyDescent="0.25">
      <c r="B70" s="86"/>
      <c r="C70" s="53" t="s">
        <v>185</v>
      </c>
      <c r="D70" s="81" t="s">
        <v>186</v>
      </c>
      <c r="E70" s="40">
        <v>5135</v>
      </c>
      <c r="F70" s="41">
        <f t="shared" si="12"/>
        <v>5135</v>
      </c>
      <c r="G70" s="39">
        <f t="shared" si="2"/>
        <v>0</v>
      </c>
      <c r="H70" s="50"/>
    </row>
    <row r="71" spans="1:8" x14ac:dyDescent="0.25">
      <c r="B71" s="86"/>
      <c r="C71" s="53" t="s">
        <v>187</v>
      </c>
      <c r="D71" s="81" t="s">
        <v>188</v>
      </c>
      <c r="E71" s="40">
        <v>9000</v>
      </c>
      <c r="F71" s="41">
        <f t="shared" si="12"/>
        <v>9000</v>
      </c>
      <c r="G71" s="39">
        <f t="shared" si="2"/>
        <v>0</v>
      </c>
      <c r="H71" s="50"/>
    </row>
    <row r="72" spans="1:8" ht="45" x14ac:dyDescent="0.25">
      <c r="B72" s="86"/>
      <c r="C72" s="53" t="s">
        <v>189</v>
      </c>
      <c r="D72" s="81" t="s">
        <v>190</v>
      </c>
      <c r="E72" s="40">
        <v>6010</v>
      </c>
      <c r="F72" s="41">
        <f t="shared" si="12"/>
        <v>6010</v>
      </c>
      <c r="G72" s="39">
        <f>F72-E72</f>
        <v>0</v>
      </c>
      <c r="H72" s="50"/>
    </row>
    <row r="73" spans="1:8" ht="45" x14ac:dyDescent="0.25">
      <c r="B73" s="86"/>
      <c r="C73" s="53" t="s">
        <v>191</v>
      </c>
      <c r="D73" s="81" t="s">
        <v>192</v>
      </c>
      <c r="E73" s="40">
        <v>30655</v>
      </c>
      <c r="F73" s="41">
        <f>ROUND(E73,0)</f>
        <v>30655</v>
      </c>
      <c r="G73" s="39">
        <f>F73-E73</f>
        <v>0</v>
      </c>
      <c r="H73" s="50"/>
    </row>
    <row r="74" spans="1:8" x14ac:dyDescent="0.25">
      <c r="A74" s="78" t="s">
        <v>193</v>
      </c>
      <c r="B74" s="86"/>
      <c r="C74" s="53" t="s">
        <v>194</v>
      </c>
      <c r="D74" s="81" t="s">
        <v>195</v>
      </c>
      <c r="E74" s="40">
        <v>0</v>
      </c>
      <c r="F74" s="41">
        <f>ROUND(E74,0)</f>
        <v>0</v>
      </c>
      <c r="G74" s="39">
        <f>F74-E74</f>
        <v>0</v>
      </c>
      <c r="H74" s="50"/>
    </row>
    <row r="75" spans="1:8" ht="30" x14ac:dyDescent="0.25">
      <c r="A75" s="78" t="s">
        <v>196</v>
      </c>
      <c r="B75" s="86"/>
      <c r="C75" s="53" t="s">
        <v>197</v>
      </c>
      <c r="D75" s="81" t="s">
        <v>198</v>
      </c>
      <c r="E75" s="40">
        <v>0</v>
      </c>
      <c r="F75" s="41">
        <f>ROUND(E75,0)</f>
        <v>0</v>
      </c>
      <c r="G75" s="39">
        <f>F75-E75</f>
        <v>0</v>
      </c>
      <c r="H75" s="50"/>
    </row>
    <row r="76" spans="1:8" ht="29.45" customHeight="1" x14ac:dyDescent="0.25">
      <c r="B76" s="1" t="s">
        <v>199</v>
      </c>
      <c r="C76" s="53" t="s">
        <v>200</v>
      </c>
      <c r="D76" s="81" t="s">
        <v>201</v>
      </c>
      <c r="E76" s="40">
        <v>0</v>
      </c>
      <c r="F76" s="41">
        <f t="shared" si="12"/>
        <v>0</v>
      </c>
      <c r="G76" s="39">
        <f t="shared" ref="G76:G124" si="13">F76-E76</f>
        <v>0</v>
      </c>
      <c r="H76" s="52"/>
    </row>
    <row r="77" spans="1:8" ht="30" x14ac:dyDescent="0.25">
      <c r="B77" s="51" t="s">
        <v>202</v>
      </c>
      <c r="C77" s="53" t="s">
        <v>203</v>
      </c>
      <c r="D77" s="81" t="s">
        <v>204</v>
      </c>
      <c r="E77" s="40">
        <v>0</v>
      </c>
      <c r="F77" s="41">
        <f t="shared" si="12"/>
        <v>0</v>
      </c>
      <c r="G77" s="39">
        <f t="shared" si="13"/>
        <v>0</v>
      </c>
      <c r="H77" s="87"/>
    </row>
    <row r="78" spans="1:8" ht="30" x14ac:dyDescent="0.25">
      <c r="B78" s="51"/>
      <c r="C78" s="53" t="s">
        <v>205</v>
      </c>
      <c r="D78" s="81" t="s">
        <v>206</v>
      </c>
      <c r="E78" s="40">
        <v>0</v>
      </c>
      <c r="F78" s="41">
        <f t="shared" si="12"/>
        <v>0</v>
      </c>
      <c r="G78" s="39">
        <f t="shared" si="13"/>
        <v>0</v>
      </c>
      <c r="H78" s="87"/>
    </row>
    <row r="79" spans="1:8" x14ac:dyDescent="0.25">
      <c r="B79" s="51"/>
      <c r="C79" s="53" t="s">
        <v>207</v>
      </c>
      <c r="D79" s="81" t="s">
        <v>208</v>
      </c>
      <c r="E79" s="40">
        <v>0</v>
      </c>
      <c r="F79" s="41">
        <f t="shared" si="12"/>
        <v>0</v>
      </c>
      <c r="G79" s="39">
        <f t="shared" si="13"/>
        <v>0</v>
      </c>
      <c r="H79" s="87"/>
    </row>
    <row r="80" spans="1:8" ht="30" x14ac:dyDescent="0.25">
      <c r="B80" s="51"/>
      <c r="C80" s="53" t="s">
        <v>209</v>
      </c>
      <c r="D80" s="81" t="s">
        <v>210</v>
      </c>
      <c r="E80" s="40">
        <v>0</v>
      </c>
      <c r="F80" s="41">
        <f t="shared" si="12"/>
        <v>0</v>
      </c>
      <c r="G80" s="39">
        <f t="shared" si="13"/>
        <v>0</v>
      </c>
      <c r="H80" s="87"/>
    </row>
    <row r="81" spans="1:8" x14ac:dyDescent="0.25">
      <c r="B81" s="88" t="s">
        <v>211</v>
      </c>
      <c r="C81" s="53" t="s">
        <v>212</v>
      </c>
      <c r="D81" s="81" t="s">
        <v>213</v>
      </c>
      <c r="E81" s="40">
        <v>0</v>
      </c>
      <c r="F81" s="41">
        <f t="shared" si="12"/>
        <v>0</v>
      </c>
      <c r="G81" s="39">
        <f t="shared" si="13"/>
        <v>0</v>
      </c>
      <c r="H81" s="87"/>
    </row>
    <row r="82" spans="1:8" x14ac:dyDescent="0.25">
      <c r="B82" s="51"/>
      <c r="C82" s="53" t="s">
        <v>214</v>
      </c>
      <c r="D82" s="81" t="s">
        <v>215</v>
      </c>
      <c r="E82" s="40">
        <v>150645</v>
      </c>
      <c r="F82" s="41">
        <f t="shared" si="12"/>
        <v>150645</v>
      </c>
      <c r="G82" s="39">
        <f t="shared" si="13"/>
        <v>0</v>
      </c>
      <c r="H82" s="87"/>
    </row>
    <row r="83" spans="1:8" ht="41.45" customHeight="1" x14ac:dyDescent="0.25">
      <c r="B83" s="51"/>
      <c r="C83" s="53" t="s">
        <v>216</v>
      </c>
      <c r="D83" s="81" t="s">
        <v>217</v>
      </c>
      <c r="E83" s="40">
        <v>118650</v>
      </c>
      <c r="F83" s="41">
        <f t="shared" si="12"/>
        <v>118650</v>
      </c>
      <c r="G83" s="39">
        <f t="shared" si="13"/>
        <v>0</v>
      </c>
      <c r="H83" s="87"/>
    </row>
    <row r="84" spans="1:8" x14ac:dyDescent="0.25">
      <c r="B84" s="51"/>
      <c r="C84" s="53" t="s">
        <v>218</v>
      </c>
      <c r="D84" s="81" t="s">
        <v>219</v>
      </c>
      <c r="E84" s="40">
        <v>390462</v>
      </c>
      <c r="F84" s="41">
        <f t="shared" si="12"/>
        <v>390462</v>
      </c>
      <c r="G84" s="39">
        <f t="shared" si="13"/>
        <v>0</v>
      </c>
      <c r="H84" s="87"/>
    </row>
    <row r="85" spans="1:8" ht="30" x14ac:dyDescent="0.25">
      <c r="B85" s="88" t="s">
        <v>211</v>
      </c>
      <c r="C85" s="53" t="s">
        <v>220</v>
      </c>
      <c r="D85" s="81" t="s">
        <v>221</v>
      </c>
      <c r="E85" s="40">
        <v>0</v>
      </c>
      <c r="F85" s="41">
        <f t="shared" si="12"/>
        <v>0</v>
      </c>
      <c r="G85" s="39">
        <f t="shared" si="13"/>
        <v>0</v>
      </c>
      <c r="H85" s="87"/>
    </row>
    <row r="86" spans="1:8" x14ac:dyDescent="0.25">
      <c r="B86" s="78" t="s">
        <v>222</v>
      </c>
      <c r="C86" s="53" t="s">
        <v>223</v>
      </c>
      <c r="D86" s="89" t="s">
        <v>224</v>
      </c>
      <c r="E86" s="40">
        <v>382739</v>
      </c>
      <c r="F86" s="41">
        <f t="shared" si="12"/>
        <v>382739</v>
      </c>
      <c r="G86" s="39">
        <f t="shared" si="13"/>
        <v>0</v>
      </c>
      <c r="H86" s="87"/>
    </row>
    <row r="87" spans="1:8" hidden="1" outlineLevel="1" x14ac:dyDescent="0.25">
      <c r="B87" s="36" t="s">
        <v>225</v>
      </c>
      <c r="C87" s="37" t="s">
        <v>226</v>
      </c>
      <c r="D87" s="90" t="s">
        <v>227</v>
      </c>
      <c r="E87" s="66">
        <v>0</v>
      </c>
      <c r="F87" s="41">
        <f t="shared" si="12"/>
        <v>0</v>
      </c>
      <c r="G87" s="39">
        <f t="shared" si="13"/>
        <v>0</v>
      </c>
      <c r="H87" s="42"/>
    </row>
    <row r="88" spans="1:8" collapsed="1" x14ac:dyDescent="0.25">
      <c r="C88" s="59" t="s">
        <v>228</v>
      </c>
      <c r="D88" s="44" t="s">
        <v>229</v>
      </c>
      <c r="E88" s="46">
        <v>295000</v>
      </c>
      <c r="F88" s="47">
        <f>F89+F90</f>
        <v>295000</v>
      </c>
      <c r="G88" s="45">
        <f t="shared" si="13"/>
        <v>0</v>
      </c>
      <c r="H88" s="48"/>
    </row>
    <row r="89" spans="1:8" ht="27.6" customHeight="1" x14ac:dyDescent="0.25">
      <c r="B89" s="1" t="s">
        <v>230</v>
      </c>
      <c r="C89" s="37" t="s">
        <v>231</v>
      </c>
      <c r="D89" s="38" t="s">
        <v>232</v>
      </c>
      <c r="E89" s="40">
        <v>295000</v>
      </c>
      <c r="F89" s="41">
        <f>ROUND(E89,0)</f>
        <v>295000</v>
      </c>
      <c r="G89" s="39">
        <f t="shared" si="13"/>
        <v>0</v>
      </c>
      <c r="H89" s="58"/>
    </row>
    <row r="90" spans="1:8" ht="16.149999999999999" customHeight="1" x14ac:dyDescent="0.25">
      <c r="B90" s="1" t="s">
        <v>233</v>
      </c>
      <c r="C90" s="37" t="s">
        <v>234</v>
      </c>
      <c r="D90" s="38" t="s">
        <v>235</v>
      </c>
      <c r="E90" s="40">
        <v>0</v>
      </c>
      <c r="F90" s="41">
        <f>ROUND(E90,0)</f>
        <v>0</v>
      </c>
      <c r="G90" s="39">
        <f t="shared" si="13"/>
        <v>0</v>
      </c>
      <c r="H90" s="42"/>
    </row>
    <row r="91" spans="1:8" ht="35.450000000000003" customHeight="1" x14ac:dyDescent="0.25">
      <c r="C91" s="59" t="s">
        <v>236</v>
      </c>
      <c r="D91" s="44" t="s">
        <v>237</v>
      </c>
      <c r="E91" s="46">
        <v>2153758</v>
      </c>
      <c r="F91" s="47">
        <f t="shared" ref="F91" si="14">F92+F95+F98+F102+F106</f>
        <v>2143137</v>
      </c>
      <c r="G91" s="45">
        <f t="shared" si="13"/>
        <v>-10621</v>
      </c>
      <c r="H91" s="48"/>
    </row>
    <row r="92" spans="1:8" x14ac:dyDescent="0.25">
      <c r="A92" s="1" t="s">
        <v>16</v>
      </c>
      <c r="B92" s="1" t="s">
        <v>238</v>
      </c>
      <c r="C92" s="37" t="s">
        <v>239</v>
      </c>
      <c r="D92" s="38" t="s">
        <v>240</v>
      </c>
      <c r="E92" s="40">
        <v>149000</v>
      </c>
      <c r="F92" s="41">
        <f>SUM(F93:F94)</f>
        <v>149000</v>
      </c>
      <c r="G92" s="39">
        <f t="shared" si="13"/>
        <v>0</v>
      </c>
      <c r="H92" s="42"/>
    </row>
    <row r="93" spans="1:8" ht="14.25" customHeight="1" x14ac:dyDescent="0.25">
      <c r="B93" s="1" t="s">
        <v>241</v>
      </c>
      <c r="C93" s="91" t="s">
        <v>242</v>
      </c>
      <c r="D93" s="92" t="s">
        <v>243</v>
      </c>
      <c r="E93" s="40">
        <v>24000</v>
      </c>
      <c r="F93" s="41">
        <f>ROUND(E93,0)</f>
        <v>24000</v>
      </c>
      <c r="G93" s="39">
        <f t="shared" si="13"/>
        <v>0</v>
      </c>
      <c r="H93" s="49"/>
    </row>
    <row r="94" spans="1:8" ht="15.6" customHeight="1" x14ac:dyDescent="0.25">
      <c r="B94" s="1" t="s">
        <v>244</v>
      </c>
      <c r="C94" s="91" t="s">
        <v>245</v>
      </c>
      <c r="D94" s="92" t="s">
        <v>246</v>
      </c>
      <c r="E94" s="40">
        <v>125000</v>
      </c>
      <c r="F94" s="41">
        <f>ROUND(E94,0)</f>
        <v>125000</v>
      </c>
      <c r="G94" s="39">
        <f t="shared" si="13"/>
        <v>0</v>
      </c>
      <c r="H94" s="49"/>
    </row>
    <row r="95" spans="1:8" ht="13.9" customHeight="1" x14ac:dyDescent="0.25">
      <c r="C95" s="37" t="s">
        <v>247</v>
      </c>
      <c r="D95" s="38" t="s">
        <v>248</v>
      </c>
      <c r="E95" s="40">
        <v>0</v>
      </c>
      <c r="F95" s="41">
        <f>F96+F97</f>
        <v>0</v>
      </c>
      <c r="G95" s="39">
        <f t="shared" si="13"/>
        <v>0</v>
      </c>
      <c r="H95" s="93"/>
    </row>
    <row r="96" spans="1:8" x14ac:dyDescent="0.25">
      <c r="C96" s="91" t="s">
        <v>249</v>
      </c>
      <c r="D96" s="92" t="s">
        <v>250</v>
      </c>
      <c r="E96" s="40">
        <v>0</v>
      </c>
      <c r="F96" s="41"/>
      <c r="G96" s="39">
        <f t="shared" si="13"/>
        <v>0</v>
      </c>
      <c r="H96" s="49"/>
    </row>
    <row r="97" spans="1:8" ht="30" customHeight="1" x14ac:dyDescent="0.25">
      <c r="B97" s="78" t="s">
        <v>251</v>
      </c>
      <c r="C97" s="91" t="s">
        <v>252</v>
      </c>
      <c r="D97" s="81" t="s">
        <v>253</v>
      </c>
      <c r="E97" s="40">
        <v>0</v>
      </c>
      <c r="F97" s="41">
        <f>ROUND(E97,0)</f>
        <v>0</v>
      </c>
      <c r="G97" s="39">
        <f t="shared" si="13"/>
        <v>0</v>
      </c>
      <c r="H97" s="49"/>
    </row>
    <row r="98" spans="1:8" x14ac:dyDescent="0.25">
      <c r="A98" s="1" t="s">
        <v>16</v>
      </c>
      <c r="B98" s="1" t="s">
        <v>254</v>
      </c>
      <c r="C98" s="37" t="s">
        <v>255</v>
      </c>
      <c r="D98" s="38" t="s">
        <v>256</v>
      </c>
      <c r="E98" s="40">
        <v>180000</v>
      </c>
      <c r="F98" s="41">
        <f>SUM(F99:F101)</f>
        <v>180000</v>
      </c>
      <c r="G98" s="39">
        <f t="shared" si="13"/>
        <v>0</v>
      </c>
      <c r="H98" s="42"/>
    </row>
    <row r="99" spans="1:8" ht="15.75" customHeight="1" x14ac:dyDescent="0.25">
      <c r="B99" s="1" t="s">
        <v>257</v>
      </c>
      <c r="C99" s="91" t="s">
        <v>258</v>
      </c>
      <c r="D99" s="92" t="s">
        <v>259</v>
      </c>
      <c r="E99" s="40">
        <v>143000</v>
      </c>
      <c r="F99" s="41">
        <f>ROUND(E99,0)</f>
        <v>143000</v>
      </c>
      <c r="G99" s="39">
        <f t="shared" si="13"/>
        <v>0</v>
      </c>
      <c r="H99" s="58"/>
    </row>
    <row r="100" spans="1:8" x14ac:dyDescent="0.25">
      <c r="B100" s="1" t="s">
        <v>260</v>
      </c>
      <c r="C100" s="91" t="s">
        <v>261</v>
      </c>
      <c r="D100" s="92" t="s">
        <v>262</v>
      </c>
      <c r="E100" s="40">
        <v>36000</v>
      </c>
      <c r="F100" s="41">
        <f>ROUND(E100,0)</f>
        <v>36000</v>
      </c>
      <c r="G100" s="39">
        <f t="shared" si="13"/>
        <v>0</v>
      </c>
      <c r="H100" s="42"/>
    </row>
    <row r="101" spans="1:8" x14ac:dyDescent="0.25">
      <c r="B101" s="1" t="s">
        <v>263</v>
      </c>
      <c r="C101" s="91" t="s">
        <v>264</v>
      </c>
      <c r="D101" s="81" t="s">
        <v>265</v>
      </c>
      <c r="E101" s="40">
        <v>1000</v>
      </c>
      <c r="F101" s="41">
        <f>ROUND(E101,0)</f>
        <v>1000</v>
      </c>
      <c r="G101" s="39">
        <f t="shared" si="13"/>
        <v>0</v>
      </c>
      <c r="H101" s="42"/>
    </row>
    <row r="102" spans="1:8" ht="25.15" customHeight="1" x14ac:dyDescent="0.25">
      <c r="A102" s="1" t="s">
        <v>16</v>
      </c>
      <c r="B102" s="1" t="s">
        <v>266</v>
      </c>
      <c r="C102" s="37" t="s">
        <v>267</v>
      </c>
      <c r="D102" s="38" t="s">
        <v>268</v>
      </c>
      <c r="E102" s="40">
        <v>1712137</v>
      </c>
      <c r="F102" s="41">
        <f t="shared" ref="F102" si="15">SUM(F103:F105)</f>
        <v>1712137</v>
      </c>
      <c r="G102" s="39">
        <f t="shared" si="13"/>
        <v>0</v>
      </c>
      <c r="H102" s="58"/>
    </row>
    <row r="103" spans="1:8" ht="16.5" customHeight="1" x14ac:dyDescent="0.25">
      <c r="A103" s="78" t="s">
        <v>269</v>
      </c>
      <c r="C103" s="91" t="s">
        <v>270</v>
      </c>
      <c r="D103" s="92" t="s">
        <v>268</v>
      </c>
      <c r="E103" s="40">
        <v>135600</v>
      </c>
      <c r="F103" s="41">
        <f>ROUND(E103,0)</f>
        <v>135600</v>
      </c>
      <c r="G103" s="39">
        <f t="shared" si="13"/>
        <v>0</v>
      </c>
      <c r="H103" s="42"/>
    </row>
    <row r="104" spans="1:8" ht="16.5" customHeight="1" x14ac:dyDescent="0.25">
      <c r="B104" s="1" t="s">
        <v>271</v>
      </c>
      <c r="C104" s="91" t="s">
        <v>272</v>
      </c>
      <c r="D104" s="92" t="s">
        <v>273</v>
      </c>
      <c r="E104" s="40">
        <v>2500</v>
      </c>
      <c r="F104" s="41">
        <f>ROUND(E104,0)</f>
        <v>2500</v>
      </c>
      <c r="G104" s="39">
        <f t="shared" si="13"/>
        <v>0</v>
      </c>
      <c r="H104" s="42"/>
    </row>
    <row r="105" spans="1:8" ht="28.9" customHeight="1" x14ac:dyDescent="0.25">
      <c r="B105" s="1" t="s">
        <v>274</v>
      </c>
      <c r="C105" s="91" t="s">
        <v>275</v>
      </c>
      <c r="D105" s="92" t="s">
        <v>276</v>
      </c>
      <c r="E105" s="40">
        <v>1574037</v>
      </c>
      <c r="F105" s="41">
        <f>ROUND(E105,0)</f>
        <v>1574037</v>
      </c>
      <c r="G105" s="39">
        <f t="shared" si="13"/>
        <v>0</v>
      </c>
      <c r="H105" s="42"/>
    </row>
    <row r="106" spans="1:8" ht="34.9" customHeight="1" thickBot="1" x14ac:dyDescent="0.3">
      <c r="A106" s="1" t="s">
        <v>16</v>
      </c>
      <c r="B106" s="51" t="s">
        <v>277</v>
      </c>
      <c r="C106" s="37" t="s">
        <v>278</v>
      </c>
      <c r="D106" s="38" t="s">
        <v>279</v>
      </c>
      <c r="E106" s="40">
        <v>112621</v>
      </c>
      <c r="F106" s="41">
        <f>ROUND(E106,0)-10621</f>
        <v>102000</v>
      </c>
      <c r="G106" s="39">
        <f t="shared" si="13"/>
        <v>-10621</v>
      </c>
      <c r="H106" s="58" t="s">
        <v>280</v>
      </c>
    </row>
    <row r="107" spans="1:8" ht="15" customHeight="1" thickBot="1" x14ac:dyDescent="0.3">
      <c r="C107" s="94"/>
      <c r="D107" s="95" t="s">
        <v>281</v>
      </c>
      <c r="E107" s="97">
        <v>50914202.609999999</v>
      </c>
      <c r="F107" s="98">
        <f t="shared" ref="F107" si="16">F7+F10+F13+F16+F19+F22+F34+F37+F41+F42+F88+F91</f>
        <v>51199685</v>
      </c>
      <c r="G107" s="96">
        <f t="shared" si="13"/>
        <v>285482.3900000006</v>
      </c>
      <c r="H107" s="99"/>
    </row>
    <row r="108" spans="1:8" ht="15.75" thickBot="1" x14ac:dyDescent="0.3">
      <c r="C108" s="100" t="s">
        <v>282</v>
      </c>
      <c r="D108" s="101" t="s">
        <v>283</v>
      </c>
      <c r="E108" s="103">
        <v>9016614.0299999993</v>
      </c>
      <c r="F108" s="104">
        <f>SUM(F109:F110)</f>
        <v>9755067</v>
      </c>
      <c r="G108" s="102">
        <f t="shared" si="13"/>
        <v>738452.97000000067</v>
      </c>
      <c r="H108" s="105"/>
    </row>
    <row r="109" spans="1:8" ht="309" customHeight="1" x14ac:dyDescent="0.25">
      <c r="C109" s="37" t="s">
        <v>284</v>
      </c>
      <c r="D109" s="38" t="s">
        <v>285</v>
      </c>
      <c r="E109" s="40">
        <v>2707710.83</v>
      </c>
      <c r="F109" s="41">
        <f>ROUND(E109,0)+104970+230-1+750-1034+19357+1832+41+1093+13000+168382+10621+3808+904+17685+76439+38150+31285</f>
        <v>3195223</v>
      </c>
      <c r="G109" s="39">
        <f t="shared" si="13"/>
        <v>487512.16999999993</v>
      </c>
      <c r="H109" s="58" t="s">
        <v>286</v>
      </c>
    </row>
    <row r="110" spans="1:8" x14ac:dyDescent="0.25">
      <c r="C110" s="37" t="s">
        <v>287</v>
      </c>
      <c r="D110" s="38" t="s">
        <v>288</v>
      </c>
      <c r="E110" s="40">
        <v>6308903</v>
      </c>
      <c r="F110" s="41">
        <f>ROUND(E110,0)+3445956+208-F109</f>
        <v>6559844</v>
      </c>
      <c r="G110" s="39">
        <f t="shared" si="13"/>
        <v>250941</v>
      </c>
      <c r="H110" s="42"/>
    </row>
    <row r="111" spans="1:8" x14ac:dyDescent="0.25">
      <c r="C111" s="59" t="s">
        <v>289</v>
      </c>
      <c r="D111" s="106" t="s">
        <v>290</v>
      </c>
      <c r="E111" s="107">
        <v>1873161</v>
      </c>
      <c r="F111" s="108">
        <f>SUM(F112:F123)</f>
        <v>1917782</v>
      </c>
      <c r="G111" s="45">
        <f t="shared" si="13"/>
        <v>44621</v>
      </c>
      <c r="H111" s="48"/>
    </row>
    <row r="112" spans="1:8" ht="30" hidden="1" outlineLevel="1" x14ac:dyDescent="0.25">
      <c r="A112" s="78"/>
      <c r="B112" s="78"/>
      <c r="C112" s="91" t="s">
        <v>291</v>
      </c>
      <c r="D112" s="109" t="s">
        <v>217</v>
      </c>
      <c r="E112" s="40">
        <v>0</v>
      </c>
      <c r="F112" s="41">
        <f t="shared" ref="F112:F123" si="17">ROUND(E112,0)</f>
        <v>0</v>
      </c>
      <c r="G112" s="110">
        <f t="shared" si="13"/>
        <v>0</v>
      </c>
      <c r="H112" s="52"/>
    </row>
    <row r="113" spans="1:8" hidden="1" outlineLevel="1" x14ac:dyDescent="0.25">
      <c r="A113" s="78"/>
      <c r="B113" s="78"/>
      <c r="C113" s="91" t="s">
        <v>292</v>
      </c>
      <c r="D113" s="109" t="s">
        <v>219</v>
      </c>
      <c r="E113" s="40">
        <v>0</v>
      </c>
      <c r="F113" s="41">
        <f t="shared" si="17"/>
        <v>0</v>
      </c>
      <c r="G113" s="110">
        <f t="shared" si="13"/>
        <v>0</v>
      </c>
      <c r="H113" s="52"/>
    </row>
    <row r="114" spans="1:8" ht="26.45" customHeight="1" collapsed="1" x14ac:dyDescent="0.25">
      <c r="A114" s="78"/>
      <c r="B114" s="78"/>
      <c r="C114" s="91" t="s">
        <v>291</v>
      </c>
      <c r="D114" s="109" t="s">
        <v>293</v>
      </c>
      <c r="E114" s="40">
        <v>541742</v>
      </c>
      <c r="F114" s="41">
        <f t="shared" si="17"/>
        <v>541742</v>
      </c>
      <c r="G114" s="110">
        <f t="shared" si="13"/>
        <v>0</v>
      </c>
      <c r="H114" s="52"/>
    </row>
    <row r="115" spans="1:8" ht="30" x14ac:dyDescent="0.25">
      <c r="A115" s="78" t="s">
        <v>175</v>
      </c>
      <c r="B115" s="78" t="s">
        <v>294</v>
      </c>
      <c r="C115" s="91" t="s">
        <v>292</v>
      </c>
      <c r="D115" s="112" t="s">
        <v>295</v>
      </c>
      <c r="E115" s="40">
        <v>353405</v>
      </c>
      <c r="F115" s="41">
        <f>ROUND(E115,0)-3420</f>
        <v>349985</v>
      </c>
      <c r="G115" s="110">
        <f t="shared" si="13"/>
        <v>-3420</v>
      </c>
      <c r="H115" s="52" t="s">
        <v>296</v>
      </c>
    </row>
    <row r="116" spans="1:8" ht="16.899999999999999" hidden="1" customHeight="1" outlineLevel="1" x14ac:dyDescent="0.25">
      <c r="A116" s="78"/>
      <c r="B116" s="78"/>
      <c r="C116" s="91" t="s">
        <v>297</v>
      </c>
      <c r="D116" s="112"/>
      <c r="E116" s="40">
        <v>0</v>
      </c>
      <c r="F116" s="41">
        <f t="shared" si="17"/>
        <v>0</v>
      </c>
      <c r="G116" s="110">
        <f t="shared" si="13"/>
        <v>0</v>
      </c>
      <c r="H116" s="50"/>
    </row>
    <row r="117" spans="1:8" hidden="1" outlineLevel="1" x14ac:dyDescent="0.25">
      <c r="B117" s="78"/>
      <c r="C117" s="91" t="s">
        <v>298</v>
      </c>
      <c r="D117" s="113" t="s">
        <v>299</v>
      </c>
      <c r="E117" s="111">
        <v>0</v>
      </c>
      <c r="F117" s="114">
        <f t="shared" si="17"/>
        <v>0</v>
      </c>
      <c r="G117" s="115">
        <f t="shared" si="13"/>
        <v>0</v>
      </c>
      <c r="H117" s="116"/>
    </row>
    <row r="118" spans="1:8" ht="45" customHeight="1" collapsed="1" x14ac:dyDescent="0.25">
      <c r="B118" s="78"/>
      <c r="C118" s="91" t="s">
        <v>300</v>
      </c>
      <c r="D118" s="117" t="s">
        <v>301</v>
      </c>
      <c r="E118" s="118">
        <v>30982</v>
      </c>
      <c r="F118" s="114">
        <f>ROUND(E118,0)+48041</f>
        <v>79023</v>
      </c>
      <c r="G118" s="115">
        <f t="shared" si="13"/>
        <v>48041</v>
      </c>
      <c r="H118" s="119" t="s">
        <v>302</v>
      </c>
    </row>
    <row r="119" spans="1:8" ht="58.9" customHeight="1" x14ac:dyDescent="0.25">
      <c r="B119" s="78"/>
      <c r="C119" s="91" t="s">
        <v>303</v>
      </c>
      <c r="D119" s="120" t="s">
        <v>304</v>
      </c>
      <c r="E119" s="121">
        <v>783000</v>
      </c>
      <c r="F119" s="41">
        <f t="shared" si="17"/>
        <v>783000</v>
      </c>
      <c r="G119" s="115">
        <f t="shared" si="13"/>
        <v>0</v>
      </c>
      <c r="H119" s="50"/>
    </row>
    <row r="120" spans="1:8" ht="16.149999999999999" customHeight="1" x14ac:dyDescent="0.25">
      <c r="B120" s="78" t="s">
        <v>222</v>
      </c>
      <c r="C120" s="91" t="s">
        <v>297</v>
      </c>
      <c r="D120" s="120" t="s">
        <v>224</v>
      </c>
      <c r="E120" s="121">
        <v>164032</v>
      </c>
      <c r="F120" s="41">
        <f t="shared" si="17"/>
        <v>164032</v>
      </c>
      <c r="G120" s="39">
        <f t="shared" si="13"/>
        <v>0</v>
      </c>
      <c r="H120" s="122"/>
    </row>
    <row r="121" spans="1:8" ht="18.600000000000001" hidden="1" customHeight="1" outlineLevel="1" x14ac:dyDescent="0.25">
      <c r="B121" s="78"/>
      <c r="C121" s="91" t="s">
        <v>305</v>
      </c>
      <c r="D121" s="123" t="s">
        <v>306</v>
      </c>
      <c r="E121" s="121">
        <v>0</v>
      </c>
      <c r="F121" s="124">
        <f t="shared" si="17"/>
        <v>0</v>
      </c>
      <c r="G121" s="125">
        <f t="shared" si="13"/>
        <v>0</v>
      </c>
      <c r="H121" s="116"/>
    </row>
    <row r="122" spans="1:8" ht="27.6" hidden="1" customHeight="1" outlineLevel="1" thickBot="1" x14ac:dyDescent="0.3">
      <c r="B122" s="78"/>
      <c r="C122" s="126" t="s">
        <v>307</v>
      </c>
      <c r="D122" s="127" t="s">
        <v>308</v>
      </c>
      <c r="E122" s="121">
        <v>0</v>
      </c>
      <c r="F122" s="114">
        <f t="shared" si="17"/>
        <v>0</v>
      </c>
      <c r="G122" s="115">
        <f t="shared" si="13"/>
        <v>0</v>
      </c>
      <c r="H122" s="116"/>
    </row>
    <row r="123" spans="1:8" ht="28.9" hidden="1" customHeight="1" outlineLevel="1" thickBot="1" x14ac:dyDescent="0.3">
      <c r="B123" s="78"/>
      <c r="C123" s="91" t="s">
        <v>309</v>
      </c>
      <c r="D123" s="128" t="s">
        <v>310</v>
      </c>
      <c r="E123" s="111">
        <v>0</v>
      </c>
      <c r="F123" s="114">
        <f t="shared" si="17"/>
        <v>0</v>
      </c>
      <c r="G123" s="115">
        <f t="shared" si="13"/>
        <v>0</v>
      </c>
      <c r="H123" s="116"/>
    </row>
    <row r="124" spans="1:8" ht="15.75" collapsed="1" thickBot="1" x14ac:dyDescent="0.3">
      <c r="C124" s="129"/>
      <c r="D124" s="130" t="s">
        <v>311</v>
      </c>
      <c r="E124" s="103">
        <v>61803977.640000001</v>
      </c>
      <c r="F124" s="104">
        <f t="shared" ref="F124" si="18">F107+F108+F111</f>
        <v>62872534</v>
      </c>
      <c r="G124" s="102">
        <f t="shared" si="13"/>
        <v>1068556.3599999994</v>
      </c>
      <c r="H124" s="131"/>
    </row>
    <row r="126" spans="1:8" x14ac:dyDescent="0.25">
      <c r="G126" s="9"/>
    </row>
    <row r="127" spans="1:8" ht="20.25" x14ac:dyDescent="0.3">
      <c r="C127" s="221" t="s">
        <v>312</v>
      </c>
      <c r="D127" s="221"/>
      <c r="G127" s="9"/>
    </row>
    <row r="128" spans="1:8" ht="15.75" thickBot="1" x14ac:dyDescent="0.3">
      <c r="C128" s="222"/>
      <c r="D128" s="222"/>
      <c r="G128" s="133"/>
    </row>
    <row r="129" spans="2:8" ht="57" customHeight="1" thickBot="1" x14ac:dyDescent="0.3">
      <c r="C129" s="18" t="s">
        <v>4</v>
      </c>
      <c r="D129" s="19" t="s">
        <v>5</v>
      </c>
      <c r="E129" s="21" t="s">
        <v>7</v>
      </c>
      <c r="F129" s="22" t="s">
        <v>313</v>
      </c>
      <c r="G129" s="20" t="s">
        <v>314</v>
      </c>
      <c r="H129" s="23" t="s">
        <v>315</v>
      </c>
    </row>
    <row r="130" spans="2:8" x14ac:dyDescent="0.25">
      <c r="C130" s="134" t="s">
        <v>14</v>
      </c>
      <c r="D130" s="135" t="s">
        <v>316</v>
      </c>
      <c r="E130" s="137">
        <v>11584924</v>
      </c>
      <c r="F130" s="138">
        <f t="shared" ref="F130" si="19">SUM(F131:F139)</f>
        <v>11584924</v>
      </c>
      <c r="G130" s="136">
        <f t="shared" ref="G130:G193" si="20">F130-E130</f>
        <v>0</v>
      </c>
      <c r="H130" s="139"/>
    </row>
    <row r="131" spans="2:8" ht="31.5" customHeight="1" x14ac:dyDescent="0.25">
      <c r="B131" s="78" t="s">
        <v>317</v>
      </c>
      <c r="C131" s="140" t="s">
        <v>18</v>
      </c>
      <c r="D131" s="141" t="s">
        <v>318</v>
      </c>
      <c r="E131" s="83">
        <v>1983487</v>
      </c>
      <c r="F131" s="84">
        <f>ROUND(E131,0)</f>
        <v>1983487</v>
      </c>
      <c r="G131" s="62">
        <f t="shared" si="20"/>
        <v>0</v>
      </c>
      <c r="H131" s="85"/>
    </row>
    <row r="132" spans="2:8" x14ac:dyDescent="0.25">
      <c r="B132" s="78" t="s">
        <v>319</v>
      </c>
      <c r="C132" s="140" t="s">
        <v>320</v>
      </c>
      <c r="D132" s="141" t="s">
        <v>321</v>
      </c>
      <c r="E132" s="83">
        <v>376850</v>
      </c>
      <c r="F132" s="84">
        <f t="shared" ref="F132:F141" si="21">ROUND(E132,0)</f>
        <v>376850</v>
      </c>
      <c r="G132" s="62">
        <f t="shared" si="20"/>
        <v>0</v>
      </c>
      <c r="H132" s="142"/>
    </row>
    <row r="133" spans="2:8" ht="13.15" customHeight="1" x14ac:dyDescent="0.25">
      <c r="B133" s="78" t="s">
        <v>322</v>
      </c>
      <c r="C133" s="140" t="s">
        <v>323</v>
      </c>
      <c r="D133" s="141" t="s">
        <v>324</v>
      </c>
      <c r="E133" s="83">
        <v>62512</v>
      </c>
      <c r="F133" s="84">
        <f>ROUND(E133,0)</f>
        <v>62512</v>
      </c>
      <c r="G133" s="62">
        <f t="shared" si="20"/>
        <v>0</v>
      </c>
      <c r="H133" s="85"/>
    </row>
    <row r="134" spans="2:8" ht="14.45" customHeight="1" x14ac:dyDescent="0.25">
      <c r="B134" s="78" t="s">
        <v>325</v>
      </c>
      <c r="C134" s="140" t="s">
        <v>326</v>
      </c>
      <c r="D134" s="141" t="s">
        <v>327</v>
      </c>
      <c r="E134" s="83">
        <v>45277</v>
      </c>
      <c r="F134" s="84">
        <f t="shared" si="21"/>
        <v>45277</v>
      </c>
      <c r="G134" s="62">
        <f t="shared" si="20"/>
        <v>0</v>
      </c>
      <c r="H134" s="85"/>
    </row>
    <row r="135" spans="2:8" ht="18" customHeight="1" x14ac:dyDescent="0.25">
      <c r="B135" s="78" t="s">
        <v>328</v>
      </c>
      <c r="C135" s="140" t="s">
        <v>329</v>
      </c>
      <c r="D135" s="141" t="s">
        <v>330</v>
      </c>
      <c r="E135" s="83">
        <v>8040</v>
      </c>
      <c r="F135" s="84">
        <f t="shared" si="21"/>
        <v>8040</v>
      </c>
      <c r="G135" s="62">
        <f t="shared" si="20"/>
        <v>0</v>
      </c>
      <c r="H135" s="142"/>
    </row>
    <row r="136" spans="2:8" ht="29.45" customHeight="1" x14ac:dyDescent="0.25">
      <c r="B136" s="78" t="s">
        <v>331</v>
      </c>
      <c r="C136" s="140" t="s">
        <v>332</v>
      </c>
      <c r="D136" s="141" t="s">
        <v>333</v>
      </c>
      <c r="E136" s="83">
        <v>53045</v>
      </c>
      <c r="F136" s="84">
        <f t="shared" si="21"/>
        <v>53045</v>
      </c>
      <c r="G136" s="62">
        <f t="shared" si="20"/>
        <v>0</v>
      </c>
      <c r="H136" s="142"/>
    </row>
    <row r="137" spans="2:8" ht="15.6" customHeight="1" x14ac:dyDescent="0.25">
      <c r="B137" s="78" t="s">
        <v>317</v>
      </c>
      <c r="C137" s="140" t="s">
        <v>334</v>
      </c>
      <c r="D137" s="141" t="s">
        <v>335</v>
      </c>
      <c r="E137" s="83">
        <v>2229302</v>
      </c>
      <c r="F137" s="84">
        <f t="shared" si="21"/>
        <v>2229302</v>
      </c>
      <c r="G137" s="62">
        <f t="shared" si="20"/>
        <v>0</v>
      </c>
      <c r="H137" s="85"/>
    </row>
    <row r="138" spans="2:8" x14ac:dyDescent="0.25">
      <c r="B138" s="78" t="s">
        <v>317</v>
      </c>
      <c r="C138" s="140" t="s">
        <v>336</v>
      </c>
      <c r="D138" s="141" t="s">
        <v>337</v>
      </c>
      <c r="E138" s="83">
        <v>6416104</v>
      </c>
      <c r="F138" s="84">
        <f t="shared" si="21"/>
        <v>6416104</v>
      </c>
      <c r="G138" s="62">
        <f t="shared" si="20"/>
        <v>0</v>
      </c>
      <c r="H138" s="142"/>
    </row>
    <row r="139" spans="2:8" ht="42.6" customHeight="1" x14ac:dyDescent="0.25">
      <c r="B139" s="78" t="s">
        <v>338</v>
      </c>
      <c r="C139" s="140" t="s">
        <v>339</v>
      </c>
      <c r="D139" s="141" t="s">
        <v>340</v>
      </c>
      <c r="E139" s="83">
        <v>410307</v>
      </c>
      <c r="F139" s="84">
        <f>ROUND(E139,0)</f>
        <v>410307</v>
      </c>
      <c r="G139" s="62">
        <f t="shared" si="20"/>
        <v>0</v>
      </c>
      <c r="H139" s="85"/>
    </row>
    <row r="140" spans="2:8" x14ac:dyDescent="0.25">
      <c r="C140" s="143" t="s">
        <v>23</v>
      </c>
      <c r="D140" s="144" t="s">
        <v>341</v>
      </c>
      <c r="E140" s="46">
        <v>0</v>
      </c>
      <c r="F140" s="47">
        <f t="shared" si="21"/>
        <v>0</v>
      </c>
      <c r="G140" s="45">
        <f t="shared" si="20"/>
        <v>0</v>
      </c>
      <c r="H140" s="48"/>
    </row>
    <row r="141" spans="2:8" ht="13.9" customHeight="1" x14ac:dyDescent="0.25">
      <c r="B141" s="78" t="s">
        <v>342</v>
      </c>
      <c r="C141" s="140" t="s">
        <v>26</v>
      </c>
      <c r="D141" s="141" t="s">
        <v>343</v>
      </c>
      <c r="E141" s="83">
        <v>0</v>
      </c>
      <c r="F141" s="84">
        <f t="shared" si="21"/>
        <v>0</v>
      </c>
      <c r="G141" s="62">
        <f t="shared" si="20"/>
        <v>0</v>
      </c>
      <c r="H141" s="142"/>
    </row>
    <row r="142" spans="2:8" ht="29.45" customHeight="1" collapsed="1" x14ac:dyDescent="0.25">
      <c r="B142" s="78" t="s">
        <v>344</v>
      </c>
      <c r="C142" s="143" t="s">
        <v>31</v>
      </c>
      <c r="D142" s="144" t="s">
        <v>345</v>
      </c>
      <c r="E142" s="46">
        <v>1032367.7769225</v>
      </c>
      <c r="F142" s="47">
        <f>ROUND(E142,0)+645</f>
        <v>1033013</v>
      </c>
      <c r="G142" s="45">
        <f t="shared" si="20"/>
        <v>645.22307750000618</v>
      </c>
      <c r="H142" s="56" t="s">
        <v>346</v>
      </c>
    </row>
    <row r="143" spans="2:8" s="145" customFormat="1" ht="16.899999999999999" customHeight="1" x14ac:dyDescent="0.25">
      <c r="C143" s="143" t="s">
        <v>39</v>
      </c>
      <c r="D143" s="144" t="s">
        <v>347</v>
      </c>
      <c r="E143" s="46">
        <v>521949.07229136</v>
      </c>
      <c r="F143" s="47">
        <f t="shared" ref="F143" si="22">F144+F147</f>
        <v>583582</v>
      </c>
      <c r="G143" s="45">
        <f t="shared" si="20"/>
        <v>61632.927708639996</v>
      </c>
      <c r="H143" s="56"/>
    </row>
    <row r="144" spans="2:8" x14ac:dyDescent="0.25">
      <c r="B144" s="78" t="s">
        <v>348</v>
      </c>
      <c r="C144" s="140" t="s">
        <v>42</v>
      </c>
      <c r="D144" s="141" t="s">
        <v>349</v>
      </c>
      <c r="E144" s="83">
        <v>179686.07229136</v>
      </c>
      <c r="F144" s="84">
        <f>SUM(F145:F146)</f>
        <v>179686</v>
      </c>
      <c r="G144" s="62">
        <f t="shared" ref="G144" si="23">SUM(G145:G146)</f>
        <v>-7.2291360003873706E-2</v>
      </c>
      <c r="H144" s="62"/>
    </row>
    <row r="145" spans="2:8" x14ac:dyDescent="0.25">
      <c r="B145" s="78" t="s">
        <v>348</v>
      </c>
      <c r="C145" s="146" t="s">
        <v>350</v>
      </c>
      <c r="D145" s="147" t="s">
        <v>351</v>
      </c>
      <c r="E145" s="40">
        <v>150459.07229136</v>
      </c>
      <c r="F145" s="41">
        <f>ROUND(E145,0)</f>
        <v>150459</v>
      </c>
      <c r="G145" s="39">
        <f t="shared" si="20"/>
        <v>-7.2291360003873706E-2</v>
      </c>
      <c r="H145" s="42"/>
    </row>
    <row r="146" spans="2:8" x14ac:dyDescent="0.25">
      <c r="B146" s="78"/>
      <c r="C146" s="146" t="s">
        <v>352</v>
      </c>
      <c r="D146" s="147" t="s">
        <v>353</v>
      </c>
      <c r="E146" s="40">
        <v>29227</v>
      </c>
      <c r="F146" s="41">
        <f>ROUND(E146,0)</f>
        <v>29227</v>
      </c>
      <c r="G146" s="39">
        <f t="shared" si="20"/>
        <v>0</v>
      </c>
      <c r="H146" s="42"/>
    </row>
    <row r="147" spans="2:8" ht="30" x14ac:dyDescent="0.25">
      <c r="B147" s="78" t="s">
        <v>354</v>
      </c>
      <c r="C147" s="140" t="s">
        <v>44</v>
      </c>
      <c r="D147" s="141" t="s">
        <v>355</v>
      </c>
      <c r="E147" s="83">
        <v>342263</v>
      </c>
      <c r="F147" s="84">
        <f>ROUND(E147,0)+1093+59292+1248</f>
        <v>403896</v>
      </c>
      <c r="G147" s="62">
        <f t="shared" si="20"/>
        <v>61633</v>
      </c>
      <c r="H147" s="85" t="s">
        <v>356</v>
      </c>
    </row>
    <row r="148" spans="2:8" x14ac:dyDescent="0.25">
      <c r="C148" s="143" t="s">
        <v>45</v>
      </c>
      <c r="D148" s="144" t="s">
        <v>357</v>
      </c>
      <c r="E148" s="46">
        <v>70000</v>
      </c>
      <c r="F148" s="47">
        <f t="shared" ref="F148" si="24">F149</f>
        <v>174970</v>
      </c>
      <c r="G148" s="45">
        <f t="shared" si="20"/>
        <v>104970</v>
      </c>
      <c r="H148" s="48"/>
    </row>
    <row r="149" spans="2:8" ht="16.149999999999999" customHeight="1" x14ac:dyDescent="0.25">
      <c r="B149" s="78" t="s">
        <v>358</v>
      </c>
      <c r="C149" s="140" t="s">
        <v>48</v>
      </c>
      <c r="D149" s="141" t="s">
        <v>359</v>
      </c>
      <c r="E149" s="83">
        <v>70000</v>
      </c>
      <c r="F149" s="84">
        <f>ROUND(E149,0)+104970</f>
        <v>174970</v>
      </c>
      <c r="G149" s="62">
        <f t="shared" si="20"/>
        <v>104970</v>
      </c>
      <c r="H149" s="85" t="s">
        <v>1</v>
      </c>
    </row>
    <row r="150" spans="2:8" x14ac:dyDescent="0.25">
      <c r="C150" s="143" t="s">
        <v>53</v>
      </c>
      <c r="D150" s="144" t="s">
        <v>360</v>
      </c>
      <c r="E150" s="46">
        <v>14182678.841957785</v>
      </c>
      <c r="F150" s="47">
        <f t="shared" ref="F150" si="25">F151+F152+F153+F154+F172</f>
        <v>14452961</v>
      </c>
      <c r="G150" s="45">
        <f>G152+G153+G154+G172</f>
        <v>270282.15804221481</v>
      </c>
      <c r="H150" s="45"/>
    </row>
    <row r="151" spans="2:8" ht="15.6" customHeight="1" x14ac:dyDescent="0.25">
      <c r="B151" s="78" t="s">
        <v>342</v>
      </c>
      <c r="C151" s="140" t="s">
        <v>56</v>
      </c>
      <c r="D151" s="148" t="s">
        <v>343</v>
      </c>
      <c r="E151" s="150">
        <v>70000</v>
      </c>
      <c r="F151" s="84">
        <f>ROUND(E151,0)</f>
        <v>70000</v>
      </c>
      <c r="G151" s="62">
        <f>F151-E151</f>
        <v>0</v>
      </c>
      <c r="H151" s="142"/>
    </row>
    <row r="152" spans="2:8" ht="19.149999999999999" customHeight="1" x14ac:dyDescent="0.25">
      <c r="B152" s="78" t="s">
        <v>361</v>
      </c>
      <c r="C152" s="140" t="s">
        <v>68</v>
      </c>
      <c r="D152" s="148" t="s">
        <v>362</v>
      </c>
      <c r="E152" s="150">
        <v>330452</v>
      </c>
      <c r="F152" s="151">
        <f>ROUND(E152,0)</f>
        <v>330452</v>
      </c>
      <c r="G152" s="149">
        <f t="shared" si="20"/>
        <v>0</v>
      </c>
      <c r="H152" s="85"/>
    </row>
    <row r="153" spans="2:8" ht="19.149999999999999" customHeight="1" x14ac:dyDescent="0.25">
      <c r="B153" s="78" t="s">
        <v>363</v>
      </c>
      <c r="C153" s="140" t="s">
        <v>364</v>
      </c>
      <c r="D153" s="148" t="s">
        <v>365</v>
      </c>
      <c r="E153" s="150">
        <v>393055</v>
      </c>
      <c r="F153" s="151">
        <f>ROUND(E153,0)</f>
        <v>393055</v>
      </c>
      <c r="G153" s="149">
        <f t="shared" si="20"/>
        <v>0</v>
      </c>
      <c r="H153" s="85"/>
    </row>
    <row r="154" spans="2:8" x14ac:dyDescent="0.25">
      <c r="C154" s="140" t="s">
        <v>366</v>
      </c>
      <c r="D154" s="148" t="s">
        <v>367</v>
      </c>
      <c r="E154" s="150">
        <v>1839370</v>
      </c>
      <c r="F154" s="151">
        <f t="shared" ref="F154:G154" si="26">SUM(F155:F171)</f>
        <v>1839370</v>
      </c>
      <c r="G154" s="149">
        <f t="shared" si="26"/>
        <v>0</v>
      </c>
      <c r="H154" s="149"/>
    </row>
    <row r="155" spans="2:8" ht="19.899999999999999" customHeight="1" x14ac:dyDescent="0.25">
      <c r="B155" s="78" t="s">
        <v>169</v>
      </c>
      <c r="C155" s="146" t="s">
        <v>368</v>
      </c>
      <c r="D155" s="120" t="s">
        <v>369</v>
      </c>
      <c r="E155" s="40">
        <v>696938</v>
      </c>
      <c r="F155" s="41">
        <f>ROUND(E155,0)</f>
        <v>696938</v>
      </c>
      <c r="G155" s="39">
        <f t="shared" si="20"/>
        <v>0</v>
      </c>
      <c r="H155" s="152"/>
    </row>
    <row r="156" spans="2:8" ht="18.600000000000001" customHeight="1" x14ac:dyDescent="0.25">
      <c r="B156" s="78" t="s">
        <v>370</v>
      </c>
      <c r="C156" s="146" t="s">
        <v>371</v>
      </c>
      <c r="D156" s="120" t="s">
        <v>372</v>
      </c>
      <c r="E156" s="40">
        <v>40000</v>
      </c>
      <c r="F156" s="41">
        <f t="shared" ref="F156:F171" si="27">ROUND(E156,0)</f>
        <v>40000</v>
      </c>
      <c r="G156" s="39">
        <f t="shared" si="20"/>
        <v>0</v>
      </c>
      <c r="H156" s="152"/>
    </row>
    <row r="157" spans="2:8" ht="16.5" customHeight="1" x14ac:dyDescent="0.25">
      <c r="B157" s="78" t="s">
        <v>370</v>
      </c>
      <c r="C157" s="146" t="s">
        <v>373</v>
      </c>
      <c r="D157" s="120" t="s">
        <v>374</v>
      </c>
      <c r="E157" s="40">
        <v>15094</v>
      </c>
      <c r="F157" s="41">
        <f t="shared" si="27"/>
        <v>15094</v>
      </c>
      <c r="G157" s="39">
        <f t="shared" si="20"/>
        <v>0</v>
      </c>
      <c r="H157" s="152"/>
    </row>
    <row r="158" spans="2:8" ht="28.15" customHeight="1" x14ac:dyDescent="0.25">
      <c r="B158" s="78" t="s">
        <v>196</v>
      </c>
      <c r="C158" s="153" t="s">
        <v>375</v>
      </c>
      <c r="D158" s="81" t="s">
        <v>198</v>
      </c>
      <c r="E158" s="40">
        <v>50458</v>
      </c>
      <c r="F158" s="41">
        <f>ROUND(E158,0)</f>
        <v>50458</v>
      </c>
      <c r="G158" s="39">
        <f t="shared" si="20"/>
        <v>0</v>
      </c>
      <c r="H158" s="152"/>
    </row>
    <row r="159" spans="2:8" ht="32.450000000000003" customHeight="1" x14ac:dyDescent="0.25">
      <c r="B159" s="78" t="s">
        <v>376</v>
      </c>
      <c r="C159" s="153" t="s">
        <v>377</v>
      </c>
      <c r="D159" s="154" t="s">
        <v>378</v>
      </c>
      <c r="E159" s="40">
        <v>145650</v>
      </c>
      <c r="F159" s="41">
        <f t="shared" si="27"/>
        <v>145650</v>
      </c>
      <c r="G159" s="39">
        <f t="shared" si="20"/>
        <v>0</v>
      </c>
      <c r="H159" s="152"/>
    </row>
    <row r="160" spans="2:8" ht="15.75" customHeight="1" x14ac:dyDescent="0.25">
      <c r="B160" s="78" t="s">
        <v>379</v>
      </c>
      <c r="C160" s="153" t="s">
        <v>380</v>
      </c>
      <c r="D160" s="154" t="s">
        <v>219</v>
      </c>
      <c r="E160" s="40">
        <v>397337</v>
      </c>
      <c r="F160" s="41">
        <f t="shared" si="27"/>
        <v>397337</v>
      </c>
      <c r="G160" s="39">
        <f t="shared" si="20"/>
        <v>0</v>
      </c>
      <c r="H160" s="152"/>
    </row>
    <row r="161" spans="2:8" ht="16.899999999999999" customHeight="1" x14ac:dyDescent="0.25">
      <c r="B161" s="155" t="s">
        <v>381</v>
      </c>
      <c r="C161" s="153" t="s">
        <v>382</v>
      </c>
      <c r="D161" s="154" t="s">
        <v>181</v>
      </c>
      <c r="E161" s="40">
        <v>207440</v>
      </c>
      <c r="F161" s="41">
        <f t="shared" si="27"/>
        <v>207440</v>
      </c>
      <c r="G161" s="39">
        <f t="shared" si="20"/>
        <v>0</v>
      </c>
      <c r="H161" s="58"/>
    </row>
    <row r="162" spans="2:8" ht="30" customHeight="1" x14ac:dyDescent="0.25">
      <c r="B162" s="155"/>
      <c r="C162" s="153" t="s">
        <v>383</v>
      </c>
      <c r="D162" s="154" t="s">
        <v>184</v>
      </c>
      <c r="E162" s="40">
        <v>14067</v>
      </c>
      <c r="F162" s="41">
        <f t="shared" si="27"/>
        <v>14067</v>
      </c>
      <c r="G162" s="39">
        <f t="shared" si="20"/>
        <v>0</v>
      </c>
      <c r="H162" s="58"/>
    </row>
    <row r="163" spans="2:8" ht="30" customHeight="1" x14ac:dyDescent="0.25">
      <c r="B163" s="155"/>
      <c r="C163" s="153" t="s">
        <v>384</v>
      </c>
      <c r="D163" s="154" t="s">
        <v>186</v>
      </c>
      <c r="E163" s="40">
        <v>7900</v>
      </c>
      <c r="F163" s="41">
        <f t="shared" si="27"/>
        <v>7900</v>
      </c>
      <c r="G163" s="39">
        <f t="shared" si="20"/>
        <v>0</v>
      </c>
      <c r="H163" s="58"/>
    </row>
    <row r="164" spans="2:8" ht="17.45" customHeight="1" x14ac:dyDescent="0.25">
      <c r="B164" s="155"/>
      <c r="C164" s="153" t="s">
        <v>385</v>
      </c>
      <c r="D164" s="154" t="s">
        <v>188</v>
      </c>
      <c r="E164" s="40">
        <v>9000</v>
      </c>
      <c r="F164" s="41">
        <f t="shared" si="27"/>
        <v>9000</v>
      </c>
      <c r="G164" s="39">
        <f t="shared" si="20"/>
        <v>0</v>
      </c>
      <c r="H164" s="58"/>
    </row>
    <row r="165" spans="2:8" ht="55.9" customHeight="1" x14ac:dyDescent="0.25">
      <c r="B165" s="155"/>
      <c r="C165" s="153" t="s">
        <v>386</v>
      </c>
      <c r="D165" s="154" t="s">
        <v>190</v>
      </c>
      <c r="E165" s="40">
        <v>12020</v>
      </c>
      <c r="F165" s="41">
        <f t="shared" si="27"/>
        <v>12020</v>
      </c>
      <c r="G165" s="39">
        <f t="shared" si="20"/>
        <v>0</v>
      </c>
      <c r="H165" s="58"/>
    </row>
    <row r="166" spans="2:8" ht="40.9" customHeight="1" x14ac:dyDescent="0.25">
      <c r="B166" s="155"/>
      <c r="C166" s="153" t="s">
        <v>387</v>
      </c>
      <c r="D166" s="154" t="s">
        <v>192</v>
      </c>
      <c r="E166" s="40">
        <v>30655</v>
      </c>
      <c r="F166" s="41">
        <f t="shared" si="27"/>
        <v>30655</v>
      </c>
      <c r="G166" s="39">
        <f t="shared" si="20"/>
        <v>0</v>
      </c>
      <c r="H166" s="58"/>
    </row>
    <row r="167" spans="2:8" ht="16.899999999999999" customHeight="1" x14ac:dyDescent="0.25">
      <c r="B167" s="78" t="s">
        <v>193</v>
      </c>
      <c r="C167" s="153" t="s">
        <v>388</v>
      </c>
      <c r="D167" s="154" t="s">
        <v>195</v>
      </c>
      <c r="E167" s="40">
        <v>168527</v>
      </c>
      <c r="F167" s="41">
        <f t="shared" si="27"/>
        <v>168527</v>
      </c>
      <c r="G167" s="39">
        <f t="shared" si="20"/>
        <v>0</v>
      </c>
      <c r="H167" s="58"/>
    </row>
    <row r="168" spans="2:8" ht="42.6" customHeight="1" x14ac:dyDescent="0.25">
      <c r="B168" s="78"/>
      <c r="C168" s="153" t="s">
        <v>389</v>
      </c>
      <c r="D168" s="154" t="s">
        <v>390</v>
      </c>
      <c r="E168" s="40">
        <v>44284</v>
      </c>
      <c r="F168" s="41">
        <f t="shared" si="27"/>
        <v>44284</v>
      </c>
      <c r="G168" s="39">
        <f t="shared" si="20"/>
        <v>0</v>
      </c>
      <c r="H168" s="58"/>
    </row>
    <row r="169" spans="2:8" ht="13.15" customHeight="1" x14ac:dyDescent="0.25">
      <c r="B169" s="78" t="s">
        <v>169</v>
      </c>
      <c r="C169" s="153" t="s">
        <v>383</v>
      </c>
      <c r="D169" s="81" t="s">
        <v>250</v>
      </c>
      <c r="E169" s="40">
        <v>0</v>
      </c>
      <c r="F169" s="41">
        <f t="shared" si="27"/>
        <v>0</v>
      </c>
      <c r="G169" s="39">
        <f t="shared" si="20"/>
        <v>0</v>
      </c>
      <c r="H169" s="152"/>
    </row>
    <row r="170" spans="2:8" ht="40.9" customHeight="1" x14ac:dyDescent="0.25">
      <c r="B170" s="78" t="s">
        <v>251</v>
      </c>
      <c r="C170" s="153" t="s">
        <v>384</v>
      </c>
      <c r="D170" s="154" t="s">
        <v>391</v>
      </c>
      <c r="E170" s="40">
        <v>0</v>
      </c>
      <c r="F170" s="41">
        <f t="shared" si="27"/>
        <v>0</v>
      </c>
      <c r="G170" s="39">
        <f t="shared" si="20"/>
        <v>0</v>
      </c>
      <c r="H170" s="152"/>
    </row>
    <row r="171" spans="2:8" ht="32.450000000000003" customHeight="1" x14ac:dyDescent="0.25">
      <c r="B171" s="78" t="s">
        <v>392</v>
      </c>
      <c r="C171" s="153" t="s">
        <v>385</v>
      </c>
      <c r="D171" s="154" t="s">
        <v>221</v>
      </c>
      <c r="E171" s="40">
        <v>0</v>
      </c>
      <c r="F171" s="41">
        <f t="shared" si="27"/>
        <v>0</v>
      </c>
      <c r="G171" s="39">
        <f t="shared" si="20"/>
        <v>0</v>
      </c>
      <c r="H171" s="152"/>
    </row>
    <row r="172" spans="2:8" ht="29.25" customHeight="1" x14ac:dyDescent="0.25">
      <c r="C172" s="140" t="s">
        <v>393</v>
      </c>
      <c r="D172" s="148" t="s">
        <v>394</v>
      </c>
      <c r="E172" s="150">
        <v>11549801.841957785</v>
      </c>
      <c r="F172" s="151">
        <f t="shared" ref="F172" si="28">SUM(F173:F177,F181:F189)</f>
        <v>11820084</v>
      </c>
      <c r="G172" s="149">
        <f t="shared" si="20"/>
        <v>270282.15804221481</v>
      </c>
      <c r="H172" s="157"/>
    </row>
    <row r="173" spans="2:8" ht="15.75" customHeight="1" x14ac:dyDescent="0.25">
      <c r="B173" s="78" t="s">
        <v>395</v>
      </c>
      <c r="C173" s="146" t="s">
        <v>396</v>
      </c>
      <c r="D173" s="154" t="s">
        <v>397</v>
      </c>
      <c r="E173" s="40">
        <v>1199200.0293275001</v>
      </c>
      <c r="F173" s="41">
        <f>ROUND(E173,0)</f>
        <v>1199200</v>
      </c>
      <c r="G173" s="39">
        <f t="shared" si="20"/>
        <v>-2.9327500145882368E-2</v>
      </c>
      <c r="H173" s="156"/>
    </row>
    <row r="174" spans="2:8" ht="13.9" customHeight="1" x14ac:dyDescent="0.25">
      <c r="B174" s="78" t="s">
        <v>398</v>
      </c>
      <c r="C174" s="146" t="s">
        <v>399</v>
      </c>
      <c r="D174" s="154" t="s">
        <v>400</v>
      </c>
      <c r="E174" s="40">
        <v>1875164.83</v>
      </c>
      <c r="F174" s="41">
        <f t="shared" ref="F174:F185" si="29">ROUND(E174,0)</f>
        <v>1875165</v>
      </c>
      <c r="G174" s="39">
        <f t="shared" si="20"/>
        <v>0.16999999992549419</v>
      </c>
      <c r="H174" s="152"/>
    </row>
    <row r="175" spans="2:8" ht="27" customHeight="1" x14ac:dyDescent="0.25">
      <c r="B175" s="78" t="s">
        <v>175</v>
      </c>
      <c r="C175" s="153" t="s">
        <v>401</v>
      </c>
      <c r="D175" s="154" t="s">
        <v>295</v>
      </c>
      <c r="E175" s="40">
        <v>363351</v>
      </c>
      <c r="F175" s="41">
        <f>ROUND(E175,0)-1-3420+92966</f>
        <v>452896</v>
      </c>
      <c r="G175" s="39">
        <f t="shared" si="20"/>
        <v>89545</v>
      </c>
      <c r="H175" s="152" t="s">
        <v>402</v>
      </c>
    </row>
    <row r="176" spans="2:8" ht="25.9" customHeight="1" x14ac:dyDescent="0.25">
      <c r="B176" s="78" t="s">
        <v>403</v>
      </c>
      <c r="C176" s="146" t="s">
        <v>404</v>
      </c>
      <c r="D176" s="154" t="s">
        <v>405</v>
      </c>
      <c r="E176" s="40">
        <v>1574037</v>
      </c>
      <c r="F176" s="41">
        <f>ROUND(E176,0)+168382</f>
        <v>1742419</v>
      </c>
      <c r="G176" s="39">
        <f t="shared" si="20"/>
        <v>168382</v>
      </c>
      <c r="H176" s="152" t="s">
        <v>1</v>
      </c>
    </row>
    <row r="177" spans="2:8" ht="32.25" customHeight="1" x14ac:dyDescent="0.25">
      <c r="B177" s="78" t="s">
        <v>6</v>
      </c>
      <c r="C177" s="146" t="s">
        <v>406</v>
      </c>
      <c r="D177" s="154" t="s">
        <v>407</v>
      </c>
      <c r="E177" s="158">
        <v>5403977.9826302836</v>
      </c>
      <c r="F177" s="159">
        <f>SUM(F178:F180)</f>
        <v>5416333</v>
      </c>
      <c r="G177" s="39">
        <f t="shared" si="20"/>
        <v>12355.017369716428</v>
      </c>
      <c r="H177" s="152"/>
    </row>
    <row r="178" spans="2:8" s="167" customFormat="1" ht="40.9" customHeight="1" x14ac:dyDescent="0.25">
      <c r="B178" s="160"/>
      <c r="C178" s="161" t="s">
        <v>408</v>
      </c>
      <c r="D178" s="162" t="s">
        <v>409</v>
      </c>
      <c r="E178" s="164">
        <v>4799085.2470302833</v>
      </c>
      <c r="F178" s="165">
        <f>ROUND(E178,0)+13000-645</f>
        <v>4811440</v>
      </c>
      <c r="G178" s="163">
        <f t="shared" si="20"/>
        <v>12354.752969716676</v>
      </c>
      <c r="H178" s="166" t="s">
        <v>410</v>
      </c>
    </row>
    <row r="179" spans="2:8" s="167" customFormat="1" ht="16.899999999999999" customHeight="1" x14ac:dyDescent="0.25">
      <c r="B179" s="160"/>
      <c r="C179" s="161" t="s">
        <v>411</v>
      </c>
      <c r="D179" s="162" t="s">
        <v>412</v>
      </c>
      <c r="E179" s="164">
        <v>350000</v>
      </c>
      <c r="F179" s="165">
        <f t="shared" si="29"/>
        <v>350000</v>
      </c>
      <c r="G179" s="163">
        <f t="shared" si="20"/>
        <v>0</v>
      </c>
      <c r="H179" s="166"/>
    </row>
    <row r="180" spans="2:8" s="167" customFormat="1" ht="15" customHeight="1" x14ac:dyDescent="0.25">
      <c r="B180" s="160"/>
      <c r="C180" s="161" t="s">
        <v>413</v>
      </c>
      <c r="D180" s="162" t="s">
        <v>414</v>
      </c>
      <c r="E180" s="164">
        <v>254892.73560000001</v>
      </c>
      <c r="F180" s="165">
        <f t="shared" si="29"/>
        <v>254893</v>
      </c>
      <c r="G180" s="163">
        <f t="shared" si="20"/>
        <v>0.26439999998547137</v>
      </c>
      <c r="H180" s="166"/>
    </row>
    <row r="181" spans="2:8" ht="30" customHeight="1" x14ac:dyDescent="0.25">
      <c r="B181" s="78" t="s">
        <v>6</v>
      </c>
      <c r="C181" s="153" t="s">
        <v>415</v>
      </c>
      <c r="D181" s="154" t="s">
        <v>416</v>
      </c>
      <c r="E181" s="40">
        <v>35000</v>
      </c>
      <c r="F181" s="41">
        <f t="shared" si="29"/>
        <v>35000</v>
      </c>
      <c r="G181" s="39">
        <f t="shared" si="20"/>
        <v>0</v>
      </c>
      <c r="H181" s="152"/>
    </row>
    <row r="182" spans="2:8" ht="41.45" customHeight="1" x14ac:dyDescent="0.25">
      <c r="B182" s="78" t="s">
        <v>6</v>
      </c>
      <c r="C182" s="153" t="s">
        <v>417</v>
      </c>
      <c r="D182" s="154" t="s">
        <v>418</v>
      </c>
      <c r="E182" s="40">
        <v>210000</v>
      </c>
      <c r="F182" s="41">
        <f t="shared" si="29"/>
        <v>210000</v>
      </c>
      <c r="G182" s="39">
        <f t="shared" si="20"/>
        <v>0</v>
      </c>
      <c r="H182" s="152"/>
    </row>
    <row r="183" spans="2:8" ht="18.600000000000001" customHeight="1" x14ac:dyDescent="0.25">
      <c r="B183" s="78" t="s">
        <v>6</v>
      </c>
      <c r="C183" s="153" t="s">
        <v>419</v>
      </c>
      <c r="D183" s="154" t="s">
        <v>420</v>
      </c>
      <c r="E183" s="40">
        <v>17500</v>
      </c>
      <c r="F183" s="41">
        <f t="shared" si="29"/>
        <v>17500</v>
      </c>
      <c r="G183" s="39">
        <f t="shared" si="20"/>
        <v>0</v>
      </c>
      <c r="H183" s="152"/>
    </row>
    <row r="184" spans="2:8" ht="33.6" customHeight="1" x14ac:dyDescent="0.25">
      <c r="B184" s="78" t="s">
        <v>6</v>
      </c>
      <c r="C184" s="153" t="s">
        <v>421</v>
      </c>
      <c r="D184" s="154" t="s">
        <v>310</v>
      </c>
      <c r="E184" s="40">
        <v>255000</v>
      </c>
      <c r="F184" s="41">
        <f t="shared" si="29"/>
        <v>255000</v>
      </c>
      <c r="G184" s="39">
        <f t="shared" si="20"/>
        <v>0</v>
      </c>
      <c r="H184" s="152"/>
    </row>
    <row r="185" spans="2:8" ht="21" customHeight="1" x14ac:dyDescent="0.25">
      <c r="B185" s="78" t="s">
        <v>6</v>
      </c>
      <c r="C185" s="153" t="s">
        <v>422</v>
      </c>
      <c r="D185" s="154" t="s">
        <v>423</v>
      </c>
      <c r="E185" s="40">
        <v>39800</v>
      </c>
      <c r="F185" s="41">
        <f t="shared" si="29"/>
        <v>39800</v>
      </c>
      <c r="G185" s="39">
        <f t="shared" si="20"/>
        <v>0</v>
      </c>
      <c r="H185" s="152"/>
    </row>
    <row r="186" spans="2:8" ht="29.45" customHeight="1" x14ac:dyDescent="0.25">
      <c r="B186" s="78" t="s">
        <v>6</v>
      </c>
      <c r="C186" s="153" t="s">
        <v>424</v>
      </c>
      <c r="D186" s="154" t="s">
        <v>425</v>
      </c>
      <c r="E186" s="40">
        <v>30000</v>
      </c>
      <c r="F186" s="41">
        <f>ROUND(E186,0)</f>
        <v>30000</v>
      </c>
      <c r="G186" s="39">
        <f>F186-E186</f>
        <v>0</v>
      </c>
      <c r="H186" s="152"/>
    </row>
    <row r="187" spans="2:8" ht="18.600000000000001" customHeight="1" x14ac:dyDescent="0.25">
      <c r="B187" s="78" t="s">
        <v>222</v>
      </c>
      <c r="C187" s="153" t="s">
        <v>426</v>
      </c>
      <c r="D187" s="154" t="s">
        <v>224</v>
      </c>
      <c r="E187" s="40">
        <v>546771</v>
      </c>
      <c r="F187" s="41">
        <f>ROUND(E187,0)</f>
        <v>546771</v>
      </c>
      <c r="G187" s="39">
        <f>F187-E187</f>
        <v>0</v>
      </c>
      <c r="H187" s="152"/>
    </row>
    <row r="188" spans="2:8" ht="18" hidden="1" customHeight="1" outlineLevel="1" x14ac:dyDescent="0.25">
      <c r="B188" s="78"/>
      <c r="C188" s="153" t="s">
        <v>427</v>
      </c>
      <c r="D188" s="169" t="s">
        <v>306</v>
      </c>
      <c r="E188" s="40">
        <v>0</v>
      </c>
      <c r="F188" s="41">
        <f>ROUND(E188,0)</f>
        <v>0</v>
      </c>
      <c r="G188" s="39">
        <f>F188-E188</f>
        <v>0</v>
      </c>
      <c r="H188" s="152"/>
    </row>
    <row r="189" spans="2:8" ht="27.6" hidden="1" customHeight="1" outlineLevel="1" x14ac:dyDescent="0.25">
      <c r="B189" s="78" t="s">
        <v>428</v>
      </c>
      <c r="C189" s="153" t="s">
        <v>429</v>
      </c>
      <c r="D189" s="169" t="s">
        <v>430</v>
      </c>
      <c r="E189" s="40">
        <v>0</v>
      </c>
      <c r="F189" s="41">
        <f>ROUND(E189,0)</f>
        <v>0</v>
      </c>
      <c r="G189" s="39">
        <f>F189-E189</f>
        <v>0</v>
      </c>
      <c r="H189" s="58"/>
    </row>
    <row r="190" spans="2:8" collapsed="1" x14ac:dyDescent="0.25">
      <c r="C190" s="143" t="s">
        <v>89</v>
      </c>
      <c r="D190" s="144" t="s">
        <v>431</v>
      </c>
      <c r="E190" s="45">
        <v>2519181.6714729005</v>
      </c>
      <c r="F190" s="47">
        <f t="shared" ref="F190" si="30">SUM(F191,F196:F200)+F203+F204</f>
        <v>2519182</v>
      </c>
      <c r="G190" s="45">
        <f>SUM(G191,G196:G204)</f>
        <v>0.34205659983854275</v>
      </c>
      <c r="H190" s="45"/>
    </row>
    <row r="191" spans="2:8" ht="23.25" customHeight="1" x14ac:dyDescent="0.25">
      <c r="C191" s="140" t="s">
        <v>92</v>
      </c>
      <c r="D191" s="141" t="s">
        <v>432</v>
      </c>
      <c r="E191" s="83">
        <v>1326357.7900424001</v>
      </c>
      <c r="F191" s="84">
        <f>SUM(F192:F195)</f>
        <v>1326358</v>
      </c>
      <c r="G191" s="62">
        <f>SUM(G192:G194)</f>
        <v>0.20995759987272322</v>
      </c>
      <c r="H191" s="62"/>
    </row>
    <row r="192" spans="2:8" ht="15" customHeight="1" x14ac:dyDescent="0.25">
      <c r="B192" s="78" t="s">
        <v>433</v>
      </c>
      <c r="C192" s="146" t="s">
        <v>434</v>
      </c>
      <c r="D192" s="147" t="s">
        <v>435</v>
      </c>
      <c r="E192" s="40">
        <v>638049.85509206681</v>
      </c>
      <c r="F192" s="41">
        <f>ROUND(E192,0)</f>
        <v>638050</v>
      </c>
      <c r="G192" s="39">
        <f t="shared" si="20"/>
        <v>0.14490793319419026</v>
      </c>
      <c r="H192" s="152"/>
    </row>
    <row r="193" spans="2:8" ht="16.149999999999999" customHeight="1" x14ac:dyDescent="0.25">
      <c r="B193" s="78" t="s">
        <v>436</v>
      </c>
      <c r="C193" s="146" t="s">
        <v>437</v>
      </c>
      <c r="D193" s="147" t="s">
        <v>438</v>
      </c>
      <c r="E193" s="40">
        <v>485179.86028633331</v>
      </c>
      <c r="F193" s="41">
        <f>ROUND(E193,0)</f>
        <v>485180</v>
      </c>
      <c r="G193" s="39">
        <f t="shared" si="20"/>
        <v>0.1397136666928418</v>
      </c>
      <c r="H193" s="152"/>
    </row>
    <row r="194" spans="2:8" ht="13.15" customHeight="1" x14ac:dyDescent="0.25">
      <c r="B194" s="78" t="s">
        <v>439</v>
      </c>
      <c r="C194" s="146" t="s">
        <v>440</v>
      </c>
      <c r="D194" s="147" t="s">
        <v>441</v>
      </c>
      <c r="E194" s="40">
        <v>172588.07466400001</v>
      </c>
      <c r="F194" s="41">
        <f>ROUND(E194,0)</f>
        <v>172588</v>
      </c>
      <c r="G194" s="39">
        <f t="shared" ref="G194:G257" si="31">F194-E194</f>
        <v>-7.466400001430884E-2</v>
      </c>
      <c r="H194" s="58"/>
    </row>
    <row r="195" spans="2:8" ht="16.899999999999999" customHeight="1" x14ac:dyDescent="0.25">
      <c r="B195" s="78" t="s">
        <v>442</v>
      </c>
      <c r="C195" s="146" t="s">
        <v>443</v>
      </c>
      <c r="D195" s="147" t="s">
        <v>444</v>
      </c>
      <c r="E195" s="80">
        <v>30540</v>
      </c>
      <c r="F195" s="170">
        <f>ROUND(E195,0)</f>
        <v>30540</v>
      </c>
      <c r="G195" s="39">
        <f>F195-E195</f>
        <v>0</v>
      </c>
      <c r="H195" s="171"/>
    </row>
    <row r="196" spans="2:8" ht="29.45" customHeight="1" x14ac:dyDescent="0.25">
      <c r="B196" s="78" t="s">
        <v>445</v>
      </c>
      <c r="C196" s="173" t="s">
        <v>446</v>
      </c>
      <c r="D196" s="141" t="s">
        <v>447</v>
      </c>
      <c r="E196" s="83">
        <v>185742</v>
      </c>
      <c r="F196" s="84">
        <f t="shared" ref="F196:F204" si="32">ROUND(E196,0)</f>
        <v>185742</v>
      </c>
      <c r="G196" s="62">
        <f t="shared" si="31"/>
        <v>0</v>
      </c>
      <c r="H196" s="172"/>
    </row>
    <row r="197" spans="2:8" ht="27" customHeight="1" x14ac:dyDescent="0.25">
      <c r="B197" s="78" t="s">
        <v>448</v>
      </c>
      <c r="C197" s="173" t="s">
        <v>449</v>
      </c>
      <c r="D197" s="141" t="s">
        <v>450</v>
      </c>
      <c r="E197" s="83">
        <v>0</v>
      </c>
      <c r="F197" s="84">
        <f t="shared" si="32"/>
        <v>0</v>
      </c>
      <c r="G197" s="62">
        <f t="shared" si="31"/>
        <v>0</v>
      </c>
      <c r="H197" s="85"/>
    </row>
    <row r="198" spans="2:8" ht="15" customHeight="1" x14ac:dyDescent="0.25">
      <c r="B198" s="78" t="s">
        <v>451</v>
      </c>
      <c r="C198" s="140" t="s">
        <v>452</v>
      </c>
      <c r="D198" s="141" t="s">
        <v>453</v>
      </c>
      <c r="E198" s="83">
        <v>153395.37309000001</v>
      </c>
      <c r="F198" s="84">
        <f t="shared" si="32"/>
        <v>153395</v>
      </c>
      <c r="G198" s="62">
        <f t="shared" si="31"/>
        <v>-0.37309000000823289</v>
      </c>
      <c r="H198" s="172"/>
    </row>
    <row r="199" spans="2:8" ht="15.6" customHeight="1" x14ac:dyDescent="0.25">
      <c r="B199" s="78" t="s">
        <v>454</v>
      </c>
      <c r="C199" s="140" t="s">
        <v>455</v>
      </c>
      <c r="D199" s="141" t="s">
        <v>456</v>
      </c>
      <c r="E199" s="83">
        <v>64813.521870000011</v>
      </c>
      <c r="F199" s="84">
        <f t="shared" si="32"/>
        <v>64814</v>
      </c>
      <c r="G199" s="62">
        <f t="shared" si="31"/>
        <v>0.47812999998859596</v>
      </c>
      <c r="H199" s="172"/>
    </row>
    <row r="200" spans="2:8" ht="15" customHeight="1" x14ac:dyDescent="0.25">
      <c r="B200" s="78" t="s">
        <v>269</v>
      </c>
      <c r="C200" s="140" t="s">
        <v>457</v>
      </c>
      <c r="D200" s="141" t="s">
        <v>458</v>
      </c>
      <c r="E200" s="83">
        <v>765644.98647050001</v>
      </c>
      <c r="F200" s="84">
        <f t="shared" ref="F200" si="33">F201+F202</f>
        <v>765645</v>
      </c>
      <c r="G200" s="62">
        <f t="shared" si="31"/>
        <v>1.3529499992728233E-2</v>
      </c>
      <c r="H200" s="85"/>
    </row>
    <row r="201" spans="2:8" ht="15" customHeight="1" x14ac:dyDescent="0.25">
      <c r="B201" s="78"/>
      <c r="C201" s="174" t="s">
        <v>459</v>
      </c>
      <c r="D201" s="147" t="s">
        <v>460</v>
      </c>
      <c r="E201" s="80">
        <v>765644.98647050001</v>
      </c>
      <c r="F201" s="170">
        <f>ROUND(E201,0)-126968</f>
        <v>638677</v>
      </c>
      <c r="G201" s="168">
        <f t="shared" si="31"/>
        <v>-126967.98647050001</v>
      </c>
      <c r="H201" s="58" t="s">
        <v>461</v>
      </c>
    </row>
    <row r="202" spans="2:8" ht="15" customHeight="1" x14ac:dyDescent="0.25">
      <c r="B202" s="78"/>
      <c r="C202" s="175" t="s">
        <v>462</v>
      </c>
      <c r="D202" s="147" t="s">
        <v>463</v>
      </c>
      <c r="E202" s="80">
        <v>0</v>
      </c>
      <c r="F202" s="170">
        <v>126968</v>
      </c>
      <c r="G202" s="168">
        <f t="shared" si="31"/>
        <v>126968</v>
      </c>
      <c r="H202" s="58"/>
    </row>
    <row r="203" spans="2:8" ht="15.6" customHeight="1" x14ac:dyDescent="0.25">
      <c r="B203" s="78" t="s">
        <v>464</v>
      </c>
      <c r="C203" s="140" t="s">
        <v>465</v>
      </c>
      <c r="D203" s="141" t="s">
        <v>466</v>
      </c>
      <c r="E203" s="83">
        <v>4000</v>
      </c>
      <c r="F203" s="84">
        <f t="shared" si="32"/>
        <v>4000</v>
      </c>
      <c r="G203" s="62">
        <f t="shared" si="31"/>
        <v>0</v>
      </c>
      <c r="H203" s="142"/>
    </row>
    <row r="204" spans="2:8" ht="15.6" customHeight="1" x14ac:dyDescent="0.25">
      <c r="B204" s="78" t="s">
        <v>467</v>
      </c>
      <c r="C204" s="140" t="s">
        <v>468</v>
      </c>
      <c r="D204" s="141" t="s">
        <v>469</v>
      </c>
      <c r="E204" s="83">
        <v>19228</v>
      </c>
      <c r="F204" s="84">
        <f t="shared" si="32"/>
        <v>19228</v>
      </c>
      <c r="G204" s="62">
        <f t="shared" si="31"/>
        <v>0</v>
      </c>
      <c r="H204" s="142"/>
    </row>
    <row r="205" spans="2:8" s="132" customFormat="1" ht="15.6" customHeight="1" x14ac:dyDescent="0.2">
      <c r="C205" s="143" t="s">
        <v>97</v>
      </c>
      <c r="D205" s="144" t="s">
        <v>470</v>
      </c>
      <c r="E205" s="46">
        <v>3797025.7610668591</v>
      </c>
      <c r="F205" s="47">
        <f t="shared" ref="F205" si="34">F206+F212+F215+F219+F220+F221+F222+F223</f>
        <v>3834372</v>
      </c>
      <c r="G205" s="45">
        <f>G206+G212+G215+G219+G220+G221</f>
        <v>37346.238933140878</v>
      </c>
      <c r="H205" s="45"/>
    </row>
    <row r="206" spans="2:8" s="132" customFormat="1" ht="15" customHeight="1" x14ac:dyDescent="0.25">
      <c r="C206" s="140" t="s">
        <v>100</v>
      </c>
      <c r="D206" s="141" t="s">
        <v>471</v>
      </c>
      <c r="E206" s="83">
        <v>2756987.0633929078</v>
      </c>
      <c r="F206" s="84">
        <f t="shared" ref="F206:G206" si="35">F207+F208+F209+F210+F211</f>
        <v>2756987</v>
      </c>
      <c r="G206" s="62">
        <f t="shared" si="35"/>
        <v>-6.3392907846719027E-2</v>
      </c>
      <c r="H206" s="62"/>
    </row>
    <row r="207" spans="2:8" s="176" customFormat="1" ht="18.600000000000001" customHeight="1" outlineLevel="1" x14ac:dyDescent="0.25">
      <c r="B207" s="176">
        <v>1010</v>
      </c>
      <c r="C207" s="174" t="s">
        <v>472</v>
      </c>
      <c r="D207" s="177" t="s">
        <v>473</v>
      </c>
      <c r="E207" s="178">
        <v>650934.06339290785</v>
      </c>
      <c r="F207" s="179">
        <f>ROUND(E207,0)</f>
        <v>650934</v>
      </c>
      <c r="G207" s="168">
        <f t="shared" si="31"/>
        <v>-6.3392907846719027E-2</v>
      </c>
      <c r="H207" s="180"/>
    </row>
    <row r="208" spans="2:8" s="176" customFormat="1" ht="16.149999999999999" customHeight="1" outlineLevel="1" x14ac:dyDescent="0.25">
      <c r="B208" s="176">
        <v>1010</v>
      </c>
      <c r="C208" s="175" t="s">
        <v>474</v>
      </c>
      <c r="D208" s="177" t="s">
        <v>475</v>
      </c>
      <c r="E208" s="178">
        <v>1598833</v>
      </c>
      <c r="F208" s="179">
        <f>ROUND(E208,0)</f>
        <v>1598833</v>
      </c>
      <c r="G208" s="168">
        <f t="shared" si="31"/>
        <v>0</v>
      </c>
      <c r="H208" s="58"/>
    </row>
    <row r="209" spans="2:8" s="176" customFormat="1" ht="17.45" customHeight="1" outlineLevel="1" x14ac:dyDescent="0.25">
      <c r="B209" s="176">
        <v>1010</v>
      </c>
      <c r="C209" s="175" t="s">
        <v>476</v>
      </c>
      <c r="D209" s="177" t="s">
        <v>477</v>
      </c>
      <c r="E209" s="178">
        <v>0</v>
      </c>
      <c r="F209" s="179">
        <f>ROUND(E209,0)</f>
        <v>0</v>
      </c>
      <c r="G209" s="168">
        <f t="shared" si="31"/>
        <v>0</v>
      </c>
      <c r="H209" s="82"/>
    </row>
    <row r="210" spans="2:8" s="176" customFormat="1" outlineLevel="1" x14ac:dyDescent="0.25">
      <c r="B210" s="176">
        <v>1012</v>
      </c>
      <c r="C210" s="175" t="s">
        <v>478</v>
      </c>
      <c r="D210" s="177" t="s">
        <v>479</v>
      </c>
      <c r="E210" s="178">
        <v>501000</v>
      </c>
      <c r="F210" s="179">
        <f>ROUND(E210,0)</f>
        <v>501000</v>
      </c>
      <c r="G210" s="168">
        <f t="shared" si="31"/>
        <v>0</v>
      </c>
      <c r="H210" s="180"/>
    </row>
    <row r="211" spans="2:8" s="176" customFormat="1" outlineLevel="1" x14ac:dyDescent="0.25">
      <c r="B211" s="176">
        <v>1015</v>
      </c>
      <c r="C211" s="175" t="s">
        <v>480</v>
      </c>
      <c r="D211" s="177" t="s">
        <v>481</v>
      </c>
      <c r="E211" s="178">
        <v>6220</v>
      </c>
      <c r="F211" s="179">
        <f>ROUND(E211,0)</f>
        <v>6220</v>
      </c>
      <c r="G211" s="168">
        <f t="shared" si="31"/>
        <v>0</v>
      </c>
      <c r="H211" s="180"/>
    </row>
    <row r="212" spans="2:8" s="132" customFormat="1" ht="19.5" customHeight="1" x14ac:dyDescent="0.25">
      <c r="C212" s="140" t="s">
        <v>103</v>
      </c>
      <c r="D212" s="141" t="s">
        <v>482</v>
      </c>
      <c r="E212" s="83">
        <v>14014</v>
      </c>
      <c r="F212" s="84">
        <f>F213+F214</f>
        <v>14244</v>
      </c>
      <c r="G212" s="62">
        <f t="shared" si="31"/>
        <v>230</v>
      </c>
      <c r="H212" s="85"/>
    </row>
    <row r="213" spans="2:8" s="176" customFormat="1" outlineLevel="1" x14ac:dyDescent="0.25">
      <c r="B213" s="176">
        <v>1011</v>
      </c>
      <c r="C213" s="175" t="s">
        <v>483</v>
      </c>
      <c r="D213" s="177" t="s">
        <v>484</v>
      </c>
      <c r="E213" s="178">
        <v>1407</v>
      </c>
      <c r="F213" s="179">
        <f>ROUND(E213,0)</f>
        <v>1407</v>
      </c>
      <c r="G213" s="168">
        <f t="shared" si="31"/>
        <v>0</v>
      </c>
      <c r="H213" s="180"/>
    </row>
    <row r="214" spans="2:8" s="176" customFormat="1" outlineLevel="1" x14ac:dyDescent="0.25">
      <c r="B214" s="176">
        <v>1011</v>
      </c>
      <c r="C214" s="175" t="s">
        <v>485</v>
      </c>
      <c r="D214" s="177" t="s">
        <v>486</v>
      </c>
      <c r="E214" s="178">
        <v>12607</v>
      </c>
      <c r="F214" s="179">
        <f>ROUND(E214,0)+230</f>
        <v>12837</v>
      </c>
      <c r="G214" s="168">
        <f t="shared" si="31"/>
        <v>230</v>
      </c>
      <c r="H214" s="180" t="s">
        <v>1</v>
      </c>
    </row>
    <row r="215" spans="2:8" s="132" customFormat="1" ht="18" customHeight="1" x14ac:dyDescent="0.25">
      <c r="C215" s="140" t="s">
        <v>105</v>
      </c>
      <c r="D215" s="141" t="s">
        <v>487</v>
      </c>
      <c r="E215" s="63">
        <v>622113.62317695003</v>
      </c>
      <c r="F215" s="64">
        <f t="shared" ref="F215:G215" si="36">SUM(F216:F218)</f>
        <v>659230</v>
      </c>
      <c r="G215" s="65">
        <f t="shared" si="36"/>
        <v>37116.376823049912</v>
      </c>
      <c r="H215" s="142"/>
    </row>
    <row r="216" spans="2:8" s="132" customFormat="1" ht="15" customHeight="1" x14ac:dyDescent="0.25">
      <c r="B216" s="1" t="s">
        <v>488</v>
      </c>
      <c r="C216" s="181" t="s">
        <v>489</v>
      </c>
      <c r="D216" s="182" t="s">
        <v>490</v>
      </c>
      <c r="E216" s="40">
        <v>402246.62317695009</v>
      </c>
      <c r="F216" s="41">
        <f>ROUND(E216,0)</f>
        <v>402247</v>
      </c>
      <c r="G216" s="39">
        <f t="shared" si="31"/>
        <v>0.37682304991176352</v>
      </c>
      <c r="H216" s="42"/>
    </row>
    <row r="217" spans="2:8" s="132" customFormat="1" ht="15.75" customHeight="1" x14ac:dyDescent="0.25">
      <c r="B217" s="1" t="s">
        <v>488</v>
      </c>
      <c r="C217" s="183" t="s">
        <v>491</v>
      </c>
      <c r="D217" s="182" t="s">
        <v>492</v>
      </c>
      <c r="E217" s="40">
        <v>10250</v>
      </c>
      <c r="F217" s="41">
        <f>ROUND(E217,0)+38150</f>
        <v>48400</v>
      </c>
      <c r="G217" s="39">
        <f t="shared" si="31"/>
        <v>38150</v>
      </c>
      <c r="H217" s="42" t="s">
        <v>493</v>
      </c>
    </row>
    <row r="218" spans="2:8" s="132" customFormat="1" ht="15.6" customHeight="1" x14ac:dyDescent="0.25">
      <c r="B218" s="1" t="s">
        <v>494</v>
      </c>
      <c r="C218" s="181" t="s">
        <v>495</v>
      </c>
      <c r="D218" s="182" t="s">
        <v>496</v>
      </c>
      <c r="E218" s="40">
        <v>209617</v>
      </c>
      <c r="F218" s="41">
        <f>ROUND(E218,0)-1034</f>
        <v>208583</v>
      </c>
      <c r="G218" s="39">
        <f t="shared" si="31"/>
        <v>-1034</v>
      </c>
      <c r="H218" s="42" t="s">
        <v>1</v>
      </c>
    </row>
    <row r="219" spans="2:8" s="132" customFormat="1" ht="16.149999999999999" customHeight="1" x14ac:dyDescent="0.25">
      <c r="C219" s="140" t="s">
        <v>497</v>
      </c>
      <c r="D219" s="141" t="s">
        <v>498</v>
      </c>
      <c r="E219" s="83">
        <v>139599.07449700119</v>
      </c>
      <c r="F219" s="84">
        <f>ROUND(E219,0)</f>
        <v>139599</v>
      </c>
      <c r="G219" s="62">
        <f t="shared" si="31"/>
        <v>-7.4497001187410206E-2</v>
      </c>
      <c r="H219" s="142"/>
    </row>
    <row r="220" spans="2:8" s="132" customFormat="1" ht="18.75" customHeight="1" x14ac:dyDescent="0.25">
      <c r="B220" s="1">
        <v>1016</v>
      </c>
      <c r="C220" s="140" t="s">
        <v>499</v>
      </c>
      <c r="D220" s="141" t="s">
        <v>163</v>
      </c>
      <c r="E220" s="83">
        <v>50000</v>
      </c>
      <c r="F220" s="84">
        <f t="shared" ref="F220:F221" si="37">ROUND(E220,0)</f>
        <v>50000</v>
      </c>
      <c r="G220" s="62">
        <f t="shared" si="31"/>
        <v>0</v>
      </c>
      <c r="H220" s="142"/>
    </row>
    <row r="221" spans="2:8" s="132" customFormat="1" ht="18.75" customHeight="1" x14ac:dyDescent="0.25">
      <c r="B221" s="1">
        <v>1017</v>
      </c>
      <c r="C221" s="140" t="s">
        <v>500</v>
      </c>
      <c r="D221" s="141" t="s">
        <v>165</v>
      </c>
      <c r="E221" s="83">
        <v>200000</v>
      </c>
      <c r="F221" s="84">
        <f t="shared" si="37"/>
        <v>200000</v>
      </c>
      <c r="G221" s="62">
        <f t="shared" si="31"/>
        <v>0</v>
      </c>
      <c r="H221" s="142"/>
    </row>
    <row r="222" spans="2:8" ht="40.9" customHeight="1" x14ac:dyDescent="0.25">
      <c r="B222" s="1" t="s">
        <v>501</v>
      </c>
      <c r="C222" s="140" t="s">
        <v>502</v>
      </c>
      <c r="D222" s="141" t="s">
        <v>503</v>
      </c>
      <c r="E222" s="83">
        <v>10226</v>
      </c>
      <c r="F222" s="84">
        <f>ROUND(E222,0)</f>
        <v>10226</v>
      </c>
      <c r="G222" s="62">
        <f>F222-E222</f>
        <v>0</v>
      </c>
      <c r="H222" s="142"/>
    </row>
    <row r="223" spans="2:8" ht="44.45" customHeight="1" x14ac:dyDescent="0.25">
      <c r="B223" s="1" t="s">
        <v>504</v>
      </c>
      <c r="C223" s="140" t="s">
        <v>505</v>
      </c>
      <c r="D223" s="141" t="s">
        <v>506</v>
      </c>
      <c r="E223" s="83">
        <v>4086</v>
      </c>
      <c r="F223" s="84">
        <f>ROUND(E223,0)</f>
        <v>4086</v>
      </c>
      <c r="G223" s="62">
        <f>F223-E223</f>
        <v>0</v>
      </c>
      <c r="H223" s="142"/>
    </row>
    <row r="224" spans="2:8" x14ac:dyDescent="0.25">
      <c r="C224" s="143" t="s">
        <v>108</v>
      </c>
      <c r="D224" s="144" t="s">
        <v>507</v>
      </c>
      <c r="E224" s="46">
        <v>24609695.260866992</v>
      </c>
      <c r="F224" s="47">
        <f t="shared" ref="F224" si="38">F225+F226+F230+F234+F238+F242+F246+F254+F255+F270+F273+F276+F277+F278+F279+F280+F281+F282</f>
        <v>25006892</v>
      </c>
      <c r="G224" s="45">
        <f>F224-E224</f>
        <v>397196.73913300782</v>
      </c>
      <c r="H224" s="45"/>
    </row>
    <row r="225" spans="2:8" ht="27.6" customHeight="1" x14ac:dyDescent="0.25">
      <c r="B225" s="184" t="s">
        <v>508</v>
      </c>
      <c r="C225" s="140" t="s">
        <v>509</v>
      </c>
      <c r="D225" s="148" t="s">
        <v>510</v>
      </c>
      <c r="E225" s="83">
        <v>750000</v>
      </c>
      <c r="F225" s="84">
        <f>ROUND(E225,0)</f>
        <v>750000</v>
      </c>
      <c r="G225" s="62">
        <f t="shared" si="31"/>
        <v>0</v>
      </c>
      <c r="H225" s="85"/>
    </row>
    <row r="226" spans="2:8" ht="18" customHeight="1" x14ac:dyDescent="0.25">
      <c r="C226" s="140" t="s">
        <v>511</v>
      </c>
      <c r="D226" s="148" t="s">
        <v>512</v>
      </c>
      <c r="E226" s="83">
        <v>2321467.5649073655</v>
      </c>
      <c r="F226" s="84">
        <f t="shared" ref="F226" si="39">SUM(F227:F229)</f>
        <v>2327886</v>
      </c>
      <c r="G226" s="62">
        <f t="shared" si="31"/>
        <v>6418.4350926345214</v>
      </c>
      <c r="H226" s="142"/>
    </row>
    <row r="227" spans="2:8" ht="16.149999999999999" customHeight="1" x14ac:dyDescent="0.25">
      <c r="B227" s="78" t="s">
        <v>513</v>
      </c>
      <c r="C227" s="146" t="s">
        <v>514</v>
      </c>
      <c r="D227" s="120" t="s">
        <v>515</v>
      </c>
      <c r="E227" s="186">
        <v>413462</v>
      </c>
      <c r="F227" s="187">
        <f>ROUND(E227,0)+399+324</f>
        <v>414185</v>
      </c>
      <c r="G227" s="185">
        <f t="shared" si="31"/>
        <v>723</v>
      </c>
      <c r="H227" s="58" t="s">
        <v>516</v>
      </c>
    </row>
    <row r="228" spans="2:8" ht="30.6" customHeight="1" x14ac:dyDescent="0.25">
      <c r="B228" s="78" t="s">
        <v>517</v>
      </c>
      <c r="C228" s="146" t="s">
        <v>518</v>
      </c>
      <c r="D228" s="120" t="s">
        <v>519</v>
      </c>
      <c r="E228" s="186">
        <v>1908005.5649073652</v>
      </c>
      <c r="F228" s="187">
        <f>ROUND(E228,0)-160317+5695</f>
        <v>1753384</v>
      </c>
      <c r="G228" s="185">
        <f t="shared" si="31"/>
        <v>-154621.56490736525</v>
      </c>
      <c r="H228" s="58" t="s">
        <v>520</v>
      </c>
    </row>
    <row r="229" spans="2:8" ht="15" customHeight="1" x14ac:dyDescent="0.25">
      <c r="B229" s="78"/>
      <c r="C229" s="146" t="s">
        <v>521</v>
      </c>
      <c r="D229" s="120" t="s">
        <v>522</v>
      </c>
      <c r="E229" s="186"/>
      <c r="F229" s="187">
        <v>160317</v>
      </c>
      <c r="G229" s="185">
        <f t="shared" si="31"/>
        <v>160317</v>
      </c>
      <c r="H229" s="188"/>
    </row>
    <row r="230" spans="2:8" ht="18" customHeight="1" x14ac:dyDescent="0.25">
      <c r="C230" s="140" t="s">
        <v>523</v>
      </c>
      <c r="D230" s="148" t="s">
        <v>524</v>
      </c>
      <c r="E230" s="83">
        <v>1447835.9786112006</v>
      </c>
      <c r="F230" s="84">
        <f t="shared" ref="F230" si="40">F231+F232+F233</f>
        <v>1429177</v>
      </c>
      <c r="G230" s="62">
        <f t="shared" si="31"/>
        <v>-18658.978611200582</v>
      </c>
      <c r="H230" s="142"/>
    </row>
    <row r="231" spans="2:8" ht="16.5" customHeight="1" x14ac:dyDescent="0.25">
      <c r="B231" s="78" t="s">
        <v>525</v>
      </c>
      <c r="C231" s="146" t="s">
        <v>526</v>
      </c>
      <c r="D231" s="120" t="s">
        <v>515</v>
      </c>
      <c r="E231" s="40">
        <v>158733</v>
      </c>
      <c r="F231" s="41">
        <f>ROUND(E231,0)+525</f>
        <v>159258</v>
      </c>
      <c r="G231" s="39">
        <f t="shared" si="31"/>
        <v>525</v>
      </c>
      <c r="H231" s="58" t="s">
        <v>516</v>
      </c>
    </row>
    <row r="232" spans="2:8" ht="27" customHeight="1" x14ac:dyDescent="0.25">
      <c r="B232" s="78" t="s">
        <v>527</v>
      </c>
      <c r="C232" s="146" t="s">
        <v>528</v>
      </c>
      <c r="D232" s="120" t="s">
        <v>519</v>
      </c>
      <c r="E232" s="40">
        <v>1289102.9786112006</v>
      </c>
      <c r="F232" s="41">
        <f>ROUND(E232,0)-119772-19184</f>
        <v>1150147</v>
      </c>
      <c r="G232" s="39">
        <f t="shared" si="31"/>
        <v>-138955.97861120058</v>
      </c>
      <c r="H232" s="58" t="s">
        <v>520</v>
      </c>
    </row>
    <row r="233" spans="2:8" ht="13.15" customHeight="1" x14ac:dyDescent="0.25">
      <c r="B233" s="78"/>
      <c r="C233" s="146" t="s">
        <v>529</v>
      </c>
      <c r="D233" s="120" t="s">
        <v>522</v>
      </c>
      <c r="E233" s="40"/>
      <c r="F233" s="41">
        <v>119772</v>
      </c>
      <c r="G233" s="39">
        <f t="shared" si="31"/>
        <v>119772</v>
      </c>
      <c r="H233" s="58"/>
    </row>
    <row r="234" spans="2:8" ht="18" customHeight="1" x14ac:dyDescent="0.25">
      <c r="C234" s="189" t="s">
        <v>530</v>
      </c>
      <c r="D234" s="148" t="s">
        <v>531</v>
      </c>
      <c r="E234" s="83">
        <v>1594129.4529886562</v>
      </c>
      <c r="F234" s="84">
        <f>F235+F236+F237</f>
        <v>1595142</v>
      </c>
      <c r="G234" s="62">
        <f t="shared" si="31"/>
        <v>1012.5470113437623</v>
      </c>
      <c r="H234" s="142"/>
    </row>
    <row r="235" spans="2:8" ht="13.5" customHeight="1" x14ac:dyDescent="0.25">
      <c r="B235" s="1" t="s">
        <v>532</v>
      </c>
      <c r="C235" s="146" t="s">
        <v>533</v>
      </c>
      <c r="D235" s="120" t="s">
        <v>515</v>
      </c>
      <c r="E235" s="40">
        <v>238164</v>
      </c>
      <c r="F235" s="41">
        <f>ROUND(E235,0)+1013</f>
        <v>239177</v>
      </c>
      <c r="G235" s="39">
        <f t="shared" si="31"/>
        <v>1013</v>
      </c>
      <c r="H235" s="58" t="s">
        <v>516</v>
      </c>
    </row>
    <row r="236" spans="2:8" ht="17.45" customHeight="1" x14ac:dyDescent="0.25">
      <c r="B236" s="1" t="s">
        <v>534</v>
      </c>
      <c r="C236" s="146" t="s">
        <v>535</v>
      </c>
      <c r="D236" s="120" t="s">
        <v>519</v>
      </c>
      <c r="E236" s="40">
        <v>1201933.4529886562</v>
      </c>
      <c r="F236" s="41">
        <f>ROUND(E236,0)</f>
        <v>1201933</v>
      </c>
      <c r="G236" s="39">
        <f t="shared" si="31"/>
        <v>-0.45298865623772144</v>
      </c>
      <c r="H236" s="58"/>
    </row>
    <row r="237" spans="2:8" ht="17.45" customHeight="1" x14ac:dyDescent="0.25">
      <c r="C237" s="146" t="s">
        <v>536</v>
      </c>
      <c r="D237" s="120" t="s">
        <v>522</v>
      </c>
      <c r="E237" s="40">
        <v>154032</v>
      </c>
      <c r="F237" s="41">
        <f>ROUND(E237,0)</f>
        <v>154032</v>
      </c>
      <c r="G237" s="39">
        <f>F237-E237</f>
        <v>0</v>
      </c>
      <c r="H237" s="58"/>
    </row>
    <row r="238" spans="2:8" x14ac:dyDescent="0.25">
      <c r="B238" s="1" t="s">
        <v>537</v>
      </c>
      <c r="C238" s="189" t="s">
        <v>538</v>
      </c>
      <c r="D238" s="148" t="s">
        <v>539</v>
      </c>
      <c r="E238" s="83">
        <v>1451440.1020564402</v>
      </c>
      <c r="F238" s="84">
        <f t="shared" ref="F238" si="41">SUM(F239:F241)</f>
        <v>1453093</v>
      </c>
      <c r="G238" s="62">
        <f t="shared" si="31"/>
        <v>1652.8979435598012</v>
      </c>
      <c r="H238" s="142"/>
    </row>
    <row r="239" spans="2:8" s="191" customFormat="1" ht="17.25" customHeight="1" x14ac:dyDescent="0.25">
      <c r="B239" s="190" t="s">
        <v>540</v>
      </c>
      <c r="C239" s="146" t="s">
        <v>541</v>
      </c>
      <c r="D239" s="120" t="s">
        <v>515</v>
      </c>
      <c r="E239" s="40">
        <v>152284</v>
      </c>
      <c r="F239" s="41">
        <f>ROUND(E239,0)+1917-264</f>
        <v>153937</v>
      </c>
      <c r="G239" s="185">
        <f t="shared" si="31"/>
        <v>1653</v>
      </c>
      <c r="H239" s="58" t="s">
        <v>516</v>
      </c>
    </row>
    <row r="240" spans="2:8" s="191" customFormat="1" ht="15.6" customHeight="1" x14ac:dyDescent="0.25">
      <c r="C240" s="146" t="s">
        <v>542</v>
      </c>
      <c r="D240" s="120" t="s">
        <v>519</v>
      </c>
      <c r="E240" s="40">
        <v>1154321.1020564402</v>
      </c>
      <c r="F240" s="41">
        <f>ROUND(E240,0)</f>
        <v>1154321</v>
      </c>
      <c r="G240" s="185">
        <f t="shared" si="31"/>
        <v>-0.10205644019879401</v>
      </c>
      <c r="H240" s="58"/>
    </row>
    <row r="241" spans="2:8" s="191" customFormat="1" ht="13.9" customHeight="1" x14ac:dyDescent="0.25">
      <c r="C241" s="146" t="s">
        <v>543</v>
      </c>
      <c r="D241" s="120" t="s">
        <v>522</v>
      </c>
      <c r="E241" s="40">
        <v>144835</v>
      </c>
      <c r="F241" s="41">
        <f>ROUND(E241,0)</f>
        <v>144835</v>
      </c>
      <c r="G241" s="185">
        <f>F241-E241</f>
        <v>0</v>
      </c>
      <c r="H241" s="58"/>
    </row>
    <row r="242" spans="2:8" x14ac:dyDescent="0.25">
      <c r="C242" s="189" t="s">
        <v>544</v>
      </c>
      <c r="D242" s="148" t="s">
        <v>545</v>
      </c>
      <c r="E242" s="83">
        <v>2861690</v>
      </c>
      <c r="F242" s="84">
        <f>F243+F244+F245</f>
        <v>2863405</v>
      </c>
      <c r="G242" s="62">
        <f t="shared" si="31"/>
        <v>1715</v>
      </c>
      <c r="H242" s="142"/>
    </row>
    <row r="243" spans="2:8" s="191" customFormat="1" x14ac:dyDescent="0.25">
      <c r="B243" s="190" t="s">
        <v>546</v>
      </c>
      <c r="C243" s="192" t="s">
        <v>547</v>
      </c>
      <c r="D243" s="193" t="s">
        <v>548</v>
      </c>
      <c r="E243" s="40">
        <v>833320</v>
      </c>
      <c r="F243" s="41">
        <f>ROUND(E243,0)+4+1711</f>
        <v>835035</v>
      </c>
      <c r="G243" s="185">
        <f t="shared" si="31"/>
        <v>1715</v>
      </c>
      <c r="H243" s="58" t="s">
        <v>516</v>
      </c>
    </row>
    <row r="244" spans="2:8" s="191" customFormat="1" ht="16.149999999999999" customHeight="1" x14ac:dyDescent="0.25">
      <c r="B244" s="190" t="s">
        <v>549</v>
      </c>
      <c r="C244" s="192" t="s">
        <v>550</v>
      </c>
      <c r="D244" s="193" t="s">
        <v>551</v>
      </c>
      <c r="E244" s="40">
        <v>1865620</v>
      </c>
      <c r="F244" s="41">
        <f>ROUND(E244,0)</f>
        <v>1865620</v>
      </c>
      <c r="G244" s="185">
        <f t="shared" si="31"/>
        <v>0</v>
      </c>
      <c r="H244" s="42"/>
    </row>
    <row r="245" spans="2:8" x14ac:dyDescent="0.25">
      <c r="B245" s="78" t="s">
        <v>549</v>
      </c>
      <c r="C245" s="146" t="s">
        <v>552</v>
      </c>
      <c r="D245" s="120" t="s">
        <v>553</v>
      </c>
      <c r="E245" s="40">
        <v>162750</v>
      </c>
      <c r="F245" s="41">
        <f>ROUND(E245,0)</f>
        <v>162750</v>
      </c>
      <c r="G245" s="185">
        <f t="shared" si="31"/>
        <v>0</v>
      </c>
      <c r="H245" s="42"/>
    </row>
    <row r="246" spans="2:8" s="132" customFormat="1" ht="15.75" customHeight="1" x14ac:dyDescent="0.2">
      <c r="C246" s="189" t="s">
        <v>554</v>
      </c>
      <c r="D246" s="148" t="s">
        <v>555</v>
      </c>
      <c r="E246" s="150">
        <v>2139500.4741500001</v>
      </c>
      <c r="F246" s="151">
        <f t="shared" ref="F246" si="42">F247+F248+F249+F250+F251+F252+F253</f>
        <v>2124662</v>
      </c>
      <c r="G246" s="149">
        <f t="shared" si="31"/>
        <v>-14838.47415000014</v>
      </c>
      <c r="H246" s="157"/>
    </row>
    <row r="247" spans="2:8" s="36" customFormat="1" ht="17.25" customHeight="1" x14ac:dyDescent="0.25">
      <c r="B247" s="55" t="s">
        <v>556</v>
      </c>
      <c r="C247" s="146" t="s">
        <v>557</v>
      </c>
      <c r="D247" s="120" t="s">
        <v>515</v>
      </c>
      <c r="E247" s="40">
        <v>1127101</v>
      </c>
      <c r="F247" s="41">
        <f>ROUND(E247,0)+150+22307-31</f>
        <v>1149527</v>
      </c>
      <c r="G247" s="39">
        <f t="shared" si="31"/>
        <v>22426</v>
      </c>
      <c r="H247" s="58" t="s">
        <v>516</v>
      </c>
    </row>
    <row r="248" spans="2:8" s="36" customFormat="1" x14ac:dyDescent="0.25">
      <c r="B248" s="36" t="s">
        <v>556</v>
      </c>
      <c r="C248" s="146" t="s">
        <v>558</v>
      </c>
      <c r="D248" s="120" t="s">
        <v>559</v>
      </c>
      <c r="E248" s="40">
        <v>49493</v>
      </c>
      <c r="F248" s="41">
        <f>ROUND(E248,0)+4754</f>
        <v>54247</v>
      </c>
      <c r="G248" s="39">
        <f t="shared" si="31"/>
        <v>4754</v>
      </c>
      <c r="H248" s="58" t="s">
        <v>516</v>
      </c>
    </row>
    <row r="249" spans="2:8" s="36" customFormat="1" ht="17.25" customHeight="1" x14ac:dyDescent="0.25">
      <c r="B249" s="55" t="s">
        <v>560</v>
      </c>
      <c r="C249" s="146" t="s">
        <v>561</v>
      </c>
      <c r="D249" s="120" t="s">
        <v>519</v>
      </c>
      <c r="E249" s="40">
        <v>659972.47414999991</v>
      </c>
      <c r="F249" s="41">
        <f>ROUND(E249,0)-42018</f>
        <v>617954</v>
      </c>
      <c r="G249" s="39">
        <f t="shared" si="31"/>
        <v>-42018.474149999907</v>
      </c>
      <c r="H249" s="58" t="s">
        <v>562</v>
      </c>
    </row>
    <row r="250" spans="2:8" s="36" customFormat="1" ht="16.899999999999999" customHeight="1" x14ac:dyDescent="0.25">
      <c r="B250" s="55"/>
      <c r="C250" s="146" t="s">
        <v>563</v>
      </c>
      <c r="D250" s="120" t="s">
        <v>522</v>
      </c>
      <c r="E250" s="40">
        <v>283797</v>
      </c>
      <c r="F250" s="41">
        <f t="shared" ref="F250:F253" si="43">ROUND(E250,0)</f>
        <v>283797</v>
      </c>
      <c r="G250" s="39">
        <f t="shared" si="31"/>
        <v>0</v>
      </c>
      <c r="H250" s="58"/>
    </row>
    <row r="251" spans="2:8" s="36" customFormat="1" ht="16.899999999999999" customHeight="1" x14ac:dyDescent="0.25">
      <c r="B251" s="55" t="s">
        <v>564</v>
      </c>
      <c r="C251" s="146" t="s">
        <v>565</v>
      </c>
      <c r="D251" s="120" t="s">
        <v>566</v>
      </c>
      <c r="E251" s="40">
        <v>3668</v>
      </c>
      <c r="F251" s="41">
        <f>ROUND(E251,0)</f>
        <v>3668</v>
      </c>
      <c r="G251" s="39">
        <f t="shared" si="31"/>
        <v>0</v>
      </c>
      <c r="H251" s="42"/>
    </row>
    <row r="252" spans="2:8" s="132" customFormat="1" ht="13.9" customHeight="1" x14ac:dyDescent="0.25">
      <c r="B252" s="78" t="s">
        <v>567</v>
      </c>
      <c r="C252" s="146" t="s">
        <v>568</v>
      </c>
      <c r="D252" s="120" t="s">
        <v>569</v>
      </c>
      <c r="E252" s="40">
        <v>15469</v>
      </c>
      <c r="F252" s="41">
        <f t="shared" si="43"/>
        <v>15469</v>
      </c>
      <c r="G252" s="39">
        <f t="shared" si="31"/>
        <v>0</v>
      </c>
      <c r="H252" s="42"/>
    </row>
    <row r="253" spans="2:8" s="132" customFormat="1" ht="15" customHeight="1" x14ac:dyDescent="0.25">
      <c r="B253" s="78" t="s">
        <v>570</v>
      </c>
      <c r="C253" s="146" t="s">
        <v>571</v>
      </c>
      <c r="D253" s="120" t="s">
        <v>572</v>
      </c>
      <c r="E253" s="40">
        <v>0</v>
      </c>
      <c r="F253" s="41">
        <f t="shared" si="43"/>
        <v>0</v>
      </c>
      <c r="G253" s="39">
        <f t="shared" si="31"/>
        <v>0</v>
      </c>
      <c r="H253" s="42"/>
    </row>
    <row r="254" spans="2:8" ht="48.6" customHeight="1" x14ac:dyDescent="0.25">
      <c r="B254" s="78" t="s">
        <v>573</v>
      </c>
      <c r="C254" s="189" t="s">
        <v>574</v>
      </c>
      <c r="D254" s="148" t="s">
        <v>299</v>
      </c>
      <c r="E254" s="150">
        <v>0</v>
      </c>
      <c r="F254" s="151">
        <f>ROUND(E254,0)+19357+102058</f>
        <v>121415</v>
      </c>
      <c r="G254" s="149">
        <f>F254-E254</f>
        <v>121415</v>
      </c>
      <c r="H254" s="85" t="s">
        <v>575</v>
      </c>
    </row>
    <row r="255" spans="2:8" s="36" customFormat="1" ht="15.75" customHeight="1" x14ac:dyDescent="0.25">
      <c r="B255" s="55"/>
      <c r="C255" s="189" t="s">
        <v>576</v>
      </c>
      <c r="D255" s="148" t="s">
        <v>577</v>
      </c>
      <c r="E255" s="149">
        <v>8531591.7446570527</v>
      </c>
      <c r="F255" s="151">
        <f t="shared" ref="F255" si="44">F256+F257+F258+F259+F260+F261+F262+F263+F264+F265+F266</f>
        <v>8620462</v>
      </c>
      <c r="G255" s="149">
        <f t="shared" si="31"/>
        <v>88870.255342947319</v>
      </c>
      <c r="H255" s="85"/>
    </row>
    <row r="256" spans="2:8" s="36" customFormat="1" ht="17.25" customHeight="1" x14ac:dyDescent="0.25">
      <c r="B256" s="55" t="s">
        <v>578</v>
      </c>
      <c r="C256" s="146" t="s">
        <v>579</v>
      </c>
      <c r="D256" s="120" t="s">
        <v>515</v>
      </c>
      <c r="E256" s="40">
        <v>4238288</v>
      </c>
      <c r="F256" s="41">
        <f>ROUND(E256,0)+418+1193+3572-9361</f>
        <v>4234110</v>
      </c>
      <c r="G256" s="39">
        <f t="shared" si="31"/>
        <v>-4178</v>
      </c>
      <c r="H256" s="58" t="s">
        <v>516</v>
      </c>
    </row>
    <row r="257" spans="2:8" s="36" customFormat="1" ht="28.9" customHeight="1" x14ac:dyDescent="0.25">
      <c r="B257" s="55" t="s">
        <v>580</v>
      </c>
      <c r="C257" s="146" t="s">
        <v>581</v>
      </c>
      <c r="D257" s="120" t="s">
        <v>519</v>
      </c>
      <c r="E257" s="40">
        <v>1427218.8621271863</v>
      </c>
      <c r="F257" s="41">
        <f>ROUND(E257,0)-337847+35517</f>
        <v>1124889</v>
      </c>
      <c r="G257" s="39">
        <f t="shared" si="31"/>
        <v>-302329.86212718626</v>
      </c>
      <c r="H257" s="58" t="s">
        <v>582</v>
      </c>
    </row>
    <row r="258" spans="2:8" s="36" customFormat="1" ht="18" customHeight="1" x14ac:dyDescent="0.25">
      <c r="B258" s="55"/>
      <c r="C258" s="146" t="s">
        <v>583</v>
      </c>
      <c r="D258" s="120" t="s">
        <v>522</v>
      </c>
      <c r="E258" s="40"/>
      <c r="F258" s="41">
        <v>337847</v>
      </c>
      <c r="G258" s="39">
        <f t="shared" ref="G258:G291" si="45">F258-E258</f>
        <v>337847</v>
      </c>
      <c r="H258" s="58"/>
    </row>
    <row r="259" spans="2:8" s="36" customFormat="1" ht="17.45" customHeight="1" x14ac:dyDescent="0.25">
      <c r="B259" s="36" t="s">
        <v>584</v>
      </c>
      <c r="C259" s="146" t="s">
        <v>585</v>
      </c>
      <c r="D259" s="120" t="s">
        <v>586</v>
      </c>
      <c r="E259" s="40">
        <v>266093</v>
      </c>
      <c r="F259" s="41">
        <f t="shared" ref="F259:F262" si="46">ROUND(E259,0)</f>
        <v>266093</v>
      </c>
      <c r="G259" s="39">
        <f t="shared" si="45"/>
        <v>0</v>
      </c>
      <c r="H259" s="42"/>
    </row>
    <row r="260" spans="2:8" s="36" customFormat="1" ht="16.149999999999999" customHeight="1" x14ac:dyDescent="0.25">
      <c r="B260" s="55" t="s">
        <v>587</v>
      </c>
      <c r="C260" s="146" t="s">
        <v>588</v>
      </c>
      <c r="D260" s="120" t="s">
        <v>566</v>
      </c>
      <c r="E260" s="40">
        <v>14485</v>
      </c>
      <c r="F260" s="41">
        <f t="shared" si="46"/>
        <v>14485</v>
      </c>
      <c r="G260" s="39">
        <f t="shared" si="45"/>
        <v>0</v>
      </c>
      <c r="H260" s="42"/>
    </row>
    <row r="261" spans="2:8" s="194" customFormat="1" ht="42.6" customHeight="1" x14ac:dyDescent="0.25">
      <c r="B261" s="55" t="s">
        <v>580</v>
      </c>
      <c r="C261" s="146" t="s">
        <v>589</v>
      </c>
      <c r="D261" s="120" t="s">
        <v>301</v>
      </c>
      <c r="E261" s="40">
        <v>34497</v>
      </c>
      <c r="F261" s="41">
        <f>ROUND(E261,0)+53231</f>
        <v>87728</v>
      </c>
      <c r="G261" s="39">
        <f t="shared" si="45"/>
        <v>53231</v>
      </c>
      <c r="H261" s="58" t="s">
        <v>590</v>
      </c>
    </row>
    <row r="262" spans="2:8" s="194" customFormat="1" ht="56.45" customHeight="1" x14ac:dyDescent="0.25">
      <c r="B262" s="55" t="s">
        <v>580</v>
      </c>
      <c r="C262" s="146" t="s">
        <v>591</v>
      </c>
      <c r="D262" s="120" t="s">
        <v>304</v>
      </c>
      <c r="E262" s="40">
        <v>870000</v>
      </c>
      <c r="F262" s="41">
        <f t="shared" si="46"/>
        <v>870000</v>
      </c>
      <c r="G262" s="39">
        <f>F262-E262</f>
        <v>0</v>
      </c>
      <c r="H262" s="58"/>
    </row>
    <row r="263" spans="2:8" s="194" customFormat="1" ht="28.15" customHeight="1" x14ac:dyDescent="0.25">
      <c r="B263" s="195" t="s">
        <v>592</v>
      </c>
      <c r="C263" s="146" t="s">
        <v>593</v>
      </c>
      <c r="D263" s="120" t="s">
        <v>594</v>
      </c>
      <c r="E263" s="40">
        <v>1006133.6654766668</v>
      </c>
      <c r="F263" s="41">
        <f>ROUND(E263,0)-197877-65904</f>
        <v>742353</v>
      </c>
      <c r="G263" s="39">
        <f t="shared" si="45"/>
        <v>-263780.66547666676</v>
      </c>
      <c r="H263" s="58" t="s">
        <v>595</v>
      </c>
    </row>
    <row r="264" spans="2:8" s="194" customFormat="1" ht="19.149999999999999" customHeight="1" x14ac:dyDescent="0.25">
      <c r="B264" s="195"/>
      <c r="C264" s="146" t="s">
        <v>596</v>
      </c>
      <c r="D264" s="120" t="s">
        <v>597</v>
      </c>
      <c r="E264" s="40"/>
      <c r="F264" s="41">
        <v>197877</v>
      </c>
      <c r="G264" s="39">
        <f t="shared" si="45"/>
        <v>197877</v>
      </c>
      <c r="H264" s="58"/>
    </row>
    <row r="265" spans="2:8" s="194" customFormat="1" ht="15" customHeight="1" x14ac:dyDescent="0.25">
      <c r="B265" s="55" t="s">
        <v>578</v>
      </c>
      <c r="C265" s="146" t="s">
        <v>598</v>
      </c>
      <c r="D265" s="120" t="s">
        <v>599</v>
      </c>
      <c r="E265" s="40">
        <v>166307</v>
      </c>
      <c r="F265" s="41">
        <f>ROUND(E265,0)+69974</f>
        <v>236281</v>
      </c>
      <c r="G265" s="39">
        <f t="shared" si="45"/>
        <v>69974</v>
      </c>
      <c r="H265" s="58" t="s">
        <v>516</v>
      </c>
    </row>
    <row r="266" spans="2:8" s="201" customFormat="1" ht="13.9" customHeight="1" x14ac:dyDescent="0.25">
      <c r="B266" s="195"/>
      <c r="C266" s="196" t="s">
        <v>600</v>
      </c>
      <c r="D266" s="197" t="s">
        <v>601</v>
      </c>
      <c r="E266" s="199">
        <v>508569.2170532</v>
      </c>
      <c r="F266" s="200">
        <f t="shared" ref="F266" si="47">F267+F268+F269</f>
        <v>508799</v>
      </c>
      <c r="G266" s="198">
        <f t="shared" si="45"/>
        <v>229.78294679999817</v>
      </c>
      <c r="H266" s="198"/>
    </row>
    <row r="267" spans="2:8" s="194" customFormat="1" ht="12" customHeight="1" x14ac:dyDescent="0.25">
      <c r="B267" s="78" t="s">
        <v>602</v>
      </c>
      <c r="C267" s="202" t="s">
        <v>603</v>
      </c>
      <c r="D267" s="120" t="s">
        <v>604</v>
      </c>
      <c r="E267" s="40">
        <v>138119</v>
      </c>
      <c r="F267" s="41">
        <f>ROUND(E267,0)-46+276</f>
        <v>138349</v>
      </c>
      <c r="G267" s="39">
        <f t="shared" si="45"/>
        <v>230</v>
      </c>
      <c r="H267" s="58" t="s">
        <v>516</v>
      </c>
    </row>
    <row r="268" spans="2:8" s="132" customFormat="1" ht="12.6" customHeight="1" x14ac:dyDescent="0.25">
      <c r="B268" s="195" t="s">
        <v>605</v>
      </c>
      <c r="C268" s="202" t="s">
        <v>606</v>
      </c>
      <c r="D268" s="120" t="s">
        <v>607</v>
      </c>
      <c r="E268" s="40">
        <v>370450.2170532</v>
      </c>
      <c r="F268" s="41">
        <f>ROUND(E268,0)-14058</f>
        <v>356392</v>
      </c>
      <c r="G268" s="39">
        <f t="shared" si="45"/>
        <v>-14058.217053200002</v>
      </c>
      <c r="H268" s="42"/>
    </row>
    <row r="269" spans="2:8" s="132" customFormat="1" ht="12.6" customHeight="1" x14ac:dyDescent="0.25">
      <c r="B269" s="195"/>
      <c r="C269" s="202" t="s">
        <v>608</v>
      </c>
      <c r="D269" s="120" t="s">
        <v>463</v>
      </c>
      <c r="E269" s="40"/>
      <c r="F269" s="41">
        <v>14058</v>
      </c>
      <c r="G269" s="39">
        <f t="shared" si="45"/>
        <v>14058</v>
      </c>
      <c r="H269" s="42" t="s">
        <v>461</v>
      </c>
    </row>
    <row r="270" spans="2:8" ht="18" customHeight="1" x14ac:dyDescent="0.25">
      <c r="C270" s="189" t="s">
        <v>609</v>
      </c>
      <c r="D270" s="148" t="s">
        <v>610</v>
      </c>
      <c r="E270" s="150">
        <v>1647206</v>
      </c>
      <c r="F270" s="151">
        <f t="shared" ref="F270" si="48">F271+F272</f>
        <v>1857866</v>
      </c>
      <c r="G270" s="149">
        <f t="shared" si="45"/>
        <v>210660</v>
      </c>
      <c r="H270" s="149"/>
    </row>
    <row r="271" spans="2:8" ht="13.5" customHeight="1" x14ac:dyDescent="0.25">
      <c r="C271" s="146" t="s">
        <v>611</v>
      </c>
      <c r="D271" s="120" t="s">
        <v>612</v>
      </c>
      <c r="E271" s="40">
        <v>651116</v>
      </c>
      <c r="F271" s="41">
        <f>ROUND(E271,0)+1832+142597</f>
        <v>795545</v>
      </c>
      <c r="G271" s="39">
        <f t="shared" si="45"/>
        <v>144429</v>
      </c>
      <c r="H271" s="58" t="s">
        <v>613</v>
      </c>
    </row>
    <row r="272" spans="2:8" ht="28.9" customHeight="1" x14ac:dyDescent="0.25">
      <c r="C272" s="146" t="s">
        <v>614</v>
      </c>
      <c r="D272" s="120" t="s">
        <v>519</v>
      </c>
      <c r="E272" s="40">
        <v>996090</v>
      </c>
      <c r="F272" s="41">
        <f>ROUND(E272,0)+66231</f>
        <v>1062321</v>
      </c>
      <c r="G272" s="39">
        <f t="shared" si="45"/>
        <v>66231</v>
      </c>
      <c r="H272" s="203" t="s">
        <v>615</v>
      </c>
    </row>
    <row r="273" spans="2:8" ht="16.149999999999999" customHeight="1" x14ac:dyDescent="0.25">
      <c r="C273" s="204" t="s">
        <v>616</v>
      </c>
      <c r="D273" s="148" t="s">
        <v>617</v>
      </c>
      <c r="E273" s="150">
        <v>706577.70189168002</v>
      </c>
      <c r="F273" s="151">
        <f>F274+F275</f>
        <v>706619</v>
      </c>
      <c r="G273" s="149">
        <f t="shared" si="45"/>
        <v>41.298108319984749</v>
      </c>
      <c r="H273" s="157"/>
    </row>
    <row r="274" spans="2:8" ht="16.5" customHeight="1" x14ac:dyDescent="0.25">
      <c r="B274" s="78" t="s">
        <v>618</v>
      </c>
      <c r="C274" s="146" t="s">
        <v>619</v>
      </c>
      <c r="D274" s="120" t="s">
        <v>612</v>
      </c>
      <c r="E274" s="40">
        <v>314605.76040000003</v>
      </c>
      <c r="F274" s="41">
        <f>ROUND(E274,0)+41</f>
        <v>314647</v>
      </c>
      <c r="G274" s="39">
        <f t="shared" si="45"/>
        <v>41.239599999971688</v>
      </c>
      <c r="H274" s="42" t="s">
        <v>1</v>
      </c>
    </row>
    <row r="275" spans="2:8" ht="16.5" customHeight="1" x14ac:dyDescent="0.25">
      <c r="B275" s="78" t="s">
        <v>620</v>
      </c>
      <c r="C275" s="146" t="s">
        <v>621</v>
      </c>
      <c r="D275" s="120" t="s">
        <v>622</v>
      </c>
      <c r="E275" s="40">
        <v>391971.94149168005</v>
      </c>
      <c r="F275" s="41">
        <f t="shared" ref="F275:F280" si="49">ROUND(E275,0)</f>
        <v>391972</v>
      </c>
      <c r="G275" s="39">
        <f t="shared" si="45"/>
        <v>5.8508319954853505E-2</v>
      </c>
      <c r="H275" s="58"/>
    </row>
    <row r="276" spans="2:8" ht="19.899999999999999" customHeight="1" x14ac:dyDescent="0.25">
      <c r="B276" s="78" t="s">
        <v>623</v>
      </c>
      <c r="C276" s="204" t="s">
        <v>624</v>
      </c>
      <c r="D276" s="148" t="s">
        <v>625</v>
      </c>
      <c r="E276" s="83">
        <v>482391.24160460004</v>
      </c>
      <c r="F276" s="84">
        <f t="shared" si="49"/>
        <v>482391</v>
      </c>
      <c r="G276" s="62">
        <f t="shared" si="45"/>
        <v>-0.2416046000435017</v>
      </c>
      <c r="H276" s="85"/>
    </row>
    <row r="277" spans="2:8" ht="18" customHeight="1" x14ac:dyDescent="0.25">
      <c r="B277" s="78"/>
      <c r="C277" s="204" t="s">
        <v>626</v>
      </c>
      <c r="D277" s="148" t="s">
        <v>627</v>
      </c>
      <c r="E277" s="83">
        <v>3000</v>
      </c>
      <c r="F277" s="84">
        <f t="shared" si="49"/>
        <v>3000</v>
      </c>
      <c r="G277" s="62">
        <f t="shared" si="45"/>
        <v>0</v>
      </c>
      <c r="H277" s="85"/>
    </row>
    <row r="278" spans="2:8" ht="31.9" customHeight="1" x14ac:dyDescent="0.25">
      <c r="B278" s="78" t="s">
        <v>628</v>
      </c>
      <c r="C278" s="204" t="s">
        <v>629</v>
      </c>
      <c r="D278" s="148" t="s">
        <v>630</v>
      </c>
      <c r="E278" s="83">
        <v>17962</v>
      </c>
      <c r="F278" s="84">
        <f>ROUND(E278,0)-1841</f>
        <v>16121</v>
      </c>
      <c r="G278" s="62">
        <f t="shared" si="45"/>
        <v>-1841</v>
      </c>
      <c r="H278" s="85" t="s">
        <v>1</v>
      </c>
    </row>
    <row r="279" spans="2:8" ht="27" customHeight="1" x14ac:dyDescent="0.25">
      <c r="B279" s="78" t="s">
        <v>631</v>
      </c>
      <c r="C279" s="204" t="s">
        <v>632</v>
      </c>
      <c r="D279" s="148" t="s">
        <v>633</v>
      </c>
      <c r="E279" s="83">
        <v>1049</v>
      </c>
      <c r="F279" s="84">
        <f t="shared" si="49"/>
        <v>1049</v>
      </c>
      <c r="G279" s="62">
        <f t="shared" si="45"/>
        <v>0</v>
      </c>
      <c r="H279" s="85"/>
    </row>
    <row r="280" spans="2:8" ht="57.6" customHeight="1" x14ac:dyDescent="0.25">
      <c r="B280" s="78" t="s">
        <v>634</v>
      </c>
      <c r="C280" s="204" t="s">
        <v>635</v>
      </c>
      <c r="D280" s="148" t="s">
        <v>636</v>
      </c>
      <c r="E280" s="83">
        <v>765</v>
      </c>
      <c r="F280" s="84">
        <f t="shared" si="49"/>
        <v>765</v>
      </c>
      <c r="G280" s="62">
        <f t="shared" si="45"/>
        <v>0</v>
      </c>
      <c r="H280" s="85"/>
    </row>
    <row r="281" spans="2:8" ht="30.6" customHeight="1" x14ac:dyDescent="0.25">
      <c r="B281" s="78"/>
      <c r="C281" s="189" t="s">
        <v>637</v>
      </c>
      <c r="D281" s="148" t="s">
        <v>293</v>
      </c>
      <c r="E281" s="83">
        <v>637343</v>
      </c>
      <c r="F281" s="84">
        <f>ROUND(E281,0)</f>
        <v>637343</v>
      </c>
      <c r="G281" s="62">
        <f>F281-E281</f>
        <v>0</v>
      </c>
      <c r="H281" s="85"/>
    </row>
    <row r="282" spans="2:8" ht="27" customHeight="1" x14ac:dyDescent="0.25">
      <c r="C282" s="189" t="s">
        <v>638</v>
      </c>
      <c r="D282" s="148" t="s">
        <v>204</v>
      </c>
      <c r="E282" s="63">
        <v>15746</v>
      </c>
      <c r="F282" s="64">
        <f>F283+F284</f>
        <v>16496</v>
      </c>
      <c r="G282" s="62">
        <f t="shared" si="45"/>
        <v>750</v>
      </c>
      <c r="H282" s="85"/>
    </row>
    <row r="283" spans="2:8" ht="14.45" customHeight="1" x14ac:dyDescent="0.25">
      <c r="B283" s="78" t="s">
        <v>639</v>
      </c>
      <c r="C283" s="146" t="s">
        <v>640</v>
      </c>
      <c r="D283" s="120" t="s">
        <v>641</v>
      </c>
      <c r="E283" s="40">
        <v>15746</v>
      </c>
      <c r="F283" s="41">
        <f>ROUND(E283,0)+750</f>
        <v>16496</v>
      </c>
      <c r="G283" s="39">
        <f t="shared" si="45"/>
        <v>750</v>
      </c>
      <c r="H283" s="58" t="s">
        <v>1</v>
      </c>
    </row>
    <row r="284" spans="2:8" s="132" customFormat="1" ht="15" customHeight="1" x14ac:dyDescent="0.25">
      <c r="B284" s="78" t="s">
        <v>642</v>
      </c>
      <c r="C284" s="146" t="s">
        <v>643</v>
      </c>
      <c r="D284" s="120" t="s">
        <v>644</v>
      </c>
      <c r="E284" s="40">
        <v>0</v>
      </c>
      <c r="F284" s="41">
        <f>ROUND(E284,0)</f>
        <v>0</v>
      </c>
      <c r="G284" s="39">
        <f t="shared" si="45"/>
        <v>0</v>
      </c>
      <c r="H284" s="58"/>
    </row>
    <row r="285" spans="2:8" s="132" customFormat="1" ht="17.45" customHeight="1" outlineLevel="1" x14ac:dyDescent="0.2">
      <c r="C285" s="143" t="s">
        <v>645</v>
      </c>
      <c r="D285" s="144" t="s">
        <v>646</v>
      </c>
      <c r="E285" s="46">
        <v>0</v>
      </c>
      <c r="F285" s="47">
        <f>SUM(F286:F287)</f>
        <v>0</v>
      </c>
      <c r="G285" s="45">
        <f t="shared" si="45"/>
        <v>0</v>
      </c>
      <c r="H285" s="48"/>
    </row>
    <row r="286" spans="2:8" ht="17.25" customHeight="1" outlineLevel="1" x14ac:dyDescent="0.25">
      <c r="C286" s="140" t="s">
        <v>112</v>
      </c>
      <c r="D286" s="141" t="s">
        <v>647</v>
      </c>
      <c r="E286" s="83"/>
      <c r="F286" s="84"/>
      <c r="G286" s="62">
        <f t="shared" si="45"/>
        <v>0</v>
      </c>
      <c r="H286" s="85"/>
    </row>
    <row r="287" spans="2:8" ht="15.75" outlineLevel="1" thickBot="1" x14ac:dyDescent="0.3">
      <c r="C287" s="140" t="s">
        <v>173</v>
      </c>
      <c r="D287" s="141" t="s">
        <v>648</v>
      </c>
      <c r="E287" s="83"/>
      <c r="F287" s="84"/>
      <c r="G287" s="62">
        <f t="shared" si="45"/>
        <v>0</v>
      </c>
      <c r="H287" s="85"/>
    </row>
    <row r="288" spans="2:8" s="132" customFormat="1" ht="30" customHeight="1" thickBot="1" x14ac:dyDescent="0.25">
      <c r="C288" s="205"/>
      <c r="D288" s="206" t="s">
        <v>649</v>
      </c>
      <c r="E288" s="208">
        <v>58317822.384578399</v>
      </c>
      <c r="F288" s="209">
        <f>F130+F140+F142+F143+F148+F150+F190+F205+F224+F285</f>
        <v>59189896</v>
      </c>
      <c r="G288" s="207">
        <f t="shared" si="45"/>
        <v>872073.61542160064</v>
      </c>
      <c r="H288" s="210"/>
    </row>
    <row r="289" spans="3:8" s="36" customFormat="1" ht="57.6" customHeight="1" thickBot="1" x14ac:dyDescent="0.3">
      <c r="C289" s="143" t="s">
        <v>228</v>
      </c>
      <c r="D289" s="144" t="s">
        <v>650</v>
      </c>
      <c r="E289" s="46">
        <v>3486155</v>
      </c>
      <c r="F289" s="47">
        <f>ROUND(E289,0)+37335+133641</f>
        <v>3657131</v>
      </c>
      <c r="G289" s="45">
        <f t="shared" si="45"/>
        <v>170976</v>
      </c>
      <c r="H289" s="56" t="s">
        <v>651</v>
      </c>
    </row>
    <row r="290" spans="3:8" ht="15.75" thickBot="1" x14ac:dyDescent="0.3">
      <c r="C290" s="205"/>
      <c r="D290" s="206" t="s">
        <v>652</v>
      </c>
      <c r="E290" s="220">
        <v>61803977.384578399</v>
      </c>
      <c r="F290" s="212">
        <f>F288+F289</f>
        <v>62847027</v>
      </c>
      <c r="G290" s="211">
        <f t="shared" si="45"/>
        <v>1043049.6154216006</v>
      </c>
      <c r="H290" s="213"/>
    </row>
    <row r="291" spans="3:8" ht="16.5" thickTop="1" thickBot="1" x14ac:dyDescent="0.3">
      <c r="C291" s="214" t="s">
        <v>653</v>
      </c>
      <c r="D291" s="215" t="s">
        <v>654</v>
      </c>
      <c r="E291" s="217">
        <v>0.25542160123586655</v>
      </c>
      <c r="F291" s="218">
        <f>F124-F290-0.2</f>
        <v>25506.799999999999</v>
      </c>
      <c r="G291" s="216">
        <f t="shared" si="45"/>
        <v>25506.544578398763</v>
      </c>
      <c r="H291" s="219"/>
    </row>
  </sheetData>
  <mergeCells count="4">
    <mergeCell ref="C127:D127"/>
    <mergeCell ref="C128:D128"/>
    <mergeCell ref="C2:D2"/>
    <mergeCell ref="C3:D3"/>
  </mergeCells>
  <conditionalFormatting sqref="E291:G291">
    <cfRule type="cellIs" dxfId="0" priority="5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scale="61" fitToHeight="0" orientation="portrait" r:id="rId1"/>
  <rowBreaks count="1" manualBreakCount="1">
    <brk id="6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2024.gada budzeta plans_apvieno</vt:lpstr>
      <vt:lpstr>'2024.gada budzeta plans_apvieno'!Print_Area</vt:lpstr>
      <vt:lpstr>'2024.gada budzeta plans_apvieno'!Print_Titles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Jevgēnija Sviridenkova</cp:lastModifiedBy>
  <cp:lastPrinted>2024-01-16T15:21:31Z</cp:lastPrinted>
  <dcterms:created xsi:type="dcterms:W3CDTF">2024-01-16T15:16:59Z</dcterms:created>
  <dcterms:modified xsi:type="dcterms:W3CDTF">2024-01-18T16:54:38Z</dcterms:modified>
</cp:coreProperties>
</file>