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72EE96E8-6B02-4257-989B-D5765EEDD9FF}" xr6:coauthVersionLast="47" xr6:coauthVersionMax="47" xr10:uidLastSave="{00000000-0000-0000-0000-000000000000}"/>
  <bookViews>
    <workbookView xWindow="-120" yWindow="-120" windowWidth="29040" windowHeight="17520" xr2:uid="{2DC7DF83-8EDA-45D5-8A8E-A480A996B9B1}"/>
  </bookViews>
  <sheets>
    <sheet name="4.piel_Saistibas (%likmes)" sheetId="2" r:id="rId1"/>
  </sheets>
  <externalReferences>
    <externalReference r:id="rId2"/>
    <externalReference r:id="rId3"/>
    <externalReference r:id="rId4"/>
  </externalReferences>
  <definedNames>
    <definedName name="_0812">[1]Groz_NIN_12_2014!#REF!</definedName>
    <definedName name="Apmaksa" localSheetId="0">[2]Apmaksa!$A$1:$A$65536</definedName>
    <definedName name="Apmaksa">[2]Apmaksa!$A$1:$A$65536</definedName>
    <definedName name="Darijums" localSheetId="0">[2]Darijums!$A$1:$A$65536</definedName>
    <definedName name="Darijums">[2]Darijums!$A$1:$A$65536</definedName>
    <definedName name="Excel_BuiltIn__FilterDatabase" localSheetId="0">[1]Groz_NIN_12_2014!#REF!</definedName>
    <definedName name="Excel_BuiltIn__FilterDatabase">[1]Groz_NIN_12_2014!#REF!</definedName>
    <definedName name="Firmas" localSheetId="0">[2]Firma!$A$1:$A$65536</definedName>
    <definedName name="Firmas">[2]Firma!$A$1:$A$65536</definedName>
    <definedName name="KolonnasNosaukums1" localSheetId="0">[3]!Piedāvājums[[#Headers],[Apraksts]]</definedName>
    <definedName name="KolonnasNosaukums1">[3]!Piedāvājums[[#Headers],[Apraksts]]</definedName>
    <definedName name="Parvadataji" localSheetId="0">[2]Ligumi!$A$1:$A$65536</definedName>
    <definedName name="Parvadataji">[2]Ligumi!$A$1:$A$65536</definedName>
    <definedName name="_xlnm.Print_Area" localSheetId="0">'4.piel_Saistibas (%likmes)'!$A$1:$AH$210</definedName>
    <definedName name="_xlnm.Print_Titles" localSheetId="0">'4.piel_Saistibas (%likmes)'!$9:$9</definedName>
    <definedName name="Saist_apmers_ar_galvojumu">[2]Ligumi!$A$1:$A$65536</definedName>
    <definedName name="Z_1893421C_DBAA_4C10_AA6C_4D0F39122205_.wvu.FilterData" localSheetId="0">[1]Groz_NIN_12_2014!#REF!</definedName>
    <definedName name="Z_1893421C_DBAA_4C10_AA6C_4D0F39122205_.wvu.FilterData">[1]Groz_NIN_12_2014!#REF!</definedName>
    <definedName name="Z_483F8D4B_D649_4D59_A67B_5E8B6C0D2E28_.wvu.FilterData" localSheetId="0">[1]Groz_NIN_12_2014!#REF!</definedName>
    <definedName name="Z_483F8D4B_D649_4D59_A67B_5E8B6C0D2E28_.wvu.FilterData">[1]Groz_NIN_12_2014!#REF!</definedName>
    <definedName name="Z_56A06D27_97E5_4D01_ADCE_F8E0A2A870EF_.wvu.FilterData" localSheetId="0">[1]Groz_NIN_12_2014!#REF!</definedName>
    <definedName name="Z_56A06D27_97E5_4D01_ADCE_F8E0A2A870EF_.wvu.FilterData">[1]Groz_NIN_12_2014!#REF!</definedName>
    <definedName name="Z_81EB1DB6_89AB_4045_90FA_EF2BA7E792F9_.wvu.FilterData" localSheetId="0">[1]Groz_NIN_12_2014!#REF!</definedName>
    <definedName name="Z_81EB1DB6_89AB_4045_90FA_EF2BA7E792F9_.wvu.FilterData">[1]Groz_NIN_12_2014!#REF!</definedName>
    <definedName name="Z_81EB1DB6_89AB_4045_90FA_EF2BA7E792F9_.wvu.PrintArea" localSheetId="0">[1]Groz_NIN_12_2014!#REF!</definedName>
    <definedName name="Z_81EB1DB6_89AB_4045_90FA_EF2BA7E792F9_.wvu.PrintArea">[1]Groz_NIN_12_2014!#REF!</definedName>
    <definedName name="Z_8545B4E6_A517_4BD7_BFB7_42FEB5F229AD_.wvu.FilterData" localSheetId="0">[1]Groz_NIN_12_2014!#REF!</definedName>
    <definedName name="Z_8545B4E6_A517_4BD7_BFB7_42FEB5F229AD_.wvu.FilterData">[1]Groz_NIN_12_2014!#REF!</definedName>
    <definedName name="Z_877A1030_2452_46B0_88DF_8A068656C08E_.wvu.FilterData" localSheetId="0">[1]Groz_NIN_12_2014!#REF!</definedName>
    <definedName name="Z_877A1030_2452_46B0_88DF_8A068656C08E_.wvu.FilterData">[1]Groz_NIN_12_2014!#REF!</definedName>
    <definedName name="Z_ABD8A783_3A6C_4629_9559_1E4E89E80131_.wvu.FilterData" localSheetId="0">[1]Groz_NIN_12_2014!#REF!</definedName>
    <definedName name="Z_ABD8A783_3A6C_4629_9559_1E4E89E80131_.wvu.FilterData">[1]Groz_NIN_12_2014!#REF!</definedName>
    <definedName name="Z_AF277C95_CBD9_4696_AC72_D010599E9831_.wvu.FilterData" localSheetId="0">[1]Groz_NIN_12_2014!#REF!</definedName>
    <definedName name="Z_AF277C95_CBD9_4696_AC72_D010599E9831_.wvu.FilterData">[1]Groz_NIN_12_2014!#REF!</definedName>
    <definedName name="Z_B7CBCF06_FF41_423A_9AB3_E1D1F70C6FC5_.wvu.FilterData" localSheetId="0">[1]Groz_NIN_12_2014!#REF!</definedName>
    <definedName name="Z_B7CBCF06_FF41_423A_9AB3_E1D1F70C6FC5_.wvu.FilterData">[1]Groz_NIN_12_2014!#REF!</definedName>
    <definedName name="Z_C5511FB8_86C5_41F3_ADCD_B10310F066F5_.wvu.FilterData" localSheetId="0">[1]Groz_NIN_12_2014!#REF!</definedName>
    <definedName name="Z_C5511FB8_86C5_41F3_ADCD_B10310F066F5_.wvu.FilterData">[1]Groz_NIN_12_2014!#REF!</definedName>
    <definedName name="Z_DB8ECBD1_2D44_4F97_BCC9_F610BA0A3109_.wvu.FilterData" localSheetId="0">[1]Groz_NIN_12_2014!#REF!</definedName>
    <definedName name="Z_DB8ECBD1_2D44_4F97_BCC9_F610BA0A3109_.wvu.FilterData">[1]Groz_NIN_12_2014!#REF!</definedName>
    <definedName name="Z_DEE3A27E_689A_4E9F_A3EB_C84F1E3B413E_.wvu.FilterData" localSheetId="0">[1]Groz_NIN_12_2014!#REF!</definedName>
    <definedName name="Z_DEE3A27E_689A_4E9F_A3EB_C84F1E3B413E_.wvu.FilterData">[1]Groz_NIN_12_2014!#REF!</definedName>
    <definedName name="Z_F1F489B9_0F61_4F1F_A151_75EF77465344_.wvu.Cols" localSheetId="0">[1]Groz_NIN_12_2014!#REF!</definedName>
    <definedName name="Z_F1F489B9_0F61_4F1F_A151_75EF77465344_.wvu.Cols">[1]Groz_NIN_12_2014!#REF!</definedName>
    <definedName name="Z_F1F489B9_0F61_4F1F_A151_75EF77465344_.wvu.FilterData" localSheetId="0">[1]Groz_NIN_12_2014!#REF!</definedName>
    <definedName name="Z_F1F489B9_0F61_4F1F_A151_75EF77465344_.wvu.FilterData">[1]Groz_NIN_12_2014!#REF!</definedName>
    <definedName name="Z_F1F489B9_0F61_4F1F_A151_75EF77465344_.wvu.PrintArea" localSheetId="0">[1]Groz_NIN_12_2014!#REF!</definedName>
    <definedName name="Z_F1F489B9_0F61_4F1F_A151_75EF77465344_.wvu.PrintArea">[1]Groz_NIN_12_2014!#REF!</definedName>
    <definedName name="Z_F1F489B9_0F61_4F1F_A151_75EF77465344_.wvu.PrintTitles" localSheetId="0">[1]Groz_NIN_12_2014!#REF!</definedName>
    <definedName name="Z_F1F489B9_0F61_4F1F_A151_75EF77465344_.wvu.PrintTitles">[1]Groz_NIN_12_2014!#REF!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9" i="2" l="1"/>
  <c r="AC229" i="2"/>
  <c r="AD229" i="2"/>
  <c r="AE229" i="2"/>
  <c r="AF229" i="2"/>
  <c r="AG229" i="2"/>
  <c r="AH229" i="2"/>
  <c r="AB233" i="2"/>
  <c r="AC233" i="2"/>
  <c r="AD233" i="2"/>
  <c r="AE233" i="2"/>
  <c r="AF233" i="2"/>
  <c r="AG233" i="2"/>
  <c r="AH233" i="2"/>
  <c r="AA233" i="2"/>
  <c r="AA229" i="2"/>
  <c r="V231" i="2"/>
  <c r="W230" i="2"/>
  <c r="V230" i="2"/>
  <c r="V232" i="2" s="1"/>
  <c r="W226" i="2"/>
  <c r="V226" i="2"/>
  <c r="V234" i="2" s="1"/>
  <c r="U226" i="2"/>
  <c r="U234" i="2" s="1"/>
  <c r="Z207" i="2"/>
  <c r="W206" i="2"/>
  <c r="V206" i="2"/>
  <c r="W200" i="2"/>
  <c r="V200" i="2"/>
  <c r="I199" i="2"/>
  <c r="I203" i="2" s="1"/>
  <c r="Z194" i="2"/>
  <c r="Z208" i="2" s="1"/>
  <c r="W194" i="2"/>
  <c r="W208" i="2" s="1"/>
  <c r="V194" i="2"/>
  <c r="AH193" i="2"/>
  <c r="AE192" i="2"/>
  <c r="AD192" i="2"/>
  <c r="AC192" i="2"/>
  <c r="AB192" i="2"/>
  <c r="AA192" i="2"/>
  <c r="AF190" i="2"/>
  <c r="AE190" i="2"/>
  <c r="AD190" i="2"/>
  <c r="AC190" i="2"/>
  <c r="AB190" i="2"/>
  <c r="AH189" i="2"/>
  <c r="AB188" i="2"/>
  <c r="AA188" i="2"/>
  <c r="AH188" i="2" s="1"/>
  <c r="AH187" i="2"/>
  <c r="AH186" i="2"/>
  <c r="AH185" i="2"/>
  <c r="AA184" i="2"/>
  <c r="AH184" i="2" s="1"/>
  <c r="AH182" i="2"/>
  <c r="L182" i="2"/>
  <c r="AF183" i="2" s="1"/>
  <c r="V171" i="2"/>
  <c r="AF170" i="2"/>
  <c r="AF230" i="2" s="1"/>
  <c r="AE170" i="2"/>
  <c r="AE230" i="2" s="1"/>
  <c r="AD170" i="2"/>
  <c r="AD230" i="2" s="1"/>
  <c r="AC170" i="2"/>
  <c r="AC230" i="2" s="1"/>
  <c r="AB170" i="2"/>
  <c r="AB230" i="2" s="1"/>
  <c r="W170" i="2"/>
  <c r="V170" i="2"/>
  <c r="AF166" i="2"/>
  <c r="AF226" i="2" s="1"/>
  <c r="AE166" i="2"/>
  <c r="AE226" i="2" s="1"/>
  <c r="AD166" i="2"/>
  <c r="AD226" i="2" s="1"/>
  <c r="AC166" i="2"/>
  <c r="AC226" i="2" s="1"/>
  <c r="AB166" i="2"/>
  <c r="W166" i="2"/>
  <c r="V166" i="2"/>
  <c r="U166" i="2"/>
  <c r="U174" i="2" s="1"/>
  <c r="R166" i="2"/>
  <c r="R170" i="2" s="1"/>
  <c r="R175" i="2" s="1"/>
  <c r="Q166" i="2"/>
  <c r="Q170" i="2" s="1"/>
  <c r="Z164" i="2"/>
  <c r="Y164" i="2"/>
  <c r="X164" i="2"/>
  <c r="AC162" i="2"/>
  <c r="AB162" i="2"/>
  <c r="AA162" i="2"/>
  <c r="L162" i="2"/>
  <c r="AF160" i="2"/>
  <c r="AE160" i="2"/>
  <c r="AD160" i="2"/>
  <c r="AC160" i="2"/>
  <c r="AB160" i="2"/>
  <c r="AA160" i="2"/>
  <c r="L160" i="2"/>
  <c r="AF158" i="2"/>
  <c r="AE158" i="2"/>
  <c r="AD158" i="2"/>
  <c r="AC158" i="2"/>
  <c r="AB158" i="2"/>
  <c r="AA158" i="2"/>
  <c r="L158" i="2"/>
  <c r="AF156" i="2"/>
  <c r="AE156" i="2"/>
  <c r="AD156" i="2"/>
  <c r="AC156" i="2"/>
  <c r="AB156" i="2"/>
  <c r="AA156" i="2"/>
  <c r="L156" i="2"/>
  <c r="AE154" i="2"/>
  <c r="AD154" i="2"/>
  <c r="AC154" i="2"/>
  <c r="AB154" i="2"/>
  <c r="AA154" i="2"/>
  <c r="L154" i="2"/>
  <c r="AF152" i="2"/>
  <c r="AE152" i="2"/>
  <c r="AD152" i="2"/>
  <c r="AC152" i="2"/>
  <c r="AB152" i="2"/>
  <c r="AA152" i="2"/>
  <c r="AF150" i="2"/>
  <c r="AE150" i="2"/>
  <c r="AD150" i="2"/>
  <c r="AC150" i="2"/>
  <c r="AB150" i="2"/>
  <c r="AA150" i="2"/>
  <c r="AF148" i="2"/>
  <c r="AE148" i="2"/>
  <c r="AG148" i="2" s="1"/>
  <c r="AH148" i="2" s="1"/>
  <c r="AD148" i="2"/>
  <c r="AC148" i="2"/>
  <c r="AB148" i="2"/>
  <c r="AA148" i="2"/>
  <c r="M148" i="2"/>
  <c r="AA146" i="2"/>
  <c r="AH146" i="2" s="1"/>
  <c r="M146" i="2"/>
  <c r="AC144" i="2"/>
  <c r="AB144" i="2"/>
  <c r="AA144" i="2"/>
  <c r="AH144" i="2" s="1"/>
  <c r="L144" i="2"/>
  <c r="AF142" i="2"/>
  <c r="AE142" i="2"/>
  <c r="AD142" i="2"/>
  <c r="AC142" i="2"/>
  <c r="AB142" i="2"/>
  <c r="AA142" i="2"/>
  <c r="L142" i="2"/>
  <c r="AE140" i="2"/>
  <c r="AD140" i="2"/>
  <c r="AC140" i="2"/>
  <c r="AB140" i="2"/>
  <c r="AA140" i="2"/>
  <c r="L140" i="2"/>
  <c r="AH138" i="2"/>
  <c r="M138" i="2"/>
  <c r="AD139" i="2" s="1"/>
  <c r="AH136" i="2"/>
  <c r="M136" i="2"/>
  <c r="AA137" i="2" s="1"/>
  <c r="AH134" i="2"/>
  <c r="L134" i="2"/>
  <c r="AG132" i="2"/>
  <c r="AG170" i="2" s="1"/>
  <c r="AG230" i="2" s="1"/>
  <c r="M132" i="2"/>
  <c r="AH130" i="2"/>
  <c r="M130" i="2"/>
  <c r="W129" i="2"/>
  <c r="W171" i="2" s="1"/>
  <c r="AH128" i="2"/>
  <c r="M128" i="2"/>
  <c r="AD129" i="2" s="1"/>
  <c r="AH126" i="2"/>
  <c r="M126" i="2"/>
  <c r="AC127" i="2" s="1"/>
  <c r="AH124" i="2"/>
  <c r="M124" i="2"/>
  <c r="AA125" i="2" s="1"/>
  <c r="AH122" i="2"/>
  <c r="M122" i="2"/>
  <c r="AF123" i="2" s="1"/>
  <c r="AH120" i="2"/>
  <c r="M120" i="2"/>
  <c r="AG121" i="2" s="1"/>
  <c r="AH118" i="2"/>
  <c r="M118" i="2"/>
  <c r="AH116" i="2"/>
  <c r="M116" i="2"/>
  <c r="AE117" i="2" s="1"/>
  <c r="AH114" i="2"/>
  <c r="M114" i="2"/>
  <c r="AC115" i="2" s="1"/>
  <c r="AH112" i="2"/>
  <c r="M112" i="2"/>
  <c r="AG113" i="2" s="1"/>
  <c r="AH110" i="2"/>
  <c r="M110" i="2"/>
  <c r="AD111" i="2" s="1"/>
  <c r="AH108" i="2"/>
  <c r="M108" i="2"/>
  <c r="AG109" i="2" s="1"/>
  <c r="AH106" i="2"/>
  <c r="L106" i="2"/>
  <c r="AH104" i="2"/>
  <c r="AH102" i="2"/>
  <c r="AH100" i="2"/>
  <c r="AH98" i="2"/>
  <c r="AH96" i="2"/>
  <c r="AH94" i="2"/>
  <c r="AH92" i="2"/>
  <c r="AH90" i="2"/>
  <c r="AH88" i="2"/>
  <c r="AH86" i="2"/>
  <c r="AH84" i="2"/>
  <c r="AH82" i="2"/>
  <c r="AH80" i="2"/>
  <c r="AH78" i="2"/>
  <c r="AH76" i="2"/>
  <c r="AH74" i="2"/>
  <c r="AH72" i="2"/>
  <c r="AH70" i="2"/>
  <c r="AH68" i="2"/>
  <c r="M68" i="2"/>
  <c r="AG69" i="2" s="1"/>
  <c r="K68" i="2"/>
  <c r="AH66" i="2"/>
  <c r="M66" i="2"/>
  <c r="AD67" i="2" s="1"/>
  <c r="K66" i="2"/>
  <c r="AH64" i="2"/>
  <c r="M64" i="2"/>
  <c r="AE65" i="2" s="1"/>
  <c r="K64" i="2"/>
  <c r="I64" i="2"/>
  <c r="AG62" i="2"/>
  <c r="AH62" i="2" s="1"/>
  <c r="M62" i="2"/>
  <c r="AG63" i="2" s="1"/>
  <c r="K62" i="2"/>
  <c r="AH60" i="2"/>
  <c r="M60" i="2"/>
  <c r="K60" i="2"/>
  <c r="AG59" i="2"/>
  <c r="AF59" i="2"/>
  <c r="AE59" i="2"/>
  <c r="AD59" i="2"/>
  <c r="AC59" i="2"/>
  <c r="AB59" i="2"/>
  <c r="AA59" i="2"/>
  <c r="W59" i="2"/>
  <c r="AH58" i="2"/>
  <c r="K58" i="2"/>
  <c r="AG57" i="2"/>
  <c r="AF57" i="2"/>
  <c r="AE57" i="2"/>
  <c r="AD57" i="2"/>
  <c r="AC57" i="2"/>
  <c r="AB57" i="2"/>
  <c r="AA57" i="2"/>
  <c r="W57" i="2"/>
  <c r="V57" i="2"/>
  <c r="AH56" i="2"/>
  <c r="K56" i="2"/>
  <c r="AH54" i="2"/>
  <c r="M54" i="2"/>
  <c r="AE55" i="2" s="1"/>
  <c r="K54" i="2"/>
  <c r="AG53" i="2"/>
  <c r="AF53" i="2"/>
  <c r="AE53" i="2"/>
  <c r="AD53" i="2"/>
  <c r="AC53" i="2"/>
  <c r="AB53" i="2"/>
  <c r="AA53" i="2"/>
  <c r="W53" i="2"/>
  <c r="V53" i="2"/>
  <c r="U53" i="2"/>
  <c r="AH52" i="2"/>
  <c r="AG50" i="2"/>
  <c r="M50" i="2"/>
  <c r="AG48" i="2"/>
  <c r="M48" i="2"/>
  <c r="V47" i="2"/>
  <c r="U47" i="2"/>
  <c r="AH46" i="2"/>
  <c r="L46" i="2"/>
  <c r="AG47" i="2" s="1"/>
  <c r="AE45" i="2"/>
  <c r="U45" i="2"/>
  <c r="AH44" i="2"/>
  <c r="L44" i="2"/>
  <c r="AG45" i="2" s="1"/>
  <c r="K44" i="2"/>
  <c r="AH43" i="2"/>
  <c r="AH42" i="2"/>
  <c r="L42" i="2"/>
  <c r="K42" i="2"/>
  <c r="AG41" i="2"/>
  <c r="AF41" i="2"/>
  <c r="AE41" i="2"/>
  <c r="AD41" i="2"/>
  <c r="AC41" i="2"/>
  <c r="AB41" i="2"/>
  <c r="AA41" i="2"/>
  <c r="W41" i="2"/>
  <c r="V41" i="2"/>
  <c r="U41" i="2"/>
  <c r="AH40" i="2"/>
  <c r="AH38" i="2"/>
  <c r="L38" i="2"/>
  <c r="AG39" i="2" s="1"/>
  <c r="K38" i="2"/>
  <c r="AH36" i="2"/>
  <c r="M36" i="2"/>
  <c r="AF37" i="2" s="1"/>
  <c r="K36" i="2"/>
  <c r="I36" i="2"/>
  <c r="AH34" i="2"/>
  <c r="K34" i="2"/>
  <c r="I34" i="2"/>
  <c r="E34" i="2"/>
  <c r="AH32" i="2"/>
  <c r="M32" i="2"/>
  <c r="AG33" i="2" s="1"/>
  <c r="AH30" i="2"/>
  <c r="M30" i="2"/>
  <c r="AC31" i="2" s="1"/>
  <c r="K30" i="2"/>
  <c r="I30" i="2"/>
  <c r="AH28" i="2"/>
  <c r="K28" i="2"/>
  <c r="AH26" i="2"/>
  <c r="L26" i="2"/>
  <c r="AH24" i="2"/>
  <c r="L24" i="2"/>
  <c r="K24" i="2"/>
  <c r="AH22" i="2"/>
  <c r="I22" i="2"/>
  <c r="AH20" i="2"/>
  <c r="K20" i="2"/>
  <c r="AH18" i="2"/>
  <c r="K18" i="2"/>
  <c r="AH16" i="2"/>
  <c r="J16" i="2"/>
  <c r="K16" i="2" s="1"/>
  <c r="I16" i="2"/>
  <c r="AH14" i="2"/>
  <c r="J14" i="2"/>
  <c r="K14" i="2" s="1"/>
  <c r="I14" i="2"/>
  <c r="AH12" i="2"/>
  <c r="H12" i="2"/>
  <c r="J12" i="2" s="1"/>
  <c r="K12" i="2" s="1"/>
  <c r="AH10" i="2"/>
  <c r="H10" i="2"/>
  <c r="J10" i="2" s="1"/>
  <c r="K10" i="2" s="1"/>
  <c r="M7" i="2"/>
  <c r="M84" i="2" s="1"/>
  <c r="AE129" i="2" l="1"/>
  <c r="AF45" i="2"/>
  <c r="V45" i="2"/>
  <c r="W47" i="2"/>
  <c r="W45" i="2"/>
  <c r="AA47" i="2"/>
  <c r="AD39" i="2"/>
  <c r="AA45" i="2"/>
  <c r="AB47" i="2"/>
  <c r="AE39" i="2"/>
  <c r="AB45" i="2"/>
  <c r="AC47" i="2"/>
  <c r="AG183" i="2"/>
  <c r="AC45" i="2"/>
  <c r="AE47" i="2"/>
  <c r="AH192" i="2"/>
  <c r="AD45" i="2"/>
  <c r="W172" i="2"/>
  <c r="V174" i="2"/>
  <c r="AA113" i="2"/>
  <c r="AC123" i="2"/>
  <c r="AD123" i="2"/>
  <c r="AB123" i="2"/>
  <c r="AG49" i="2"/>
  <c r="AG51" i="2"/>
  <c r="AH53" i="2"/>
  <c r="W231" i="2"/>
  <c r="W232" i="2" s="1"/>
  <c r="AG152" i="2"/>
  <c r="AH152" i="2" s="1"/>
  <c r="AA206" i="2"/>
  <c r="AH41" i="2"/>
  <c r="AB174" i="2"/>
  <c r="AB234" i="2" s="1"/>
  <c r="AG115" i="2"/>
  <c r="AD206" i="2"/>
  <c r="AA147" i="2"/>
  <c r="V172" i="2"/>
  <c r="AH162" i="2"/>
  <c r="Q175" i="2"/>
  <c r="Q226" i="2" s="1"/>
  <c r="Q230" i="2" s="1"/>
  <c r="R226" i="2"/>
  <c r="R230" i="2" s="1"/>
  <c r="AH59" i="2"/>
  <c r="AA170" i="2"/>
  <c r="AA230" i="2" s="1"/>
  <c r="Z196" i="2"/>
  <c r="Z197" i="2" s="1"/>
  <c r="AC206" i="2"/>
  <c r="AE113" i="2"/>
  <c r="AC121" i="2"/>
  <c r="AD125" i="2"/>
  <c r="AA109" i="2"/>
  <c r="AF113" i="2"/>
  <c r="AE125" i="2"/>
  <c r="AF67" i="2"/>
  <c r="AC125" i="2"/>
  <c r="AE67" i="2"/>
  <c r="AC113" i="2"/>
  <c r="AB125" i="2"/>
  <c r="AG129" i="2"/>
  <c r="AG55" i="2"/>
  <c r="AD113" i="2"/>
  <c r="AC109" i="2"/>
  <c r="AA123" i="2"/>
  <c r="AG125" i="2"/>
  <c r="AB109" i="2"/>
  <c r="AF125" i="2"/>
  <c r="AF115" i="2"/>
  <c r="AB113" i="2"/>
  <c r="AF55" i="2"/>
  <c r="AB226" i="2"/>
  <c r="AB111" i="2"/>
  <c r="AF69" i="2"/>
  <c r="AC111" i="2"/>
  <c r="AC33" i="2"/>
  <c r="AE111" i="2"/>
  <c r="AD127" i="2"/>
  <c r="AD147" i="2"/>
  <c r="AD33" i="2"/>
  <c r="U55" i="2"/>
  <c r="M92" i="2"/>
  <c r="AC93" i="2" s="1"/>
  <c r="AF111" i="2"/>
  <c r="AA121" i="2"/>
  <c r="AE127" i="2"/>
  <c r="AF139" i="2"/>
  <c r="AE147" i="2"/>
  <c r="AF117" i="2"/>
  <c r="AB139" i="2"/>
  <c r="M12" i="2"/>
  <c r="AG13" i="2" s="1"/>
  <c r="AA33" i="2"/>
  <c r="AE123" i="2"/>
  <c r="AG123" i="2"/>
  <c r="AE139" i="2"/>
  <c r="AE33" i="2"/>
  <c r="V55" i="2"/>
  <c r="AG111" i="2"/>
  <c r="AD115" i="2"/>
  <c r="AB121" i="2"/>
  <c r="AF127" i="2"/>
  <c r="AG139" i="2"/>
  <c r="AF147" i="2"/>
  <c r="M82" i="2"/>
  <c r="AF83" i="2" s="1"/>
  <c r="AF33" i="2"/>
  <c r="W55" i="2"/>
  <c r="M94" i="2"/>
  <c r="AA95" i="2" s="1"/>
  <c r="AE115" i="2"/>
  <c r="AG127" i="2"/>
  <c r="AG147" i="2"/>
  <c r="AB51" i="2"/>
  <c r="M22" i="2"/>
  <c r="W23" i="2" s="1"/>
  <c r="AA111" i="2"/>
  <c r="AA139" i="2"/>
  <c r="M156" i="2"/>
  <c r="AF174" i="2"/>
  <c r="AF234" i="2" s="1"/>
  <c r="M104" i="2"/>
  <c r="AG105" i="2" s="1"/>
  <c r="M20" i="2"/>
  <c r="AC21" i="2" s="1"/>
  <c r="AC139" i="2"/>
  <c r="AB147" i="2"/>
  <c r="AB33" i="2"/>
  <c r="AC147" i="2"/>
  <c r="M160" i="2"/>
  <c r="M80" i="2"/>
  <c r="AE81" i="2" s="1"/>
  <c r="W234" i="2"/>
  <c r="AG85" i="2"/>
  <c r="AF85" i="2"/>
  <c r="AE85" i="2"/>
  <c r="AD85" i="2"/>
  <c r="AC85" i="2"/>
  <c r="AB85" i="2"/>
  <c r="AA85" i="2"/>
  <c r="AF61" i="2"/>
  <c r="AE61" i="2"/>
  <c r="AD61" i="2"/>
  <c r="AC61" i="2"/>
  <c r="AA61" i="2"/>
  <c r="AB61" i="2"/>
  <c r="W49" i="2"/>
  <c r="AF63" i="2"/>
  <c r="AG149" i="2"/>
  <c r="AC39" i="2"/>
  <c r="AB39" i="2"/>
  <c r="AA39" i="2"/>
  <c r="AH39" i="2" s="1"/>
  <c r="W39" i="2"/>
  <c r="V39" i="2"/>
  <c r="U39" i="2"/>
  <c r="AF39" i="2"/>
  <c r="AH57" i="2"/>
  <c r="M72" i="2"/>
  <c r="AG158" i="2"/>
  <c r="AH158" i="2" s="1"/>
  <c r="AE174" i="2"/>
  <c r="AE234" i="2" s="1"/>
  <c r="AG137" i="2"/>
  <c r="AF137" i="2"/>
  <c r="AE137" i="2"/>
  <c r="AD137" i="2"/>
  <c r="AF131" i="2"/>
  <c r="AE131" i="2"/>
  <c r="AD131" i="2"/>
  <c r="AC131" i="2"/>
  <c r="AB131" i="2"/>
  <c r="AA131" i="2"/>
  <c r="AF206" i="2"/>
  <c r="AA149" i="2"/>
  <c r="AB149" i="2"/>
  <c r="AH154" i="2"/>
  <c r="AC65" i="2"/>
  <c r="AB65" i="2"/>
  <c r="AA65" i="2"/>
  <c r="W65" i="2"/>
  <c r="V65" i="2"/>
  <c r="AF65" i="2"/>
  <c r="AH45" i="2"/>
  <c r="AH50" i="2"/>
  <c r="W61" i="2"/>
  <c r="AE69" i="2"/>
  <c r="AD69" i="2"/>
  <c r="AC69" i="2"/>
  <c r="AB69" i="2"/>
  <c r="AA69" i="2"/>
  <c r="AG131" i="2"/>
  <c r="AB137" i="2"/>
  <c r="M14" i="2"/>
  <c r="AA51" i="2"/>
  <c r="AG61" i="2"/>
  <c r="AD65" i="2"/>
  <c r="AG133" i="2"/>
  <c r="AF133" i="2"/>
  <c r="AE133" i="2"/>
  <c r="AD133" i="2"/>
  <c r="AC133" i="2"/>
  <c r="AB133" i="2"/>
  <c r="AA133" i="2"/>
  <c r="AC137" i="2"/>
  <c r="AB206" i="2"/>
  <c r="AE37" i="2"/>
  <c r="AD37" i="2"/>
  <c r="AC37" i="2"/>
  <c r="AB37" i="2"/>
  <c r="W37" i="2"/>
  <c r="AA37" i="2"/>
  <c r="AG65" i="2"/>
  <c r="AH132" i="2"/>
  <c r="M154" i="2"/>
  <c r="AF155" i="2" s="1"/>
  <c r="M98" i="2"/>
  <c r="M86" i="2"/>
  <c r="M74" i="2"/>
  <c r="M18" i="2"/>
  <c r="M16" i="2"/>
  <c r="M162" i="2"/>
  <c r="M158" i="2"/>
  <c r="M140" i="2"/>
  <c r="AE141" i="2" s="1"/>
  <c r="M28" i="2"/>
  <c r="M100" i="2"/>
  <c r="M88" i="2"/>
  <c r="M76" i="2"/>
  <c r="M144" i="2"/>
  <c r="AG145" i="2" s="1"/>
  <c r="M26" i="2"/>
  <c r="U27" i="2" s="1"/>
  <c r="M10" i="2"/>
  <c r="M102" i="2"/>
  <c r="M90" i="2"/>
  <c r="M78" i="2"/>
  <c r="M152" i="2"/>
  <c r="M24" i="2"/>
  <c r="AG25" i="2" s="1"/>
  <c r="M142" i="2"/>
  <c r="AA31" i="2"/>
  <c r="V37" i="2"/>
  <c r="AG166" i="2"/>
  <c r="AG226" i="2" s="1"/>
  <c r="AH48" i="2"/>
  <c r="AE63" i="2"/>
  <c r="AD63" i="2"/>
  <c r="AC63" i="2"/>
  <c r="AB63" i="2"/>
  <c r="AA63" i="2"/>
  <c r="W63" i="2"/>
  <c r="M70" i="2"/>
  <c r="AE206" i="2"/>
  <c r="M150" i="2"/>
  <c r="W174" i="2"/>
  <c r="AF105" i="2"/>
  <c r="AC105" i="2"/>
  <c r="AB31" i="2"/>
  <c r="AH140" i="2"/>
  <c r="AA25" i="2"/>
  <c r="AF49" i="2"/>
  <c r="AE49" i="2"/>
  <c r="AD49" i="2"/>
  <c r="AC49" i="2"/>
  <c r="AA49" i="2"/>
  <c r="AB49" i="2"/>
  <c r="I10" i="2"/>
  <c r="M34" i="2"/>
  <c r="AG37" i="2"/>
  <c r="V49" i="2"/>
  <c r="M96" i="2"/>
  <c r="M106" i="2"/>
  <c r="AG107" i="2" s="1"/>
  <c r="M134" i="2"/>
  <c r="AE135" i="2" s="1"/>
  <c r="AC174" i="2"/>
  <c r="AC234" i="2" s="1"/>
  <c r="AG31" i="2"/>
  <c r="AF31" i="2"/>
  <c r="AE31" i="2"/>
  <c r="AD31" i="2"/>
  <c r="W31" i="2"/>
  <c r="U49" i="2"/>
  <c r="AE25" i="2"/>
  <c r="AG119" i="2"/>
  <c r="AF119" i="2"/>
  <c r="AE119" i="2"/>
  <c r="AD119" i="2"/>
  <c r="AC119" i="2"/>
  <c r="AB119" i="2"/>
  <c r="AA119" i="2"/>
  <c r="AG142" i="2"/>
  <c r="AH142" i="2" s="1"/>
  <c r="AD174" i="2"/>
  <c r="AD234" i="2" s="1"/>
  <c r="AG67" i="2"/>
  <c r="AG117" i="2"/>
  <c r="AF129" i="2"/>
  <c r="AA166" i="2"/>
  <c r="AA226" i="2" s="1"/>
  <c r="AG190" i="2"/>
  <c r="AG191" i="2" s="1"/>
  <c r="AD47" i="2"/>
  <c r="AC51" i="2"/>
  <c r="AA55" i="2"/>
  <c r="AD109" i="2"/>
  <c r="AD121" i="2"/>
  <c r="AC149" i="2"/>
  <c r="AA183" i="2"/>
  <c r="AD51" i="2"/>
  <c r="AB55" i="2"/>
  <c r="AA67" i="2"/>
  <c r="AE109" i="2"/>
  <c r="AA117" i="2"/>
  <c r="AE121" i="2"/>
  <c r="AD149" i="2"/>
  <c r="AG150" i="2"/>
  <c r="AH150" i="2" s="1"/>
  <c r="AB183" i="2"/>
  <c r="AF47" i="2"/>
  <c r="AE51" i="2"/>
  <c r="AC55" i="2"/>
  <c r="AB67" i="2"/>
  <c r="AF109" i="2"/>
  <c r="AB117" i="2"/>
  <c r="AF121" i="2"/>
  <c r="AA129" i="2"/>
  <c r="AE149" i="2"/>
  <c r="AC183" i="2"/>
  <c r="I12" i="2"/>
  <c r="AF51" i="2"/>
  <c r="AD55" i="2"/>
  <c r="AC67" i="2"/>
  <c r="AA115" i="2"/>
  <c r="AC117" i="2"/>
  <c r="AA127" i="2"/>
  <c r="AB129" i="2"/>
  <c r="AF149" i="2"/>
  <c r="AD183" i="2"/>
  <c r="AB115" i="2"/>
  <c r="AD117" i="2"/>
  <c r="AB127" i="2"/>
  <c r="AC129" i="2"/>
  <c r="AG156" i="2"/>
  <c r="AH156" i="2" s="1"/>
  <c r="AG160" i="2"/>
  <c r="AE183" i="2"/>
  <c r="AG83" i="2" l="1"/>
  <c r="AA105" i="2"/>
  <c r="AB105" i="2"/>
  <c r="AD105" i="2"/>
  <c r="AE105" i="2"/>
  <c r="AH190" i="2"/>
  <c r="AD83" i="2"/>
  <c r="AD157" i="2"/>
  <c r="R235" i="2"/>
  <c r="AC161" i="2"/>
  <c r="AC25" i="2"/>
  <c r="AG93" i="2"/>
  <c r="AC135" i="2"/>
  <c r="AB25" i="2"/>
  <c r="AF93" i="2"/>
  <c r="AF95" i="2"/>
  <c r="AA93" i="2"/>
  <c r="AB93" i="2"/>
  <c r="AD93" i="2"/>
  <c r="AE93" i="2"/>
  <c r="AE159" i="2"/>
  <c r="AD135" i="2"/>
  <c r="AB81" i="2"/>
  <c r="AH139" i="2"/>
  <c r="AC81" i="2"/>
  <c r="AD13" i="2"/>
  <c r="AA81" i="2"/>
  <c r="AD159" i="2"/>
  <c r="AG157" i="2"/>
  <c r="AD81" i="2"/>
  <c r="AH123" i="2"/>
  <c r="AE155" i="2"/>
  <c r="AF81" i="2"/>
  <c r="AG81" i="2"/>
  <c r="V13" i="2"/>
  <c r="AB13" i="2"/>
  <c r="AE161" i="2"/>
  <c r="AH170" i="2"/>
  <c r="AH230" i="2" s="1"/>
  <c r="AH147" i="2"/>
  <c r="AH125" i="2"/>
  <c r="AB191" i="2"/>
  <c r="AB194" i="2" s="1"/>
  <c r="AB208" i="2" s="1"/>
  <c r="AA191" i="2"/>
  <c r="AG206" i="2"/>
  <c r="AH109" i="2"/>
  <c r="AB143" i="2"/>
  <c r="Q235" i="2"/>
  <c r="AH47" i="2"/>
  <c r="AF157" i="2"/>
  <c r="AG161" i="2"/>
  <c r="AH113" i="2"/>
  <c r="AA23" i="2"/>
  <c r="V27" i="2"/>
  <c r="AA83" i="2"/>
  <c r="AC23" i="2"/>
  <c r="AH121" i="2"/>
  <c r="AA107" i="2"/>
  <c r="AH133" i="2"/>
  <c r="AB23" i="2"/>
  <c r="AD161" i="2"/>
  <c r="AG27" i="2"/>
  <c r="AD107" i="2"/>
  <c r="AE107" i="2"/>
  <c r="AB83" i="2"/>
  <c r="AC83" i="2"/>
  <c r="AE83" i="2"/>
  <c r="AH111" i="2"/>
  <c r="W21" i="2"/>
  <c r="AA21" i="2"/>
  <c r="AB95" i="2"/>
  <c r="U13" i="2"/>
  <c r="AC13" i="2"/>
  <c r="AC95" i="2"/>
  <c r="AH37" i="2"/>
  <c r="AD21" i="2"/>
  <c r="AH149" i="2"/>
  <c r="AG21" i="2"/>
  <c r="U21" i="2"/>
  <c r="V21" i="2"/>
  <c r="AE13" i="2"/>
  <c r="AD95" i="2"/>
  <c r="AE21" i="2"/>
  <c r="AD155" i="2"/>
  <c r="AA13" i="2"/>
  <c r="AE95" i="2"/>
  <c r="AF21" i="2"/>
  <c r="W13" i="2"/>
  <c r="AH33" i="2"/>
  <c r="AG23" i="2"/>
  <c r="AF135" i="2"/>
  <c r="AF13" i="2"/>
  <c r="AG95" i="2"/>
  <c r="AH137" i="2"/>
  <c r="AH117" i="2"/>
  <c r="AH105" i="2"/>
  <c r="U23" i="2"/>
  <c r="AF23" i="2"/>
  <c r="AE23" i="2"/>
  <c r="AH127" i="2"/>
  <c r="V23" i="2"/>
  <c r="AB21" i="2"/>
  <c r="AD23" i="2"/>
  <c r="AH63" i="2"/>
  <c r="AH49" i="2"/>
  <c r="AC91" i="2"/>
  <c r="AB91" i="2"/>
  <c r="AA91" i="2"/>
  <c r="AF91" i="2"/>
  <c r="AD91" i="2"/>
  <c r="AG91" i="2"/>
  <c r="AE91" i="2"/>
  <c r="AF141" i="2"/>
  <c r="AC159" i="2"/>
  <c r="AH119" i="2"/>
  <c r="AD103" i="2"/>
  <c r="AC103" i="2"/>
  <c r="AB103" i="2"/>
  <c r="AA103" i="2"/>
  <c r="AF103" i="2"/>
  <c r="AG103" i="2"/>
  <c r="AE103" i="2"/>
  <c r="AF19" i="2"/>
  <c r="AC19" i="2"/>
  <c r="AG19" i="2"/>
  <c r="AE19" i="2"/>
  <c r="AD19" i="2"/>
  <c r="V19" i="2"/>
  <c r="U19" i="2"/>
  <c r="AB19" i="2"/>
  <c r="AA19" i="2"/>
  <c r="W19" i="2"/>
  <c r="AH183" i="2"/>
  <c r="AB135" i="2"/>
  <c r="AA135" i="2"/>
  <c r="AB107" i="2"/>
  <c r="AG135" i="2"/>
  <c r="AC151" i="2"/>
  <c r="AB151" i="2"/>
  <c r="AA151" i="2"/>
  <c r="AE151" i="2"/>
  <c r="AG151" i="2"/>
  <c r="AD151" i="2"/>
  <c r="AF151" i="2"/>
  <c r="V11" i="2"/>
  <c r="U11" i="2"/>
  <c r="AF11" i="2"/>
  <c r="AG11" i="2"/>
  <c r="AB11" i="2"/>
  <c r="AE11" i="2"/>
  <c r="AD11" i="2"/>
  <c r="AC11" i="2"/>
  <c r="AA11" i="2"/>
  <c r="W11" i="2"/>
  <c r="AG75" i="2"/>
  <c r="AF75" i="2"/>
  <c r="AB75" i="2"/>
  <c r="AA75" i="2"/>
  <c r="AD75" i="2"/>
  <c r="AC75" i="2"/>
  <c r="AE75" i="2"/>
  <c r="AH65" i="2"/>
  <c r="AE191" i="2"/>
  <c r="AE194" i="2" s="1"/>
  <c r="AE208" i="2" s="1"/>
  <c r="AG73" i="2"/>
  <c r="AF73" i="2"/>
  <c r="AE73" i="2"/>
  <c r="AD73" i="2"/>
  <c r="AC73" i="2"/>
  <c r="AB73" i="2"/>
  <c r="AA73" i="2"/>
  <c r="AH85" i="2"/>
  <c r="AE143" i="2"/>
  <c r="AF143" i="2"/>
  <c r="AD143" i="2"/>
  <c r="AB159" i="2"/>
  <c r="AG159" i="2"/>
  <c r="AA143" i="2"/>
  <c r="U17" i="2"/>
  <c r="AG17" i="2"/>
  <c r="AF17" i="2"/>
  <c r="AE17" i="2"/>
  <c r="AA17" i="2"/>
  <c r="AD17" i="2"/>
  <c r="AB17" i="2"/>
  <c r="W17" i="2"/>
  <c r="V17" i="2"/>
  <c r="AC17" i="2"/>
  <c r="AC157" i="2"/>
  <c r="AA157" i="2"/>
  <c r="AA159" i="2"/>
  <c r="AH166" i="2"/>
  <c r="AA174" i="2"/>
  <c r="AA234" i="2" s="1"/>
  <c r="AC107" i="2"/>
  <c r="AG174" i="2"/>
  <c r="AG234" i="2" s="1"/>
  <c r="AF27" i="2"/>
  <c r="AB27" i="2"/>
  <c r="AE27" i="2"/>
  <c r="AA27" i="2"/>
  <c r="W27" i="2"/>
  <c r="AD27" i="2"/>
  <c r="AC27" i="2"/>
  <c r="AG87" i="2"/>
  <c r="AF87" i="2"/>
  <c r="AB87" i="2"/>
  <c r="AA87" i="2"/>
  <c r="AD87" i="2"/>
  <c r="AC87" i="2"/>
  <c r="AE87" i="2"/>
  <c r="AG194" i="2"/>
  <c r="AG208" i="2" s="1"/>
  <c r="AD191" i="2"/>
  <c r="AD194" i="2" s="1"/>
  <c r="AD208" i="2" s="1"/>
  <c r="AE145" i="2"/>
  <c r="AF145" i="2"/>
  <c r="AB145" i="2"/>
  <c r="AD145" i="2"/>
  <c r="AC145" i="2"/>
  <c r="AA145" i="2"/>
  <c r="AG99" i="2"/>
  <c r="AF99" i="2"/>
  <c r="AB99" i="2"/>
  <c r="AD99" i="2"/>
  <c r="AE99" i="2"/>
  <c r="AC99" i="2"/>
  <c r="AA99" i="2"/>
  <c r="AH69" i="2"/>
  <c r="AH131" i="2"/>
  <c r="U25" i="2"/>
  <c r="AE29" i="2"/>
  <c r="AG29" i="2"/>
  <c r="AF29" i="2"/>
  <c r="AA29" i="2"/>
  <c r="V29" i="2"/>
  <c r="AD29" i="2"/>
  <c r="AC29" i="2"/>
  <c r="AB29" i="2"/>
  <c r="W29" i="2"/>
  <c r="AH55" i="2"/>
  <c r="AD141" i="2"/>
  <c r="AA141" i="2"/>
  <c r="AB141" i="2"/>
  <c r="AG153" i="2"/>
  <c r="AF153" i="2"/>
  <c r="AC153" i="2"/>
  <c r="AE153" i="2"/>
  <c r="AD153" i="2"/>
  <c r="AB153" i="2"/>
  <c r="AA153" i="2"/>
  <c r="AG97" i="2"/>
  <c r="AF97" i="2"/>
  <c r="AE97" i="2"/>
  <c r="AD97" i="2"/>
  <c r="AC97" i="2"/>
  <c r="AB97" i="2"/>
  <c r="AA97" i="2"/>
  <c r="AD25" i="2"/>
  <c r="AH129" i="2"/>
  <c r="AC141" i="2"/>
  <c r="AA77" i="2"/>
  <c r="AD77" i="2"/>
  <c r="AB77" i="2"/>
  <c r="AF77" i="2"/>
  <c r="AG77" i="2"/>
  <c r="AE77" i="2"/>
  <c r="AC77" i="2"/>
  <c r="AC155" i="2"/>
  <c r="AB155" i="2"/>
  <c r="AA155" i="2"/>
  <c r="AG155" i="2"/>
  <c r="AH61" i="2"/>
  <c r="AH115" i="2"/>
  <c r="AB157" i="2"/>
  <c r="AF107" i="2"/>
  <c r="V25" i="2"/>
  <c r="AH31" i="2"/>
  <c r="AA89" i="2"/>
  <c r="AD89" i="2"/>
  <c r="AE89" i="2"/>
  <c r="AG89" i="2"/>
  <c r="AF89" i="2"/>
  <c r="AC89" i="2"/>
  <c r="AB89" i="2"/>
  <c r="AB161" i="2"/>
  <c r="AF191" i="2"/>
  <c r="AF194" i="2" s="1"/>
  <c r="AF208" i="2" s="1"/>
  <c r="AA161" i="2"/>
  <c r="AC191" i="2"/>
  <c r="AC194" i="2" s="1"/>
  <c r="AC208" i="2" s="1"/>
  <c r="AE157" i="2"/>
  <c r="AG35" i="2"/>
  <c r="AF35" i="2"/>
  <c r="AE35" i="2"/>
  <c r="AB35" i="2"/>
  <c r="AD35" i="2"/>
  <c r="AC35" i="2"/>
  <c r="U35" i="2"/>
  <c r="W35" i="2"/>
  <c r="AA35" i="2"/>
  <c r="V35" i="2"/>
  <c r="W25" i="2"/>
  <c r="AG71" i="2"/>
  <c r="AF71" i="2"/>
  <c r="AE71" i="2"/>
  <c r="AD71" i="2"/>
  <c r="AC71" i="2"/>
  <c r="AB71" i="2"/>
  <c r="AA71" i="2"/>
  <c r="AA101" i="2"/>
  <c r="AD101" i="2"/>
  <c r="AC101" i="2"/>
  <c r="AG101" i="2"/>
  <c r="AF101" i="2"/>
  <c r="AE101" i="2"/>
  <c r="AB101" i="2"/>
  <c r="AH160" i="2"/>
  <c r="AH206" i="2" s="1"/>
  <c r="AF161" i="2"/>
  <c r="AG141" i="2"/>
  <c r="AH51" i="2"/>
  <c r="AF25" i="2"/>
  <c r="AH67" i="2"/>
  <c r="AG143" i="2"/>
  <c r="AF159" i="2"/>
  <c r="AC79" i="2"/>
  <c r="AB79" i="2"/>
  <c r="AA79" i="2"/>
  <c r="AF79" i="2"/>
  <c r="AG79" i="2"/>
  <c r="AD79" i="2"/>
  <c r="AE79" i="2"/>
  <c r="AC163" i="2"/>
  <c r="AB163" i="2"/>
  <c r="AA163" i="2"/>
  <c r="AB15" i="2"/>
  <c r="AA15" i="2"/>
  <c r="W15" i="2"/>
  <c r="V15" i="2"/>
  <c r="U15" i="2"/>
  <c r="AE15" i="2"/>
  <c r="AC15" i="2"/>
  <c r="AG15" i="2"/>
  <c r="AD15" i="2"/>
  <c r="AF15" i="2"/>
  <c r="AC143" i="2"/>
  <c r="AH93" i="2" l="1"/>
  <c r="AH191" i="2"/>
  <c r="AH194" i="2" s="1"/>
  <c r="AH208" i="2" s="1"/>
  <c r="AH81" i="2"/>
  <c r="AB171" i="2"/>
  <c r="AB231" i="2" s="1"/>
  <c r="AB240" i="2" s="1"/>
  <c r="U227" i="2"/>
  <c r="U235" i="2" s="1"/>
  <c r="U236" i="2" s="1"/>
  <c r="AA194" i="2"/>
  <c r="AA208" i="2" s="1"/>
  <c r="AH83" i="2"/>
  <c r="AH21" i="2"/>
  <c r="AH23" i="2"/>
  <c r="AH174" i="2"/>
  <c r="AH234" i="2" s="1"/>
  <c r="AH226" i="2"/>
  <c r="AH13" i="2"/>
  <c r="AH95" i="2"/>
  <c r="V227" i="2"/>
  <c r="V235" i="2" s="1"/>
  <c r="V236" i="2" s="1"/>
  <c r="V208" i="2"/>
  <c r="AH157" i="2"/>
  <c r="AH143" i="2"/>
  <c r="W227" i="2"/>
  <c r="AH159" i="2"/>
  <c r="AH99" i="2"/>
  <c r="AH163" i="2"/>
  <c r="AH107" i="2"/>
  <c r="AH25" i="2"/>
  <c r="AH135" i="2"/>
  <c r="AH11" i="2"/>
  <c r="AA167" i="2"/>
  <c r="AA207" i="2"/>
  <c r="AA164" i="2"/>
  <c r="AA196" i="2" s="1"/>
  <c r="AA197" i="2" s="1"/>
  <c r="AH89" i="2"/>
  <c r="AH15" i="2"/>
  <c r="AD207" i="2"/>
  <c r="AD209" i="2" s="1"/>
  <c r="AD164" i="2"/>
  <c r="AD196" i="2" s="1"/>
  <c r="AD197" i="2" s="1"/>
  <c r="AD167" i="2"/>
  <c r="AD227" i="2" s="1"/>
  <c r="AD239" i="2" s="1"/>
  <c r="AH19" i="2"/>
  <c r="AH103" i="2"/>
  <c r="V207" i="2"/>
  <c r="V167" i="2"/>
  <c r="V164" i="2"/>
  <c r="V196" i="2" s="1"/>
  <c r="AH155" i="2"/>
  <c r="AH79" i="2"/>
  <c r="AF171" i="2"/>
  <c r="AF231" i="2" s="1"/>
  <c r="AF240" i="2" s="1"/>
  <c r="AG171" i="2"/>
  <c r="AG231" i="2" s="1"/>
  <c r="AG240" i="2" s="1"/>
  <c r="AC207" i="2"/>
  <c r="AC209" i="2" s="1"/>
  <c r="AC167" i="2"/>
  <c r="AC227" i="2" s="1"/>
  <c r="AC239" i="2" s="1"/>
  <c r="AC164" i="2"/>
  <c r="AH151" i="2"/>
  <c r="AH141" i="2"/>
  <c r="AH145" i="2"/>
  <c r="AH87" i="2"/>
  <c r="AE207" i="2"/>
  <c r="AE209" i="2" s="1"/>
  <c r="AE164" i="2"/>
  <c r="AE196" i="2" s="1"/>
  <c r="AE197" i="2" s="1"/>
  <c r="AE167" i="2"/>
  <c r="AE227" i="2" s="1"/>
  <c r="AE239" i="2" s="1"/>
  <c r="AH91" i="2"/>
  <c r="AH161" i="2"/>
  <c r="AH17" i="2"/>
  <c r="AB167" i="2"/>
  <c r="AB227" i="2" s="1"/>
  <c r="AB239" i="2" s="1"/>
  <c r="AB164" i="2"/>
  <c r="AB196" i="2" s="1"/>
  <c r="AB197" i="2" s="1"/>
  <c r="AB207" i="2"/>
  <c r="AB209" i="2" s="1"/>
  <c r="AH35" i="2"/>
  <c r="AG207" i="2"/>
  <c r="AG209" i="2" s="1"/>
  <c r="AG167" i="2"/>
  <c r="AG227" i="2" s="1"/>
  <c r="AG239" i="2" s="1"/>
  <c r="AG164" i="2"/>
  <c r="AG196" i="2" s="1"/>
  <c r="AD171" i="2"/>
  <c r="AD231" i="2" s="1"/>
  <c r="AD240" i="2" s="1"/>
  <c r="AH101" i="2"/>
  <c r="AH77" i="2"/>
  <c r="AH153" i="2"/>
  <c r="AF207" i="2"/>
  <c r="AF209" i="2" s="1"/>
  <c r="AF167" i="2"/>
  <c r="AF227" i="2" s="1"/>
  <c r="AF239" i="2" s="1"/>
  <c r="AF164" i="2"/>
  <c r="AF196" i="2" s="1"/>
  <c r="AF197" i="2" s="1"/>
  <c r="AA171" i="2"/>
  <c r="AA231" i="2" s="1"/>
  <c r="AA240" i="2" s="1"/>
  <c r="AH71" i="2"/>
  <c r="AH73" i="2"/>
  <c r="AH75" i="2"/>
  <c r="U167" i="2"/>
  <c r="U164" i="2"/>
  <c r="Z206" i="2"/>
  <c r="Z209" i="2" s="1"/>
  <c r="AC171" i="2"/>
  <c r="AC231" i="2" s="1"/>
  <c r="AC240" i="2" s="1"/>
  <c r="AH27" i="2"/>
  <c r="AE171" i="2"/>
  <c r="AE231" i="2" s="1"/>
  <c r="AE240" i="2" s="1"/>
  <c r="AH97" i="2"/>
  <c r="AH29" i="2"/>
  <c r="W167" i="2"/>
  <c r="W164" i="2"/>
  <c r="W196" i="2" s="1"/>
  <c r="W207" i="2"/>
  <c r="W209" i="2" s="1"/>
  <c r="AC196" i="2" l="1"/>
  <c r="AC197" i="2" s="1"/>
  <c r="AA227" i="2"/>
  <c r="AA239" i="2" s="1"/>
  <c r="AA178" i="2"/>
  <c r="AB179" i="2"/>
  <c r="AB172" i="2"/>
  <c r="AB232" i="2" s="1"/>
  <c r="U228" i="2"/>
  <c r="V209" i="2"/>
  <c r="V228" i="2"/>
  <c r="W235" i="2"/>
  <c r="W236" i="2" s="1"/>
  <c r="W228" i="2"/>
  <c r="AC179" i="2"/>
  <c r="AC172" i="2"/>
  <c r="AC232" i="2" s="1"/>
  <c r="AG179" i="2"/>
  <c r="AG172" i="2"/>
  <c r="AG232" i="2" s="1"/>
  <c r="AF179" i="2"/>
  <c r="AF172" i="2"/>
  <c r="AF232" i="2" s="1"/>
  <c r="U168" i="2"/>
  <c r="U175" i="2"/>
  <c r="U176" i="2" s="1"/>
  <c r="AD179" i="2"/>
  <c r="AD172" i="2"/>
  <c r="AD232" i="2" s="1"/>
  <c r="AE175" i="2"/>
  <c r="AE178" i="2"/>
  <c r="AE168" i="2"/>
  <c r="AE228" i="2" s="1"/>
  <c r="AB175" i="2"/>
  <c r="AB178" i="2"/>
  <c r="AB168" i="2"/>
  <c r="AB228" i="2" s="1"/>
  <c r="AA209" i="2"/>
  <c r="V175" i="2"/>
  <c r="V176" i="2" s="1"/>
  <c r="V168" i="2"/>
  <c r="AA175" i="2"/>
  <c r="AH167" i="2"/>
  <c r="AA168" i="2"/>
  <c r="AA228" i="2" s="1"/>
  <c r="AC175" i="2"/>
  <c r="AC178" i="2"/>
  <c r="AC168" i="2"/>
  <c r="AC228" i="2" s="1"/>
  <c r="W175" i="2"/>
  <c r="W176" i="2" s="1"/>
  <c r="W168" i="2"/>
  <c r="AA179" i="2"/>
  <c r="AH171" i="2"/>
  <c r="AH231" i="2" s="1"/>
  <c r="AH240" i="2" s="1"/>
  <c r="AA172" i="2"/>
  <c r="AA232" i="2" s="1"/>
  <c r="AH207" i="2"/>
  <c r="AH209" i="2" s="1"/>
  <c r="AH164" i="2"/>
  <c r="AH196" i="2" s="1"/>
  <c r="W197" i="2"/>
  <c r="W199" i="2"/>
  <c r="W201" i="2" s="1"/>
  <c r="AG178" i="2"/>
  <c r="AG175" i="2"/>
  <c r="AG168" i="2"/>
  <c r="AG228" i="2" s="1"/>
  <c r="V197" i="2"/>
  <c r="V199" i="2"/>
  <c r="V201" i="2" s="1"/>
  <c r="AE179" i="2"/>
  <c r="AE172" i="2"/>
  <c r="AE232" i="2" s="1"/>
  <c r="AF178" i="2"/>
  <c r="AF168" i="2"/>
  <c r="AF228" i="2" s="1"/>
  <c r="AF175" i="2"/>
  <c r="AD175" i="2"/>
  <c r="AD178" i="2"/>
  <c r="AD168" i="2"/>
  <c r="AD228" i="2" s="1"/>
  <c r="AD176" i="2" l="1"/>
  <c r="AD236" i="2" s="1"/>
  <c r="AD235" i="2"/>
  <c r="AD241" i="2" s="1"/>
  <c r="AF176" i="2"/>
  <c r="AF236" i="2" s="1"/>
  <c r="AF235" i="2"/>
  <c r="AF241" i="2" s="1"/>
  <c r="AH175" i="2"/>
  <c r="AH227" i="2"/>
  <c r="AH239" i="2" s="1"/>
  <c r="AE176" i="2"/>
  <c r="AE236" i="2" s="1"/>
  <c r="AE235" i="2"/>
  <c r="AE241" i="2" s="1"/>
  <c r="AG176" i="2"/>
  <c r="AG236" i="2" s="1"/>
  <c r="AG235" i="2"/>
  <c r="AG241" i="2" s="1"/>
  <c r="AB176" i="2"/>
  <c r="AB236" i="2" s="1"/>
  <c r="AB235" i="2"/>
  <c r="AB241" i="2" s="1"/>
  <c r="AC176" i="2"/>
  <c r="AC236" i="2" s="1"/>
  <c r="AC235" i="2"/>
  <c r="AC241" i="2" s="1"/>
  <c r="AA176" i="2"/>
  <c r="AA236" i="2" s="1"/>
  <c r="AA235" i="2"/>
  <c r="AA241" i="2" s="1"/>
  <c r="AH168" i="2"/>
  <c r="AH228" i="2" s="1"/>
  <c r="AH172" i="2"/>
  <c r="AH232" i="2" s="1"/>
  <c r="AH176" i="2" l="1"/>
  <c r="AH236" i="2" s="1"/>
  <c r="AH2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  <author>Baiba Kanča</author>
  </authors>
  <commentList>
    <comment ref="V28" authorId="0" shapeId="0" xr:uid="{DEDE06BA-162F-4A1A-9620-E859E7DAF037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Atmaksā ERAF ienākošā nauda</t>
        </r>
      </text>
    </comment>
    <comment ref="I34" authorId="0" shapeId="0" xr:uid="{6D418445-4326-4D45-907B-C84A4AD93E15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236'297 ĀND daļa
</t>
        </r>
      </text>
    </comment>
    <comment ref="AG71" authorId="1" shapeId="0" xr:uid="{9634F962-F4DE-42C6-B0CD-EBB87FAD80C0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samazinās uz pusi</t>
        </r>
      </text>
    </comment>
    <comment ref="AG73" authorId="1" shapeId="0" xr:uid="{DC92C965-694B-459A-8168-99A26D134882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samazinās uz pusi
</t>
        </r>
      </text>
    </comment>
  </commentList>
</comments>
</file>

<file path=xl/sharedStrings.xml><?xml version="1.0" encoding="utf-8"?>
<sst xmlns="http://schemas.openxmlformats.org/spreadsheetml/2006/main" count="775" uniqueCount="441">
  <si>
    <t>Atpūtas iela</t>
  </si>
  <si>
    <t>4.pielikums</t>
  </si>
  <si>
    <t>2018.gada 23.janvāra</t>
  </si>
  <si>
    <t>saistošajiem noteikumiem Nr.2/2019</t>
  </si>
  <si>
    <t>Ādažu pašvaldības aizņēmumu un citu ilgtermiņa saistību pārskats</t>
  </si>
  <si>
    <t>Aizdevumu pamatsummu un procentu atmaksa faktiskajiem un plānotajiem aizņēmumiem.</t>
  </si>
  <si>
    <t>Aizdevuma mērķis</t>
  </si>
  <si>
    <t>Līguma Nr.</t>
  </si>
  <si>
    <t>Trānčes Nr.</t>
  </si>
  <si>
    <t>Līguma dat.</t>
  </si>
  <si>
    <t>Līguma termiņš</t>
  </si>
  <si>
    <t>Līgumsumma LVL</t>
  </si>
  <si>
    <t>Līgumsumma EUR</t>
  </si>
  <si>
    <t>Saņemts LVL</t>
  </si>
  <si>
    <t>Saņemts EUR</t>
  </si>
  <si>
    <t>% likme</t>
  </si>
  <si>
    <t>Aizdevuma apkalpošanas likme</t>
  </si>
  <si>
    <t>% maksājumu reizes gadā</t>
  </si>
  <si>
    <t>Nākamais likmes maiņas datums</t>
  </si>
  <si>
    <t>Atlikums uz 01.01.2010.</t>
  </si>
  <si>
    <t>Atlikusī pamatsumma EUR uz 31/12/2014</t>
  </si>
  <si>
    <t>Atlikusī pamatsumma EUR uz 31/12/2015</t>
  </si>
  <si>
    <t>Veids</t>
  </si>
  <si>
    <t>Atlikums 31.12.2019.</t>
  </si>
  <si>
    <t>Kopā 2020. gadā</t>
  </si>
  <si>
    <t>Kopā 2021. gadā</t>
  </si>
  <si>
    <t>Kopā 2022. gadā</t>
  </si>
  <si>
    <t>Fakts % 09.08.2023</t>
  </si>
  <si>
    <t>Plāns % 10.08.-31.12.2023.</t>
  </si>
  <si>
    <t>Kopā 2023. gadā</t>
  </si>
  <si>
    <t>Kopā 2024. gadā</t>
  </si>
  <si>
    <t>Kopā 2025. gadā</t>
  </si>
  <si>
    <t>Kopā 2026. gadā</t>
  </si>
  <si>
    <t>Kopā 2027. gadā</t>
  </si>
  <si>
    <t>Kopā 2028. gadā</t>
  </si>
  <si>
    <t>Kopā 2029. gadā</t>
  </si>
  <si>
    <t>No 2030. - 2051.</t>
  </si>
  <si>
    <t>Kopsumma no 2023. - 2051.</t>
  </si>
  <si>
    <t>Stabilizācijas aizdevums -</t>
  </si>
  <si>
    <t>A2/1/11/107</t>
  </si>
  <si>
    <t>P-50/2011</t>
  </si>
  <si>
    <t>01.03.2011</t>
  </si>
  <si>
    <t>11.04.2011.</t>
  </si>
  <si>
    <t>20.04.2036.</t>
  </si>
  <si>
    <t>pamats.</t>
  </si>
  <si>
    <t>1.kārtas 2.posms</t>
  </si>
  <si>
    <t>%</t>
  </si>
  <si>
    <t>A2/1/11/549</t>
  </si>
  <si>
    <t>P-350/2011</t>
  </si>
  <si>
    <t>20.12.2031.</t>
  </si>
  <si>
    <t xml:space="preserve"> 1.kārtas 3.posms</t>
  </si>
  <si>
    <t>Stabilizācijas aizdevums - 2.k. 1.p.</t>
  </si>
  <si>
    <t>A2/1/12/328</t>
  </si>
  <si>
    <t>P-219/2012</t>
  </si>
  <si>
    <t>25.03.2032.</t>
  </si>
  <si>
    <t>Kohēzijas projekts</t>
  </si>
  <si>
    <t>Stabilizācijas aizdevums - 2.k. 2.p.</t>
  </si>
  <si>
    <t>A2/1/13/1000</t>
  </si>
  <si>
    <t>P-441/2013</t>
  </si>
  <si>
    <t>25.11.2023.</t>
  </si>
  <si>
    <t>Kohēzijas projekts II kārta</t>
  </si>
  <si>
    <t xml:space="preserve">Gaujas ielas rekonstrukcija </t>
  </si>
  <si>
    <t>A2/1/17/301</t>
  </si>
  <si>
    <t>P-196/2017</t>
  </si>
  <si>
    <t>19.05.2017.</t>
  </si>
  <si>
    <t>20.05.2032.</t>
  </si>
  <si>
    <t>1.-3.kārta</t>
  </si>
  <si>
    <t>Gaujas ielas rekonstrukcijai</t>
  </si>
  <si>
    <t>A2/1/17/596</t>
  </si>
  <si>
    <t>P-450/2017</t>
  </si>
  <si>
    <t>21.08.2017.</t>
  </si>
  <si>
    <t>20.08.2032.</t>
  </si>
  <si>
    <t>4.kārta</t>
  </si>
  <si>
    <t>Ādažu vidusskolas remonts</t>
  </si>
  <si>
    <t>A2/1/17/468</t>
  </si>
  <si>
    <t>P-330/2017</t>
  </si>
  <si>
    <t>04.07.2017.</t>
  </si>
  <si>
    <t>20.06.2023</t>
  </si>
  <si>
    <t>30.08.2017.</t>
  </si>
  <si>
    <t>88'266+46'627</t>
  </si>
  <si>
    <t>Jaunās skolas būvniecībai</t>
  </si>
  <si>
    <t xml:space="preserve">A2/1/16/451 </t>
  </si>
  <si>
    <t>P-328/2016</t>
  </si>
  <si>
    <t>25.10.2016.</t>
  </si>
  <si>
    <t>20.10.2021.</t>
  </si>
  <si>
    <t>Būvprojekta izstrāde un autoruzraudzība</t>
  </si>
  <si>
    <t>8.1.</t>
  </si>
  <si>
    <t>A2/1/17/640</t>
  </si>
  <si>
    <t>P-481/2017</t>
  </si>
  <si>
    <t>31.08.2017.</t>
  </si>
  <si>
    <t>20.08.2022.</t>
  </si>
  <si>
    <t>Ekspertīze</t>
  </si>
  <si>
    <t>8.2.</t>
  </si>
  <si>
    <t>A2/1/18/123</t>
  </si>
  <si>
    <t>P-94/2018</t>
  </si>
  <si>
    <t>03.04.2018.</t>
  </si>
  <si>
    <t>20.06.2048.</t>
  </si>
  <si>
    <t>Būvniecība 1.,2.kārta</t>
  </si>
  <si>
    <t>A2/1/18/123-V/18/2</t>
  </si>
  <si>
    <t>8.3.</t>
  </si>
  <si>
    <t>A2/1/20/158</t>
  </si>
  <si>
    <t>P-119/2020</t>
  </si>
  <si>
    <t>29.04.2020.</t>
  </si>
  <si>
    <t>20.04.2048.</t>
  </si>
  <si>
    <t>Būvniecība 3.kārta izsniegts</t>
  </si>
  <si>
    <t>12m EURIBOR + fix daļa 2,143% (t.sk. 0,25% apk. m.)</t>
  </si>
  <si>
    <t>Gaujas ielas gājēju celiņa izbūve</t>
  </si>
  <si>
    <t>A2/1/22/165</t>
  </si>
  <si>
    <t>P-112/2022</t>
  </si>
  <si>
    <t>04.07.2022.</t>
  </si>
  <si>
    <t>20.06.2027.</t>
  </si>
  <si>
    <t>Muižas ielas rekonstrukcijai</t>
  </si>
  <si>
    <t>A2/1/18/711</t>
  </si>
  <si>
    <t>P-580/2018</t>
  </si>
  <si>
    <t>10.10.2018.</t>
  </si>
  <si>
    <t>20.09.2028.</t>
  </si>
  <si>
    <t>Ataru ceļa rekonstrukcija</t>
  </si>
  <si>
    <t>A2/1/20/411</t>
  </si>
  <si>
    <t>P-177/2020</t>
  </si>
  <si>
    <t>12.1.</t>
  </si>
  <si>
    <t>SAM 4.2.2. ĀPII</t>
  </si>
  <si>
    <t>A2/1/17/375</t>
  </si>
  <si>
    <t>P-258/2017</t>
  </si>
  <si>
    <t>08.06.2017.</t>
  </si>
  <si>
    <t>20.06.2022.</t>
  </si>
  <si>
    <t>Projektēšana</t>
  </si>
  <si>
    <t>A2/1/19/370</t>
  </si>
  <si>
    <t>P-236/2019</t>
  </si>
  <si>
    <t>09.10.2019.</t>
  </si>
  <si>
    <t>20.09.2034.</t>
  </si>
  <si>
    <t>Remontdarbi</t>
  </si>
  <si>
    <t>LAD projekts Laveru ceļš</t>
  </si>
  <si>
    <t>A2/1/18/304</t>
  </si>
  <si>
    <t>P-218/2018</t>
  </si>
  <si>
    <t>01.06.2018.</t>
  </si>
  <si>
    <t>20.05.2020.</t>
  </si>
  <si>
    <t>13.1.</t>
  </si>
  <si>
    <t xml:space="preserve">SAM 5.1.1. Pretplūdu pasākumi </t>
  </si>
  <si>
    <t>A2/1/17/641</t>
  </si>
  <si>
    <t>P-482/2017</t>
  </si>
  <si>
    <t>Ādažu centra polderī, Ādažu novadā (I kārta-projektēšana)</t>
  </si>
  <si>
    <t>Nr.A2/1/17/641 - V/18/1</t>
  </si>
  <si>
    <t>13.2.</t>
  </si>
  <si>
    <t>A2/1/19/421</t>
  </si>
  <si>
    <t>P-269/2019</t>
  </si>
  <si>
    <t>22.11.2019.</t>
  </si>
  <si>
    <t>20.11.2034.</t>
  </si>
  <si>
    <t xml:space="preserve">Ādažu centra polderī, Ādažu novadā </t>
  </si>
  <si>
    <t>A2/1/22/123</t>
  </si>
  <si>
    <t>P-70/2022</t>
  </si>
  <si>
    <t>31.05.2022.</t>
  </si>
  <si>
    <t>20.05.2037.</t>
  </si>
  <si>
    <t xml:space="preserve">ERAF projekta (Nr.5.1.1.0/17/I/009) “Novērst plūdu un krasta erozijas </t>
  </si>
  <si>
    <t>A2/1/22/582</t>
  </si>
  <si>
    <t>P-389/2022</t>
  </si>
  <si>
    <t>23.12.2022.</t>
  </si>
  <si>
    <t>21.12.2037.</t>
  </si>
  <si>
    <t>risku apdraudējumu Ādažu novadā, pirmā daļa” īstenošanai</t>
  </si>
  <si>
    <t>Attekas ielas rekonstrukcija</t>
  </si>
  <si>
    <t>A2/1/18/644</t>
  </si>
  <si>
    <t>P-538/2018</t>
  </si>
  <si>
    <t>12.09.2018.</t>
  </si>
  <si>
    <t>20.09.2033.</t>
  </si>
  <si>
    <t xml:space="preserve">SAM 9311 Deinstitucionalizācija - </t>
  </si>
  <si>
    <t>A2/1/21/729</t>
  </si>
  <si>
    <t>P-556/2021</t>
  </si>
  <si>
    <t>02.12.2021.</t>
  </si>
  <si>
    <t>20.11.2040.</t>
  </si>
  <si>
    <t>Dienas centrs</t>
  </si>
  <si>
    <t xml:space="preserve"> Bukultu ielas rekonstrukcija</t>
  </si>
  <si>
    <t>A2/1/20/745</t>
  </si>
  <si>
    <t>P-393/2020</t>
  </si>
  <si>
    <t>13.10.2020.</t>
  </si>
  <si>
    <t>22.09.2025.</t>
  </si>
  <si>
    <t>03.11.2020.</t>
  </si>
  <si>
    <t>Ķiršu ielas rekonstrukcija</t>
  </si>
  <si>
    <t>A2/1/21/727</t>
  </si>
  <si>
    <t>P-558/2021</t>
  </si>
  <si>
    <t>20.11.2031.</t>
  </si>
  <si>
    <t>Pirmās ielas stāvlaukums pie ĀPII</t>
  </si>
  <si>
    <t>A2/1/21/632</t>
  </si>
  <si>
    <t>P-481/2021</t>
  </si>
  <si>
    <t>14.10.2021.</t>
  </si>
  <si>
    <t>21.09.2026.</t>
  </si>
  <si>
    <t>Mežaparka ceļa pārbūve</t>
  </si>
  <si>
    <t>A2/1/21/728</t>
  </si>
  <si>
    <t>P-557/2021</t>
  </si>
  <si>
    <t>Priežu ielas rekonstrukcija</t>
  </si>
  <si>
    <t>A2/1/20/746</t>
  </si>
  <si>
    <t>P-392/2020</t>
  </si>
  <si>
    <t xml:space="preserve">Skolas siltināšana un stadiona </t>
  </si>
  <si>
    <t>A2/1/22/250</t>
  </si>
  <si>
    <t xml:space="preserve">P-164/2022 </t>
  </si>
  <si>
    <t>03.08.2022.</t>
  </si>
  <si>
    <t>20.07.2032.</t>
  </si>
  <si>
    <t>rekonstrukcija</t>
  </si>
  <si>
    <t>PRIO</t>
  </si>
  <si>
    <t xml:space="preserve">Skolas ielas projektēšana izbūve - </t>
  </si>
  <si>
    <t>A2/1/22/239</t>
  </si>
  <si>
    <t>P-160/2022</t>
  </si>
  <si>
    <t>20.07.2022.</t>
  </si>
  <si>
    <t>20.07.2027.</t>
  </si>
  <si>
    <t>3.kārta</t>
  </si>
  <si>
    <t>Pārjaunojuma līgums visiem līgumiem līdz 2015.gadam</t>
  </si>
  <si>
    <r>
      <t xml:space="preserve">A2/1/19/50  </t>
    </r>
    <r>
      <rPr>
        <b/>
        <sz val="8"/>
        <rFont val="Times New Roman"/>
        <family val="1"/>
        <charset val="186"/>
      </rPr>
      <t xml:space="preserve"> </t>
    </r>
  </si>
  <si>
    <t>PP-5/2019</t>
  </si>
  <si>
    <t>05.03.2019.</t>
  </si>
  <si>
    <t>20.09.2035.</t>
  </si>
  <si>
    <t>Investīciju projektu īstenošanai (saistību pārjaunojums) Nr.A2/1/21/139 Trančes Nr.PP-14/2021</t>
  </si>
  <si>
    <t>A2/1/21/139</t>
  </si>
  <si>
    <t>PP-14/2021</t>
  </si>
  <si>
    <t>26.04.2021.</t>
  </si>
  <si>
    <t>21.06.2038.</t>
  </si>
  <si>
    <t xml:space="preserve">ELFLA projekts pievadceļu attīstība lauksaimniecības uzņēmumiem </t>
  </si>
  <si>
    <t>A2/1/18/139</t>
  </si>
  <si>
    <t>P-109/2018</t>
  </si>
  <si>
    <t>05.04.2018.</t>
  </si>
  <si>
    <t>22.03.2038.</t>
  </si>
  <si>
    <t xml:space="preserve">Komunālās saimniecības investīcijas transportam </t>
  </si>
  <si>
    <t>A2/1/18/252</t>
  </si>
  <si>
    <t>P-200/2018</t>
  </si>
  <si>
    <t>28.05.2018.</t>
  </si>
  <si>
    <t>20.05.2025.</t>
  </si>
  <si>
    <t>Būvprojekta "Kultūras un amatniecības centra pārbūve īpašumā "Blusas"" izstrāde</t>
  </si>
  <si>
    <t>A2/1/18/253</t>
  </si>
  <si>
    <t>P-201/2018</t>
  </si>
  <si>
    <t>22.05.2023.</t>
  </si>
  <si>
    <t>ERAF projekts Natura 2000 Atpūtas taka Carnikavā</t>
  </si>
  <si>
    <t>A2/1/18/254</t>
  </si>
  <si>
    <t>P-202/2018</t>
  </si>
  <si>
    <t>20.05.2038.</t>
  </si>
  <si>
    <t>ES Interreg Igaunijas - Latvijas projekts "Hiking Route Along the Baltic Sea Coastline in Latvia-Estonia"</t>
  </si>
  <si>
    <t>A2/1/18/255</t>
  </si>
  <si>
    <t>P-203/2018</t>
  </si>
  <si>
    <t>20.05.2033.</t>
  </si>
  <si>
    <t>Ceļu, ielu infrastruktūras programma1.kārta</t>
  </si>
  <si>
    <t>A2/1/18/251</t>
  </si>
  <si>
    <t>P-205/2018</t>
  </si>
  <si>
    <t>Prioritāro projektu īstenošana: bērnu rotaļu laukumi Carnikavas novadā</t>
  </si>
  <si>
    <t>A2/1/18/452</t>
  </si>
  <si>
    <t>P-374/2018</t>
  </si>
  <si>
    <t>12.07.2018.</t>
  </si>
  <si>
    <t>20.06.2028.</t>
  </si>
  <si>
    <t>Izglītības iestāžu investīciju projekts - Carnikavas izglītības iestādes būvniecība no moduļiem</t>
  </si>
  <si>
    <t>A2/1/18/528</t>
  </si>
  <si>
    <t>P-436/2018</t>
  </si>
  <si>
    <t>03.08.2018.</t>
  </si>
  <si>
    <t>20.07.2048.</t>
  </si>
  <si>
    <t>Izglītības iestāžu investīciju projekts - Piejūras PII būvniecība</t>
  </si>
  <si>
    <t>A2/1/18/529</t>
  </si>
  <si>
    <t>P-435/2018</t>
  </si>
  <si>
    <t>Ceļu, ielu infrastruktūras programma 2.kārta</t>
  </si>
  <si>
    <t>A2/1/18/611</t>
  </si>
  <si>
    <t>P-500/2018</t>
  </si>
  <si>
    <t>04.09.2018.</t>
  </si>
  <si>
    <t>20.08.2038.</t>
  </si>
  <si>
    <t>Ceļu, ielu infrastruktūras programma 3.kārta</t>
  </si>
  <si>
    <t>A2/1/18/643</t>
  </si>
  <si>
    <t>P-537/2018</t>
  </si>
  <si>
    <t>Ceļu, ielu infrastruktūras programma 4.kārta</t>
  </si>
  <si>
    <t>A2/1/18/777</t>
  </si>
  <si>
    <t>P-643/2018</t>
  </si>
  <si>
    <t>12.11.2018.</t>
  </si>
  <si>
    <t>20.10.2038.</t>
  </si>
  <si>
    <t xml:space="preserve">Prioritārais projekts Dambja būvniecība Valteru ielā </t>
  </si>
  <si>
    <t>A2/1/18/818</t>
  </si>
  <si>
    <t>P-666/2018</t>
  </si>
  <si>
    <t>21.11.2018.</t>
  </si>
  <si>
    <t>22.11.2038.</t>
  </si>
  <si>
    <t>ELFLA Eimuru - Mangaļu poldera meliorācijas grāvju atjaunošana Carnikavas novadā</t>
  </si>
  <si>
    <t>A2/1/19/57</t>
  </si>
  <si>
    <t>P-31/2019</t>
  </si>
  <si>
    <t>06.03.2019.</t>
  </si>
  <si>
    <t>20.02.2029.</t>
  </si>
  <si>
    <t>ERAF projekta SAM 3.3.1. Uzņēmējdarbības attīstībai nepieciešamās infrastruktūras attīstībai Carnikavas novada Garciemā" īstenošanai</t>
  </si>
  <si>
    <t>A2/1/19/225</t>
  </si>
  <si>
    <t>P-150/2019</t>
  </si>
  <si>
    <t>13.06.2019.</t>
  </si>
  <si>
    <t>20.05.2049.</t>
  </si>
  <si>
    <t>SAM 5.5.1. Kultūras objektu būvniecība</t>
  </si>
  <si>
    <t>A2/1/19/460</t>
  </si>
  <si>
    <t>P-292/2019</t>
  </si>
  <si>
    <t>11.12.2019.</t>
  </si>
  <si>
    <t>21.11.2039.</t>
  </si>
  <si>
    <t>Centrālbaltijas projekts "Coast4us"</t>
  </si>
  <si>
    <t>A2/1/20/586</t>
  </si>
  <si>
    <t>P-267/2020</t>
  </si>
  <si>
    <t>27.08.2020.</t>
  </si>
  <si>
    <t>20.08.2030.</t>
  </si>
  <si>
    <t>Carnikavas novada pašvaldības transporta infrstruktūras attīstība</t>
  </si>
  <si>
    <t>A2/1/20/676</t>
  </si>
  <si>
    <t>P-338/2020</t>
  </si>
  <si>
    <t>01.10.2020.</t>
  </si>
  <si>
    <t>20.09.2040.</t>
  </si>
  <si>
    <t>01.10.2023.</t>
  </si>
  <si>
    <t>KF projekts "Ūdenssaimniecības pakalpojumu attīstība Carnikavā III kārta"</t>
  </si>
  <si>
    <t>A2/1/20/675</t>
  </si>
  <si>
    <t>P-339/2020</t>
  </si>
  <si>
    <t>20.09.2050.</t>
  </si>
  <si>
    <t>ERAF "Carnikavas pamatskolas pārbūve"</t>
  </si>
  <si>
    <t>A2/1/21/10</t>
  </si>
  <si>
    <t>P-4/2021</t>
  </si>
  <si>
    <t>26.01.2021.</t>
  </si>
  <si>
    <t>20.01.2051.</t>
  </si>
  <si>
    <t>LAD  projekts koka laipu taka uz jūru</t>
  </si>
  <si>
    <t>A2/1/21/11</t>
  </si>
  <si>
    <t>P-3/2021</t>
  </si>
  <si>
    <t>20.01.2031.</t>
  </si>
  <si>
    <t>Budžeta un finanšu vadībai (Aprīkojums PII Piejūra)</t>
  </si>
  <si>
    <t>A2/1/21/96</t>
  </si>
  <si>
    <t>P-43/2021</t>
  </si>
  <si>
    <t>25.03.2021.</t>
  </si>
  <si>
    <t>20.03.2024.</t>
  </si>
  <si>
    <t>Stacijas ielas pārbūve</t>
  </si>
  <si>
    <t>A2/1/21/169</t>
  </si>
  <si>
    <t>P-89/2021 COVID</t>
  </si>
  <si>
    <t>30.04.2021.</t>
  </si>
  <si>
    <t>20.04.2051.</t>
  </si>
  <si>
    <t>Autostāvvietas izbūve Karlsona parkā, Garciemā, Carnikavas novadā</t>
  </si>
  <si>
    <t>A2/1/21/231</t>
  </si>
  <si>
    <t>P-164/2021 COVID</t>
  </si>
  <si>
    <t>27.05.2021.</t>
  </si>
  <si>
    <t>20.05.2041.</t>
  </si>
  <si>
    <t>Lielās ielas pārbūve</t>
  </si>
  <si>
    <t>A2/1/21/232</t>
  </si>
  <si>
    <t>P-163/2021 COVID</t>
  </si>
  <si>
    <t>PII Piejūra būvniecības pabeigšana</t>
  </si>
  <si>
    <t>A2/1/21/120</t>
  </si>
  <si>
    <t>P-69/2021 COVID PII</t>
  </si>
  <si>
    <t>08.04.2021.</t>
  </si>
  <si>
    <t>20.03.2051.</t>
  </si>
  <si>
    <t>Prioritārais projekts "PII "Piejūra" būvniecība"</t>
  </si>
  <si>
    <t>A2/1/21/41</t>
  </si>
  <si>
    <t>P-10/2021 PRIO</t>
  </si>
  <si>
    <t>24.02.2021.</t>
  </si>
  <si>
    <t>20.02.2051.</t>
  </si>
  <si>
    <t>Carnikavas pamatskolas infrastruktūras uzlabošana un mācību vides labiekārtošana</t>
  </si>
  <si>
    <t>A2/1/21/776</t>
  </si>
  <si>
    <t>P-583/2021</t>
  </si>
  <si>
    <t>23.12.2021.</t>
  </si>
  <si>
    <t>21.12.2026.</t>
  </si>
  <si>
    <t>Aizvēju ielas Garciemā, dubultā virsmas apstrāde</t>
  </si>
  <si>
    <t>A2/1/22/16
A2/1/22/265</t>
  </si>
  <si>
    <t>P-8/2022
P-175/2022</t>
  </si>
  <si>
    <t>02.02.2022
08.08.2022</t>
  </si>
  <si>
    <t>22.07.2029.</t>
  </si>
  <si>
    <t>Laivu ielas (no Cēlāju ciema līdz jūrai Carnikavā) un tai piegulošā auto stāvlaukuma projektēšana un būvniecība</t>
  </si>
  <si>
    <t>A2/1/22/15</t>
  </si>
  <si>
    <t>P-7/2022</t>
  </si>
  <si>
    <t>20.01.2037.</t>
  </si>
  <si>
    <t>A2/1/22/267</t>
  </si>
  <si>
    <t>P-163/2022</t>
  </si>
  <si>
    <t>20.07.2023.</t>
  </si>
  <si>
    <t>Carnikavas stadiona rekonstrukcija (Prioritārais)</t>
  </si>
  <si>
    <t>A2/1/22/536</t>
  </si>
  <si>
    <t>P-363/2022</t>
  </si>
  <si>
    <t>20.11.2037.</t>
  </si>
  <si>
    <t>Carnikavas stadiona rekonstrukcija (Covid19)</t>
  </si>
  <si>
    <t>A2/1/22/538</t>
  </si>
  <si>
    <t>P-361/2022</t>
  </si>
  <si>
    <t>22.11.2032.</t>
  </si>
  <si>
    <t xml:space="preserve"> ”Mobilitātes punkta infrastruktūras izveidošana Rīgas metropoles areālā – “Carnikava””</t>
  </si>
  <si>
    <t>Plānots</t>
  </si>
  <si>
    <t>Maģistrālā  veloceļa izbūve Rīga-Carnikava</t>
  </si>
  <si>
    <t xml:space="preserve"> "Auto stāvlaukuma Lilastē paplašināšana, atpūtas vietu, labiekārtojuma, labierīcību, kempinga iespēju projektēšana un izbūve"</t>
  </si>
  <si>
    <t>A2/1/23/245</t>
  </si>
  <si>
    <t>P-181/2023</t>
  </si>
  <si>
    <t>02.08.2023.</t>
  </si>
  <si>
    <t>20.07.2026.</t>
  </si>
  <si>
    <t>Apgaismojuma izbūve uz Salas aizsargdamja D-2 posmā, Carnikavas pagastā</t>
  </si>
  <si>
    <t>A2/1/23/103</t>
  </si>
  <si>
    <t>P-57/2023</t>
  </si>
  <si>
    <t>09.05.2023.</t>
  </si>
  <si>
    <t>20.04.2024.</t>
  </si>
  <si>
    <t>Carnikavas stadiona rekonstrukcija</t>
  </si>
  <si>
    <t>A2/1/23/156</t>
  </si>
  <si>
    <t>P-104/2023</t>
  </si>
  <si>
    <t>26.06.2023.</t>
  </si>
  <si>
    <t>20.06.2038.</t>
  </si>
  <si>
    <t>Ādažu vidusskolas ēkas B korpusa un savienojuma daļas starp korpusiem (C un B) fasādes atjaunošana</t>
  </si>
  <si>
    <t>Kalngales NAI pārbūve</t>
  </si>
  <si>
    <t>EKII projekts</t>
  </si>
  <si>
    <t>Katlu mājas pārbūve Carnikavā, Tulpju iela 5</t>
  </si>
  <si>
    <t>Ķiršu ielas III kārta no Saules ielas līdz Attekas ielai 0.17km</t>
  </si>
  <si>
    <t>A2/1/23/290</t>
  </si>
  <si>
    <t>P-222/2023</t>
  </si>
  <si>
    <t>21.08.2023.</t>
  </si>
  <si>
    <t>21.07.2033.</t>
  </si>
  <si>
    <t>Draudzības iela posmā no Saules ielai līdz Podnieku ielai ar ietvi 0.35km</t>
  </si>
  <si>
    <t>Pamatsumma un % kopā:</t>
  </si>
  <si>
    <t>Ādaži</t>
  </si>
  <si>
    <t>Aizņēmumu pamatsummas atmaksa:</t>
  </si>
  <si>
    <t>Aizņēmumu procentu maksājumi:</t>
  </si>
  <si>
    <t>Aizņēmumu saistības kopā:</t>
  </si>
  <si>
    <t>Carnikava</t>
  </si>
  <si>
    <t>Aizdevumi kopā</t>
  </si>
  <si>
    <t>Citas ilgtermiņa saistības.</t>
  </si>
  <si>
    <t>Saistību mērķis</t>
  </si>
  <si>
    <t>% likme, izmaiņas ar 2015 uz gadu</t>
  </si>
  <si>
    <t>Izmaksāts no VK 2010.gadā</t>
  </si>
  <si>
    <t>Galvojums SIA "Ādažu ūdens"</t>
  </si>
  <si>
    <t>03.2017.</t>
  </si>
  <si>
    <t>03.2032</t>
  </si>
  <si>
    <t xml:space="preserve">Līzings - jauna automašīna </t>
  </si>
  <si>
    <t>02.01.2020.</t>
  </si>
  <si>
    <t>30.12.2024.</t>
  </si>
  <si>
    <t>Volvo V60</t>
  </si>
  <si>
    <t>Līzings - frontālais iekrāvējs</t>
  </si>
  <si>
    <t>16.11.2020.</t>
  </si>
  <si>
    <t>20.11.2025.</t>
  </si>
  <si>
    <t>Līzings - mikroautobuss</t>
  </si>
  <si>
    <t>27.04.2021.</t>
  </si>
  <si>
    <t>27.04.2025.</t>
  </si>
  <si>
    <t>04.04.2022.</t>
  </si>
  <si>
    <t>20.03.2052.</t>
  </si>
  <si>
    <t>Līzings - skolēnu autobuss</t>
  </si>
  <si>
    <t>05.07.2023.</t>
  </si>
  <si>
    <t>Kopā citas ilgtermiņa saistības Ādaži:</t>
  </si>
  <si>
    <t>Aizdevumi un citas ilgtemiņa sistības kopā:</t>
  </si>
  <si>
    <t>x</t>
  </si>
  <si>
    <t>Saistību apmērs % no pamatbudžeta ieņēmumiem</t>
  </si>
  <si>
    <t>Max saistību papildus summa</t>
  </si>
  <si>
    <t>Kopējais saistību  summa</t>
  </si>
  <si>
    <t xml:space="preserve">Pašvaldības pamatbudžeta ieņēmumi bez mērķdotācijām un iemaksām pašvaldību </t>
  </si>
  <si>
    <t>finanšu  izlīdzināšanas fondā saimnieciskajā gadā:</t>
  </si>
  <si>
    <t>2023. gadā</t>
  </si>
  <si>
    <t>2024. gadā</t>
  </si>
  <si>
    <t xml:space="preserve"> 2025. gadā</t>
  </si>
  <si>
    <t>2026. gadā</t>
  </si>
  <si>
    <t>2027. gadā</t>
  </si>
  <si>
    <t xml:space="preserve"> 2028. gadā</t>
  </si>
  <si>
    <t>2029. gadā</t>
  </si>
  <si>
    <t>Aizņēmumu pamatsummas atmaksa - kopā</t>
  </si>
  <si>
    <t>Aizņēmumu procentu maksājumi - kopā</t>
  </si>
  <si>
    <t>Galvojumi un citas ilgtermiņa saistības - kopā:</t>
  </si>
  <si>
    <t>% maksas starpība</t>
  </si>
  <si>
    <t>Pavisam</t>
  </si>
  <si>
    <t>FAKTISKAIS UZ 18.09.2023.</t>
  </si>
  <si>
    <t>MODELĒŠANA</t>
  </si>
  <si>
    <t>Ar plānotajiem aizņēmumiem:</t>
  </si>
  <si>
    <t>VK atskaitē (tikai esošie aizņēmumi):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</si>
</sst>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#,##0.000"/>
    <numFmt numFmtId="167" formatCode="0.0%"/>
  </numFmts>
  <fonts count="6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</font>
    <font>
      <i/>
      <sz val="9"/>
      <color theme="3"/>
      <name val="Times New Roman"/>
      <family val="1"/>
      <charset val="186"/>
    </font>
    <font>
      <sz val="11"/>
      <color indexed="8"/>
      <name val="Calibri"/>
      <family val="2"/>
      <charset val="186"/>
    </font>
    <font>
      <sz val="9"/>
      <color rgb="FFFF0000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sz val="9"/>
      <color rgb="FF7030A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9"/>
      <color rgb="FFC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7030A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1"/>
      <color theme="3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b/>
      <i/>
      <sz val="8"/>
      <name val="Times New Roman"/>
      <family val="1"/>
      <charset val="186"/>
    </font>
    <font>
      <b/>
      <sz val="8"/>
      <color rgb="FFC00000"/>
      <name val="Times New Roman"/>
      <family val="1"/>
      <charset val="186"/>
    </font>
    <font>
      <b/>
      <sz val="8"/>
      <color rgb="FF7030A0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7030A0"/>
      <name val="Times New Roman"/>
      <family val="1"/>
      <charset val="186"/>
    </font>
    <font>
      <u/>
      <sz val="8"/>
      <color rgb="FFFF0000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i/>
      <sz val="8"/>
      <name val="Times New Roman"/>
      <family val="1"/>
    </font>
    <font>
      <sz val="9"/>
      <color theme="1"/>
      <name val="Arial"/>
      <family val="2"/>
      <charset val="186"/>
    </font>
    <font>
      <i/>
      <sz val="11"/>
      <color rgb="FFC00000"/>
      <name val="Calibri"/>
      <family val="2"/>
      <charset val="186"/>
      <scheme val="minor"/>
    </font>
    <font>
      <sz val="8"/>
      <color rgb="FFC0000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b/>
      <sz val="10"/>
      <name val="Times New Roman"/>
      <family val="1"/>
    </font>
    <font>
      <b/>
      <sz val="9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8"/>
      <color rgb="FF00B050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8"/>
      <color theme="3"/>
      <name val="Times New Roman"/>
      <family val="1"/>
      <charset val="186"/>
    </font>
    <font>
      <sz val="7"/>
      <color theme="2" tint="-0.499984740745262"/>
      <name val="Times New Roman"/>
      <family val="1"/>
      <charset val="186"/>
    </font>
    <font>
      <b/>
      <sz val="8"/>
      <color theme="4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i/>
      <sz val="8"/>
      <color theme="3"/>
      <name val="Times New Roman"/>
      <family val="1"/>
      <charset val="186"/>
    </font>
    <font>
      <b/>
      <sz val="9"/>
      <color theme="3"/>
      <name val="Times New Roman"/>
      <family val="1"/>
      <charset val="186"/>
    </font>
    <font>
      <b/>
      <i/>
      <sz val="9"/>
      <color theme="3"/>
      <name val="Times New Roman"/>
      <family val="1"/>
      <charset val="186"/>
    </font>
    <font>
      <sz val="8"/>
      <color rgb="FF7030A0"/>
      <name val="Times New Roman"/>
      <family val="1"/>
      <charset val="186"/>
    </font>
    <font>
      <i/>
      <sz val="9"/>
      <color indexed="56"/>
      <name val="Times New Roman"/>
      <family val="1"/>
      <charset val="186"/>
    </font>
    <font>
      <sz val="8"/>
      <color indexed="56"/>
      <name val="Times New Roman"/>
      <family val="1"/>
    </font>
    <font>
      <sz val="14"/>
      <name val="Times New Roman"/>
      <family val="1"/>
      <charset val="186"/>
    </font>
    <font>
      <sz val="14"/>
      <color rgb="FFC00000"/>
      <name val="Times New Roman"/>
      <family val="1"/>
      <charset val="186"/>
    </font>
    <font>
      <b/>
      <sz val="10"/>
      <color indexed="56"/>
      <name val="Times New Roman"/>
      <family val="1"/>
      <charset val="186"/>
    </font>
    <font>
      <sz val="9"/>
      <color indexed="56"/>
      <name val="Times New Roman"/>
      <family val="1"/>
      <charset val="186"/>
    </font>
    <font>
      <b/>
      <sz val="9"/>
      <color indexed="56"/>
      <name val="Times New Roman"/>
      <family val="1"/>
      <charset val="186"/>
    </font>
    <font>
      <sz val="8"/>
      <color indexed="56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5" tint="-0.24997711111789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" fillId="0" borderId="0"/>
    <xf numFmtId="43" fontId="31" fillId="0" borderId="0" applyFont="0" applyFill="0" applyBorder="0" applyAlignment="0" applyProtection="0"/>
    <xf numFmtId="0" fontId="3" fillId="0" borderId="0"/>
    <xf numFmtId="0" fontId="8" fillId="0" borderId="0"/>
  </cellStyleXfs>
  <cellXfs count="52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1" applyFont="1"/>
    <xf numFmtId="164" fontId="5" fillId="0" borderId="0" xfId="2" applyNumberFormat="1" applyFont="1" applyFill="1"/>
    <xf numFmtId="164" fontId="7" fillId="0" borderId="0" xfId="2" applyNumberFormat="1" applyFont="1" applyFill="1"/>
    <xf numFmtId="0" fontId="7" fillId="0" borderId="0" xfId="1" applyFont="1"/>
    <xf numFmtId="164" fontId="5" fillId="0" borderId="0" xfId="3" applyNumberFormat="1" applyFont="1" applyFill="1"/>
    <xf numFmtId="164" fontId="9" fillId="0" borderId="0" xfId="2" applyNumberFormat="1" applyFont="1" applyFill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" fillId="0" borderId="0" xfId="4" applyAlignment="1">
      <alignment horizontal="right"/>
    </xf>
    <xf numFmtId="0" fontId="12" fillId="0" borderId="0" xfId="4" applyFont="1" applyAlignment="1">
      <alignment horizontal="right"/>
    </xf>
    <xf numFmtId="0" fontId="13" fillId="0" borderId="0" xfId="1" applyFont="1"/>
    <xf numFmtId="0" fontId="14" fillId="0" borderId="0" xfId="4" applyFont="1"/>
    <xf numFmtId="0" fontId="6" fillId="0" borderId="0" xfId="1" applyFont="1" applyAlignment="1">
      <alignment horizontal="right"/>
    </xf>
    <xf numFmtId="164" fontId="7" fillId="0" borderId="0" xfId="2" applyNumberFormat="1" applyFont="1"/>
    <xf numFmtId="164" fontId="5" fillId="0" borderId="0" xfId="2" applyNumberFormat="1" applyFont="1"/>
    <xf numFmtId="164" fontId="9" fillId="0" borderId="0" xfId="3" applyNumberFormat="1" applyFont="1"/>
    <xf numFmtId="164" fontId="9" fillId="0" borderId="0" xfId="2" applyNumberFormat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4" applyFont="1"/>
    <xf numFmtId="0" fontId="12" fillId="0" borderId="0" xfId="4" applyFont="1"/>
    <xf numFmtId="0" fontId="1" fillId="0" borderId="0" xfId="4"/>
    <xf numFmtId="0" fontId="2" fillId="0" borderId="0" xfId="4" applyFont="1"/>
    <xf numFmtId="165" fontId="13" fillId="2" borderId="1" xfId="5" applyNumberFormat="1" applyFont="1" applyFill="1" applyBorder="1" applyAlignment="1">
      <alignment horizontal="center" vertical="center"/>
    </xf>
    <xf numFmtId="165" fontId="13" fillId="2" borderId="2" xfId="5" applyNumberFormat="1" applyFont="1" applyFill="1" applyBorder="1" applyAlignment="1">
      <alignment horizontal="center" vertical="center"/>
    </xf>
    <xf numFmtId="3" fontId="5" fillId="0" borderId="0" xfId="1" applyNumberFormat="1" applyFont="1"/>
    <xf numFmtId="165" fontId="13" fillId="0" borderId="3" xfId="5" applyNumberFormat="1" applyFont="1" applyFill="1" applyBorder="1" applyAlignment="1">
      <alignment horizontal="center" vertical="center"/>
    </xf>
    <xf numFmtId="165" fontId="13" fillId="0" borderId="4" xfId="5" applyNumberFormat="1" applyFont="1" applyFill="1" applyBorder="1" applyAlignment="1">
      <alignment horizontal="center" vertical="center"/>
    </xf>
    <xf numFmtId="164" fontId="9" fillId="0" borderId="0" xfId="3" applyNumberFormat="1" applyFont="1" applyFill="1"/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164" fontId="22" fillId="0" borderId="5" xfId="2" applyNumberFormat="1" applyFont="1" applyBorder="1" applyAlignment="1">
      <alignment horizontal="center" vertical="center" wrapText="1"/>
    </xf>
    <xf numFmtId="164" fontId="20" fillId="0" borderId="5" xfId="2" applyNumberFormat="1" applyFont="1" applyBorder="1" applyAlignment="1">
      <alignment horizontal="center" vertical="center" wrapText="1"/>
    </xf>
    <xf numFmtId="164" fontId="16" fillId="3" borderId="8" xfId="3" applyNumberFormat="1" applyFont="1" applyFill="1" applyBorder="1" applyAlignment="1">
      <alignment horizontal="center" vertical="center" wrapText="1"/>
    </xf>
    <xf numFmtId="164" fontId="16" fillId="0" borderId="8" xfId="2" applyNumberFormat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0" fillId="5" borderId="9" xfId="1" applyFont="1" applyFill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4" fillId="6" borderId="11" xfId="1" applyFont="1" applyFill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13" fillId="0" borderId="12" xfId="1" applyFont="1" applyBorder="1" applyAlignment="1">
      <alignment vertical="center"/>
    </xf>
    <xf numFmtId="14" fontId="6" fillId="0" borderId="12" xfId="1" applyNumberFormat="1" applyFont="1" applyBorder="1" applyAlignment="1">
      <alignment horizontal="right" vertical="center"/>
    </xf>
    <xf numFmtId="14" fontId="13" fillId="0" borderId="12" xfId="1" applyNumberFormat="1" applyFont="1" applyBorder="1" applyAlignment="1">
      <alignment horizontal="right" vertical="center"/>
    </xf>
    <xf numFmtId="164" fontId="25" fillId="0" borderId="14" xfId="2" applyNumberFormat="1" applyFont="1" applyFill="1" applyBorder="1" applyAlignment="1">
      <alignment horizontal="center" vertical="center"/>
    </xf>
    <xf numFmtId="164" fontId="20" fillId="7" borderId="13" xfId="2" applyNumberFormat="1" applyFont="1" applyFill="1" applyBorder="1" applyAlignment="1">
      <alignment horizontal="center" vertical="center"/>
    </xf>
    <xf numFmtId="164" fontId="13" fillId="0" borderId="13" xfId="2" applyNumberFormat="1" applyFont="1" applyFill="1" applyBorder="1" applyAlignment="1">
      <alignment horizontal="center" vertical="center"/>
    </xf>
    <xf numFmtId="165" fontId="13" fillId="0" borderId="13" xfId="5" applyNumberFormat="1" applyFont="1" applyFill="1" applyBorder="1" applyAlignment="1">
      <alignment horizontal="center" vertical="center"/>
    </xf>
    <xf numFmtId="10" fontId="13" fillId="0" borderId="14" xfId="1" applyNumberFormat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14" fontId="13" fillId="0" borderId="14" xfId="3" applyNumberFormat="1" applyFont="1" applyFill="1" applyBorder="1" applyAlignment="1">
      <alignment horizontal="center" vertical="center"/>
    </xf>
    <xf numFmtId="164" fontId="13" fillId="0" borderId="14" xfId="2" applyNumberFormat="1" applyFont="1" applyFill="1" applyBorder="1" applyAlignment="1">
      <alignment horizontal="center" vertical="center"/>
    </xf>
    <xf numFmtId="3" fontId="20" fillId="0" borderId="15" xfId="1" applyNumberFormat="1" applyFont="1" applyBorder="1" applyAlignment="1">
      <alignment vertical="center"/>
    </xf>
    <xf numFmtId="3" fontId="20" fillId="0" borderId="16" xfId="1" applyNumberFormat="1" applyFont="1" applyBorder="1" applyAlignment="1">
      <alignment vertical="center"/>
    </xf>
    <xf numFmtId="0" fontId="13" fillId="0" borderId="17" xfId="1" applyFont="1" applyBorder="1" applyAlignment="1">
      <alignment horizontal="center" vertical="center"/>
    </xf>
    <xf numFmtId="3" fontId="23" fillId="0" borderId="15" xfId="1" applyNumberFormat="1" applyFont="1" applyBorder="1" applyAlignment="1">
      <alignment horizontal="right" vertical="center"/>
    </xf>
    <xf numFmtId="3" fontId="20" fillId="0" borderId="15" xfId="1" applyNumberFormat="1" applyFont="1" applyBorder="1" applyAlignment="1">
      <alignment horizontal="right" vertical="center"/>
    </xf>
    <xf numFmtId="3" fontId="24" fillId="0" borderId="15" xfId="1" applyNumberFormat="1" applyFont="1" applyBorder="1" applyAlignment="1">
      <alignment horizontal="right" vertical="center"/>
    </xf>
    <xf numFmtId="3" fontId="20" fillId="6" borderId="15" xfId="1" applyNumberFormat="1" applyFont="1" applyFill="1" applyBorder="1" applyAlignment="1">
      <alignment horizontal="right" vertical="center"/>
    </xf>
    <xf numFmtId="3" fontId="1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6" borderId="18" xfId="1" applyFont="1" applyFill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13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right" vertical="center"/>
    </xf>
    <xf numFmtId="0" fontId="13" fillId="0" borderId="19" xfId="1" applyFont="1" applyBorder="1" applyAlignment="1">
      <alignment horizontal="right" vertical="center"/>
    </xf>
    <xf numFmtId="0" fontId="13" fillId="0" borderId="19" xfId="1" applyFont="1" applyBorder="1" applyAlignment="1">
      <alignment horizontal="center" vertical="center"/>
    </xf>
    <xf numFmtId="164" fontId="25" fillId="0" borderId="20" xfId="2" applyNumberFormat="1" applyFont="1" applyFill="1" applyBorder="1" applyAlignment="1">
      <alignment horizontal="center" vertical="center"/>
    </xf>
    <xf numFmtId="164" fontId="20" fillId="0" borderId="20" xfId="2" applyNumberFormat="1" applyFont="1" applyFill="1" applyBorder="1" applyAlignment="1">
      <alignment horizontal="center" vertical="center"/>
    </xf>
    <xf numFmtId="164" fontId="13" fillId="0" borderId="20" xfId="2" applyNumberFormat="1" applyFont="1" applyFill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164" fontId="13" fillId="0" borderId="20" xfId="3" applyNumberFormat="1" applyFont="1" applyFill="1" applyBorder="1" applyAlignment="1">
      <alignment horizontal="center" vertical="center"/>
    </xf>
    <xf numFmtId="3" fontId="20" fillId="0" borderId="21" xfId="1" applyNumberFormat="1" applyFont="1" applyBorder="1" applyAlignment="1">
      <alignment vertical="center"/>
    </xf>
    <xf numFmtId="3" fontId="20" fillId="0" borderId="22" xfId="1" applyNumberFormat="1" applyFont="1" applyBorder="1" applyAlignment="1">
      <alignment vertical="center"/>
    </xf>
    <xf numFmtId="0" fontId="13" fillId="0" borderId="23" xfId="1" applyFont="1" applyBorder="1" applyAlignment="1">
      <alignment horizontal="center" vertical="center"/>
    </xf>
    <xf numFmtId="3" fontId="23" fillId="0" borderId="24" xfId="1" applyNumberFormat="1" applyFont="1" applyBorder="1" applyAlignment="1">
      <alignment horizontal="right" vertical="center"/>
    </xf>
    <xf numFmtId="3" fontId="25" fillId="0" borderId="24" xfId="1" applyNumberFormat="1" applyFont="1" applyBorder="1" applyAlignment="1">
      <alignment horizontal="right" vertical="center"/>
    </xf>
    <xf numFmtId="3" fontId="27" fillId="0" borderId="24" xfId="1" applyNumberFormat="1" applyFont="1" applyBorder="1" applyAlignment="1">
      <alignment horizontal="right" vertical="center"/>
    </xf>
    <xf numFmtId="3" fontId="25" fillId="6" borderId="24" xfId="1" applyNumberFormat="1" applyFont="1" applyFill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4" fillId="6" borderId="25" xfId="1" applyFont="1" applyFill="1" applyBorder="1" applyAlignment="1">
      <alignment vertical="center"/>
    </xf>
    <xf numFmtId="0" fontId="6" fillId="0" borderId="26" xfId="1" applyFont="1" applyBorder="1" applyAlignment="1">
      <alignment vertical="center"/>
    </xf>
    <xf numFmtId="14" fontId="13" fillId="0" borderId="27" xfId="1" applyNumberFormat="1" applyFont="1" applyBorder="1" applyAlignment="1">
      <alignment horizontal="center" vertical="center"/>
    </xf>
    <xf numFmtId="14" fontId="13" fillId="0" borderId="26" xfId="1" applyNumberFormat="1" applyFont="1" applyBorder="1" applyAlignment="1">
      <alignment horizontal="center" vertical="center"/>
    </xf>
    <xf numFmtId="164" fontId="25" fillId="0" borderId="27" xfId="2" applyNumberFormat="1" applyFont="1" applyFill="1" applyBorder="1" applyAlignment="1">
      <alignment horizontal="center" vertical="center"/>
    </xf>
    <xf numFmtId="10" fontId="13" fillId="0" borderId="27" xfId="1" applyNumberFormat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14" fontId="13" fillId="0" borderId="27" xfId="3" applyNumberFormat="1" applyFont="1" applyFill="1" applyBorder="1" applyAlignment="1">
      <alignment horizontal="center" vertical="center"/>
    </xf>
    <xf numFmtId="164" fontId="13" fillId="0" borderId="27" xfId="2" applyNumberFormat="1" applyFont="1" applyFill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3" fontId="23" fillId="0" borderId="29" xfId="1" applyNumberFormat="1" applyFont="1" applyBorder="1" applyAlignment="1">
      <alignment horizontal="right" vertical="center"/>
    </xf>
    <xf numFmtId="3" fontId="20" fillId="0" borderId="29" xfId="1" applyNumberFormat="1" applyFont="1" applyBorder="1" applyAlignment="1">
      <alignment horizontal="right" vertical="center"/>
    </xf>
    <xf numFmtId="3" fontId="24" fillId="0" borderId="29" xfId="1" applyNumberFormat="1" applyFont="1" applyBorder="1" applyAlignment="1">
      <alignment horizontal="right" vertical="center"/>
    </xf>
    <xf numFmtId="3" fontId="20" fillId="8" borderId="29" xfId="1" applyNumberFormat="1" applyFont="1" applyFill="1" applyBorder="1" applyAlignment="1">
      <alignment horizontal="right" vertical="center"/>
    </xf>
    <xf numFmtId="3" fontId="20" fillId="6" borderId="29" xfId="1" applyNumberFormat="1" applyFont="1" applyFill="1" applyBorder="1" applyAlignment="1">
      <alignment horizontal="right" vertical="center"/>
    </xf>
    <xf numFmtId="3" fontId="20" fillId="0" borderId="24" xfId="1" applyNumberFormat="1" applyFont="1" applyBorder="1" applyAlignment="1">
      <alignment vertical="center"/>
    </xf>
    <xf numFmtId="3" fontId="20" fillId="0" borderId="30" xfId="1" applyNumberFormat="1" applyFont="1" applyBorder="1" applyAlignment="1">
      <alignment vertical="center"/>
    </xf>
    <xf numFmtId="14" fontId="13" fillId="0" borderId="14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right" vertical="center"/>
    </xf>
    <xf numFmtId="14" fontId="13" fillId="0" borderId="12" xfId="1" applyNumberFormat="1" applyFont="1" applyBorder="1" applyAlignment="1">
      <alignment horizontal="center" vertical="center"/>
    </xf>
    <xf numFmtId="164" fontId="20" fillId="0" borderId="15" xfId="3" applyNumberFormat="1" applyFont="1" applyFill="1" applyBorder="1" applyAlignment="1">
      <alignment horizontal="right" vertical="center"/>
    </xf>
    <xf numFmtId="164" fontId="20" fillId="6" borderId="15" xfId="3" applyNumberFormat="1" applyFont="1" applyFill="1" applyBorder="1" applyAlignment="1">
      <alignment horizontal="right" vertical="center"/>
    </xf>
    <xf numFmtId="0" fontId="28" fillId="0" borderId="0" xfId="1" applyFont="1" applyAlignment="1">
      <alignment horizontal="center" wrapText="1"/>
    </xf>
    <xf numFmtId="164" fontId="20" fillId="0" borderId="19" xfId="2" applyNumberFormat="1" applyFont="1" applyFill="1" applyBorder="1" applyAlignment="1">
      <alignment horizontal="center" vertical="center"/>
    </xf>
    <xf numFmtId="0" fontId="29" fillId="0" borderId="19" xfId="4" applyFont="1" applyBorder="1"/>
    <xf numFmtId="164" fontId="13" fillId="0" borderId="0" xfId="2" applyNumberFormat="1" applyFont="1" applyFill="1" applyBorder="1" applyAlignment="1">
      <alignment horizontal="center" vertical="center"/>
    </xf>
    <xf numFmtId="164" fontId="25" fillId="0" borderId="24" xfId="3" applyNumberFormat="1" applyFont="1" applyFill="1" applyBorder="1" applyAlignment="1">
      <alignment horizontal="right" vertical="center"/>
    </xf>
    <xf numFmtId="0" fontId="13" fillId="4" borderId="13" xfId="1" applyFont="1" applyFill="1" applyBorder="1" applyAlignment="1">
      <alignment horizontal="center" vertical="center"/>
    </xf>
    <xf numFmtId="14" fontId="13" fillId="4" borderId="14" xfId="1" applyNumberFormat="1" applyFont="1" applyFill="1" applyBorder="1" applyAlignment="1">
      <alignment horizontal="center" vertical="center"/>
    </xf>
    <xf numFmtId="1" fontId="13" fillId="4" borderId="12" xfId="1" applyNumberFormat="1" applyFont="1" applyFill="1" applyBorder="1" applyAlignment="1">
      <alignment horizontal="right" vertical="center"/>
    </xf>
    <xf numFmtId="0" fontId="13" fillId="4" borderId="26" xfId="1" applyFont="1" applyFill="1" applyBorder="1" applyAlignment="1">
      <alignment horizontal="right" vertical="center"/>
    </xf>
    <xf numFmtId="0" fontId="13" fillId="4" borderId="26" xfId="1" applyFont="1" applyFill="1" applyBorder="1" applyAlignment="1">
      <alignment horizontal="center" vertical="center"/>
    </xf>
    <xf numFmtId="164" fontId="25" fillId="4" borderId="14" xfId="2" applyNumberFormat="1" applyFont="1" applyFill="1" applyBorder="1" applyAlignment="1">
      <alignment horizontal="center" vertical="center"/>
    </xf>
    <xf numFmtId="164" fontId="13" fillId="4" borderId="13" xfId="2" applyNumberFormat="1" applyFont="1" applyFill="1" applyBorder="1" applyAlignment="1">
      <alignment horizontal="center" vertical="center"/>
    </xf>
    <xf numFmtId="10" fontId="13" fillId="4" borderId="14" xfId="1" applyNumberFormat="1" applyFont="1" applyFill="1" applyBorder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14" fontId="13" fillId="4" borderId="14" xfId="3" applyNumberFormat="1" applyFont="1" applyFill="1" applyBorder="1" applyAlignment="1">
      <alignment horizontal="center" vertical="center"/>
    </xf>
    <xf numFmtId="164" fontId="13" fillId="4" borderId="14" xfId="2" applyNumberFormat="1" applyFont="1" applyFill="1" applyBorder="1" applyAlignment="1">
      <alignment horizontal="center" vertical="center"/>
    </xf>
    <xf numFmtId="3" fontId="20" fillId="4" borderId="15" xfId="1" applyNumberFormat="1" applyFont="1" applyFill="1" applyBorder="1" applyAlignment="1">
      <alignment vertical="center"/>
    </xf>
    <xf numFmtId="3" fontId="20" fillId="4" borderId="16" xfId="1" applyNumberFormat="1" applyFont="1" applyFill="1" applyBorder="1" applyAlignment="1">
      <alignment vertical="center"/>
    </xf>
    <xf numFmtId="0" fontId="13" fillId="4" borderId="17" xfId="1" applyFont="1" applyFill="1" applyBorder="1" applyAlignment="1">
      <alignment horizontal="center" vertical="center"/>
    </xf>
    <xf numFmtId="3" fontId="23" fillId="4" borderId="15" xfId="1" applyNumberFormat="1" applyFont="1" applyFill="1" applyBorder="1" applyAlignment="1">
      <alignment horizontal="right" vertical="center"/>
    </xf>
    <xf numFmtId="3" fontId="20" fillId="4" borderId="15" xfId="1" applyNumberFormat="1" applyFont="1" applyFill="1" applyBorder="1" applyAlignment="1">
      <alignment horizontal="right" vertical="center"/>
    </xf>
    <xf numFmtId="3" fontId="24" fillId="4" borderId="15" xfId="1" applyNumberFormat="1" applyFont="1" applyFill="1" applyBorder="1" applyAlignment="1">
      <alignment horizontal="right" vertical="center"/>
    </xf>
    <xf numFmtId="0" fontId="5" fillId="4" borderId="0" xfId="1" applyFont="1" applyFill="1" applyAlignment="1">
      <alignment vertical="center"/>
    </xf>
    <xf numFmtId="0" fontId="13" fillId="4" borderId="20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right" vertical="center"/>
    </xf>
    <xf numFmtId="0" fontId="13" fillId="4" borderId="19" xfId="1" applyFont="1" applyFill="1" applyBorder="1" applyAlignment="1">
      <alignment horizontal="right" vertical="center"/>
    </xf>
    <xf numFmtId="0" fontId="13" fillId="4" borderId="19" xfId="1" applyFont="1" applyFill="1" applyBorder="1" applyAlignment="1">
      <alignment horizontal="center" vertical="center"/>
    </xf>
    <xf numFmtId="164" fontId="25" fillId="4" borderId="20" xfId="2" applyNumberFormat="1" applyFont="1" applyFill="1" applyBorder="1" applyAlignment="1">
      <alignment horizontal="center" vertical="center"/>
    </xf>
    <xf numFmtId="164" fontId="20" fillId="4" borderId="19" xfId="2" applyNumberFormat="1" applyFont="1" applyFill="1" applyBorder="1" applyAlignment="1">
      <alignment horizontal="center" vertical="center"/>
    </xf>
    <xf numFmtId="0" fontId="29" fillId="4" borderId="19" xfId="4" applyFont="1" applyFill="1" applyBorder="1"/>
    <xf numFmtId="164" fontId="13" fillId="4" borderId="0" xfId="2" applyNumberFormat="1" applyFont="1" applyFill="1" applyBorder="1" applyAlignment="1">
      <alignment horizontal="center" vertical="center"/>
    </xf>
    <xf numFmtId="0" fontId="26" fillId="4" borderId="20" xfId="1" applyFont="1" applyFill="1" applyBorder="1" applyAlignment="1">
      <alignment horizontal="center" vertical="center"/>
    </xf>
    <xf numFmtId="164" fontId="13" fillId="4" borderId="20" xfId="3" applyNumberFormat="1" applyFont="1" applyFill="1" applyBorder="1" applyAlignment="1">
      <alignment horizontal="center" vertical="center"/>
    </xf>
    <xf numFmtId="164" fontId="13" fillId="4" borderId="20" xfId="2" applyNumberFormat="1" applyFont="1" applyFill="1" applyBorder="1" applyAlignment="1">
      <alignment horizontal="center" vertical="center"/>
    </xf>
    <xf numFmtId="3" fontId="20" fillId="4" borderId="24" xfId="1" applyNumberFormat="1" applyFont="1" applyFill="1" applyBorder="1" applyAlignment="1">
      <alignment vertical="center"/>
    </xf>
    <xf numFmtId="3" fontId="20" fillId="4" borderId="30" xfId="1" applyNumberFormat="1" applyFont="1" applyFill="1" applyBorder="1" applyAlignment="1">
      <alignment vertical="center"/>
    </xf>
    <xf numFmtId="0" fontId="13" fillId="4" borderId="23" xfId="1" applyFont="1" applyFill="1" applyBorder="1" applyAlignment="1">
      <alignment horizontal="center" vertical="center"/>
    </xf>
    <xf numFmtId="3" fontId="23" fillId="4" borderId="24" xfId="1" applyNumberFormat="1" applyFont="1" applyFill="1" applyBorder="1" applyAlignment="1">
      <alignment horizontal="right" vertical="center"/>
    </xf>
    <xf numFmtId="0" fontId="16" fillId="4" borderId="0" xfId="1" applyFont="1" applyFill="1" applyAlignment="1">
      <alignment vertical="center"/>
    </xf>
    <xf numFmtId="1" fontId="13" fillId="0" borderId="12" xfId="1" applyNumberFormat="1" applyFont="1" applyBorder="1" applyAlignment="1">
      <alignment horizontal="right" vertical="center"/>
    </xf>
    <xf numFmtId="0" fontId="13" fillId="0" borderId="26" xfId="1" applyFont="1" applyBorder="1" applyAlignment="1">
      <alignment horizontal="center" vertical="center"/>
    </xf>
    <xf numFmtId="0" fontId="6" fillId="0" borderId="26" xfId="1" applyFont="1" applyBorder="1" applyAlignment="1">
      <alignment horizontal="right" vertical="center"/>
    </xf>
    <xf numFmtId="0" fontId="13" fillId="0" borderId="26" xfId="1" applyFont="1" applyBorder="1" applyAlignment="1">
      <alignment horizontal="right" vertical="center"/>
    </xf>
    <xf numFmtId="164" fontId="20" fillId="0" borderId="27" xfId="2" applyNumberFormat="1" applyFont="1" applyFill="1" applyBorder="1" applyAlignment="1">
      <alignment horizontal="center" vertical="center"/>
    </xf>
    <xf numFmtId="0" fontId="29" fillId="0" borderId="27" xfId="4" applyFont="1" applyBorder="1"/>
    <xf numFmtId="164" fontId="13" fillId="0" borderId="27" xfId="3" applyNumberFormat="1" applyFont="1" applyFill="1" applyBorder="1" applyAlignment="1">
      <alignment horizontal="center" vertical="center"/>
    </xf>
    <xf numFmtId="3" fontId="20" fillId="0" borderId="31" xfId="1" applyNumberFormat="1" applyFont="1" applyBorder="1" applyAlignment="1">
      <alignment vertical="center"/>
    </xf>
    <xf numFmtId="3" fontId="20" fillId="0" borderId="32" xfId="1" applyNumberFormat="1" applyFont="1" applyBorder="1" applyAlignment="1">
      <alignment vertical="center"/>
    </xf>
    <xf numFmtId="3" fontId="23" fillId="4" borderId="31" xfId="1" applyNumberFormat="1" applyFont="1" applyFill="1" applyBorder="1" applyAlignment="1">
      <alignment horizontal="right" vertical="center"/>
    </xf>
    <xf numFmtId="3" fontId="20" fillId="0" borderId="31" xfId="1" applyNumberFormat="1" applyFont="1" applyBorder="1" applyAlignment="1">
      <alignment horizontal="right" vertical="center"/>
    </xf>
    <xf numFmtId="3" fontId="24" fillId="0" borderId="31" xfId="1" applyNumberFormat="1" applyFont="1" applyBorder="1" applyAlignment="1">
      <alignment horizontal="right" vertical="center"/>
    </xf>
    <xf numFmtId="0" fontId="29" fillId="0" borderId="20" xfId="4" applyFont="1" applyBorder="1"/>
    <xf numFmtId="164" fontId="13" fillId="0" borderId="4" xfId="2" applyNumberFormat="1" applyFont="1" applyFill="1" applyBorder="1" applyAlignment="1">
      <alignment horizontal="center" vertical="center"/>
    </xf>
    <xf numFmtId="16" fontId="4" fillId="6" borderId="11" xfId="1" applyNumberFormat="1" applyFont="1" applyFill="1" applyBorder="1" applyAlignment="1">
      <alignment vertical="center"/>
    </xf>
    <xf numFmtId="164" fontId="20" fillId="0" borderId="13" xfId="2" applyNumberFormat="1" applyFont="1" applyFill="1" applyBorder="1" applyAlignment="1">
      <alignment horizontal="center" vertical="center"/>
    </xf>
    <xf numFmtId="165" fontId="26" fillId="0" borderId="14" xfId="5" applyNumberFormat="1" applyFont="1" applyFill="1" applyBorder="1" applyAlignment="1">
      <alignment horizontal="center" vertical="center"/>
    </xf>
    <xf numFmtId="164" fontId="13" fillId="0" borderId="14" xfId="3" applyNumberFormat="1" applyFont="1" applyFill="1" applyBorder="1" applyAlignment="1">
      <alignment horizontal="center" vertical="center"/>
    </xf>
    <xf numFmtId="164" fontId="24" fillId="0" borderId="15" xfId="3" applyNumberFormat="1" applyFont="1" applyFill="1" applyBorder="1" applyAlignment="1">
      <alignment horizontal="right" vertical="center"/>
    </xf>
    <xf numFmtId="0" fontId="30" fillId="0" borderId="19" xfId="1" applyFont="1" applyBorder="1" applyAlignment="1">
      <alignment vertical="center"/>
    </xf>
    <xf numFmtId="164" fontId="27" fillId="0" borderId="24" xfId="3" applyNumberFormat="1" applyFont="1" applyFill="1" applyBorder="1" applyAlignment="1">
      <alignment horizontal="right" vertical="center"/>
    </xf>
    <xf numFmtId="3" fontId="23" fillId="0" borderId="31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0" fontId="13" fillId="0" borderId="12" xfId="1" applyFont="1" applyBorder="1" applyAlignment="1">
      <alignment horizontal="center" vertical="center"/>
    </xf>
    <xf numFmtId="164" fontId="20" fillId="7" borderId="12" xfId="2" applyNumberFormat="1" applyFont="1" applyFill="1" applyBorder="1" applyAlignment="1">
      <alignment horizontal="center" vertical="center"/>
    </xf>
    <xf numFmtId="165" fontId="13" fillId="0" borderId="14" xfId="5" applyNumberFormat="1" applyFont="1" applyFill="1" applyBorder="1" applyAlignment="1">
      <alignment horizontal="center" vertical="center"/>
    </xf>
    <xf numFmtId="3" fontId="20" fillId="8" borderId="15" xfId="1" applyNumberFormat="1" applyFont="1" applyFill="1" applyBorder="1" applyAlignment="1">
      <alignment horizontal="right" vertical="center"/>
    </xf>
    <xf numFmtId="3" fontId="20" fillId="0" borderId="24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164" fontId="20" fillId="9" borderId="12" xfId="2" applyNumberFormat="1" applyFont="1" applyFill="1" applyBorder="1" applyAlignment="1">
      <alignment horizontal="center" vertical="center"/>
    </xf>
    <xf numFmtId="14" fontId="13" fillId="8" borderId="14" xfId="3" applyNumberFormat="1" applyFont="1" applyFill="1" applyBorder="1" applyAlignment="1">
      <alignment horizontal="center" vertical="center"/>
    </xf>
    <xf numFmtId="0" fontId="26" fillId="0" borderId="20" xfId="1" applyFont="1" applyBorder="1" applyAlignment="1">
      <alignment horizontal="right" vertical="center"/>
    </xf>
    <xf numFmtId="164" fontId="20" fillId="9" borderId="26" xfId="2" applyNumberFormat="1" applyFont="1" applyFill="1" applyBorder="1" applyAlignment="1">
      <alignment horizontal="center" vertical="center"/>
    </xf>
    <xf numFmtId="3" fontId="24" fillId="0" borderId="24" xfId="1" applyNumberFormat="1" applyFont="1" applyBorder="1" applyAlignment="1">
      <alignment horizontal="right" vertical="center"/>
    </xf>
    <xf numFmtId="164" fontId="20" fillId="10" borderId="13" xfId="2" applyNumberFormat="1" applyFont="1" applyFill="1" applyBorder="1" applyAlignment="1">
      <alignment horizontal="center" vertical="center"/>
    </xf>
    <xf numFmtId="3" fontId="20" fillId="11" borderId="15" xfId="1" applyNumberFormat="1" applyFont="1" applyFill="1" applyBorder="1" applyAlignment="1">
      <alignment horizontal="right" vertical="center"/>
    </xf>
    <xf numFmtId="14" fontId="13" fillId="0" borderId="26" xfId="1" applyNumberFormat="1" applyFont="1" applyBorder="1" applyAlignment="1">
      <alignment horizontal="right" vertical="center"/>
    </xf>
    <xf numFmtId="165" fontId="13" fillId="0" borderId="0" xfId="6" applyNumberFormat="1" applyFont="1" applyAlignment="1">
      <alignment vertical="center"/>
    </xf>
    <xf numFmtId="0" fontId="32" fillId="0" borderId="19" xfId="4" applyFont="1" applyBorder="1"/>
    <xf numFmtId="164" fontId="33" fillId="0" borderId="0" xfId="2" applyNumberFormat="1" applyFont="1" applyFill="1" applyBorder="1" applyAlignment="1">
      <alignment horizontal="center" vertical="center"/>
    </xf>
    <xf numFmtId="0" fontId="33" fillId="0" borderId="20" xfId="1" applyFont="1" applyBorder="1" applyAlignment="1">
      <alignment horizontal="center" vertical="center"/>
    </xf>
    <xf numFmtId="164" fontId="33" fillId="0" borderId="20" xfId="3" applyNumberFormat="1" applyFont="1" applyFill="1" applyBorder="1" applyAlignment="1">
      <alignment horizontal="center" vertical="center"/>
    </xf>
    <xf numFmtId="164" fontId="33" fillId="0" borderId="20" xfId="2" applyNumberFormat="1" applyFont="1" applyFill="1" applyBorder="1" applyAlignment="1">
      <alignment horizontal="center" vertical="center"/>
    </xf>
    <xf numFmtId="3" fontId="23" fillId="0" borderId="24" xfId="1" applyNumberFormat="1" applyFont="1" applyBorder="1" applyAlignment="1">
      <alignment vertical="center"/>
    </xf>
    <xf numFmtId="3" fontId="23" fillId="0" borderId="30" xfId="1" applyNumberFormat="1" applyFont="1" applyBorder="1" applyAlignment="1">
      <alignment vertical="center"/>
    </xf>
    <xf numFmtId="164" fontId="25" fillId="6" borderId="24" xfId="3" applyNumberFormat="1" applyFont="1" applyFill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13" fillId="0" borderId="0" xfId="7" applyFont="1" applyAlignment="1">
      <alignment vertical="center"/>
    </xf>
    <xf numFmtId="0" fontId="5" fillId="12" borderId="0" xfId="1" applyFont="1" applyFill="1" applyAlignment="1">
      <alignment vertical="center"/>
    </xf>
    <xf numFmtId="164" fontId="34" fillId="0" borderId="19" xfId="2" applyNumberFormat="1" applyFont="1" applyFill="1" applyBorder="1" applyAlignment="1">
      <alignment horizontal="center" vertical="center"/>
    </xf>
    <xf numFmtId="0" fontId="16" fillId="12" borderId="0" xfId="1" applyFont="1" applyFill="1" applyAlignment="1">
      <alignment vertical="center"/>
    </xf>
    <xf numFmtId="0" fontId="35" fillId="13" borderId="11" xfId="1" applyFont="1" applyFill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6" fillId="0" borderId="13" xfId="1" applyFont="1" applyBorder="1" applyAlignment="1">
      <alignment horizontal="center" vertical="center"/>
    </xf>
    <xf numFmtId="14" fontId="6" fillId="0" borderId="14" xfId="1" applyNumberFormat="1" applyFont="1" applyBorder="1" applyAlignment="1">
      <alignment horizontal="center" vertical="center"/>
    </xf>
    <xf numFmtId="3" fontId="25" fillId="0" borderId="31" xfId="1" applyNumberFormat="1" applyFont="1" applyBorder="1" applyAlignment="1">
      <alignment horizontal="right" vertical="center"/>
    </xf>
    <xf numFmtId="3" fontId="27" fillId="0" borderId="31" xfId="1" applyNumberFormat="1" applyFont="1" applyBorder="1" applyAlignment="1">
      <alignment horizontal="right" vertical="center"/>
    </xf>
    <xf numFmtId="0" fontId="6" fillId="0" borderId="26" xfId="1" applyFont="1" applyBorder="1" applyAlignment="1">
      <alignment vertical="center" wrapText="1"/>
    </xf>
    <xf numFmtId="164" fontId="34" fillId="0" borderId="27" xfId="2" applyNumberFormat="1" applyFont="1" applyFill="1" applyBorder="1" applyAlignment="1">
      <alignment horizontal="center" vertical="center"/>
    </xf>
    <xf numFmtId="0" fontId="26" fillId="0" borderId="27" xfId="1" applyFont="1" applyBorder="1" applyAlignment="1">
      <alignment horizontal="center" vertical="center"/>
    </xf>
    <xf numFmtId="164" fontId="23" fillId="0" borderId="19" xfId="2" applyNumberFormat="1" applyFont="1" applyFill="1" applyBorder="1" applyAlignment="1">
      <alignment horizontal="center" vertical="center"/>
    </xf>
    <xf numFmtId="1" fontId="26" fillId="0" borderId="12" xfId="1" applyNumberFormat="1" applyFont="1" applyBorder="1" applyAlignment="1">
      <alignment horizontal="right" vertical="center"/>
    </xf>
    <xf numFmtId="164" fontId="20" fillId="14" borderId="13" xfId="2" applyNumberFormat="1" applyFont="1" applyFill="1" applyBorder="1" applyAlignment="1">
      <alignment horizontal="center" vertical="center"/>
    </xf>
    <xf numFmtId="3" fontId="34" fillId="0" borderId="15" xfId="1" applyNumberFormat="1" applyFont="1" applyBorder="1" applyAlignment="1">
      <alignment horizontal="right" vertical="center"/>
    </xf>
    <xf numFmtId="0" fontId="36" fillId="0" borderId="0" xfId="1" applyFont="1" applyAlignment="1">
      <alignment vertical="center"/>
    </xf>
    <xf numFmtId="0" fontId="13" fillId="0" borderId="19" xfId="1" applyFont="1" applyBorder="1" applyAlignment="1">
      <alignment vertical="center"/>
    </xf>
    <xf numFmtId="0" fontId="26" fillId="0" borderId="19" xfId="1" applyFont="1" applyBorder="1" applyAlignment="1">
      <alignment horizontal="right" vertical="center"/>
    </xf>
    <xf numFmtId="3" fontId="34" fillId="0" borderId="24" xfId="1" applyNumberFormat="1" applyFont="1" applyBorder="1" applyAlignment="1">
      <alignment horizontal="right" vertical="center"/>
    </xf>
    <xf numFmtId="164" fontId="20" fillId="15" borderId="13" xfId="2" applyNumberFormat="1" applyFont="1" applyFill="1" applyBorder="1" applyAlignment="1">
      <alignment horizontal="center" vertical="center"/>
    </xf>
    <xf numFmtId="0" fontId="4" fillId="10" borderId="11" xfId="1" applyFont="1" applyFill="1" applyBorder="1" applyAlignment="1">
      <alignment vertical="center"/>
    </xf>
    <xf numFmtId="3" fontId="20" fillId="10" borderId="15" xfId="1" applyNumberFormat="1" applyFont="1" applyFill="1" applyBorder="1" applyAlignment="1">
      <alignment horizontal="right" vertical="center"/>
    </xf>
    <xf numFmtId="0" fontId="4" fillId="10" borderId="18" xfId="1" applyFont="1" applyFill="1" applyBorder="1" applyAlignment="1">
      <alignment vertical="center"/>
    </xf>
    <xf numFmtId="3" fontId="25" fillId="10" borderId="24" xfId="1" applyNumberFormat="1" applyFont="1" applyFill="1" applyBorder="1" applyAlignment="1">
      <alignment horizontal="right" vertical="center"/>
    </xf>
    <xf numFmtId="0" fontId="40" fillId="0" borderId="36" xfId="8" applyFont="1" applyBorder="1"/>
    <xf numFmtId="0" fontId="13" fillId="0" borderId="39" xfId="8" applyFont="1" applyBorder="1" applyAlignment="1">
      <alignment horizontal="center" vertical="center" wrapText="1"/>
    </xf>
    <xf numFmtId="0" fontId="40" fillId="0" borderId="33" xfId="8" applyFont="1" applyBorder="1"/>
    <xf numFmtId="165" fontId="13" fillId="0" borderId="40" xfId="8" applyNumberFormat="1" applyFont="1" applyBorder="1" applyAlignment="1">
      <alignment horizontal="center" vertical="center"/>
    </xf>
    <xf numFmtId="14" fontId="41" fillId="0" borderId="36" xfId="8" applyNumberFormat="1" applyFont="1" applyBorder="1"/>
    <xf numFmtId="0" fontId="4" fillId="9" borderId="11" xfId="1" applyFont="1" applyFill="1" applyBorder="1" applyAlignment="1">
      <alignment vertical="center"/>
    </xf>
    <xf numFmtId="0" fontId="4" fillId="9" borderId="18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64" fontId="25" fillId="0" borderId="0" xfId="2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 vertical="center"/>
    </xf>
    <xf numFmtId="0" fontId="29" fillId="0" borderId="0" xfId="4" applyFont="1"/>
    <xf numFmtId="164" fontId="13" fillId="0" borderId="0" xfId="3" applyNumberFormat="1" applyFont="1" applyFill="1" applyBorder="1" applyAlignment="1">
      <alignment horizontal="center" vertical="center"/>
    </xf>
    <xf numFmtId="3" fontId="20" fillId="0" borderId="0" xfId="1" applyNumberFormat="1" applyFont="1" applyAlignment="1">
      <alignment vertical="center"/>
    </xf>
    <xf numFmtId="0" fontId="20" fillId="0" borderId="0" xfId="1" applyFont="1" applyAlignment="1">
      <alignment horizontal="right" vertical="center"/>
    </xf>
    <xf numFmtId="3" fontId="20" fillId="0" borderId="0" xfId="1" applyNumberFormat="1" applyFont="1" applyAlignment="1">
      <alignment horizontal="right" vertical="center"/>
    </xf>
    <xf numFmtId="3" fontId="20" fillId="0" borderId="41" xfId="1" applyNumberFormat="1" applyFont="1" applyBorder="1" applyAlignment="1">
      <alignment horizontal="right" vertical="center"/>
    </xf>
    <xf numFmtId="3" fontId="24" fillId="12" borderId="41" xfId="1" applyNumberFormat="1" applyFont="1" applyFill="1" applyBorder="1" applyAlignment="1">
      <alignment horizontal="right" vertical="center"/>
    </xf>
    <xf numFmtId="3" fontId="20" fillId="12" borderId="41" xfId="1" applyNumberFormat="1" applyFont="1" applyFill="1" applyBorder="1" applyAlignment="1">
      <alignment horizontal="right" vertical="center"/>
    </xf>
    <xf numFmtId="0" fontId="20" fillId="0" borderId="0" xfId="1" applyFont="1" applyAlignment="1">
      <alignment vertical="center"/>
    </xf>
    <xf numFmtId="164" fontId="42" fillId="0" borderId="0" xfId="2" applyNumberFormat="1" applyFont="1" applyBorder="1"/>
    <xf numFmtId="164" fontId="5" fillId="0" borderId="0" xfId="2" applyNumberFormat="1" applyFont="1" applyBorder="1"/>
    <xf numFmtId="164" fontId="5" fillId="0" borderId="0" xfId="3" applyNumberFormat="1" applyFont="1" applyBorder="1"/>
    <xf numFmtId="3" fontId="16" fillId="0" borderId="0" xfId="1" applyNumberFormat="1" applyFont="1"/>
    <xf numFmtId="0" fontId="20" fillId="14" borderId="0" xfId="1" applyFont="1" applyFill="1" applyAlignment="1">
      <alignment vertical="center"/>
    </xf>
    <xf numFmtId="0" fontId="13" fillId="14" borderId="0" xfId="1" applyFont="1" applyFill="1" applyAlignment="1">
      <alignment vertical="center"/>
    </xf>
    <xf numFmtId="0" fontId="13" fillId="14" borderId="0" xfId="1" applyFont="1" applyFill="1" applyAlignment="1">
      <alignment horizontal="center" vertical="center"/>
    </xf>
    <xf numFmtId="0" fontId="6" fillId="14" borderId="0" xfId="1" applyFont="1" applyFill="1" applyAlignment="1">
      <alignment horizontal="right" vertical="center"/>
    </xf>
    <xf numFmtId="164" fontId="43" fillId="14" borderId="0" xfId="2" applyNumberFormat="1" applyFont="1" applyFill="1" applyBorder="1" applyAlignment="1">
      <alignment horizontal="center" vertical="center"/>
    </xf>
    <xf numFmtId="164" fontId="13" fillId="14" borderId="0" xfId="2" applyNumberFormat="1" applyFont="1" applyFill="1" applyBorder="1" applyAlignment="1">
      <alignment horizontal="center" vertical="center"/>
    </xf>
    <xf numFmtId="164" fontId="43" fillId="0" borderId="0" xfId="2" applyNumberFormat="1" applyFont="1" applyBorder="1" applyAlignment="1">
      <alignment horizontal="center" vertical="center"/>
    </xf>
    <xf numFmtId="164" fontId="13" fillId="0" borderId="0" xfId="2" applyNumberFormat="1" applyFont="1" applyBorder="1" applyAlignment="1">
      <alignment horizontal="center" vertical="center"/>
    </xf>
    <xf numFmtId="164" fontId="13" fillId="14" borderId="42" xfId="2" applyNumberFormat="1" applyFont="1" applyFill="1" applyBorder="1" applyAlignment="1">
      <alignment horizontal="center" vertical="center"/>
    </xf>
    <xf numFmtId="3" fontId="23" fillId="0" borderId="0" xfId="1" applyNumberFormat="1" applyFont="1" applyAlignment="1">
      <alignment horizontal="right" vertical="center"/>
    </xf>
    <xf numFmtId="3" fontId="20" fillId="14" borderId="0" xfId="1" applyNumberFormat="1" applyFont="1" applyFill="1" applyAlignment="1">
      <alignment horizontal="right" vertical="center"/>
    </xf>
    <xf numFmtId="3" fontId="24" fillId="14" borderId="0" xfId="1" applyNumberFormat="1" applyFont="1" applyFill="1" applyAlignment="1">
      <alignment horizontal="right" vertical="center"/>
    </xf>
    <xf numFmtId="43" fontId="16" fillId="0" borderId="0" xfId="9" applyFont="1" applyAlignment="1">
      <alignment vertical="center"/>
    </xf>
    <xf numFmtId="0" fontId="16" fillId="14" borderId="43" xfId="1" applyFont="1" applyFill="1" applyBorder="1" applyAlignment="1">
      <alignment horizontal="right"/>
    </xf>
    <xf numFmtId="0" fontId="13" fillId="14" borderId="43" xfId="1" applyFont="1" applyFill="1" applyBorder="1" applyAlignment="1">
      <alignment vertical="center"/>
    </xf>
    <xf numFmtId="0" fontId="13" fillId="14" borderId="43" xfId="1" applyFont="1" applyFill="1" applyBorder="1" applyAlignment="1">
      <alignment horizontal="center" vertical="center"/>
    </xf>
    <xf numFmtId="0" fontId="6" fillId="14" borderId="43" xfId="1" applyFont="1" applyFill="1" applyBorder="1" applyAlignment="1">
      <alignment horizontal="right" vertical="center"/>
    </xf>
    <xf numFmtId="0" fontId="25" fillId="14" borderId="43" xfId="1" applyFont="1" applyFill="1" applyBorder="1" applyAlignment="1">
      <alignment vertical="center"/>
    </xf>
    <xf numFmtId="0" fontId="20" fillId="14" borderId="43" xfId="1" applyFont="1" applyFill="1" applyBorder="1" applyAlignment="1">
      <alignment vertical="center"/>
    </xf>
    <xf numFmtId="164" fontId="43" fillId="14" borderId="43" xfId="2" applyNumberFormat="1" applyFont="1" applyFill="1" applyBorder="1" applyAlignment="1">
      <alignment horizontal="center" vertical="center"/>
    </xf>
    <xf numFmtId="164" fontId="13" fillId="14" borderId="43" xfId="2" applyNumberFormat="1" applyFont="1" applyFill="1" applyBorder="1" applyAlignment="1">
      <alignment horizontal="center" vertical="center"/>
    </xf>
    <xf numFmtId="164" fontId="43" fillId="0" borderId="43" xfId="2" applyNumberFormat="1" applyFont="1" applyBorder="1" applyAlignment="1">
      <alignment horizontal="center" vertical="center"/>
    </xf>
    <xf numFmtId="164" fontId="13" fillId="0" borderId="43" xfId="2" applyNumberFormat="1" applyFont="1" applyBorder="1" applyAlignment="1">
      <alignment horizontal="center" vertical="center"/>
    </xf>
    <xf numFmtId="3" fontId="23" fillId="0" borderId="43" xfId="1" applyNumberFormat="1" applyFont="1" applyBorder="1" applyAlignment="1">
      <alignment horizontal="right" vertical="center"/>
    </xf>
    <xf numFmtId="3" fontId="25" fillId="14" borderId="43" xfId="1" applyNumberFormat="1" applyFont="1" applyFill="1" applyBorder="1" applyAlignment="1">
      <alignment horizontal="right" vertical="center"/>
    </xf>
    <xf numFmtId="3" fontId="27" fillId="14" borderId="43" xfId="1" applyNumberFormat="1" applyFont="1" applyFill="1" applyBorder="1" applyAlignment="1">
      <alignment horizontal="right" vertical="center"/>
    </xf>
    <xf numFmtId="0" fontId="16" fillId="14" borderId="0" xfId="1" applyFont="1" applyFill="1" applyAlignment="1">
      <alignment horizontal="right"/>
    </xf>
    <xf numFmtId="0" fontId="16" fillId="0" borderId="0" xfId="1" applyFont="1" applyAlignment="1">
      <alignment horizontal="right"/>
    </xf>
    <xf numFmtId="0" fontId="6" fillId="0" borderId="0" xfId="1" applyFont="1" applyAlignment="1">
      <alignment horizontal="right" vertical="center"/>
    </xf>
    <xf numFmtId="164" fontId="43" fillId="0" borderId="0" xfId="2" applyNumberFormat="1" applyFont="1" applyFill="1" applyBorder="1" applyAlignment="1">
      <alignment horizontal="center" vertical="center"/>
    </xf>
    <xf numFmtId="3" fontId="24" fillId="0" borderId="0" xfId="1" applyNumberFormat="1" applyFont="1" applyAlignment="1">
      <alignment horizontal="right" vertical="center"/>
    </xf>
    <xf numFmtId="3" fontId="44" fillId="0" borderId="0" xfId="1" applyNumberFormat="1" applyFont="1" applyAlignment="1">
      <alignment horizontal="right" vertical="center"/>
    </xf>
    <xf numFmtId="0" fontId="20" fillId="17" borderId="0" xfId="1" applyFont="1" applyFill="1" applyAlignment="1">
      <alignment vertical="center"/>
    </xf>
    <xf numFmtId="0" fontId="13" fillId="17" borderId="0" xfId="1" applyFont="1" applyFill="1" applyAlignment="1">
      <alignment vertical="center"/>
    </xf>
    <xf numFmtId="0" fontId="13" fillId="17" borderId="0" xfId="1" applyFont="1" applyFill="1" applyAlignment="1">
      <alignment horizontal="center" vertical="center"/>
    </xf>
    <xf numFmtId="0" fontId="6" fillId="17" borderId="0" xfId="1" applyFont="1" applyFill="1" applyAlignment="1">
      <alignment horizontal="right" vertical="center"/>
    </xf>
    <xf numFmtId="164" fontId="43" fillId="17" borderId="0" xfId="2" applyNumberFormat="1" applyFont="1" applyFill="1" applyBorder="1" applyAlignment="1">
      <alignment horizontal="center" vertical="center"/>
    </xf>
    <xf numFmtId="164" fontId="13" fillId="17" borderId="0" xfId="2" applyNumberFormat="1" applyFont="1" applyFill="1" applyBorder="1" applyAlignment="1">
      <alignment horizontal="center" vertical="center"/>
    </xf>
    <xf numFmtId="3" fontId="20" fillId="17" borderId="0" xfId="1" applyNumberFormat="1" applyFont="1" applyFill="1" applyAlignment="1">
      <alignment horizontal="right" vertical="center"/>
    </xf>
    <xf numFmtId="3" fontId="24" fillId="17" borderId="0" xfId="1" applyNumberFormat="1" applyFont="1" applyFill="1" applyAlignment="1">
      <alignment horizontal="right" vertical="center"/>
    </xf>
    <xf numFmtId="0" fontId="16" fillId="17" borderId="43" xfId="1" applyFont="1" applyFill="1" applyBorder="1" applyAlignment="1">
      <alignment horizontal="right"/>
    </xf>
    <xf numFmtId="0" fontId="13" fillId="17" borderId="43" xfId="1" applyFont="1" applyFill="1" applyBorder="1" applyAlignment="1">
      <alignment vertical="center"/>
    </xf>
    <xf numFmtId="0" fontId="13" fillId="17" borderId="43" xfId="1" applyFont="1" applyFill="1" applyBorder="1" applyAlignment="1">
      <alignment horizontal="center" vertical="center"/>
    </xf>
    <xf numFmtId="0" fontId="6" fillId="17" borderId="43" xfId="1" applyFont="1" applyFill="1" applyBorder="1" applyAlignment="1">
      <alignment horizontal="right" vertical="center"/>
    </xf>
    <xf numFmtId="0" fontId="25" fillId="17" borderId="43" xfId="1" applyFont="1" applyFill="1" applyBorder="1" applyAlignment="1">
      <alignment vertical="center"/>
    </xf>
    <xf numFmtId="0" fontId="20" fillId="17" borderId="43" xfId="1" applyFont="1" applyFill="1" applyBorder="1" applyAlignment="1">
      <alignment vertical="center"/>
    </xf>
    <xf numFmtId="164" fontId="43" fillId="17" borderId="43" xfId="2" applyNumberFormat="1" applyFont="1" applyFill="1" applyBorder="1" applyAlignment="1">
      <alignment horizontal="center" vertical="center"/>
    </xf>
    <xf numFmtId="164" fontId="13" fillId="17" borderId="43" xfId="2" applyNumberFormat="1" applyFont="1" applyFill="1" applyBorder="1" applyAlignment="1">
      <alignment horizontal="center" vertical="center"/>
    </xf>
    <xf numFmtId="3" fontId="25" fillId="17" borderId="43" xfId="1" applyNumberFormat="1" applyFont="1" applyFill="1" applyBorder="1" applyAlignment="1">
      <alignment horizontal="right" vertical="center"/>
    </xf>
    <xf numFmtId="3" fontId="27" fillId="17" borderId="43" xfId="1" applyNumberFormat="1" applyFont="1" applyFill="1" applyBorder="1" applyAlignment="1">
      <alignment horizontal="right" vertical="center"/>
    </xf>
    <xf numFmtId="0" fontId="16" fillId="17" borderId="0" xfId="1" applyFont="1" applyFill="1" applyAlignment="1">
      <alignment horizontal="right"/>
    </xf>
    <xf numFmtId="0" fontId="20" fillId="18" borderId="0" xfId="1" applyFont="1" applyFill="1" applyAlignment="1">
      <alignment vertical="center"/>
    </xf>
    <xf numFmtId="0" fontId="13" fillId="18" borderId="0" xfId="1" applyFont="1" applyFill="1" applyAlignment="1">
      <alignment vertical="center"/>
    </xf>
    <xf numFmtId="0" fontId="13" fillId="18" borderId="0" xfId="1" applyFont="1" applyFill="1" applyAlignment="1">
      <alignment horizontal="center" vertical="center"/>
    </xf>
    <xf numFmtId="0" fontId="6" fillId="18" borderId="0" xfId="1" applyFont="1" applyFill="1" applyAlignment="1">
      <alignment horizontal="right" vertical="center"/>
    </xf>
    <xf numFmtId="164" fontId="43" fillId="18" borderId="0" xfId="2" applyNumberFormat="1" applyFont="1" applyFill="1" applyBorder="1" applyAlignment="1">
      <alignment horizontal="center" vertical="center"/>
    </xf>
    <xf numFmtId="164" fontId="13" fillId="18" borderId="0" xfId="2" applyNumberFormat="1" applyFont="1" applyFill="1" applyBorder="1" applyAlignment="1">
      <alignment horizontal="center" vertical="center"/>
    </xf>
    <xf numFmtId="3" fontId="20" fillId="18" borderId="0" xfId="1" applyNumberFormat="1" applyFont="1" applyFill="1" applyAlignment="1">
      <alignment horizontal="right" vertical="center"/>
    </xf>
    <xf numFmtId="3" fontId="24" fillId="18" borderId="0" xfId="1" applyNumberFormat="1" applyFont="1" applyFill="1" applyAlignment="1">
      <alignment horizontal="right" vertical="center"/>
    </xf>
    <xf numFmtId="0" fontId="16" fillId="18" borderId="43" xfId="1" applyFont="1" applyFill="1" applyBorder="1" applyAlignment="1">
      <alignment horizontal="right"/>
    </xf>
    <xf numFmtId="0" fontId="13" fillId="18" borderId="43" xfId="1" applyFont="1" applyFill="1" applyBorder="1" applyAlignment="1">
      <alignment vertical="center"/>
    </xf>
    <xf numFmtId="0" fontId="13" fillId="18" borderId="43" xfId="1" applyFont="1" applyFill="1" applyBorder="1" applyAlignment="1">
      <alignment horizontal="center" vertical="center"/>
    </xf>
    <xf numFmtId="0" fontId="6" fillId="18" borderId="43" xfId="1" applyFont="1" applyFill="1" applyBorder="1" applyAlignment="1">
      <alignment horizontal="right" vertical="center"/>
    </xf>
    <xf numFmtId="0" fontId="25" fillId="18" borderId="43" xfId="1" applyFont="1" applyFill="1" applyBorder="1" applyAlignment="1">
      <alignment vertical="center"/>
    </xf>
    <xf numFmtId="0" fontId="20" fillId="18" borderId="43" xfId="1" applyFont="1" applyFill="1" applyBorder="1" applyAlignment="1">
      <alignment vertical="center"/>
    </xf>
    <xf numFmtId="164" fontId="43" fillId="18" borderId="43" xfId="2" applyNumberFormat="1" applyFont="1" applyFill="1" applyBorder="1" applyAlignment="1">
      <alignment horizontal="center" vertical="center"/>
    </xf>
    <xf numFmtId="164" fontId="13" fillId="18" borderId="43" xfId="2" applyNumberFormat="1" applyFont="1" applyFill="1" applyBorder="1" applyAlignment="1">
      <alignment horizontal="center" vertical="center"/>
    </xf>
    <xf numFmtId="3" fontId="25" fillId="18" borderId="43" xfId="1" applyNumberFormat="1" applyFont="1" applyFill="1" applyBorder="1" applyAlignment="1">
      <alignment horizontal="right" vertical="center"/>
    </xf>
    <xf numFmtId="3" fontId="27" fillId="18" borderId="43" xfId="1" applyNumberFormat="1" applyFont="1" applyFill="1" applyBorder="1" applyAlignment="1">
      <alignment horizontal="right" vertical="center"/>
    </xf>
    <xf numFmtId="0" fontId="16" fillId="18" borderId="0" xfId="1" applyFont="1" applyFill="1" applyAlignment="1">
      <alignment horizontal="right"/>
    </xf>
    <xf numFmtId="164" fontId="26" fillId="0" borderId="0" xfId="3" applyNumberFormat="1" applyFont="1" applyBorder="1" applyAlignment="1">
      <alignment horizontal="center" vertical="center"/>
    </xf>
    <xf numFmtId="164" fontId="26" fillId="0" borderId="0" xfId="2" applyNumberFormat="1" applyFont="1" applyBorder="1" applyAlignment="1">
      <alignment horizontal="center" vertical="center"/>
    </xf>
    <xf numFmtId="3" fontId="45" fillId="0" borderId="0" xfId="1" applyNumberFormat="1" applyFont="1" applyAlignment="1">
      <alignment horizontal="right" vertical="center"/>
    </xf>
    <xf numFmtId="166" fontId="20" fillId="0" borderId="0" xfId="1" applyNumberFormat="1" applyFont="1" applyAlignment="1">
      <alignment horizontal="right" vertical="center"/>
    </xf>
    <xf numFmtId="43" fontId="16" fillId="0" borderId="0" xfId="1" applyNumberFormat="1" applyFont="1" applyAlignment="1">
      <alignment vertical="center"/>
    </xf>
    <xf numFmtId="164" fontId="16" fillId="0" borderId="8" xfId="3" applyNumberFormat="1" applyFont="1" applyBorder="1" applyAlignment="1">
      <alignment horizontal="center" vertical="center" wrapText="1"/>
    </xf>
    <xf numFmtId="0" fontId="23" fillId="5" borderId="9" xfId="1" applyFont="1" applyFill="1" applyBorder="1" applyAlignment="1">
      <alignment horizontal="center" vertical="center" wrapText="1"/>
    </xf>
    <xf numFmtId="0" fontId="24" fillId="5" borderId="9" xfId="1" applyFont="1" applyFill="1" applyBorder="1" applyAlignment="1">
      <alignment horizontal="center" vertical="center" wrapText="1"/>
    </xf>
    <xf numFmtId="0" fontId="46" fillId="0" borderId="4" xfId="4" applyFont="1" applyBorder="1"/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13" fillId="0" borderId="4" xfId="1" applyFont="1" applyBorder="1" applyAlignment="1">
      <alignment horizontal="right" vertical="center"/>
    </xf>
    <xf numFmtId="164" fontId="43" fillId="0" borderId="4" xfId="2" applyNumberFormat="1" applyFont="1" applyBorder="1" applyAlignment="1">
      <alignment horizontal="center" vertical="center"/>
    </xf>
    <xf numFmtId="164" fontId="13" fillId="0" borderId="4" xfId="2" applyNumberFormat="1" applyFont="1" applyBorder="1" applyAlignment="1">
      <alignment horizontal="center" vertical="center"/>
    </xf>
    <xf numFmtId="164" fontId="26" fillId="0" borderId="4" xfId="3" applyNumberFormat="1" applyFont="1" applyBorder="1" applyAlignment="1">
      <alignment horizontal="center" vertical="center"/>
    </xf>
    <xf numFmtId="164" fontId="26" fillId="0" borderId="4" xfId="2" applyNumberFormat="1" applyFont="1" applyBorder="1" applyAlignment="1">
      <alignment horizontal="center" vertical="center"/>
    </xf>
    <xf numFmtId="3" fontId="20" fillId="0" borderId="4" xfId="1" applyNumberFormat="1" applyFont="1" applyBorder="1" applyAlignment="1">
      <alignment vertical="center"/>
    </xf>
    <xf numFmtId="3" fontId="23" fillId="0" borderId="4" xfId="1" applyNumberFormat="1" applyFont="1" applyBorder="1" applyAlignment="1">
      <alignment horizontal="right" vertical="center"/>
    </xf>
    <xf numFmtId="3" fontId="20" fillId="0" borderId="4" xfId="1" applyNumberFormat="1" applyFont="1" applyBorder="1" applyAlignment="1">
      <alignment horizontal="right" vertical="center"/>
    </xf>
    <xf numFmtId="3" fontId="24" fillId="0" borderId="4" xfId="1" applyNumberFormat="1" applyFont="1" applyBorder="1" applyAlignment="1">
      <alignment horizontal="right" vertical="center"/>
    </xf>
    <xf numFmtId="164" fontId="4" fillId="0" borderId="13" xfId="2" applyNumberFormat="1" applyFont="1" applyFill="1" applyBorder="1" applyAlignment="1">
      <alignment horizontal="center" vertical="center"/>
    </xf>
    <xf numFmtId="0" fontId="13" fillId="0" borderId="27" xfId="1" applyFont="1" applyBorder="1" applyAlignment="1">
      <alignment vertical="center"/>
    </xf>
    <xf numFmtId="0" fontId="13" fillId="0" borderId="26" xfId="1" applyFont="1" applyBorder="1" applyAlignment="1">
      <alignment vertical="center"/>
    </xf>
    <xf numFmtId="14" fontId="6" fillId="0" borderId="26" xfId="1" applyNumberFormat="1" applyFont="1" applyBorder="1" applyAlignment="1">
      <alignment horizontal="right" vertical="center"/>
    </xf>
    <xf numFmtId="164" fontId="43" fillId="0" borderId="27" xfId="2" applyNumberFormat="1" applyFont="1" applyFill="1" applyBorder="1" applyAlignment="1">
      <alignment horizontal="center" vertical="center"/>
    </xf>
    <xf numFmtId="164" fontId="26" fillId="0" borderId="27" xfId="3" applyNumberFormat="1" applyFont="1" applyBorder="1" applyAlignment="1">
      <alignment horizontal="center" vertical="center"/>
    </xf>
    <xf numFmtId="164" fontId="26" fillId="0" borderId="27" xfId="2" applyNumberFormat="1" applyFont="1" applyBorder="1" applyAlignment="1">
      <alignment horizontal="center" vertical="center"/>
    </xf>
    <xf numFmtId="0" fontId="4" fillId="0" borderId="18" xfId="1" applyFont="1" applyBorder="1" applyAlignment="1">
      <alignment vertical="center"/>
    </xf>
    <xf numFmtId="0" fontId="13" fillId="0" borderId="20" xfId="1" applyFont="1" applyBorder="1" applyAlignment="1">
      <alignment vertical="center"/>
    </xf>
    <xf numFmtId="164" fontId="43" fillId="0" borderId="20" xfId="2" applyNumberFormat="1" applyFont="1" applyBorder="1" applyAlignment="1">
      <alignment horizontal="center" vertical="center"/>
    </xf>
    <xf numFmtId="164" fontId="13" fillId="0" borderId="20" xfId="2" applyNumberFormat="1" applyFont="1" applyBorder="1" applyAlignment="1">
      <alignment horizontal="center" vertical="center"/>
    </xf>
    <xf numFmtId="164" fontId="26" fillId="0" borderId="20" xfId="3" applyNumberFormat="1" applyFont="1" applyBorder="1" applyAlignment="1">
      <alignment horizontal="center" vertical="center"/>
    </xf>
    <xf numFmtId="164" fontId="26" fillId="0" borderId="20" xfId="2" applyNumberFormat="1" applyFont="1" applyBorder="1" applyAlignment="1">
      <alignment horizontal="center" vertical="center"/>
    </xf>
    <xf numFmtId="0" fontId="4" fillId="0" borderId="25" xfId="1" applyFont="1" applyBorder="1" applyAlignment="1">
      <alignment vertical="center"/>
    </xf>
    <xf numFmtId="164" fontId="20" fillId="0" borderId="31" xfId="3" applyNumberFormat="1" applyFont="1" applyBorder="1" applyAlignment="1">
      <alignment horizontal="right" vertical="center"/>
    </xf>
    <xf numFmtId="0" fontId="13" fillId="0" borderId="32" xfId="1" applyFont="1" applyBorder="1" applyAlignment="1">
      <alignment vertical="center"/>
    </xf>
    <xf numFmtId="164" fontId="13" fillId="0" borderId="27" xfId="3" applyNumberFormat="1" applyFont="1" applyBorder="1" applyAlignment="1">
      <alignment horizontal="center" vertical="center"/>
    </xf>
    <xf numFmtId="164" fontId="13" fillId="0" borderId="27" xfId="2" applyNumberFormat="1" applyFont="1" applyBorder="1" applyAlignment="1">
      <alignment horizontal="center" vertical="center"/>
    </xf>
    <xf numFmtId="164" fontId="25" fillId="0" borderId="20" xfId="2" applyNumberFormat="1" applyFont="1" applyBorder="1" applyAlignment="1">
      <alignment horizontal="center" vertical="center"/>
    </xf>
    <xf numFmtId="164" fontId="13" fillId="0" borderId="20" xfId="3" applyNumberFormat="1" applyFont="1" applyBorder="1" applyAlignment="1">
      <alignment horizontal="center" vertical="center"/>
    </xf>
    <xf numFmtId="0" fontId="20" fillId="0" borderId="32" xfId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164" fontId="22" fillId="0" borderId="0" xfId="2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3" fontId="20" fillId="5" borderId="0" xfId="1" applyNumberFormat="1" applyFont="1" applyFill="1" applyAlignment="1">
      <alignment horizontal="right" vertical="center"/>
    </xf>
    <xf numFmtId="164" fontId="43" fillId="0" borderId="0" xfId="2" applyNumberFormat="1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26" fillId="0" borderId="0" xfId="3" applyNumberFormat="1" applyFont="1" applyAlignment="1">
      <alignment vertical="center"/>
    </xf>
    <xf numFmtId="164" fontId="26" fillId="0" borderId="0" xfId="2" applyNumberFormat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164" fontId="20" fillId="0" borderId="0" xfId="9" applyNumberFormat="1" applyFont="1" applyAlignment="1">
      <alignment vertical="center"/>
    </xf>
    <xf numFmtId="0" fontId="4" fillId="0" borderId="10" xfId="1" applyFont="1" applyBorder="1" applyAlignment="1">
      <alignment vertical="center"/>
    </xf>
    <xf numFmtId="0" fontId="20" fillId="0" borderId="44" xfId="1" applyFont="1" applyBorder="1" applyAlignment="1">
      <alignment vertical="center"/>
    </xf>
    <xf numFmtId="0" fontId="20" fillId="0" borderId="6" xfId="1" applyFont="1" applyBorder="1" applyAlignment="1">
      <alignment horizontal="center" vertical="center"/>
    </xf>
    <xf numFmtId="0" fontId="21" fillId="0" borderId="44" xfId="1" applyFont="1" applyBorder="1" applyAlignment="1">
      <alignment horizontal="right" vertical="center"/>
    </xf>
    <xf numFmtId="0" fontId="20" fillId="0" borderId="44" xfId="1" applyFont="1" applyBorder="1" applyAlignment="1">
      <alignment horizontal="right" vertical="center"/>
    </xf>
    <xf numFmtId="0" fontId="20" fillId="0" borderId="45" xfId="1" applyFont="1" applyBorder="1" applyAlignment="1">
      <alignment horizontal="center" vertical="center"/>
    </xf>
    <xf numFmtId="164" fontId="47" fillId="0" borderId="6" xfId="2" applyNumberFormat="1" applyFont="1" applyBorder="1" applyAlignment="1">
      <alignment horizontal="center" vertical="center"/>
    </xf>
    <xf numFmtId="164" fontId="20" fillId="0" borderId="6" xfId="2" applyNumberFormat="1" applyFont="1" applyBorder="1" applyAlignment="1">
      <alignment horizontal="center" vertical="center"/>
    </xf>
    <xf numFmtId="164" fontId="34" fillId="0" borderId="6" xfId="3" applyNumberFormat="1" applyFont="1" applyBorder="1" applyAlignment="1">
      <alignment horizontal="center" vertical="center"/>
    </xf>
    <xf numFmtId="164" fontId="34" fillId="0" borderId="6" xfId="2" applyNumberFormat="1" applyFont="1" applyBorder="1" applyAlignment="1">
      <alignment horizontal="center" vertical="center"/>
    </xf>
    <xf numFmtId="3" fontId="20" fillId="0" borderId="7" xfId="1" applyNumberFormat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3" fontId="23" fillId="5" borderId="7" xfId="1" applyNumberFormat="1" applyFont="1" applyFill="1" applyBorder="1" applyAlignment="1">
      <alignment vertical="center"/>
    </xf>
    <xf numFmtId="3" fontId="20" fillId="5" borderId="7" xfId="1" applyNumberFormat="1" applyFont="1" applyFill="1" applyBorder="1" applyAlignment="1">
      <alignment vertical="center"/>
    </xf>
    <xf numFmtId="3" fontId="24" fillId="5" borderId="7" xfId="1" applyNumberFormat="1" applyFont="1" applyFill="1" applyBorder="1" applyAlignment="1">
      <alignment vertical="center"/>
    </xf>
    <xf numFmtId="0" fontId="16" fillId="0" borderId="41" xfId="1" applyFont="1" applyBorder="1" applyAlignment="1">
      <alignment wrapText="1"/>
    </xf>
    <xf numFmtId="167" fontId="15" fillId="17" borderId="0" xfId="5" applyNumberFormat="1" applyFont="1" applyFill="1"/>
    <xf numFmtId="167" fontId="48" fillId="17" borderId="0" xfId="5" applyNumberFormat="1" applyFont="1" applyFill="1"/>
    <xf numFmtId="167" fontId="16" fillId="17" borderId="0" xfId="5" applyNumberFormat="1" applyFont="1" applyFill="1"/>
    <xf numFmtId="167" fontId="17" fillId="17" borderId="0" xfId="5" applyNumberFormat="1" applyFont="1" applyFill="1"/>
    <xf numFmtId="0" fontId="48" fillId="0" borderId="0" xfId="1" applyFont="1"/>
    <xf numFmtId="164" fontId="7" fillId="0" borderId="0" xfId="2" applyNumberFormat="1" applyFont="1" applyFill="1" applyBorder="1"/>
    <xf numFmtId="164" fontId="5" fillId="0" borderId="0" xfId="2" applyNumberFormat="1" applyFont="1" applyFill="1" applyBorder="1"/>
    <xf numFmtId="164" fontId="9" fillId="0" borderId="0" xfId="3" applyNumberFormat="1" applyFont="1" applyFill="1" applyBorder="1"/>
    <xf numFmtId="164" fontId="9" fillId="0" borderId="0" xfId="2" applyNumberFormat="1" applyFont="1" applyFill="1" applyBorder="1"/>
    <xf numFmtId="0" fontId="21" fillId="0" borderId="0" xfId="1" applyFont="1" applyAlignment="1">
      <alignment horizontal="right" vertical="center"/>
    </xf>
    <xf numFmtId="164" fontId="47" fillId="0" borderId="0" xfId="2" applyNumberFormat="1" applyFont="1" applyFill="1" applyBorder="1" applyAlignment="1">
      <alignment horizontal="center" vertical="center"/>
    </xf>
    <xf numFmtId="164" fontId="34" fillId="0" borderId="0" xfId="3" applyNumberFormat="1" applyFont="1" applyFill="1" applyBorder="1" applyAlignment="1">
      <alignment horizontal="center" vertical="center"/>
    </xf>
    <xf numFmtId="164" fontId="34" fillId="0" borderId="0" xfId="2" applyNumberFormat="1" applyFont="1" applyFill="1" applyBorder="1" applyAlignment="1">
      <alignment horizontal="center" vertical="center"/>
    </xf>
    <xf numFmtId="3" fontId="23" fillId="0" borderId="0" xfId="1" applyNumberFormat="1" applyFont="1" applyAlignment="1">
      <alignment vertical="center"/>
    </xf>
    <xf numFmtId="3" fontId="24" fillId="0" borderId="0" xfId="1" applyNumberFormat="1" applyFont="1" applyAlignment="1">
      <alignment vertical="center"/>
    </xf>
    <xf numFmtId="0" fontId="16" fillId="0" borderId="0" xfId="1" applyFont="1" applyAlignment="1">
      <alignment wrapText="1"/>
    </xf>
    <xf numFmtId="0" fontId="21" fillId="0" borderId="0" xfId="1" applyFont="1" applyAlignment="1">
      <alignment horizontal="right"/>
    </xf>
    <xf numFmtId="164" fontId="49" fillId="0" borderId="0" xfId="2" applyNumberFormat="1" applyFont="1" applyFill="1" applyBorder="1"/>
    <xf numFmtId="164" fontId="16" fillId="0" borderId="0" xfId="2" applyNumberFormat="1" applyFont="1" applyFill="1" applyBorder="1"/>
    <xf numFmtId="164" fontId="36" fillId="0" borderId="0" xfId="3" applyNumberFormat="1" applyFont="1" applyFill="1" applyBorder="1"/>
    <xf numFmtId="164" fontId="36" fillId="0" borderId="0" xfId="2" applyNumberFormat="1" applyFont="1" applyFill="1" applyBorder="1"/>
    <xf numFmtId="167" fontId="16" fillId="0" borderId="0" xfId="5" applyNumberFormat="1" applyFont="1" applyFill="1" applyBorder="1"/>
    <xf numFmtId="167" fontId="15" fillId="0" borderId="0" xfId="5" applyNumberFormat="1" applyFont="1" applyFill="1" applyBorder="1"/>
    <xf numFmtId="167" fontId="17" fillId="0" borderId="0" xfId="5" applyNumberFormat="1" applyFont="1" applyFill="1" applyBorder="1"/>
    <xf numFmtId="0" fontId="20" fillId="0" borderId="0" xfId="1" applyFont="1"/>
    <xf numFmtId="3" fontId="9" fillId="0" borderId="0" xfId="1" applyNumberFormat="1" applyFont="1"/>
    <xf numFmtId="43" fontId="5" fillId="0" borderId="0" xfId="1" applyNumberFormat="1" applyFont="1"/>
    <xf numFmtId="43" fontId="5" fillId="0" borderId="0" xfId="9" applyFont="1" applyFill="1" applyBorder="1"/>
    <xf numFmtId="43" fontId="11" fillId="0" borderId="0" xfId="9" applyFont="1" applyFill="1" applyBorder="1"/>
    <xf numFmtId="164" fontId="5" fillId="0" borderId="0" xfId="9" applyNumberFormat="1" applyFont="1" applyFill="1" applyBorder="1"/>
    <xf numFmtId="3" fontId="49" fillId="0" borderId="0" xfId="1" applyNumberFormat="1" applyFont="1"/>
    <xf numFmtId="0" fontId="13" fillId="0" borderId="0" xfId="1" applyFont="1" applyAlignment="1">
      <alignment horizontal="right"/>
    </xf>
    <xf numFmtId="0" fontId="50" fillId="0" borderId="0" xfId="1" applyFont="1"/>
    <xf numFmtId="3" fontId="13" fillId="0" borderId="0" xfId="1" applyNumberFormat="1" applyFont="1"/>
    <xf numFmtId="164" fontId="7" fillId="0" borderId="0" xfId="2" applyNumberFormat="1" applyFont="1" applyBorder="1"/>
    <xf numFmtId="0" fontId="13" fillId="0" borderId="4" xfId="1" applyFont="1" applyBorder="1"/>
    <xf numFmtId="164" fontId="43" fillId="0" borderId="4" xfId="2" applyNumberFormat="1" applyFont="1" applyBorder="1"/>
    <xf numFmtId="164" fontId="13" fillId="0" borderId="4" xfId="2" applyNumberFormat="1" applyFont="1" applyBorder="1"/>
    <xf numFmtId="164" fontId="26" fillId="0" borderId="4" xfId="3" applyNumberFormat="1" applyFont="1" applyBorder="1"/>
    <xf numFmtId="164" fontId="26" fillId="0" borderId="4" xfId="2" applyNumberFormat="1" applyFont="1" applyBorder="1"/>
    <xf numFmtId="0" fontId="13" fillId="0" borderId="4" xfId="1" applyFont="1" applyBorder="1" applyAlignment="1">
      <alignment horizontal="right"/>
    </xf>
    <xf numFmtId="0" fontId="33" fillId="0" borderId="0" xfId="1" applyFont="1"/>
    <xf numFmtId="0" fontId="20" fillId="0" borderId="20" xfId="1" applyFont="1" applyBorder="1" applyAlignment="1">
      <alignment horizontal="right" wrapText="1"/>
    </xf>
    <xf numFmtId="0" fontId="20" fillId="0" borderId="4" xfId="1" applyFont="1" applyBorder="1" applyAlignment="1">
      <alignment horizontal="right" wrapText="1"/>
    </xf>
    <xf numFmtId="164" fontId="13" fillId="0" borderId="0" xfId="2" applyNumberFormat="1" applyFont="1" applyFill="1" applyBorder="1"/>
    <xf numFmtId="164" fontId="43" fillId="0" borderId="0" xfId="2" applyNumberFormat="1" applyFont="1" applyFill="1" applyBorder="1"/>
    <xf numFmtId="3" fontId="16" fillId="0" borderId="0" xfId="1" applyNumberFormat="1" applyFont="1" applyAlignment="1">
      <alignment horizontal="right"/>
    </xf>
    <xf numFmtId="3" fontId="20" fillId="0" borderId="0" xfId="1" applyNumberFormat="1" applyFont="1"/>
    <xf numFmtId="3" fontId="24" fillId="0" borderId="0" xfId="1" applyNumberFormat="1" applyFont="1"/>
    <xf numFmtId="3" fontId="20" fillId="0" borderId="27" xfId="1" applyNumberFormat="1" applyFont="1" applyBorder="1"/>
    <xf numFmtId="0" fontId="51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164" fontId="13" fillId="0" borderId="4" xfId="2" applyNumberFormat="1" applyFont="1" applyFill="1" applyBorder="1"/>
    <xf numFmtId="164" fontId="43" fillId="0" borderId="4" xfId="2" applyNumberFormat="1" applyFont="1" applyFill="1" applyBorder="1"/>
    <xf numFmtId="0" fontId="5" fillId="0" borderId="4" xfId="1" applyFont="1" applyBorder="1"/>
    <xf numFmtId="164" fontId="9" fillId="0" borderId="4" xfId="3" applyNumberFormat="1" applyFont="1" applyFill="1" applyBorder="1"/>
    <xf numFmtId="164" fontId="9" fillId="0" borderId="4" xfId="2" applyNumberFormat="1" applyFont="1" applyFill="1" applyBorder="1"/>
    <xf numFmtId="0" fontId="16" fillId="0" borderId="4" xfId="1" applyFont="1" applyBorder="1" applyAlignment="1">
      <alignment horizontal="right"/>
    </xf>
    <xf numFmtId="3" fontId="20" fillId="0" borderId="20" xfId="1" applyNumberFormat="1" applyFont="1" applyBorder="1"/>
    <xf numFmtId="164" fontId="5" fillId="0" borderId="0" xfId="2" applyNumberFormat="1" applyFont="1" applyFill="1" applyBorder="1" applyAlignment="1">
      <alignment horizontal="left"/>
    </xf>
    <xf numFmtId="3" fontId="23" fillId="0" borderId="0" xfId="1" applyNumberFormat="1" applyFont="1"/>
    <xf numFmtId="164" fontId="5" fillId="0" borderId="0" xfId="2" applyNumberFormat="1" applyFont="1" applyAlignment="1">
      <alignment horizontal="left"/>
    </xf>
    <xf numFmtId="0" fontId="53" fillId="0" borderId="0" xfId="11" applyFont="1"/>
    <xf numFmtId="3" fontId="54" fillId="0" borderId="0" xfId="11" applyNumberFormat="1" applyFont="1"/>
    <xf numFmtId="3" fontId="53" fillId="0" borderId="0" xfId="11" applyNumberFormat="1" applyFont="1"/>
    <xf numFmtId="3" fontId="17" fillId="0" borderId="0" xfId="1" applyNumberFormat="1" applyFont="1"/>
    <xf numFmtId="0" fontId="55" fillId="0" borderId="0" xfId="1" applyFont="1"/>
    <xf numFmtId="0" fontId="56" fillId="0" borderId="0" xfId="1" applyFont="1"/>
    <xf numFmtId="0" fontId="52" fillId="0" borderId="0" xfId="1" applyFont="1" applyAlignment="1">
      <alignment horizontal="right"/>
    </xf>
    <xf numFmtId="0" fontId="56" fillId="0" borderId="0" xfId="1" applyFont="1" applyAlignment="1">
      <alignment horizontal="right"/>
    </xf>
    <xf numFmtId="164" fontId="56" fillId="0" borderId="0" xfId="2" applyNumberFormat="1" applyFont="1"/>
    <xf numFmtId="0" fontId="57" fillId="0" borderId="0" xfId="1" applyFont="1"/>
    <xf numFmtId="0" fontId="58" fillId="0" borderId="0" xfId="1" applyFont="1"/>
    <xf numFmtId="10" fontId="9" fillId="8" borderId="0" xfId="1" applyNumberFormat="1" applyFont="1" applyFill="1"/>
    <xf numFmtId="3" fontId="57" fillId="0" borderId="0" xfId="1" applyNumberFormat="1" applyFont="1"/>
    <xf numFmtId="3" fontId="56" fillId="0" borderId="0" xfId="1" applyNumberFormat="1" applyFont="1"/>
    <xf numFmtId="10" fontId="16" fillId="17" borderId="0" xfId="5" applyNumberFormat="1" applyFont="1" applyFill="1"/>
    <xf numFmtId="0" fontId="58" fillId="0" borderId="0" xfId="1" applyFont="1" applyAlignment="1">
      <alignment horizontal="right"/>
    </xf>
    <xf numFmtId="0" fontId="9" fillId="0" borderId="0" xfId="0" applyFont="1" applyAlignment="1">
      <alignment horizontal="right"/>
    </xf>
    <xf numFmtId="0" fontId="61" fillId="0" borderId="0" xfId="0" applyFont="1" applyAlignment="1">
      <alignment horizontal="right"/>
    </xf>
    <xf numFmtId="0" fontId="62" fillId="0" borderId="0" xfId="0" applyFont="1" applyAlignment="1">
      <alignment horizontal="right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13" fillId="0" borderId="12" xfId="8" applyFont="1" applyBorder="1" applyAlignment="1">
      <alignment horizontal="left" vertical="center" wrapText="1"/>
    </xf>
    <xf numFmtId="0" fontId="3" fillId="0" borderId="19" xfId="8" applyBorder="1" applyAlignment="1">
      <alignment horizontal="left" vertical="center" wrapText="1"/>
    </xf>
    <xf numFmtId="0" fontId="13" fillId="0" borderId="12" xfId="8" applyFont="1" applyBorder="1" applyAlignment="1">
      <alignment horizontal="center" vertical="center" wrapText="1"/>
    </xf>
    <xf numFmtId="0" fontId="3" fillId="0" borderId="19" xfId="8" applyBorder="1" applyAlignment="1">
      <alignment horizontal="center" vertical="center" wrapText="1"/>
    </xf>
    <xf numFmtId="0" fontId="13" fillId="0" borderId="26" xfId="8" applyFont="1" applyBorder="1" applyAlignment="1">
      <alignment horizontal="center" vertical="center" wrapText="1"/>
    </xf>
    <xf numFmtId="0" fontId="13" fillId="0" borderId="19" xfId="8" applyFont="1" applyBorder="1" applyAlignment="1">
      <alignment horizontal="center" vertical="center" wrapText="1"/>
    </xf>
    <xf numFmtId="14" fontId="13" fillId="0" borderId="33" xfId="8" applyNumberFormat="1" applyFont="1" applyBorder="1" applyAlignment="1">
      <alignment horizontal="center" vertical="center" wrapText="1"/>
    </xf>
    <xf numFmtId="0" fontId="13" fillId="0" borderId="33" xfId="8" applyFont="1" applyBorder="1" applyAlignment="1">
      <alignment horizontal="center" vertical="center" wrapText="1"/>
    </xf>
    <xf numFmtId="0" fontId="39" fillId="0" borderId="19" xfId="8" applyFont="1" applyBorder="1" applyAlignment="1">
      <alignment horizontal="left" vertical="center" wrapText="1"/>
    </xf>
    <xf numFmtId="0" fontId="39" fillId="0" borderId="19" xfId="8" applyFont="1" applyBorder="1" applyAlignment="1">
      <alignment horizontal="center" vertical="center" wrapText="1"/>
    </xf>
    <xf numFmtId="14" fontId="13" fillId="0" borderId="36" xfId="8" applyNumberFormat="1" applyFont="1" applyBorder="1" applyAlignment="1">
      <alignment horizontal="center" vertical="center" wrapText="1"/>
    </xf>
    <xf numFmtId="0" fontId="38" fillId="0" borderId="35" xfId="8" applyFont="1" applyBorder="1" applyAlignment="1">
      <alignment horizontal="center" vertical="center" wrapText="1"/>
    </xf>
    <xf numFmtId="164" fontId="20" fillId="10" borderId="12" xfId="9" applyNumberFormat="1" applyFont="1" applyFill="1" applyBorder="1" applyAlignment="1">
      <alignment horizontal="center" vertical="center" wrapText="1"/>
    </xf>
    <xf numFmtId="164" fontId="37" fillId="10" borderId="19" xfId="9" applyNumberFormat="1" applyFont="1" applyFill="1" applyBorder="1" applyAlignment="1">
      <alignment horizontal="center" vertical="center" wrapText="1"/>
    </xf>
    <xf numFmtId="0" fontId="13" fillId="0" borderId="26" xfId="8" applyFont="1" applyBorder="1" applyAlignment="1">
      <alignment horizontal="left" vertical="center" wrapText="1"/>
    </xf>
    <xf numFmtId="0" fontId="38" fillId="0" borderId="19" xfId="8" applyFont="1" applyBorder="1" applyAlignment="1">
      <alignment horizontal="left" vertical="center" wrapText="1"/>
    </xf>
    <xf numFmtId="14" fontId="13" fillId="0" borderId="34" xfId="8" applyNumberFormat="1" applyFont="1" applyBorder="1" applyAlignment="1">
      <alignment horizontal="center" vertical="center" wrapText="1"/>
    </xf>
    <xf numFmtId="0" fontId="13" fillId="0" borderId="19" xfId="8" applyFont="1" applyBorder="1" applyAlignment="1">
      <alignment horizontal="left" vertical="center" wrapText="1"/>
    </xf>
    <xf numFmtId="164" fontId="20" fillId="0" borderId="12" xfId="9" applyNumberFormat="1" applyFont="1" applyBorder="1" applyAlignment="1">
      <alignment horizontal="center" vertical="center" wrapText="1"/>
    </xf>
    <xf numFmtId="164" fontId="37" fillId="0" borderId="19" xfId="9" applyNumberFormat="1" applyFont="1" applyBorder="1" applyAlignment="1">
      <alignment horizontal="center" vertical="center" wrapText="1"/>
    </xf>
    <xf numFmtId="164" fontId="20" fillId="15" borderId="12" xfId="9" applyNumberFormat="1" applyFont="1" applyFill="1" applyBorder="1" applyAlignment="1">
      <alignment horizontal="center" vertical="center" wrapText="1"/>
    </xf>
    <xf numFmtId="164" fontId="37" fillId="15" borderId="19" xfId="9" applyNumberFormat="1" applyFont="1" applyFill="1" applyBorder="1" applyAlignment="1">
      <alignment horizontal="center" vertical="center" wrapText="1"/>
    </xf>
    <xf numFmtId="14" fontId="13" fillId="0" borderId="12" xfId="8" applyNumberFormat="1" applyFont="1" applyBorder="1" applyAlignment="1">
      <alignment horizontal="center" vertical="center" wrapText="1"/>
    </xf>
    <xf numFmtId="0" fontId="13" fillId="0" borderId="12" xfId="10" applyFont="1" applyBorder="1" applyAlignment="1">
      <alignment horizontal="left" vertical="center" wrapText="1"/>
    </xf>
    <xf numFmtId="0" fontId="39" fillId="0" borderId="19" xfId="10" applyFont="1" applyBorder="1" applyAlignment="1">
      <alignment horizontal="left" vertical="center" wrapText="1"/>
    </xf>
    <xf numFmtId="0" fontId="13" fillId="0" borderId="26" xfId="10" applyFont="1" applyBorder="1" applyAlignment="1">
      <alignment horizontal="center" vertical="center" wrapText="1"/>
    </xf>
    <xf numFmtId="0" fontId="39" fillId="0" borderId="19" xfId="10" applyFont="1" applyBorder="1" applyAlignment="1">
      <alignment horizontal="center" vertical="center" wrapText="1"/>
    </xf>
    <xf numFmtId="0" fontId="13" fillId="0" borderId="35" xfId="8" applyFont="1" applyBorder="1" applyAlignment="1">
      <alignment horizontal="center" vertical="center" wrapText="1"/>
    </xf>
    <xf numFmtId="164" fontId="4" fillId="10" borderId="19" xfId="9" applyNumberFormat="1" applyFont="1" applyFill="1" applyBorder="1" applyAlignment="1">
      <alignment horizontal="center" vertical="center" wrapText="1"/>
    </xf>
    <xf numFmtId="164" fontId="20" fillId="16" borderId="12" xfId="9" applyNumberFormat="1" applyFont="1" applyFill="1" applyBorder="1" applyAlignment="1">
      <alignment horizontal="center" vertical="center" wrapText="1"/>
    </xf>
    <xf numFmtId="164" fontId="4" fillId="16" borderId="19" xfId="9" applyNumberFormat="1" applyFont="1" applyFill="1" applyBorder="1" applyAlignment="1">
      <alignment horizontal="center" vertical="center" wrapText="1"/>
    </xf>
    <xf numFmtId="164" fontId="37" fillId="16" borderId="19" xfId="9" applyNumberFormat="1" applyFont="1" applyFill="1" applyBorder="1" applyAlignment="1">
      <alignment horizontal="center" vertical="center" wrapText="1"/>
    </xf>
    <xf numFmtId="0" fontId="13" fillId="0" borderId="37" xfId="10" applyFont="1" applyBorder="1" applyAlignment="1">
      <alignment horizontal="left" vertical="center" wrapText="1"/>
    </xf>
    <xf numFmtId="0" fontId="13" fillId="0" borderId="38" xfId="10" applyFont="1" applyBorder="1" applyAlignment="1">
      <alignment horizontal="left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24" xfId="10" applyFont="1" applyBorder="1" applyAlignment="1">
      <alignment horizontal="center" vertical="center" wrapText="1"/>
    </xf>
    <xf numFmtId="14" fontId="13" fillId="0" borderId="19" xfId="8" applyNumberFormat="1" applyFont="1" applyBorder="1" applyAlignment="1">
      <alignment horizontal="center" vertical="center" wrapText="1"/>
    </xf>
    <xf numFmtId="164" fontId="20" fillId="10" borderId="19" xfId="9" applyNumberFormat="1" applyFont="1" applyFill="1" applyBorder="1" applyAlignment="1">
      <alignment horizontal="center" vertical="center" wrapText="1"/>
    </xf>
    <xf numFmtId="0" fontId="13" fillId="8" borderId="15" xfId="10" applyFont="1" applyFill="1" applyBorder="1" applyAlignment="1">
      <alignment horizontal="center" vertical="center" wrapText="1"/>
    </xf>
    <xf numFmtId="0" fontId="13" fillId="8" borderId="24" xfId="10" applyFont="1" applyFill="1" applyBorder="1" applyAlignment="1">
      <alignment horizontal="center" vertical="center" wrapText="1"/>
    </xf>
    <xf numFmtId="0" fontId="13" fillId="0" borderId="19" xfId="10" applyFont="1" applyBorder="1" applyAlignment="1">
      <alignment horizontal="left" vertical="center" wrapText="1"/>
    </xf>
    <xf numFmtId="0" fontId="13" fillId="0" borderId="19" xfId="10" applyFont="1" applyBorder="1" applyAlignment="1">
      <alignment horizontal="center" vertical="center" wrapText="1"/>
    </xf>
    <xf numFmtId="164" fontId="20" fillId="16" borderId="19" xfId="9" applyNumberFormat="1" applyFont="1" applyFill="1" applyBorder="1" applyAlignment="1">
      <alignment horizontal="center" vertical="center" wrapText="1"/>
    </xf>
    <xf numFmtId="0" fontId="13" fillId="8" borderId="26" xfId="10" applyFont="1" applyFill="1" applyBorder="1" applyAlignment="1">
      <alignment horizontal="center" vertical="center" wrapText="1"/>
    </xf>
    <xf numFmtId="0" fontId="13" fillId="8" borderId="19" xfId="10" applyFont="1" applyFill="1" applyBorder="1" applyAlignment="1">
      <alignment horizontal="center" vertical="center" wrapText="1"/>
    </xf>
    <xf numFmtId="0" fontId="13" fillId="0" borderId="12" xfId="10" applyFont="1" applyBorder="1" applyAlignment="1">
      <alignment horizontal="center" vertical="center" wrapText="1"/>
    </xf>
    <xf numFmtId="164" fontId="20" fillId="0" borderId="12" xfId="9" applyNumberFormat="1" applyFont="1" applyFill="1" applyBorder="1" applyAlignment="1">
      <alignment horizontal="center" vertical="center" wrapText="1"/>
    </xf>
    <xf numFmtId="164" fontId="20" fillId="0" borderId="19" xfId="9" applyNumberFormat="1" applyFont="1" applyFill="1" applyBorder="1" applyAlignment="1">
      <alignment horizontal="center" vertical="center" wrapText="1"/>
    </xf>
  </cellXfs>
  <cellStyles count="12">
    <cellStyle name="Comma 2" xfId="9" xr:uid="{84872A11-26D0-4F3C-9AD4-04775C7695DA}"/>
    <cellStyle name="Comma 3 3" xfId="3" xr:uid="{807F67C4-5F7B-42C3-A747-42D093B51BB4}"/>
    <cellStyle name="Comma 4 2" xfId="2" xr:uid="{AE4704BF-78F7-4DE2-BAC7-417E5A98DD33}"/>
    <cellStyle name="Normal" xfId="0" builtinId="0"/>
    <cellStyle name="Normal 2" xfId="7" xr:uid="{6C15F643-13C9-457A-852E-01B045E77779}"/>
    <cellStyle name="Normal 2 2" xfId="10" xr:uid="{C33E6878-18FA-4839-8A87-31FF8D1128F9}"/>
    <cellStyle name="Normal 2 2 2 2" xfId="11" xr:uid="{CEE55E34-4907-4AE8-B92D-90D6ECDCC322}"/>
    <cellStyle name="Normal 4" xfId="1" xr:uid="{29C6CD23-42BA-47E6-BC1B-4FD1A13E78AF}"/>
    <cellStyle name="Parasts 2" xfId="8" xr:uid="{417F3209-F5F2-41AA-BF43-B98D2C27D030}"/>
    <cellStyle name="Parasts 2 2 2 2" xfId="4" xr:uid="{7ED8D14D-4600-4890-8A2B-E711E7914ED7}"/>
    <cellStyle name="Percent 2" xfId="6" xr:uid="{701DA88D-BDF5-4451-A05A-60B2703F1D16}"/>
    <cellStyle name="Percent 3 2" xfId="5" xr:uid="{06AD3789-67C1-4CBB-AE55-FC1E2E6B1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armite\Desktop\2010\2014\22.12.2014\Budzeta_projekts%202014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IS\formas\dok_registrs201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mite.Muze\Nextcloud\Finansu%20nodala%20kopmape\09_2023\1_Budzets_2023_actual_09_2023.xlsx" TargetMode="External"/><Relationship Id="rId1" Type="http://schemas.openxmlformats.org/officeDocument/2006/relationships/externalLinkPath" Target="/Users/Sarmite.Muze/Nextcloud/Finansu%20nodala%20kopmape/09_2023/1_Budzets_2023_actual_09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>
        <row r="36">
          <cell r="C36">
            <v>5078304.9348664423</v>
          </cell>
        </row>
      </sheetData>
      <sheetData sheetId="8">
        <row r="14">
          <cell r="Q14">
            <v>430025</v>
          </cell>
        </row>
      </sheetData>
      <sheetData sheetId="9"/>
      <sheetData sheetId="10">
        <row r="2130">
          <cell r="I2130">
            <v>90500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zvērināta advokāte 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ibai"/>
      <sheetName val="Jautajumi"/>
      <sheetName val="Budžeta faila apraksts"/>
      <sheetName val="check"/>
      <sheetName val="Grafiki_2023"/>
      <sheetName val="Skaidrojumi"/>
      <sheetName val="Tames"/>
      <sheetName val="PIVOT_2023"/>
      <sheetName val="Investīcijas_2023"/>
      <sheetName val="Pivot_invest_2023"/>
      <sheetName val="PFIF prognoze"/>
      <sheetName val="2022-2027"/>
      <sheetName val="2023.gada budzeta plans_apvieno"/>
      <sheetName val="Grafiki_budžeta_izpilde"/>
      <sheetName val="Grafiki"/>
      <sheetName val="INPUT"/>
      <sheetName val="Filtri"/>
      <sheetName val="31122022_final"/>
      <sheetName val="Pivot_Saraksts"/>
      <sheetName val="0841"/>
      <sheetName val="0841.1_Gaujas svetki"/>
      <sheetName val="0841.4_Dziesmu svētki"/>
      <sheetName val="0812_Sport"/>
      <sheetName val="0812 _Trenažieri"/>
      <sheetName val="0630_dekori"/>
      <sheetName val="Priekšlikumi ārtelpas projekt"/>
      <sheetName val="EKK"/>
      <sheetName val="Ieņēmumi"/>
      <sheetName val="KA_31122022"/>
      <sheetName val="Algas_2023"/>
      <sheetName val="4.piel_Saistibas"/>
      <sheetName val="4.piel_Saistibas (%likmes)"/>
      <sheetName val="Saistibas_VK_prognoze"/>
      <sheetName val="5.piel.EKK"/>
      <sheetName val="Deputāti"/>
      <sheetName val="Velesanu_komis_loc"/>
      <sheetName val="Adm_komisija"/>
      <sheetName val="Iepirk_komisija"/>
      <sheetName val="Komisijas"/>
      <sheetName val="1_Budzets_2023_actual_09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4">
          <cell r="T44">
            <v>9973168</v>
          </cell>
        </row>
        <row r="108">
          <cell r="T108">
            <v>46656159</v>
          </cell>
        </row>
        <row r="141">
          <cell r="T141">
            <v>4418774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9F2D-A67F-4FCF-A8CD-CEDE0D156BFC}">
  <sheetPr>
    <tabColor rgb="FF00B050"/>
    <pageSetUpPr fitToPage="1"/>
  </sheetPr>
  <dimension ref="A1:DR246"/>
  <sheetViews>
    <sheetView tabSelected="1" topLeftCell="F1" zoomScale="122" zoomScaleNormal="122" workbookViewId="0">
      <pane ySplit="9" topLeftCell="A10" activePane="bottomLeft" state="frozen"/>
      <selection activeCell="A4" sqref="A4"/>
      <selection pane="bottomLeft" activeCell="F238" sqref="A238:XFD242"/>
    </sheetView>
  </sheetViews>
  <sheetFormatPr defaultColWidth="8.140625" defaultRowHeight="12.75" outlineLevelRow="2" outlineLevelCol="1" x14ac:dyDescent="0.2"/>
  <cols>
    <col min="1" max="1" width="4.7109375" style="1" customWidth="1"/>
    <col min="2" max="2" width="23.7109375" style="2" customWidth="1"/>
    <col min="3" max="3" width="8" style="2" hidden="1" customWidth="1" outlineLevel="1"/>
    <col min="4" max="4" width="8.28515625" style="2" hidden="1" customWidth="1" outlineLevel="1" collapsed="1"/>
    <col min="5" max="5" width="0.28515625" style="17" hidden="1" customWidth="1" outlineLevel="1"/>
    <col min="6" max="6" width="8.28515625" style="3" customWidth="1" collapsed="1"/>
    <col min="7" max="7" width="8.28515625" style="2" customWidth="1"/>
    <col min="8" max="8" width="9.7109375" style="18" hidden="1" customWidth="1" outlineLevel="1"/>
    <col min="9" max="9" width="9.7109375" style="19" customWidth="1" collapsed="1"/>
    <col min="10" max="10" width="8.5703125" style="18" hidden="1" customWidth="1" outlineLevel="1"/>
    <col min="11" max="11" width="10" style="19" hidden="1" customWidth="1" outlineLevel="1"/>
    <col min="12" max="12" width="9.42578125" style="2" customWidth="1" collapsed="1"/>
    <col min="13" max="13" width="8.28515625" style="2" customWidth="1"/>
    <col min="14" max="14" width="8.28515625" style="2" hidden="1" customWidth="1" outlineLevel="1"/>
    <col min="15" max="15" width="8.28515625" style="20" hidden="1" customWidth="1" outlineLevel="1"/>
    <col min="16" max="16" width="8.28515625" style="21" hidden="1" customWidth="1" outlineLevel="1"/>
    <col min="17" max="18" width="10.140625" style="2" hidden="1" customWidth="1" outlineLevel="1"/>
    <col min="19" max="19" width="5.5703125" style="2" customWidth="1" collapsed="1"/>
    <col min="20" max="20" width="10.42578125" style="22" hidden="1" customWidth="1" outlineLevel="1"/>
    <col min="21" max="23" width="10.42578125" style="23" hidden="1" customWidth="1" outlineLevel="1"/>
    <col min="24" max="25" width="10.42578125" style="24" hidden="1" customWidth="1" outlineLevel="1" collapsed="1"/>
    <col min="26" max="26" width="10.42578125" style="23" customWidth="1" collapsed="1"/>
    <col min="27" max="28" width="10.42578125" style="23" customWidth="1" outlineLevel="1"/>
    <col min="29" max="34" width="9.7109375" style="23" customWidth="1" outlineLevel="1"/>
    <col min="35" max="35" width="8.140625" style="15"/>
    <col min="36" max="36" width="11.42578125" style="15" customWidth="1"/>
    <col min="37" max="37" width="12.7109375" style="2" customWidth="1"/>
    <col min="38" max="16384" width="8.140625" style="2"/>
  </cols>
  <sheetData>
    <row r="1" spans="1:44" ht="17.25" hidden="1" customHeight="1" outlineLevel="1" x14ac:dyDescent="0.25">
      <c r="D1" s="3"/>
      <c r="E1" s="4"/>
      <c r="F1" s="2"/>
      <c r="G1" s="5"/>
      <c r="H1" s="6"/>
      <c r="I1" s="5"/>
      <c r="J1" s="7"/>
      <c r="K1" s="5"/>
      <c r="N1" s="8"/>
      <c r="O1" s="9"/>
      <c r="P1" s="10"/>
      <c r="T1" s="11"/>
      <c r="U1" s="2"/>
      <c r="V1" s="2"/>
      <c r="W1" s="2"/>
      <c r="X1" s="12"/>
      <c r="Y1" s="12"/>
      <c r="Z1" s="2"/>
      <c r="AA1" s="2"/>
      <c r="AB1" s="2"/>
      <c r="AC1" s="13"/>
      <c r="AD1" s="13"/>
      <c r="AE1" s="13"/>
      <c r="AF1" s="13"/>
      <c r="AG1" s="14"/>
      <c r="AH1" s="14" t="s">
        <v>1</v>
      </c>
    </row>
    <row r="2" spans="1:44" ht="17.25" hidden="1" customHeight="1" outlineLevel="1" x14ac:dyDescent="0.25">
      <c r="D2" s="3"/>
      <c r="E2" s="4"/>
      <c r="F2" s="2"/>
      <c r="G2" s="5"/>
      <c r="H2" s="6"/>
      <c r="I2" s="5"/>
      <c r="J2" s="7"/>
      <c r="K2" s="5"/>
      <c r="N2" s="8"/>
      <c r="O2" s="9"/>
      <c r="P2" s="10"/>
      <c r="T2" s="11"/>
      <c r="U2" s="2"/>
      <c r="V2" s="2"/>
      <c r="W2" s="2"/>
      <c r="X2" s="12"/>
      <c r="Y2" s="12"/>
      <c r="Z2" s="2"/>
      <c r="AA2" s="2"/>
      <c r="AB2" s="2"/>
      <c r="AC2" s="13"/>
      <c r="AD2" s="13"/>
      <c r="AE2" s="13"/>
      <c r="AF2" s="13"/>
      <c r="AG2" s="14"/>
      <c r="AH2" s="14" t="s">
        <v>2</v>
      </c>
    </row>
    <row r="3" spans="1:44" ht="17.25" hidden="1" customHeight="1" outlineLevel="1" x14ac:dyDescent="0.25">
      <c r="D3" s="3"/>
      <c r="E3" s="4"/>
      <c r="F3" s="2"/>
      <c r="G3" s="5"/>
      <c r="H3" s="6"/>
      <c r="I3" s="5"/>
      <c r="J3" s="7"/>
      <c r="K3" s="5"/>
      <c r="N3" s="8"/>
      <c r="O3" s="9"/>
      <c r="P3" s="10"/>
      <c r="T3" s="11"/>
      <c r="U3" s="2"/>
      <c r="V3" s="2"/>
      <c r="W3" s="2"/>
      <c r="X3" s="12"/>
      <c r="Y3" s="12"/>
      <c r="Z3" s="2"/>
      <c r="AA3" s="2"/>
      <c r="AB3" s="2"/>
      <c r="AC3" s="13"/>
      <c r="AD3" s="13"/>
      <c r="AE3" s="13"/>
      <c r="AF3" s="13"/>
      <c r="AG3" s="14"/>
      <c r="AH3" s="14" t="s">
        <v>3</v>
      </c>
    </row>
    <row r="4" spans="1:44" ht="18.75" collapsed="1" x14ac:dyDescent="0.3">
      <c r="B4" s="16" t="s">
        <v>4</v>
      </c>
    </row>
    <row r="5" spans="1:44" ht="15" x14ac:dyDescent="0.25">
      <c r="A5" s="25" t="s">
        <v>5</v>
      </c>
      <c r="B5" s="25"/>
      <c r="H5" s="26"/>
      <c r="I5" s="27"/>
      <c r="J5" s="26"/>
      <c r="K5" s="28"/>
      <c r="N5" s="28"/>
      <c r="O5" s="29"/>
      <c r="P5" s="29"/>
      <c r="S5" s="28"/>
      <c r="AI5" s="23"/>
      <c r="AJ5" s="23"/>
    </row>
    <row r="6" spans="1:44" ht="15" x14ac:dyDescent="0.25">
      <c r="A6" s="25"/>
      <c r="H6" s="26"/>
      <c r="I6" s="27"/>
      <c r="J6" s="26"/>
      <c r="K6" s="28"/>
      <c r="M6" s="468">
        <v>0</v>
      </c>
      <c r="N6" s="28"/>
      <c r="O6" s="29"/>
      <c r="P6" s="29"/>
      <c r="S6" s="28"/>
      <c r="AI6" s="23"/>
      <c r="AJ6" s="23"/>
    </row>
    <row r="7" spans="1:44" ht="12.75" customHeight="1" x14ac:dyDescent="0.2">
      <c r="L7" s="30">
        <v>2.6579999999999999E-2</v>
      </c>
      <c r="M7" s="31">
        <f>0.25%+M6</f>
        <v>2.5000000000000001E-3</v>
      </c>
      <c r="R7" s="32"/>
    </row>
    <row r="8" spans="1:44" ht="4.5" customHeight="1" thickBot="1" x14ac:dyDescent="0.25">
      <c r="H8" s="6"/>
      <c r="I8" s="5"/>
      <c r="J8" s="6"/>
      <c r="K8" s="5"/>
      <c r="L8" s="33"/>
      <c r="M8" s="34"/>
      <c r="O8" s="35"/>
      <c r="P8" s="9"/>
      <c r="R8" s="32"/>
    </row>
    <row r="9" spans="1:44" s="53" customFormat="1" ht="36.75" customHeight="1" thickBot="1" x14ac:dyDescent="0.25">
      <c r="A9" s="476" t="s">
        <v>6</v>
      </c>
      <c r="B9" s="477"/>
      <c r="C9" s="37" t="s">
        <v>7</v>
      </c>
      <c r="D9" s="38" t="s">
        <v>8</v>
      </c>
      <c r="E9" s="39" t="s">
        <v>9</v>
      </c>
      <c r="F9" s="38" t="s">
        <v>9</v>
      </c>
      <c r="G9" s="38" t="s">
        <v>10</v>
      </c>
      <c r="H9" s="40" t="s">
        <v>11</v>
      </c>
      <c r="I9" s="41" t="s">
        <v>12</v>
      </c>
      <c r="J9" s="40" t="s">
        <v>13</v>
      </c>
      <c r="K9" s="41" t="s">
        <v>14</v>
      </c>
      <c r="L9" s="36" t="s">
        <v>15</v>
      </c>
      <c r="M9" s="36" t="s">
        <v>16</v>
      </c>
      <c r="N9" s="36" t="s">
        <v>17</v>
      </c>
      <c r="O9" s="42" t="s">
        <v>18</v>
      </c>
      <c r="P9" s="43" t="s">
        <v>19</v>
      </c>
      <c r="Q9" s="44" t="s">
        <v>20</v>
      </c>
      <c r="R9" s="45" t="s">
        <v>21</v>
      </c>
      <c r="S9" s="46" t="s">
        <v>22</v>
      </c>
      <c r="T9" s="47" t="s">
        <v>23</v>
      </c>
      <c r="U9" s="48" t="s">
        <v>24</v>
      </c>
      <c r="V9" s="48" t="s">
        <v>25</v>
      </c>
      <c r="W9" s="48" t="s">
        <v>26</v>
      </c>
      <c r="X9" s="49" t="s">
        <v>27</v>
      </c>
      <c r="Y9" s="49" t="s">
        <v>28</v>
      </c>
      <c r="Z9" s="48" t="s">
        <v>29</v>
      </c>
      <c r="AA9" s="50" t="s">
        <v>30</v>
      </c>
      <c r="AB9" s="50" t="s">
        <v>31</v>
      </c>
      <c r="AC9" s="50" t="s">
        <v>32</v>
      </c>
      <c r="AD9" s="50" t="s">
        <v>33</v>
      </c>
      <c r="AE9" s="50" t="s">
        <v>34</v>
      </c>
      <c r="AF9" s="50" t="s">
        <v>35</v>
      </c>
      <c r="AG9" s="50" t="s">
        <v>36</v>
      </c>
      <c r="AH9" s="51" t="s">
        <v>37</v>
      </c>
      <c r="AI9" s="52"/>
    </row>
    <row r="10" spans="1:44" s="76" customFormat="1" hidden="1" outlineLevel="1" x14ac:dyDescent="0.2">
      <c r="A10" s="54">
        <v>1</v>
      </c>
      <c r="B10" s="55" t="s">
        <v>38</v>
      </c>
      <c r="C10" s="56" t="s">
        <v>39</v>
      </c>
      <c r="D10" s="57" t="s">
        <v>40</v>
      </c>
      <c r="E10" s="58" t="s">
        <v>41</v>
      </c>
      <c r="F10" s="59" t="s">
        <v>42</v>
      </c>
      <c r="G10" s="59" t="s">
        <v>43</v>
      </c>
      <c r="H10" s="60">
        <f>(2100000)*0.702804-8</f>
        <v>1475880.4</v>
      </c>
      <c r="I10" s="61">
        <f>H10/0.702804</f>
        <v>2099988.6170255151</v>
      </c>
      <c r="J10" s="60">
        <f>H10</f>
        <v>1475880.4</v>
      </c>
      <c r="K10" s="62">
        <f>J10/0.702804</f>
        <v>2099988.6170255151</v>
      </c>
      <c r="L10" s="63">
        <v>3.6380000000000003E-2</v>
      </c>
      <c r="M10" s="64">
        <f>M7</f>
        <v>2.5000000000000001E-3</v>
      </c>
      <c r="N10" s="65">
        <v>4</v>
      </c>
      <c r="O10" s="66">
        <v>45394</v>
      </c>
      <c r="P10" s="67">
        <v>0</v>
      </c>
      <c r="Q10" s="68">
        <v>2082913</v>
      </c>
      <c r="R10" s="69">
        <v>2065839</v>
      </c>
      <c r="S10" s="70" t="s">
        <v>44</v>
      </c>
      <c r="T10" s="71">
        <v>1686634</v>
      </c>
      <c r="U10" s="72">
        <v>97944.803956721938</v>
      </c>
      <c r="V10" s="72">
        <v>97944.803956721938</v>
      </c>
      <c r="W10" s="72">
        <v>97944.8</v>
      </c>
      <c r="X10" s="73"/>
      <c r="Y10" s="73"/>
      <c r="Z10" s="72">
        <v>97945.803956721895</v>
      </c>
      <c r="AA10" s="72">
        <v>97946.803956721895</v>
      </c>
      <c r="AB10" s="72">
        <v>97946.803956721895</v>
      </c>
      <c r="AC10" s="72">
        <v>97946.803956721895</v>
      </c>
      <c r="AD10" s="72">
        <v>97946.803956721895</v>
      </c>
      <c r="AE10" s="72">
        <v>97946.803956721895</v>
      </c>
      <c r="AF10" s="72">
        <v>97946.803956721895</v>
      </c>
      <c r="AG10" s="72">
        <v>707172.96438950277</v>
      </c>
      <c r="AH10" s="74">
        <f t="shared" ref="AH10:AH41" si="0">SUM(AA10:AG10)</f>
        <v>1294853.788129834</v>
      </c>
      <c r="AI10" s="75"/>
      <c r="AJ10" s="15"/>
      <c r="AK10" s="2"/>
    </row>
    <row r="11" spans="1:44" s="95" customFormat="1" ht="13.5" hidden="1" outlineLevel="1" thickBot="1" x14ac:dyDescent="0.25">
      <c r="A11" s="77"/>
      <c r="B11" s="78" t="s">
        <v>45</v>
      </c>
      <c r="C11" s="79"/>
      <c r="D11" s="79"/>
      <c r="E11" s="80"/>
      <c r="F11" s="81"/>
      <c r="G11" s="82"/>
      <c r="H11" s="83"/>
      <c r="I11" s="84"/>
      <c r="J11" s="83"/>
      <c r="K11" s="85"/>
      <c r="L11" s="86"/>
      <c r="M11" s="79"/>
      <c r="N11" s="79"/>
      <c r="O11" s="87"/>
      <c r="P11" s="85"/>
      <c r="Q11" s="88"/>
      <c r="R11" s="89"/>
      <c r="S11" s="90" t="s">
        <v>46</v>
      </c>
      <c r="T11" s="91"/>
      <c r="U11" s="92">
        <f>((SUM(U10:$AG10))*($L10+$M10))</f>
        <v>65576.329920000004</v>
      </c>
      <c r="V11" s="92">
        <f>((SUM(V10:$AG10))*($L10+$M10))</f>
        <v>61768.235942162661</v>
      </c>
      <c r="W11" s="92">
        <f>((SUM(W10:$AG10))*($L10+$M10))</f>
        <v>57960.14196432531</v>
      </c>
      <c r="X11" s="93">
        <v>11605.25</v>
      </c>
      <c r="Y11" s="93">
        <v>12466.47</v>
      </c>
      <c r="Z11" s="92">
        <v>24071.72</v>
      </c>
      <c r="AA11" s="92">
        <f>((SUM(AA10:$AG10))*($L10+$M10))</f>
        <v>50343.915282487949</v>
      </c>
      <c r="AB11" s="92">
        <f>((SUM(AB10:$AG10))*($L10+$M10))</f>
        <v>46535.743544650613</v>
      </c>
      <c r="AC11" s="92">
        <f>((SUM(AC10:$AG10))*($L10+$M10))</f>
        <v>42727.571806813263</v>
      </c>
      <c r="AD11" s="92">
        <f>((SUM(AD10:$AG10))*($L10+$M10))</f>
        <v>38919.40006897592</v>
      </c>
      <c r="AE11" s="92">
        <f>((SUM(AE10:$AG10))*($L10+$M10))</f>
        <v>35111.228331138569</v>
      </c>
      <c r="AF11" s="92">
        <f>((SUM(AF10:$AG10))*($L10+$M10))</f>
        <v>31303.056593301219</v>
      </c>
      <c r="AG11" s="92">
        <f>(((SUM(AG10:$AG10))*($L10+$M10)))*6.5</f>
        <v>178716.75156051517</v>
      </c>
      <c r="AH11" s="94">
        <f t="shared" si="0"/>
        <v>423657.6671878827</v>
      </c>
      <c r="AI11" s="75"/>
      <c r="AJ11" s="15"/>
      <c r="AK11" s="2"/>
    </row>
    <row r="12" spans="1:44" s="76" customFormat="1" hidden="1" outlineLevel="1" x14ac:dyDescent="0.2">
      <c r="A12" s="96">
        <v>2</v>
      </c>
      <c r="B12" s="97" t="s">
        <v>38</v>
      </c>
      <c r="C12" s="56" t="s">
        <v>47</v>
      </c>
      <c r="D12" s="98" t="s">
        <v>48</v>
      </c>
      <c r="E12" s="99">
        <v>40808</v>
      </c>
      <c r="F12" s="99">
        <v>40808</v>
      </c>
      <c r="G12" s="99" t="s">
        <v>49</v>
      </c>
      <c r="H12" s="100">
        <f>5383766.44*0.702804+874986</f>
        <v>4658718.5890977606</v>
      </c>
      <c r="I12" s="61">
        <f>H12/0.702804+1</f>
        <v>6628760.3540983843</v>
      </c>
      <c r="J12" s="100">
        <f>H12</f>
        <v>4658718.5890977606</v>
      </c>
      <c r="K12" s="62">
        <f>J12/0.702804</f>
        <v>6628759.3540983843</v>
      </c>
      <c r="L12" s="63">
        <v>2.3380000000000001E-2</v>
      </c>
      <c r="M12" s="101">
        <f>M7</f>
        <v>2.5000000000000001E-3</v>
      </c>
      <c r="N12" s="102">
        <v>4</v>
      </c>
      <c r="O12" s="103">
        <v>45191</v>
      </c>
      <c r="P12" s="104">
        <v>0</v>
      </c>
      <c r="Q12" s="68">
        <v>6355568</v>
      </c>
      <c r="R12" s="69">
        <v>6281579</v>
      </c>
      <c r="S12" s="105" t="s">
        <v>44</v>
      </c>
      <c r="T12" s="106">
        <v>4711184</v>
      </c>
      <c r="U12" s="107">
        <v>392598.78998981224</v>
      </c>
      <c r="V12" s="107">
        <v>392598.78998981224</v>
      </c>
      <c r="W12" s="107">
        <v>392598.8</v>
      </c>
      <c r="X12" s="108"/>
      <c r="Y12" s="108"/>
      <c r="Z12" s="72">
        <v>392598.78998981224</v>
      </c>
      <c r="AA12" s="109">
        <v>392598.78998981224</v>
      </c>
      <c r="AB12" s="107">
        <v>392598.78998981224</v>
      </c>
      <c r="AC12" s="107">
        <v>392598.78998981201</v>
      </c>
      <c r="AD12" s="107">
        <v>392598.78998981224</v>
      </c>
      <c r="AE12" s="107">
        <v>392598.78998981224</v>
      </c>
      <c r="AF12" s="107">
        <v>392598.78998981224</v>
      </c>
      <c r="AG12" s="107">
        <v>785196.09009168996</v>
      </c>
      <c r="AH12" s="110">
        <f t="shared" si="0"/>
        <v>3140788.8300305633</v>
      </c>
      <c r="AI12" s="75"/>
      <c r="AJ12" s="15"/>
      <c r="AK12" s="2"/>
      <c r="AL12" s="75"/>
      <c r="AM12" s="75"/>
      <c r="AN12" s="75"/>
      <c r="AO12" s="75"/>
      <c r="AP12" s="75"/>
      <c r="AQ12" s="75"/>
      <c r="AR12" s="75"/>
    </row>
    <row r="13" spans="1:44" s="95" customFormat="1" ht="13.5" hidden="1" outlineLevel="1" thickBot="1" x14ac:dyDescent="0.25">
      <c r="A13" s="77"/>
      <c r="B13" s="78" t="s">
        <v>50</v>
      </c>
      <c r="C13" s="79"/>
      <c r="D13" s="79"/>
      <c r="E13" s="80"/>
      <c r="F13" s="81"/>
      <c r="G13" s="82"/>
      <c r="H13" s="83"/>
      <c r="I13" s="84"/>
      <c r="J13" s="83"/>
      <c r="K13" s="85"/>
      <c r="L13" s="86"/>
      <c r="M13" s="79"/>
      <c r="N13" s="79"/>
      <c r="O13" s="87"/>
      <c r="P13" s="85"/>
      <c r="Q13" s="111"/>
      <c r="R13" s="112"/>
      <c r="S13" s="90" t="s">
        <v>46</v>
      </c>
      <c r="T13" s="91"/>
      <c r="U13" s="92">
        <f>((SUM(U12:$AG12))*($L12+$M12))</f>
        <v>121925.44192</v>
      </c>
      <c r="V13" s="92">
        <f>((SUM(V12:$AG12))*($L12+$M12))</f>
        <v>111764.98523506366</v>
      </c>
      <c r="W13" s="92">
        <f>((SUM(W12:$AG12))*($L12+$M12))</f>
        <v>101604.52855012732</v>
      </c>
      <c r="X13" s="93">
        <v>42286.94</v>
      </c>
      <c r="Y13" s="93">
        <v>21353.1</v>
      </c>
      <c r="Z13" s="92">
        <v>61640.04</v>
      </c>
      <c r="AA13" s="92">
        <f>((SUM(AA12:$AG12))*($L12+$M12))</f>
        <v>81283.61492119098</v>
      </c>
      <c r="AB13" s="92">
        <f>((SUM(AB12:$AG12))*($L12+$M12))</f>
        <v>71123.158236254632</v>
      </c>
      <c r="AC13" s="92">
        <f>((SUM(AC12:$AG12))*($L12+$M12))</f>
        <v>60962.701551318292</v>
      </c>
      <c r="AD13" s="92">
        <f>((SUM(AD12:$AG12))*($L12+$M12))</f>
        <v>50802.24486638196</v>
      </c>
      <c r="AE13" s="92">
        <f>((SUM(AE12:$AG12))*($L12+$M12))</f>
        <v>40641.78818144562</v>
      </c>
      <c r="AF13" s="92">
        <f>((SUM(AF12:$AG12))*($L12+$M12))</f>
        <v>30481.33149650928</v>
      </c>
      <c r="AG13" s="92">
        <f>((SUM(AG12:$AG12))*($L12+$M12))</f>
        <v>20320.874811572936</v>
      </c>
      <c r="AH13" s="94">
        <f t="shared" si="0"/>
        <v>355615.7140646737</v>
      </c>
      <c r="AI13" s="75"/>
      <c r="AJ13" s="15"/>
      <c r="AK13" s="2"/>
    </row>
    <row r="14" spans="1:44" s="76" customFormat="1" hidden="1" outlineLevel="1" x14ac:dyDescent="0.2">
      <c r="A14" s="54">
        <v>3</v>
      </c>
      <c r="B14" s="55" t="s">
        <v>51</v>
      </c>
      <c r="C14" s="56" t="s">
        <v>52</v>
      </c>
      <c r="D14" s="113" t="s">
        <v>53</v>
      </c>
      <c r="E14" s="114">
        <v>2012</v>
      </c>
      <c r="F14" s="99">
        <v>41096</v>
      </c>
      <c r="G14" s="99" t="s">
        <v>54</v>
      </c>
      <c r="H14" s="60">
        <v>612196</v>
      </c>
      <c r="I14" s="61">
        <f>H14/0.702804</f>
        <v>871076.43098217994</v>
      </c>
      <c r="J14" s="60">
        <f>H14</f>
        <v>612196</v>
      </c>
      <c r="K14" s="62">
        <f>J14/0.702804</f>
        <v>871076.43098217994</v>
      </c>
      <c r="L14" s="63">
        <v>4.1189999999999997E-2</v>
      </c>
      <c r="M14" s="64">
        <f>M7</f>
        <v>2.5000000000000001E-3</v>
      </c>
      <c r="N14" s="65">
        <v>4</v>
      </c>
      <c r="O14" s="66">
        <v>45479</v>
      </c>
      <c r="P14" s="67">
        <v>0</v>
      </c>
      <c r="Q14" s="68">
        <v>856768</v>
      </c>
      <c r="R14" s="69">
        <v>828311</v>
      </c>
      <c r="S14" s="70" t="s">
        <v>44</v>
      </c>
      <c r="T14" s="71">
        <v>639883</v>
      </c>
      <c r="U14" s="72">
        <v>53323.543975276181</v>
      </c>
      <c r="V14" s="72">
        <v>53323.543975276181</v>
      </c>
      <c r="W14" s="72">
        <v>53323.56</v>
      </c>
      <c r="X14" s="73"/>
      <c r="Y14" s="73"/>
      <c r="Z14" s="72">
        <v>53323.543975276181</v>
      </c>
      <c r="AA14" s="72">
        <v>53323.543975276181</v>
      </c>
      <c r="AB14" s="72">
        <v>53323.543975276181</v>
      </c>
      <c r="AC14" s="72">
        <v>53323.543975276181</v>
      </c>
      <c r="AD14" s="72">
        <v>53323.543975276181</v>
      </c>
      <c r="AE14" s="72">
        <v>53323.543975276181</v>
      </c>
      <c r="AF14" s="72">
        <v>53323.543975276181</v>
      </c>
      <c r="AG14" s="72">
        <v>106647.54422251438</v>
      </c>
      <c r="AH14" s="74">
        <f t="shared" si="0"/>
        <v>426588.80807417148</v>
      </c>
      <c r="AI14" s="75"/>
      <c r="AJ14" s="15"/>
      <c r="AK14" s="2"/>
    </row>
    <row r="15" spans="1:44" s="95" customFormat="1" ht="13.5" hidden="1" outlineLevel="1" thickBot="1" x14ac:dyDescent="0.25">
      <c r="A15" s="77"/>
      <c r="B15" s="78" t="s">
        <v>55</v>
      </c>
      <c r="C15" s="79"/>
      <c r="D15" s="79"/>
      <c r="E15" s="80"/>
      <c r="F15" s="81"/>
      <c r="G15" s="82"/>
      <c r="H15" s="83"/>
      <c r="I15" s="84"/>
      <c r="J15" s="83"/>
      <c r="K15" s="85"/>
      <c r="L15" s="86"/>
      <c r="M15" s="79"/>
      <c r="N15" s="79"/>
      <c r="O15" s="87"/>
      <c r="P15" s="85"/>
      <c r="Q15" s="111"/>
      <c r="R15" s="112"/>
      <c r="S15" s="90" t="s">
        <v>46</v>
      </c>
      <c r="T15" s="91"/>
      <c r="U15" s="92">
        <f>((SUM(U14:$AG14))*($L14+$M14))</f>
        <v>27956.488269999998</v>
      </c>
      <c r="V15" s="92">
        <f>((SUM(V14:$AG14))*($L14+$M14))</f>
        <v>25626.782633720184</v>
      </c>
      <c r="W15" s="92">
        <f>((SUM(W14:$AG14))*($L14+$M14))</f>
        <v>23297.076997440367</v>
      </c>
      <c r="X15" s="93">
        <v>4357.3500000000004</v>
      </c>
      <c r="Y15" s="93">
        <v>4578.09</v>
      </c>
      <c r="Z15" s="92">
        <v>8935.44</v>
      </c>
      <c r="AA15" s="92">
        <f>((SUM(AA14:$AG14))*($L14+$M14))</f>
        <v>18637.66502476055</v>
      </c>
      <c r="AB15" s="92">
        <f>((SUM(AB14:$AG14))*($L14+$M14))</f>
        <v>16307.959388480736</v>
      </c>
      <c r="AC15" s="92">
        <f>((SUM(AC14:$AG14))*($L14+$M14))</f>
        <v>13978.253752200917</v>
      </c>
      <c r="AD15" s="92">
        <f>((SUM(AD14:$AG14))*($L14+$M14))</f>
        <v>11648.548115921101</v>
      </c>
      <c r="AE15" s="92">
        <f>((SUM(AE14:$AG14))*($L14+$M14))</f>
        <v>9318.8424796412855</v>
      </c>
      <c r="AF15" s="92">
        <f>((SUM(AF14:$AG14))*($L14+$M14))</f>
        <v>6989.1368433614689</v>
      </c>
      <c r="AG15" s="92">
        <f>((SUM(AG14:$AG14))*($L14+$M14))*3</f>
        <v>13978.29362124496</v>
      </c>
      <c r="AH15" s="94">
        <f t="shared" si="0"/>
        <v>90858.69922561101</v>
      </c>
      <c r="AI15" s="75"/>
      <c r="AJ15" s="15"/>
      <c r="AK15" s="2"/>
    </row>
    <row r="16" spans="1:44" s="76" customFormat="1" hidden="1" outlineLevel="1" x14ac:dyDescent="0.2">
      <c r="A16" s="54">
        <v>4</v>
      </c>
      <c r="B16" s="55" t="s">
        <v>56</v>
      </c>
      <c r="C16" s="56" t="s">
        <v>57</v>
      </c>
      <c r="D16" s="113" t="s">
        <v>58</v>
      </c>
      <c r="E16" s="114">
        <v>2012</v>
      </c>
      <c r="F16" s="99">
        <v>41604</v>
      </c>
      <c r="G16" s="115" t="s">
        <v>59</v>
      </c>
      <c r="H16" s="60">
        <v>366106</v>
      </c>
      <c r="I16" s="61">
        <f>H16/0.702804</f>
        <v>520921.90710354527</v>
      </c>
      <c r="J16" s="60">
        <f>H16</f>
        <v>366106</v>
      </c>
      <c r="K16" s="62">
        <f>J16/0.702804</f>
        <v>520921.90710354527</v>
      </c>
      <c r="L16" s="63">
        <v>2.8369999999999999E-2</v>
      </c>
      <c r="M16" s="64">
        <f>M7</f>
        <v>2.5000000000000001E-3</v>
      </c>
      <c r="N16" s="65">
        <v>4</v>
      </c>
      <c r="O16" s="66">
        <v>45252</v>
      </c>
      <c r="P16" s="67">
        <v>0</v>
      </c>
      <c r="Q16" s="68">
        <v>520922</v>
      </c>
      <c r="R16" s="69">
        <v>463059</v>
      </c>
      <c r="S16" s="70" t="s">
        <v>44</v>
      </c>
      <c r="T16" s="71">
        <v>231528</v>
      </c>
      <c r="U16" s="72">
        <v>57882.425256543786</v>
      </c>
      <c r="V16" s="72">
        <v>57882.425256543786</v>
      </c>
      <c r="W16" s="72">
        <v>57882.44</v>
      </c>
      <c r="X16" s="73"/>
      <c r="Y16" s="73"/>
      <c r="Z16" s="72">
        <v>57881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7">
        <f t="shared" si="0"/>
        <v>0</v>
      </c>
      <c r="AI16" s="75"/>
      <c r="AJ16" s="118"/>
      <c r="AK16" s="53"/>
    </row>
    <row r="17" spans="1:37" s="95" customFormat="1" ht="15.75" hidden="1" outlineLevel="1" thickBot="1" x14ac:dyDescent="0.3">
      <c r="A17" s="77"/>
      <c r="B17" s="78" t="s">
        <v>60</v>
      </c>
      <c r="C17" s="79"/>
      <c r="D17" s="79"/>
      <c r="E17" s="80"/>
      <c r="F17" s="81"/>
      <c r="G17" s="82"/>
      <c r="H17" s="83"/>
      <c r="I17" s="119"/>
      <c r="J17" s="120"/>
      <c r="K17" s="121"/>
      <c r="L17" s="86"/>
      <c r="M17" s="79"/>
      <c r="N17" s="79"/>
      <c r="O17" s="87"/>
      <c r="P17" s="85"/>
      <c r="Q17" s="111"/>
      <c r="R17" s="112"/>
      <c r="S17" s="90" t="s">
        <v>46</v>
      </c>
      <c r="T17" s="91"/>
      <c r="U17" s="92">
        <f>((SUM(U16:$AG16))*($L16+$M16))</f>
        <v>7147.278328139013</v>
      </c>
      <c r="V17" s="92">
        <f>((SUM(V16:$AG16))*($L16+$M16))</f>
        <v>5360.4478604695068</v>
      </c>
      <c r="W17" s="92">
        <f>((SUM(W16:$AG16))*($L16+$M16))</f>
        <v>3573.6173927999998</v>
      </c>
      <c r="X17" s="93">
        <v>932.81000000000006</v>
      </c>
      <c r="Y17" s="93">
        <v>202.98</v>
      </c>
      <c r="Z17" s="92">
        <v>1135.79</v>
      </c>
      <c r="AA17" s="122">
        <f>((SUM(AA16:$AG16))*($L16+$M16))</f>
        <v>0</v>
      </c>
      <c r="AB17" s="122">
        <f>((SUM(AB16:$AG16))*($L16+$M16))</f>
        <v>0</v>
      </c>
      <c r="AC17" s="122">
        <f>((SUM(AC16:$AG16))*($L16+$M16))</f>
        <v>0</v>
      </c>
      <c r="AD17" s="122">
        <f>((SUM(AD16:$AG16))*($L16+$M16))</f>
        <v>0</v>
      </c>
      <c r="AE17" s="122">
        <f>((SUM(AE16:$AG16))*($L16+$M16))</f>
        <v>0</v>
      </c>
      <c r="AF17" s="122">
        <f>((SUM(AF16:$AG16))*($L16+$M16))</f>
        <v>0</v>
      </c>
      <c r="AG17" s="122">
        <f>((SUM(AG16:$AG16))*($L16+$M16))</f>
        <v>0</v>
      </c>
      <c r="AH17" s="94">
        <f t="shared" si="0"/>
        <v>0</v>
      </c>
      <c r="AI17" s="75"/>
      <c r="AJ17" s="75"/>
      <c r="AK17" s="76"/>
    </row>
    <row r="18" spans="1:37" s="140" customFormat="1" hidden="1" outlineLevel="1" x14ac:dyDescent="0.25">
      <c r="A18" s="54">
        <v>5</v>
      </c>
      <c r="B18" s="55" t="s">
        <v>61</v>
      </c>
      <c r="C18" s="123" t="s">
        <v>62</v>
      </c>
      <c r="D18" s="124" t="s">
        <v>63</v>
      </c>
      <c r="E18" s="125" t="s">
        <v>64</v>
      </c>
      <c r="F18" s="126" t="s">
        <v>64</v>
      </c>
      <c r="G18" s="127" t="s">
        <v>65</v>
      </c>
      <c r="H18" s="128"/>
      <c r="I18" s="61">
        <v>1925611</v>
      </c>
      <c r="J18" s="128"/>
      <c r="K18" s="129">
        <f>J18/0.702804</f>
        <v>0</v>
      </c>
      <c r="L18" s="63">
        <v>3.8080000000000003E-2</v>
      </c>
      <c r="M18" s="130">
        <f>M7</f>
        <v>2.5000000000000001E-3</v>
      </c>
      <c r="N18" s="131">
        <v>4</v>
      </c>
      <c r="O18" s="132">
        <v>45430</v>
      </c>
      <c r="P18" s="133">
        <v>0</v>
      </c>
      <c r="Q18" s="134"/>
      <c r="R18" s="135"/>
      <c r="S18" s="136" t="s">
        <v>44</v>
      </c>
      <c r="T18" s="137">
        <v>1660050</v>
      </c>
      <c r="U18" s="138">
        <v>132804</v>
      </c>
      <c r="V18" s="138">
        <v>132804</v>
      </c>
      <c r="W18" s="138">
        <v>132804</v>
      </c>
      <c r="X18" s="139"/>
      <c r="Y18" s="139"/>
      <c r="Z18" s="72">
        <v>132804</v>
      </c>
      <c r="AA18" s="138">
        <v>132804</v>
      </c>
      <c r="AB18" s="138">
        <v>132804</v>
      </c>
      <c r="AC18" s="138">
        <v>132804</v>
      </c>
      <c r="AD18" s="138">
        <v>132804</v>
      </c>
      <c r="AE18" s="138">
        <v>132804</v>
      </c>
      <c r="AF18" s="138">
        <v>132804</v>
      </c>
      <c r="AG18" s="138">
        <v>332010</v>
      </c>
      <c r="AH18" s="74">
        <f t="shared" si="0"/>
        <v>1128834</v>
      </c>
      <c r="AI18" s="75"/>
      <c r="AJ18" s="75"/>
      <c r="AK18" s="95"/>
    </row>
    <row r="19" spans="1:37" s="156" customFormat="1" ht="15.75" hidden="1" outlineLevel="1" thickBot="1" x14ac:dyDescent="0.3">
      <c r="A19" s="77"/>
      <c r="B19" s="78" t="s">
        <v>66</v>
      </c>
      <c r="C19" s="141"/>
      <c r="D19" s="141"/>
      <c r="E19" s="142"/>
      <c r="F19" s="143"/>
      <c r="G19" s="144"/>
      <c r="H19" s="145"/>
      <c r="I19" s="146"/>
      <c r="J19" s="147"/>
      <c r="K19" s="148"/>
      <c r="L19" s="149"/>
      <c r="M19" s="141"/>
      <c r="N19" s="141"/>
      <c r="O19" s="150"/>
      <c r="P19" s="151"/>
      <c r="Q19" s="152"/>
      <c r="R19" s="153"/>
      <c r="S19" s="154" t="s">
        <v>46</v>
      </c>
      <c r="T19" s="155"/>
      <c r="U19" s="92">
        <f>((SUM(U18:$AG18))*($L18+$M18))</f>
        <v>67364.829000000012</v>
      </c>
      <c r="V19" s="92">
        <f>((SUM(V18:$AG18))*($L18+$M18))</f>
        <v>61975.642680000004</v>
      </c>
      <c r="W19" s="92">
        <f>((SUM(W18:$AG18))*($L18+$M18))</f>
        <v>56586.456360000004</v>
      </c>
      <c r="X19" s="93">
        <v>7392.33</v>
      </c>
      <c r="Y19" s="93">
        <v>11592.87</v>
      </c>
      <c r="Z19" s="92">
        <v>18985.2</v>
      </c>
      <c r="AA19" s="92">
        <f>((SUM(AA18:$AG18))*($L18+$M18))</f>
        <v>45808.083720000002</v>
      </c>
      <c r="AB19" s="92">
        <f>((SUM(AB18:$AG18))*($L18+$M18))</f>
        <v>40418.897400000002</v>
      </c>
      <c r="AC19" s="92">
        <f>((SUM(AC18:$AG18))*($L18+$M18))</f>
        <v>35029.711080000001</v>
      </c>
      <c r="AD19" s="92">
        <f>((SUM(AD18:$AG18))*($L18+$M18))</f>
        <v>29640.524760000004</v>
      </c>
      <c r="AE19" s="92">
        <f>((SUM(AE18:$AG18))*($L18+$M18))</f>
        <v>24251.338440000003</v>
      </c>
      <c r="AF19" s="92">
        <f>((SUM(AF18:$AG18))*($L18+$M18))</f>
        <v>18862.152120000002</v>
      </c>
      <c r="AG19" s="92">
        <f>((SUM(AG18:$AG18))*($L18+$M18))*3</f>
        <v>40418.897400000002</v>
      </c>
      <c r="AH19" s="94">
        <f t="shared" si="0"/>
        <v>234429.60492000001</v>
      </c>
      <c r="AI19" s="75"/>
      <c r="AJ19" s="75"/>
      <c r="AK19" s="75"/>
    </row>
    <row r="20" spans="1:37" s="76" customFormat="1" hidden="1" outlineLevel="1" x14ac:dyDescent="0.25">
      <c r="A20" s="54">
        <v>6</v>
      </c>
      <c r="B20" s="55" t="s">
        <v>67</v>
      </c>
      <c r="C20" s="123" t="s">
        <v>68</v>
      </c>
      <c r="D20" s="124" t="s">
        <v>69</v>
      </c>
      <c r="E20" s="157" t="s">
        <v>70</v>
      </c>
      <c r="F20" s="157" t="s">
        <v>70</v>
      </c>
      <c r="G20" s="158" t="s">
        <v>71</v>
      </c>
      <c r="H20" s="60"/>
      <c r="I20" s="61">
        <v>154450.12</v>
      </c>
      <c r="J20" s="60"/>
      <c r="K20" s="62">
        <f>J20/0.702804</f>
        <v>0</v>
      </c>
      <c r="L20" s="63">
        <v>1.15E-2</v>
      </c>
      <c r="M20" s="64">
        <f>M7</f>
        <v>2.5000000000000001E-3</v>
      </c>
      <c r="N20" s="65">
        <v>4</v>
      </c>
      <c r="O20" s="66">
        <v>45156</v>
      </c>
      <c r="P20" s="67">
        <v>0</v>
      </c>
      <c r="Q20" s="68"/>
      <c r="R20" s="69"/>
      <c r="S20" s="70" t="s">
        <v>44</v>
      </c>
      <c r="T20" s="71">
        <v>133518</v>
      </c>
      <c r="U20" s="72">
        <v>10472</v>
      </c>
      <c r="V20" s="72">
        <v>10472</v>
      </c>
      <c r="W20" s="72">
        <v>10472</v>
      </c>
      <c r="X20" s="73"/>
      <c r="Y20" s="73"/>
      <c r="Z20" s="72">
        <v>10472</v>
      </c>
      <c r="AA20" s="72">
        <v>10472</v>
      </c>
      <c r="AB20" s="72">
        <v>10472</v>
      </c>
      <c r="AC20" s="72">
        <v>10472</v>
      </c>
      <c r="AD20" s="72">
        <v>10472</v>
      </c>
      <c r="AE20" s="72">
        <v>10472</v>
      </c>
      <c r="AF20" s="72">
        <v>10472</v>
      </c>
      <c r="AG20" s="72">
        <v>28798</v>
      </c>
      <c r="AH20" s="74">
        <f t="shared" si="0"/>
        <v>91630</v>
      </c>
      <c r="AI20" s="75"/>
      <c r="AJ20" s="75"/>
      <c r="AK20" s="95"/>
    </row>
    <row r="21" spans="1:37" s="95" customFormat="1" ht="15.75" hidden="1" outlineLevel="1" thickBot="1" x14ac:dyDescent="0.3">
      <c r="A21" s="77"/>
      <c r="B21" s="78" t="s">
        <v>72</v>
      </c>
      <c r="C21" s="79"/>
      <c r="D21" s="79"/>
      <c r="E21" s="80"/>
      <c r="F21" s="81"/>
      <c r="G21" s="82"/>
      <c r="H21" s="83"/>
      <c r="I21" s="119"/>
      <c r="J21" s="120"/>
      <c r="K21" s="121"/>
      <c r="L21" s="86"/>
      <c r="M21" s="79"/>
      <c r="N21" s="79"/>
      <c r="O21" s="87"/>
      <c r="P21" s="85"/>
      <c r="Q21" s="111"/>
      <c r="R21" s="112"/>
      <c r="S21" s="90" t="s">
        <v>46</v>
      </c>
      <c r="T21" s="91"/>
      <c r="U21" s="92">
        <f>((SUM(U20:$AG20))*($L20+$M20))</f>
        <v>1869.252</v>
      </c>
      <c r="V21" s="92">
        <f>((SUM(V20:$AG20))*($L20+$M20))</f>
        <v>1722.644</v>
      </c>
      <c r="W21" s="92">
        <f>((SUM(W20:$AG20))*($L20+$M20))</f>
        <v>1576.0360000000001</v>
      </c>
      <c r="X21" s="93">
        <v>887.57999999999993</v>
      </c>
      <c r="Y21" s="93">
        <v>632.29999999999995</v>
      </c>
      <c r="Z21" s="92">
        <v>1519.8799999999999</v>
      </c>
      <c r="AA21" s="92">
        <f>((SUM(AA20:$AG20))*($L20+$M20))</f>
        <v>1282.82</v>
      </c>
      <c r="AB21" s="92">
        <f>((SUM(AB20:$AG20))*($L20+$M20))</f>
        <v>1136.212</v>
      </c>
      <c r="AC21" s="92">
        <f>((SUM(AC20:$AG20))*($L20+$M20))</f>
        <v>989.60400000000004</v>
      </c>
      <c r="AD21" s="92">
        <f>((SUM(AD20:$AG20))*($L20+$M20))</f>
        <v>842.99599999999998</v>
      </c>
      <c r="AE21" s="92">
        <f>((SUM(AE20:$AG20))*($L20+$M20))</f>
        <v>696.38800000000003</v>
      </c>
      <c r="AF21" s="92">
        <f>((SUM(AF20:$AG20))*($L20+$M20))</f>
        <v>549.78</v>
      </c>
      <c r="AG21" s="92">
        <f>((SUM(AG20:$AG20))*($L20+$M20))*3</f>
        <v>1209.5160000000001</v>
      </c>
      <c r="AH21" s="94">
        <f t="shared" si="0"/>
        <v>6707.3160000000007</v>
      </c>
      <c r="AI21" s="75"/>
      <c r="AJ21" s="75"/>
      <c r="AK21" s="76"/>
    </row>
    <row r="22" spans="1:37" s="95" customFormat="1" ht="15" hidden="1" outlineLevel="1" x14ac:dyDescent="0.25">
      <c r="A22" s="96">
        <v>7</v>
      </c>
      <c r="B22" s="97" t="s">
        <v>73</v>
      </c>
      <c r="C22" s="102" t="s">
        <v>74</v>
      </c>
      <c r="D22" s="102" t="s">
        <v>75</v>
      </c>
      <c r="E22" s="159" t="s">
        <v>76</v>
      </c>
      <c r="F22" s="160" t="s">
        <v>76</v>
      </c>
      <c r="G22" s="158" t="s">
        <v>77</v>
      </c>
      <c r="H22" s="100"/>
      <c r="I22" s="161">
        <f>46627+88266</f>
        <v>134893</v>
      </c>
      <c r="J22" s="162"/>
      <c r="K22" s="121"/>
      <c r="L22" s="63">
        <v>0</v>
      </c>
      <c r="M22" s="64">
        <f>M7</f>
        <v>2.5000000000000001E-3</v>
      </c>
      <c r="N22" s="102"/>
      <c r="O22" s="163"/>
      <c r="P22" s="104"/>
      <c r="Q22" s="164"/>
      <c r="R22" s="165"/>
      <c r="S22" s="70" t="s">
        <v>44</v>
      </c>
      <c r="T22" s="166">
        <v>89936</v>
      </c>
      <c r="U22" s="167">
        <v>25696</v>
      </c>
      <c r="V22" s="167">
        <v>25696</v>
      </c>
      <c r="W22" s="167">
        <v>25696</v>
      </c>
      <c r="X22" s="168"/>
      <c r="Y22" s="168"/>
      <c r="Z22" s="72">
        <v>12848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74">
        <f t="shared" si="0"/>
        <v>0</v>
      </c>
      <c r="AI22" s="75"/>
      <c r="AJ22" s="75"/>
    </row>
    <row r="23" spans="1:37" s="95" customFormat="1" ht="15.75" hidden="1" outlineLevel="1" thickBot="1" x14ac:dyDescent="0.3">
      <c r="A23" s="77"/>
      <c r="B23" s="78"/>
      <c r="C23" s="79"/>
      <c r="D23" s="79"/>
      <c r="E23" s="80"/>
      <c r="F23" s="81" t="s">
        <v>78</v>
      </c>
      <c r="G23" s="82"/>
      <c r="H23" s="83"/>
      <c r="I23" s="84" t="s">
        <v>79</v>
      </c>
      <c r="J23" s="169"/>
      <c r="K23" s="170"/>
      <c r="L23" s="86"/>
      <c r="M23" s="79"/>
      <c r="N23" s="79"/>
      <c r="O23" s="87"/>
      <c r="P23" s="85"/>
      <c r="Q23" s="111"/>
      <c r="R23" s="112"/>
      <c r="S23" s="90" t="s">
        <v>46</v>
      </c>
      <c r="T23" s="91"/>
      <c r="U23" s="92">
        <f>((SUM(U22:$AG22))*($L22+$M22))</f>
        <v>224.84</v>
      </c>
      <c r="V23" s="92">
        <f>((SUM(V22:$AG22))*($L22+$M22))</f>
        <v>160.6</v>
      </c>
      <c r="W23" s="92">
        <f>((SUM(W22:$AG22))*($L22+$M22))</f>
        <v>96.36</v>
      </c>
      <c r="X23" s="93">
        <v>114.2</v>
      </c>
      <c r="Y23" s="93"/>
      <c r="Z23" s="92">
        <v>114.2</v>
      </c>
      <c r="AA23" s="122">
        <f>((SUM(AA22:$AG22))*($L22+$M22))</f>
        <v>0</v>
      </c>
      <c r="AB23" s="122">
        <f>((SUM(AB22:$AG22))*($L22+$M22))</f>
        <v>0</v>
      </c>
      <c r="AC23" s="122">
        <f>((SUM(AC22:$AG22))*($L22+$M22))</f>
        <v>0</v>
      </c>
      <c r="AD23" s="122">
        <f>((SUM(AD22:$AG22))*($L22+$M22))</f>
        <v>0</v>
      </c>
      <c r="AE23" s="122">
        <f>((SUM(AE22:$AG22))*($L22+$M22))</f>
        <v>0</v>
      </c>
      <c r="AF23" s="122">
        <f>((SUM(AF22:$AG22))*($L22+$M22))</f>
        <v>0</v>
      </c>
      <c r="AG23" s="122">
        <f>((SUM(AG22:$AG22))*($L22+$M22))</f>
        <v>0</v>
      </c>
      <c r="AH23" s="94">
        <f t="shared" si="0"/>
        <v>0</v>
      </c>
      <c r="AI23" s="75"/>
      <c r="AJ23" s="75"/>
      <c r="AK23" s="76"/>
    </row>
    <row r="24" spans="1:37" s="76" customFormat="1" ht="13.5" hidden="1" outlineLevel="2" thickBot="1" x14ac:dyDescent="0.3">
      <c r="A24" s="171"/>
      <c r="B24" s="55" t="s">
        <v>80</v>
      </c>
      <c r="C24" s="56" t="s">
        <v>81</v>
      </c>
      <c r="D24" s="113" t="s">
        <v>82</v>
      </c>
      <c r="E24" s="99" t="s">
        <v>83</v>
      </c>
      <c r="F24" s="99" t="s">
        <v>83</v>
      </c>
      <c r="G24" s="158" t="s">
        <v>84</v>
      </c>
      <c r="H24" s="60"/>
      <c r="I24" s="172">
        <v>330753</v>
      </c>
      <c r="J24" s="60"/>
      <c r="K24" s="62">
        <f>J24/0.702804</f>
        <v>0</v>
      </c>
      <c r="L24" s="173">
        <f>0.101%+L7</f>
        <v>2.759E-2</v>
      </c>
      <c r="M24" s="64">
        <f>M7</f>
        <v>2.5000000000000001E-3</v>
      </c>
      <c r="N24" s="65">
        <v>4</v>
      </c>
      <c r="O24" s="174"/>
      <c r="P24" s="67">
        <v>0</v>
      </c>
      <c r="Q24" s="68"/>
      <c r="R24" s="69"/>
      <c r="S24" s="70" t="s">
        <v>44</v>
      </c>
      <c r="T24" s="71">
        <v>164592</v>
      </c>
      <c r="U24" s="72">
        <v>82296</v>
      </c>
      <c r="V24" s="72">
        <v>82296</v>
      </c>
      <c r="W24" s="116">
        <v>0</v>
      </c>
      <c r="X24" s="175"/>
      <c r="Y24" s="175"/>
      <c r="Z24" s="72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74">
        <f t="shared" si="0"/>
        <v>0</v>
      </c>
      <c r="AI24" s="75"/>
    </row>
    <row r="25" spans="1:37" s="95" customFormat="1" ht="15.75" hidden="1" outlineLevel="2" thickBot="1" x14ac:dyDescent="0.3">
      <c r="A25" s="77"/>
      <c r="B25" s="176" t="s">
        <v>85</v>
      </c>
      <c r="C25" s="79"/>
      <c r="D25" s="79"/>
      <c r="E25" s="80"/>
      <c r="F25" s="81"/>
      <c r="G25" s="82"/>
      <c r="H25" s="83"/>
      <c r="I25" s="119"/>
      <c r="J25" s="120"/>
      <c r="K25" s="121"/>
      <c r="L25" s="86"/>
      <c r="M25" s="79"/>
      <c r="N25" s="79"/>
      <c r="O25" s="87"/>
      <c r="P25" s="85"/>
      <c r="Q25" s="111"/>
      <c r="R25" s="112"/>
      <c r="S25" s="90" t="s">
        <v>46</v>
      </c>
      <c r="T25" s="91"/>
      <c r="U25" s="92">
        <f>((SUM(U24:$AG24))*($L24+$M24))</f>
        <v>4952.5732799999996</v>
      </c>
      <c r="V25" s="92">
        <f>((SUM(V24:$AG24))*($L24+$M24))</f>
        <v>2476.2866399999998</v>
      </c>
      <c r="W25" s="122">
        <f>((SUM(W24:$AG24))*($L24+$M24))</f>
        <v>0</v>
      </c>
      <c r="X25" s="177"/>
      <c r="Y25" s="177"/>
      <c r="Z25" s="92">
        <v>0</v>
      </c>
      <c r="AA25" s="122">
        <f>((SUM(AA24:$AG24))*($L24+$M24))</f>
        <v>0</v>
      </c>
      <c r="AB25" s="122">
        <f>((SUM(AB24:$AG24))*($L24+$M24))</f>
        <v>0</v>
      </c>
      <c r="AC25" s="122">
        <f>((SUM(AC24:$AG24))*($L24+$M24))</f>
        <v>0</v>
      </c>
      <c r="AD25" s="122">
        <f>((SUM(AD24:$AG24))*($L24+$M24))</f>
        <v>0</v>
      </c>
      <c r="AE25" s="122">
        <f>((SUM(AE24:$AG24))*($L24+$M24))</f>
        <v>0</v>
      </c>
      <c r="AF25" s="122">
        <f>((SUM(AF24:$AG24))*($L24+$M24))</f>
        <v>0</v>
      </c>
      <c r="AG25" s="122">
        <f>((SUM(AG24:$AG24))*($L24+$M24))</f>
        <v>0</v>
      </c>
      <c r="AH25" s="94">
        <f t="shared" si="0"/>
        <v>0</v>
      </c>
      <c r="AI25" s="75"/>
    </row>
    <row r="26" spans="1:37" s="95" customFormat="1" ht="13.5" hidden="1" outlineLevel="2" thickBot="1" x14ac:dyDescent="0.3">
      <c r="A26" s="171" t="s">
        <v>86</v>
      </c>
      <c r="B26" s="97" t="s">
        <v>80</v>
      </c>
      <c r="C26" s="102" t="s">
        <v>87</v>
      </c>
      <c r="D26" s="102" t="s">
        <v>88</v>
      </c>
      <c r="E26" s="160" t="s">
        <v>89</v>
      </c>
      <c r="F26" s="160" t="s">
        <v>89</v>
      </c>
      <c r="G26" s="158" t="s">
        <v>90</v>
      </c>
      <c r="H26" s="100"/>
      <c r="I26" s="161">
        <v>32850</v>
      </c>
      <c r="J26" s="100"/>
      <c r="K26" s="121"/>
      <c r="L26" s="173">
        <f>0.101%+L7</f>
        <v>2.759E-2</v>
      </c>
      <c r="M26" s="64">
        <f>M7</f>
        <v>2.5000000000000001E-3</v>
      </c>
      <c r="N26" s="102"/>
      <c r="O26" s="163"/>
      <c r="P26" s="104"/>
      <c r="Q26" s="164"/>
      <c r="R26" s="165"/>
      <c r="S26" s="105" t="s">
        <v>44</v>
      </c>
      <c r="T26" s="178">
        <v>20075</v>
      </c>
      <c r="U26" s="167">
        <v>7300</v>
      </c>
      <c r="V26" s="167">
        <v>7300</v>
      </c>
      <c r="W26" s="167">
        <v>5475</v>
      </c>
      <c r="X26" s="168"/>
      <c r="Y26" s="168"/>
      <c r="Z26" s="72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74">
        <f t="shared" si="0"/>
        <v>0</v>
      </c>
      <c r="AI26" s="75"/>
    </row>
    <row r="27" spans="1:37" s="95" customFormat="1" ht="15.75" hidden="1" outlineLevel="2" thickBot="1" x14ac:dyDescent="0.3">
      <c r="A27" s="77"/>
      <c r="B27" s="176" t="s">
        <v>91</v>
      </c>
      <c r="C27" s="79"/>
      <c r="D27" s="79"/>
      <c r="E27" s="80"/>
      <c r="F27" s="81"/>
      <c r="G27" s="82"/>
      <c r="H27" s="83"/>
      <c r="I27" s="84"/>
      <c r="J27" s="169"/>
      <c r="K27" s="170"/>
      <c r="L27" s="86"/>
      <c r="M27" s="79"/>
      <c r="N27" s="79"/>
      <c r="O27" s="87"/>
      <c r="P27" s="85"/>
      <c r="Q27" s="111"/>
      <c r="R27" s="112"/>
      <c r="S27" s="90" t="s">
        <v>46</v>
      </c>
      <c r="T27" s="91"/>
      <c r="U27" s="92">
        <f>((SUM(U26:$AG26))*($L26+$M26))</f>
        <v>604.05674999999997</v>
      </c>
      <c r="V27" s="92">
        <f>((SUM(V26:$AG26))*($L26+$M26))</f>
        <v>384.39974999999998</v>
      </c>
      <c r="W27" s="92">
        <f>((SUM(W26:$AG26))*($L26+$M26))</f>
        <v>164.74275</v>
      </c>
      <c r="X27" s="93"/>
      <c r="Y27" s="93"/>
      <c r="Z27" s="92">
        <v>0</v>
      </c>
      <c r="AA27" s="122">
        <f>((SUM(AA26:$AG26))*($L26+$M26))</f>
        <v>0</v>
      </c>
      <c r="AB27" s="122">
        <f>((SUM(AB26:$AG26))*($L26+$M26))</f>
        <v>0</v>
      </c>
      <c r="AC27" s="122">
        <f>((SUM(AC26:$AG26))*($L26+$M26))</f>
        <v>0</v>
      </c>
      <c r="AD27" s="122">
        <f>((SUM(AD26:$AG26))*($L26+$M26))</f>
        <v>0</v>
      </c>
      <c r="AE27" s="122">
        <f>((SUM(AE26:$AG26))*($L26+$M26))</f>
        <v>0</v>
      </c>
      <c r="AF27" s="122">
        <f>((SUM(AF26:$AG26))*($L26+$M26))</f>
        <v>0</v>
      </c>
      <c r="AG27" s="122">
        <f>((SUM(AG26:$AG26))*($L26+$M26))</f>
        <v>0</v>
      </c>
      <c r="AH27" s="94">
        <f t="shared" si="0"/>
        <v>0</v>
      </c>
      <c r="AI27" s="75"/>
    </row>
    <row r="28" spans="1:37" s="95" customFormat="1" hidden="1" outlineLevel="1" collapsed="1" x14ac:dyDescent="0.25">
      <c r="A28" s="96" t="s">
        <v>92</v>
      </c>
      <c r="B28" s="55" t="s">
        <v>80</v>
      </c>
      <c r="C28" s="65" t="s">
        <v>93</v>
      </c>
      <c r="D28" s="65" t="s">
        <v>94</v>
      </c>
      <c r="E28" s="179" t="s">
        <v>95</v>
      </c>
      <c r="F28" s="179" t="s">
        <v>95</v>
      </c>
      <c r="G28" s="180" t="s">
        <v>96</v>
      </c>
      <c r="H28" s="60"/>
      <c r="I28" s="181">
        <v>11123368</v>
      </c>
      <c r="J28" s="60"/>
      <c r="K28" s="62">
        <f>J28/0.702804</f>
        <v>0</v>
      </c>
      <c r="L28" s="182">
        <v>3.6220000000000002E-2</v>
      </c>
      <c r="M28" s="64">
        <f>M7</f>
        <v>2.5000000000000001E-3</v>
      </c>
      <c r="N28" s="65">
        <v>4</v>
      </c>
      <c r="O28" s="66">
        <v>45380</v>
      </c>
      <c r="P28" s="67">
        <v>0</v>
      </c>
      <c r="Q28" s="68"/>
      <c r="R28" s="69"/>
      <c r="S28" s="70" t="s">
        <v>44</v>
      </c>
      <c r="T28" s="71">
        <v>10791159</v>
      </c>
      <c r="U28" s="72">
        <v>0</v>
      </c>
      <c r="V28" s="72">
        <v>824409</v>
      </c>
      <c r="W28" s="72">
        <v>379984</v>
      </c>
      <c r="X28" s="73"/>
      <c r="Y28" s="73"/>
      <c r="Z28" s="72">
        <v>379984</v>
      </c>
      <c r="AA28" s="183">
        <v>379984</v>
      </c>
      <c r="AB28" s="72">
        <v>379984</v>
      </c>
      <c r="AC28" s="72">
        <v>379984</v>
      </c>
      <c r="AD28" s="72">
        <v>379984</v>
      </c>
      <c r="AE28" s="72">
        <v>379984</v>
      </c>
      <c r="AF28" s="72">
        <v>379984</v>
      </c>
      <c r="AG28" s="72">
        <v>6926878</v>
      </c>
      <c r="AH28" s="74">
        <f t="shared" si="0"/>
        <v>9206782</v>
      </c>
      <c r="AI28" s="75"/>
      <c r="AJ28" s="76"/>
      <c r="AK28" s="76"/>
    </row>
    <row r="29" spans="1:37" s="95" customFormat="1" ht="15.75" hidden="1" outlineLevel="1" thickBot="1" x14ac:dyDescent="0.3">
      <c r="A29" s="77"/>
      <c r="B29" s="176" t="s">
        <v>97</v>
      </c>
      <c r="C29" s="79" t="s">
        <v>98</v>
      </c>
      <c r="D29" s="79"/>
      <c r="E29" s="80"/>
      <c r="F29" s="81"/>
      <c r="G29" s="82"/>
      <c r="H29" s="83"/>
      <c r="I29" s="119"/>
      <c r="J29" s="169"/>
      <c r="K29" s="170"/>
      <c r="L29" s="86"/>
      <c r="M29" s="79"/>
      <c r="N29" s="79"/>
      <c r="O29" s="87"/>
      <c r="P29" s="85"/>
      <c r="Q29" s="111"/>
      <c r="R29" s="112"/>
      <c r="S29" s="90" t="s">
        <v>46</v>
      </c>
      <c r="T29" s="91"/>
      <c r="U29" s="184"/>
      <c r="V29" s="92">
        <f>((SUM(V28:$AG28))*($L28+$M28))</f>
        <v>417833.67648000002</v>
      </c>
      <c r="W29" s="92">
        <f>((SUM(W28:$AG28))*($L28+$M28))</f>
        <v>385912.56000000006</v>
      </c>
      <c r="X29" s="93">
        <v>93779.03</v>
      </c>
      <c r="Y29" s="93">
        <v>87825.27</v>
      </c>
      <c r="Z29" s="92">
        <v>151604.29999999999</v>
      </c>
      <c r="AA29" s="92">
        <f>((SUM(AA28:$AG28))*($L28+$M28))</f>
        <v>356486.59904000006</v>
      </c>
      <c r="AB29" s="92">
        <f>((SUM(AB28:$AG28))*($L28+$M28))</f>
        <v>341773.61856000003</v>
      </c>
      <c r="AC29" s="92">
        <f>((SUM(AC28:$AG28))*($L28+$M28))</f>
        <v>327060.63808000006</v>
      </c>
      <c r="AD29" s="92">
        <f>((SUM(AD28:$AG28))*($L28+$M28))</f>
        <v>312347.65760000004</v>
      </c>
      <c r="AE29" s="92">
        <f>((SUM(AE28:$AG28))*($L28+$M28))</f>
        <v>297634.67712000001</v>
      </c>
      <c r="AF29" s="92">
        <f>((SUM(AF28:$AG28))*($L28+$M28))</f>
        <v>282921.69664000004</v>
      </c>
      <c r="AG29" s="92">
        <f>((SUM(AG28:$AG28))*($L28+$M28))*18</f>
        <v>4827756.8908799998</v>
      </c>
      <c r="AH29" s="94">
        <f t="shared" si="0"/>
        <v>6745981.7779200003</v>
      </c>
      <c r="AI29" s="75"/>
    </row>
    <row r="30" spans="1:37" s="95" customFormat="1" hidden="1" outlineLevel="1" x14ac:dyDescent="0.25">
      <c r="A30" s="54" t="s">
        <v>99</v>
      </c>
      <c r="B30" s="55" t="s">
        <v>80</v>
      </c>
      <c r="C30" s="65" t="s">
        <v>100</v>
      </c>
      <c r="D30" s="65" t="s">
        <v>101</v>
      </c>
      <c r="E30" s="185"/>
      <c r="F30" s="179" t="s">
        <v>102</v>
      </c>
      <c r="G30" s="180" t="s">
        <v>103</v>
      </c>
      <c r="H30" s="60"/>
      <c r="I30" s="186">
        <f>2405442+170925.8</f>
        <v>2576367.7999999998</v>
      </c>
      <c r="J30" s="60"/>
      <c r="K30" s="62">
        <f>J30/0.702804</f>
        <v>0</v>
      </c>
      <c r="L30" s="63">
        <v>6.0229999999999999E-2</v>
      </c>
      <c r="M30" s="64">
        <f>M6</f>
        <v>0</v>
      </c>
      <c r="N30" s="65">
        <v>4</v>
      </c>
      <c r="O30" s="187">
        <v>45411</v>
      </c>
      <c r="P30" s="67">
        <v>0</v>
      </c>
      <c r="Q30" s="68"/>
      <c r="R30" s="69"/>
      <c r="S30" s="70" t="s">
        <v>44</v>
      </c>
      <c r="T30" s="72"/>
      <c r="U30" s="72">
        <v>0</v>
      </c>
      <c r="V30" s="72">
        <v>23994</v>
      </c>
      <c r="W30" s="72">
        <v>96316</v>
      </c>
      <c r="X30" s="73"/>
      <c r="Y30" s="73"/>
      <c r="Z30" s="72">
        <v>89924</v>
      </c>
      <c r="AA30" s="72">
        <v>89924</v>
      </c>
      <c r="AB30" s="72">
        <v>89924</v>
      </c>
      <c r="AC30" s="72">
        <v>96316</v>
      </c>
      <c r="AD30" s="72">
        <v>96316</v>
      </c>
      <c r="AE30" s="72">
        <v>96316</v>
      </c>
      <c r="AF30" s="72">
        <v>96316</v>
      </c>
      <c r="AG30" s="72">
        <v>1801021.7999999998</v>
      </c>
      <c r="AH30" s="74">
        <f t="shared" si="0"/>
        <v>2366133.7999999998</v>
      </c>
      <c r="AI30" s="75"/>
    </row>
    <row r="31" spans="1:37" s="95" customFormat="1" ht="15.75" hidden="1" outlineLevel="1" thickBot="1" x14ac:dyDescent="0.3">
      <c r="A31" s="77"/>
      <c r="B31" s="176" t="s">
        <v>104</v>
      </c>
      <c r="C31" s="79"/>
      <c r="D31" s="79"/>
      <c r="E31" s="80"/>
      <c r="F31" s="81"/>
      <c r="G31" s="82"/>
      <c r="H31" s="83"/>
      <c r="I31" s="119"/>
      <c r="J31" s="169"/>
      <c r="K31" s="170"/>
      <c r="L31" s="188" t="s">
        <v>105</v>
      </c>
      <c r="M31" s="79"/>
      <c r="N31" s="79"/>
      <c r="O31" s="87"/>
      <c r="P31" s="85"/>
      <c r="Q31" s="111"/>
      <c r="R31" s="112"/>
      <c r="S31" s="90" t="s">
        <v>46</v>
      </c>
      <c r="T31" s="184"/>
      <c r="U31" s="92">
        <v>4191</v>
      </c>
      <c r="V31" s="92">
        <v>10135</v>
      </c>
      <c r="W31" s="92">
        <f>((SUM(W30:$AG30))*($L30+$M30))</f>
        <v>153729.47397399999</v>
      </c>
      <c r="X31" s="93">
        <v>57579.95</v>
      </c>
      <c r="Y31" s="93">
        <v>36717.86</v>
      </c>
      <c r="Z31" s="92">
        <v>74448.81</v>
      </c>
      <c r="AA31" s="92">
        <f>((SUM(AA30:$AG30))*($L30+$M30))</f>
        <v>142512.238774</v>
      </c>
      <c r="AB31" s="92">
        <f>((SUM(AB30:$AG30))*($L30+$M30))</f>
        <v>137096.11625399999</v>
      </c>
      <c r="AC31" s="92">
        <f>((SUM(AC30:$AG30))*($L30+$M30))</f>
        <v>131679.99373399999</v>
      </c>
      <c r="AD31" s="92">
        <f>((SUM(AD30:$AG30))*($L30+$M30))</f>
        <v>125878.88105399998</v>
      </c>
      <c r="AE31" s="92">
        <f>((SUM(AE30:$AG30))*($L30+$M30))</f>
        <v>120077.76837399999</v>
      </c>
      <c r="AF31" s="92">
        <f>((SUM(AF30:$AG30))*($L30+$M30))</f>
        <v>114276.65569399999</v>
      </c>
      <c r="AG31" s="92">
        <f>((SUM(AG30:$AG30))*($L30+$M30))*18</f>
        <v>1952559.7742519996</v>
      </c>
      <c r="AH31" s="94">
        <f t="shared" si="0"/>
        <v>2724081.4281359995</v>
      </c>
      <c r="AI31" s="75"/>
    </row>
    <row r="32" spans="1:37" s="95" customFormat="1" ht="15" hidden="1" outlineLevel="1" x14ac:dyDescent="0.25">
      <c r="A32" s="54">
        <v>9</v>
      </c>
      <c r="B32" s="55" t="s">
        <v>106</v>
      </c>
      <c r="C32" s="102" t="s">
        <v>107</v>
      </c>
      <c r="D32" s="102" t="s">
        <v>108</v>
      </c>
      <c r="E32" s="159"/>
      <c r="F32" s="65" t="s">
        <v>109</v>
      </c>
      <c r="G32" s="65" t="s">
        <v>110</v>
      </c>
      <c r="H32" s="100"/>
      <c r="I32" s="189">
        <v>166837</v>
      </c>
      <c r="J32" s="162"/>
      <c r="K32" s="121"/>
      <c r="L32" s="182">
        <v>1.8610000000000002E-2</v>
      </c>
      <c r="M32" s="64">
        <f>M6</f>
        <v>0</v>
      </c>
      <c r="N32" s="65">
        <v>4</v>
      </c>
      <c r="O32" s="187">
        <v>45477</v>
      </c>
      <c r="P32" s="104"/>
      <c r="Q32" s="164"/>
      <c r="R32" s="165"/>
      <c r="S32" s="70" t="s">
        <v>44</v>
      </c>
      <c r="T32" s="167"/>
      <c r="U32" s="167">
        <v>0</v>
      </c>
      <c r="V32" s="167">
        <v>0</v>
      </c>
      <c r="W32" s="167">
        <v>0</v>
      </c>
      <c r="X32" s="168"/>
      <c r="Y32" s="168"/>
      <c r="Z32" s="72">
        <v>37071</v>
      </c>
      <c r="AA32" s="167">
        <v>37076</v>
      </c>
      <c r="AB32" s="167">
        <v>37076</v>
      </c>
      <c r="AC32" s="167">
        <v>37076</v>
      </c>
      <c r="AD32" s="167">
        <v>18538</v>
      </c>
      <c r="AE32" s="116">
        <v>0</v>
      </c>
      <c r="AF32" s="116">
        <v>0</v>
      </c>
      <c r="AG32" s="116">
        <v>0</v>
      </c>
      <c r="AH32" s="74">
        <f t="shared" si="0"/>
        <v>129766</v>
      </c>
      <c r="AI32" s="75"/>
      <c r="AJ32" s="75"/>
    </row>
    <row r="33" spans="1:122" s="95" customFormat="1" ht="15.75" hidden="1" outlineLevel="1" thickBot="1" x14ac:dyDescent="0.3">
      <c r="A33" s="77"/>
      <c r="B33" s="176"/>
      <c r="C33" s="79"/>
      <c r="D33" s="79"/>
      <c r="E33" s="80"/>
      <c r="F33" s="79"/>
      <c r="G33" s="79"/>
      <c r="H33" s="83"/>
      <c r="I33" s="119"/>
      <c r="J33" s="162"/>
      <c r="K33" s="121"/>
      <c r="L33" s="86"/>
      <c r="M33" s="79"/>
      <c r="N33" s="79"/>
      <c r="O33" s="163"/>
      <c r="P33" s="104"/>
      <c r="Q33" s="164"/>
      <c r="R33" s="165"/>
      <c r="S33" s="90" t="s">
        <v>46</v>
      </c>
      <c r="T33" s="184"/>
      <c r="U33" s="92">
        <v>2000</v>
      </c>
      <c r="V33" s="184"/>
      <c r="W33" s="184"/>
      <c r="X33" s="190">
        <v>1897.61</v>
      </c>
      <c r="Y33" s="190">
        <v>1727.08</v>
      </c>
      <c r="Z33" s="92">
        <v>3624.6899999999996</v>
      </c>
      <c r="AA33" s="92">
        <f>((SUM(AA32:$AG32))*($L32+$M32))</f>
        <v>2414.9452600000004</v>
      </c>
      <c r="AB33" s="92">
        <f>((SUM(AB32:$AG32))*($L32+$M32))</f>
        <v>1724.9609</v>
      </c>
      <c r="AC33" s="92">
        <f>((SUM(AC32:$AG32))*($L32+$M32))</f>
        <v>1034.9765400000001</v>
      </c>
      <c r="AD33" s="92">
        <f>((SUM(AD32:$AG32))*($L32+$M32))</f>
        <v>344.99218000000002</v>
      </c>
      <c r="AE33" s="122">
        <f>((SUM(AE32:$AG32))*($L32+$M32))</f>
        <v>0</v>
      </c>
      <c r="AF33" s="122">
        <f>((SUM(AF32:$AG32))*($L32+$M32))</f>
        <v>0</v>
      </c>
      <c r="AG33" s="122">
        <f>((SUM(AG32:$AG32))*($L32+$M32))</f>
        <v>0</v>
      </c>
      <c r="AH33" s="94">
        <f t="shared" si="0"/>
        <v>5519.8748800000003</v>
      </c>
      <c r="AI33" s="75"/>
      <c r="AJ33" s="75"/>
      <c r="AK33" s="140"/>
    </row>
    <row r="34" spans="1:122" s="76" customFormat="1" hidden="1" outlineLevel="1" x14ac:dyDescent="0.25">
      <c r="A34" s="54">
        <v>10</v>
      </c>
      <c r="B34" s="55" t="s">
        <v>111</v>
      </c>
      <c r="C34" s="56" t="s">
        <v>112</v>
      </c>
      <c r="D34" s="113" t="s">
        <v>113</v>
      </c>
      <c r="E34" s="157" t="str">
        <f>F34</f>
        <v>10.10.2018.</v>
      </c>
      <c r="F34" s="160" t="s">
        <v>114</v>
      </c>
      <c r="G34" s="115" t="s">
        <v>115</v>
      </c>
      <c r="H34" s="60"/>
      <c r="I34" s="191">
        <f>389405-1272.49</f>
        <v>388132.51</v>
      </c>
      <c r="J34" s="60"/>
      <c r="K34" s="62">
        <f>J34/0.702804</f>
        <v>0</v>
      </c>
      <c r="L34" s="182">
        <v>2.6210000000000001E-2</v>
      </c>
      <c r="M34" s="64">
        <f>M7</f>
        <v>2.5000000000000001E-3</v>
      </c>
      <c r="N34" s="65">
        <v>4</v>
      </c>
      <c r="O34" s="66">
        <v>45202</v>
      </c>
      <c r="P34" s="67">
        <v>0</v>
      </c>
      <c r="Q34" s="68"/>
      <c r="R34" s="69"/>
      <c r="S34" s="70" t="s">
        <v>44</v>
      </c>
      <c r="T34" s="71">
        <v>340950</v>
      </c>
      <c r="U34" s="192">
        <v>38948.58</v>
      </c>
      <c r="V34" s="72">
        <v>125098.51</v>
      </c>
      <c r="W34" s="72">
        <v>38968</v>
      </c>
      <c r="X34" s="73"/>
      <c r="Y34" s="73"/>
      <c r="Z34" s="72">
        <v>38968</v>
      </c>
      <c r="AA34" s="72">
        <v>38968</v>
      </c>
      <c r="AB34" s="72">
        <v>38968</v>
      </c>
      <c r="AC34" s="72">
        <v>38968</v>
      </c>
      <c r="AD34" s="72">
        <v>38968</v>
      </c>
      <c r="AE34" s="72">
        <v>29226</v>
      </c>
      <c r="AF34" s="116">
        <v>0</v>
      </c>
      <c r="AG34" s="116">
        <v>0</v>
      </c>
      <c r="AH34" s="74">
        <f t="shared" si="0"/>
        <v>185098</v>
      </c>
      <c r="AI34" s="75"/>
      <c r="AJ34" s="75"/>
      <c r="AK34" s="156"/>
    </row>
    <row r="35" spans="1:122" s="95" customFormat="1" ht="15.75" hidden="1" outlineLevel="1" thickBot="1" x14ac:dyDescent="0.3">
      <c r="A35" s="77"/>
      <c r="B35" s="78"/>
      <c r="C35" s="79"/>
      <c r="D35" s="79"/>
      <c r="E35" s="80"/>
      <c r="F35" s="81"/>
      <c r="G35" s="82"/>
      <c r="H35" s="83"/>
      <c r="I35" s="119"/>
      <c r="J35" s="120"/>
      <c r="K35" s="121"/>
      <c r="L35" s="86"/>
      <c r="M35" s="79"/>
      <c r="N35" s="79"/>
      <c r="O35" s="87"/>
      <c r="P35" s="85"/>
      <c r="Q35" s="111"/>
      <c r="R35" s="112"/>
      <c r="S35" s="90" t="s">
        <v>46</v>
      </c>
      <c r="T35" s="91"/>
      <c r="U35" s="92">
        <f>((SUM(U34:$AG34))*($L34+$M34))</f>
        <v>12261.498093899998</v>
      </c>
      <c r="V35" s="92">
        <f>((SUM(V34:$AG34))*($L34+$M34))</f>
        <v>11143.284362099999</v>
      </c>
      <c r="W35" s="92">
        <f>((SUM(W34:$AG34))*($L34+$M34))</f>
        <v>7551.7061400000002</v>
      </c>
      <c r="X35" s="93">
        <v>4395.3599999999997</v>
      </c>
      <c r="Y35" s="93">
        <v>1362.51</v>
      </c>
      <c r="Z35" s="92">
        <v>5757.87</v>
      </c>
      <c r="AA35" s="92">
        <f>((SUM(AA34:$AG34))*($L34+$M34))</f>
        <v>5314.1635799999995</v>
      </c>
      <c r="AB35" s="92">
        <f>((SUM(AB34:$AG34))*($L34+$M34))</f>
        <v>4195.3922999999995</v>
      </c>
      <c r="AC35" s="92">
        <f>((SUM(AC34:$AG34))*($L34+$M34))</f>
        <v>3076.62102</v>
      </c>
      <c r="AD35" s="92">
        <f>((SUM(AD34:$AG34))*($L34+$M34))</f>
        <v>1957.8497399999999</v>
      </c>
      <c r="AE35" s="92">
        <f>((SUM(AE34:$AG34))*($L34+$M34))</f>
        <v>839.07845999999995</v>
      </c>
      <c r="AF35" s="122">
        <f>((SUM(AF34:$AG34))*($L34+$M34))</f>
        <v>0</v>
      </c>
      <c r="AG35" s="122">
        <f>((SUM(AG34:$AG34))*($L34+$M34))</f>
        <v>0</v>
      </c>
      <c r="AH35" s="94">
        <f t="shared" si="0"/>
        <v>15383.105100000001</v>
      </c>
      <c r="AI35" s="75"/>
      <c r="AJ35" s="75"/>
      <c r="AK35" s="76"/>
    </row>
    <row r="36" spans="1:122" s="76" customFormat="1" hidden="1" outlineLevel="1" x14ac:dyDescent="0.25">
      <c r="A36" s="54">
        <v>11</v>
      </c>
      <c r="B36" s="55" t="s">
        <v>116</v>
      </c>
      <c r="C36" s="56" t="s">
        <v>117</v>
      </c>
      <c r="D36" s="113" t="s">
        <v>118</v>
      </c>
      <c r="E36" s="157"/>
      <c r="F36" s="193">
        <v>44020</v>
      </c>
      <c r="G36" s="115">
        <v>49480</v>
      </c>
      <c r="H36" s="60"/>
      <c r="I36" s="191">
        <f>1290674+120109</f>
        <v>1410783</v>
      </c>
      <c r="J36" s="60"/>
      <c r="K36" s="62">
        <f>J36/0.702804</f>
        <v>0</v>
      </c>
      <c r="L36" s="182">
        <v>1.5890000000000001E-2</v>
      </c>
      <c r="M36" s="64">
        <f>M6</f>
        <v>0</v>
      </c>
      <c r="N36" s="65">
        <v>4</v>
      </c>
      <c r="O36" s="66">
        <v>45481</v>
      </c>
      <c r="P36" s="67">
        <v>0</v>
      </c>
      <c r="Q36" s="68"/>
      <c r="R36" s="69"/>
      <c r="S36" s="70" t="s">
        <v>44</v>
      </c>
      <c r="T36" s="72"/>
      <c r="U36" s="72"/>
      <c r="V36" s="72">
        <v>218949</v>
      </c>
      <c r="W36" s="72">
        <v>88284</v>
      </c>
      <c r="X36" s="73"/>
      <c r="Y36" s="73"/>
      <c r="Z36" s="72">
        <v>88284</v>
      </c>
      <c r="AA36" s="72">
        <v>88284</v>
      </c>
      <c r="AB36" s="72">
        <v>88284</v>
      </c>
      <c r="AC36" s="72">
        <v>88284</v>
      </c>
      <c r="AD36" s="72">
        <v>88284</v>
      </c>
      <c r="AE36" s="72">
        <v>88284</v>
      </c>
      <c r="AF36" s="72">
        <v>88284</v>
      </c>
      <c r="AG36" s="72">
        <v>485562</v>
      </c>
      <c r="AH36" s="74">
        <f t="shared" si="0"/>
        <v>1015266</v>
      </c>
      <c r="AI36" s="75"/>
      <c r="AJ36" s="75"/>
      <c r="AK36" s="95"/>
    </row>
    <row r="37" spans="1:122" s="95" customFormat="1" ht="15.75" hidden="1" outlineLevel="1" thickBot="1" x14ac:dyDescent="0.3">
      <c r="A37" s="77"/>
      <c r="B37" s="78"/>
      <c r="C37" s="79"/>
      <c r="D37" s="79"/>
      <c r="E37" s="81"/>
      <c r="F37" s="81"/>
      <c r="G37" s="82"/>
      <c r="H37" s="83"/>
      <c r="I37" s="119"/>
      <c r="J37" s="120"/>
      <c r="K37" s="121"/>
      <c r="L37" s="86"/>
      <c r="M37" s="79"/>
      <c r="N37" s="79"/>
      <c r="O37" s="87"/>
      <c r="P37" s="85"/>
      <c r="Q37" s="111"/>
      <c r="R37" s="112"/>
      <c r="S37" s="90" t="s">
        <v>46</v>
      </c>
      <c r="T37" s="184"/>
      <c r="U37" s="184"/>
      <c r="V37" s="92">
        <f>((SUM(V36:$AG36))*($L36+$M36))</f>
        <v>22417.34187</v>
      </c>
      <c r="W37" s="92">
        <f>((SUM(W36:$AG36))*($L36+$M36))</f>
        <v>18938.242260000003</v>
      </c>
      <c r="X37" s="93">
        <v>13264.55</v>
      </c>
      <c r="Y37" s="93">
        <v>12703.22</v>
      </c>
      <c r="Z37" s="92">
        <v>25967.769999999997</v>
      </c>
      <c r="AA37" s="92">
        <f>((SUM(AA36:$AG36))*($L36+$M36))</f>
        <v>16132.576740000002</v>
      </c>
      <c r="AB37" s="92">
        <f>((SUM(AB36:$AG36))*($L36+$M36))</f>
        <v>14729.743980000001</v>
      </c>
      <c r="AC37" s="92">
        <f>((SUM(AC36:$AG36))*($L36+$M36))</f>
        <v>13326.911220000002</v>
      </c>
      <c r="AD37" s="92">
        <f>((SUM(AD36:$AG36))*($L36+$M36))</f>
        <v>11924.078460000001</v>
      </c>
      <c r="AE37" s="92">
        <f>((SUM(AE36:$AG36))*($L36+$M36))</f>
        <v>10521.245700000001</v>
      </c>
      <c r="AF37" s="92">
        <f>((SUM(AF36:$AG36))*($L36+$M36))</f>
        <v>9118.4129400000002</v>
      </c>
      <c r="AG37" s="92">
        <f>((SUM(AG36:$AG36))*($L36+$M36))*4.5</f>
        <v>34720.110810000006</v>
      </c>
      <c r="AH37" s="94">
        <f t="shared" si="0"/>
        <v>110473.07985000001</v>
      </c>
      <c r="AI37" s="75"/>
      <c r="AJ37" s="194"/>
    </row>
    <row r="38" spans="1:122" s="76" customFormat="1" ht="13.5" hidden="1" outlineLevel="2" thickBot="1" x14ac:dyDescent="0.3">
      <c r="A38" s="54" t="s">
        <v>119</v>
      </c>
      <c r="B38" s="55" t="s">
        <v>120</v>
      </c>
      <c r="C38" s="56" t="s">
        <v>121</v>
      </c>
      <c r="D38" s="113" t="s">
        <v>122</v>
      </c>
      <c r="E38" s="157" t="s">
        <v>123</v>
      </c>
      <c r="F38" s="160" t="s">
        <v>123</v>
      </c>
      <c r="G38" s="115" t="s">
        <v>124</v>
      </c>
      <c r="H38" s="60"/>
      <c r="I38" s="172">
        <v>20933</v>
      </c>
      <c r="J38" s="60"/>
      <c r="K38" s="62">
        <f>J38/0.702804</f>
        <v>0</v>
      </c>
      <c r="L38" s="173">
        <f>0.101%+L7</f>
        <v>2.759E-2</v>
      </c>
      <c r="M38" s="64">
        <v>2.5000000000000001E-3</v>
      </c>
      <c r="N38" s="65">
        <v>4</v>
      </c>
      <c r="O38" s="174"/>
      <c r="P38" s="67">
        <v>0</v>
      </c>
      <c r="Q38" s="68"/>
      <c r="R38" s="69"/>
      <c r="S38" s="70" t="s">
        <v>44</v>
      </c>
      <c r="T38" s="71">
        <v>11630</v>
      </c>
      <c r="U38" s="72">
        <v>4652</v>
      </c>
      <c r="V38" s="72">
        <v>4652</v>
      </c>
      <c r="W38" s="72">
        <v>2326</v>
      </c>
      <c r="X38" s="73"/>
      <c r="Y38" s="73"/>
      <c r="Z38" s="72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7">
        <f t="shared" si="0"/>
        <v>0</v>
      </c>
      <c r="AI38" s="75"/>
    </row>
    <row r="39" spans="1:122" s="203" customFormat="1" ht="15.75" hidden="1" outlineLevel="2" thickBot="1" x14ac:dyDescent="0.3">
      <c r="A39" s="77"/>
      <c r="B39" s="78" t="s">
        <v>125</v>
      </c>
      <c r="C39" s="79"/>
      <c r="D39" s="79"/>
      <c r="E39" s="81"/>
      <c r="F39" s="81"/>
      <c r="G39" s="82"/>
      <c r="H39" s="83"/>
      <c r="I39" s="119"/>
      <c r="J39" s="195"/>
      <c r="K39" s="196"/>
      <c r="L39" s="86"/>
      <c r="M39" s="197"/>
      <c r="N39" s="197"/>
      <c r="O39" s="198"/>
      <c r="P39" s="199"/>
      <c r="Q39" s="200"/>
      <c r="R39" s="201"/>
      <c r="S39" s="90" t="s">
        <v>46</v>
      </c>
      <c r="T39" s="91"/>
      <c r="U39" s="92">
        <f>((SUM(U38:$AG38))*($L38+$M38))</f>
        <v>349.94669999999996</v>
      </c>
      <c r="V39" s="92">
        <f>((SUM(V38:$AG38))*($L38+$M38))</f>
        <v>209.96802</v>
      </c>
      <c r="W39" s="92">
        <f>((SUM(W38:$AG38))*($L38+$M38))</f>
        <v>69.989339999999999</v>
      </c>
      <c r="X39" s="93"/>
      <c r="Y39" s="93"/>
      <c r="Z39" s="92">
        <v>0</v>
      </c>
      <c r="AA39" s="122">
        <f>((SUM(AA38:$AG38))*($L38+$M38))</f>
        <v>0</v>
      </c>
      <c r="AB39" s="122">
        <f>((SUM(AB38:$AG38))*($L38+$M38))</f>
        <v>0</v>
      </c>
      <c r="AC39" s="122">
        <f>((SUM(AC38:$AG38))*($L38+$M38))</f>
        <v>0</v>
      </c>
      <c r="AD39" s="122">
        <f>((SUM(AD38:$AG38))*($L38+$M38))</f>
        <v>0</v>
      </c>
      <c r="AE39" s="122">
        <f>((SUM(AE38:$AG38))*($L38+$M38))</f>
        <v>0</v>
      </c>
      <c r="AF39" s="122">
        <f>((SUM(AF38:$AG38))*($L38+$M38))</f>
        <v>0</v>
      </c>
      <c r="AG39" s="122">
        <f>((SUM(AG38:$AG38))*($L38+$M38))</f>
        <v>0</v>
      </c>
      <c r="AH39" s="202">
        <f t="shared" si="0"/>
        <v>0</v>
      </c>
      <c r="AI39" s="75"/>
    </row>
    <row r="40" spans="1:122" s="76" customFormat="1" hidden="1" outlineLevel="1" collapsed="1" x14ac:dyDescent="0.25">
      <c r="A40" s="54">
        <v>12</v>
      </c>
      <c r="B40" s="55" t="s">
        <v>120</v>
      </c>
      <c r="C40" s="56" t="s">
        <v>126</v>
      </c>
      <c r="D40" s="113" t="s">
        <v>127</v>
      </c>
      <c r="E40" s="157"/>
      <c r="F40" s="160" t="s">
        <v>128</v>
      </c>
      <c r="G40" s="115" t="s">
        <v>129</v>
      </c>
      <c r="H40" s="60"/>
      <c r="I40" s="191">
        <v>531484</v>
      </c>
      <c r="J40" s="60"/>
      <c r="K40" s="62"/>
      <c r="L40" s="182">
        <v>2.47E-2</v>
      </c>
      <c r="M40" s="64">
        <v>2.5000000000000001E-3</v>
      </c>
      <c r="N40" s="65">
        <v>4</v>
      </c>
      <c r="O40" s="174">
        <v>45207</v>
      </c>
      <c r="P40" s="67"/>
      <c r="Q40" s="68"/>
      <c r="R40" s="69"/>
      <c r="S40" s="70" t="s">
        <v>44</v>
      </c>
      <c r="T40" s="71">
        <v>519616</v>
      </c>
      <c r="U40" s="72">
        <v>27464</v>
      </c>
      <c r="V40" s="72">
        <v>36656</v>
      </c>
      <c r="W40" s="72">
        <v>36656</v>
      </c>
      <c r="X40" s="73"/>
      <c r="Y40" s="73"/>
      <c r="Z40" s="72">
        <v>36656</v>
      </c>
      <c r="AA40" s="72">
        <v>36656</v>
      </c>
      <c r="AB40" s="72">
        <v>36656</v>
      </c>
      <c r="AC40" s="72">
        <v>36656</v>
      </c>
      <c r="AD40" s="72">
        <v>36656</v>
      </c>
      <c r="AE40" s="72">
        <v>36656</v>
      </c>
      <c r="AF40" s="72">
        <v>36656</v>
      </c>
      <c r="AG40" s="72">
        <v>162248</v>
      </c>
      <c r="AH40" s="74">
        <f t="shared" si="0"/>
        <v>382184</v>
      </c>
      <c r="AI40" s="75"/>
      <c r="AJ40" s="75"/>
      <c r="AK40" s="95"/>
    </row>
    <row r="41" spans="1:122" s="95" customFormat="1" ht="15.75" hidden="1" outlineLevel="1" thickBot="1" x14ac:dyDescent="0.3">
      <c r="A41" s="77"/>
      <c r="B41" s="78" t="s">
        <v>130</v>
      </c>
      <c r="C41" s="79"/>
      <c r="D41" s="79"/>
      <c r="E41" s="81"/>
      <c r="F41" s="81"/>
      <c r="G41" s="82"/>
      <c r="H41" s="83"/>
      <c r="I41" s="119"/>
      <c r="J41" s="120"/>
      <c r="K41" s="121"/>
      <c r="L41" s="86"/>
      <c r="M41" s="79"/>
      <c r="N41" s="79"/>
      <c r="O41" s="87"/>
      <c r="P41" s="85"/>
      <c r="Q41" s="111"/>
      <c r="R41" s="112"/>
      <c r="S41" s="90" t="s">
        <v>46</v>
      </c>
      <c r="T41" s="91"/>
      <c r="U41" s="92">
        <f>((SUM(U40:$AG40))*($L40+$M40))</f>
        <v>14133.555199999999</v>
      </c>
      <c r="V41" s="92">
        <f>((SUM(V40:$AG40))*($L40+$M40))</f>
        <v>13386.534399999999</v>
      </c>
      <c r="W41" s="92">
        <f>((SUM(W40:$AG40))*($L40+$M40))</f>
        <v>12389.491199999999</v>
      </c>
      <c r="X41" s="93">
        <v>7834.89</v>
      </c>
      <c r="Y41" s="93">
        <v>2596.12</v>
      </c>
      <c r="Z41" s="92">
        <v>10431.01</v>
      </c>
      <c r="AA41" s="92">
        <f>((SUM(AA40:$AG40))*($L40+$M40))</f>
        <v>10395.4048</v>
      </c>
      <c r="AB41" s="92">
        <f>((SUM(AB40:$AG40))*($L40+$M40))</f>
        <v>9398.3616000000002</v>
      </c>
      <c r="AC41" s="92">
        <f>((SUM(AC40:$AG40))*($L40+$M40))</f>
        <v>8401.3184000000001</v>
      </c>
      <c r="AD41" s="92">
        <f>((SUM(AD40:$AG40))*($L40+$M40))</f>
        <v>7404.2752</v>
      </c>
      <c r="AE41" s="92">
        <f>((SUM(AE40:$AG40))*($L40+$M40))</f>
        <v>6407.232</v>
      </c>
      <c r="AF41" s="92">
        <f>((SUM(AF40:$AG40))*($L40+$M40))</f>
        <v>5410.1887999999999</v>
      </c>
      <c r="AG41" s="92">
        <f>((SUM(AG40:$AG40))*($L40+$M40))*4</f>
        <v>17652.582399999999</v>
      </c>
      <c r="AH41" s="94">
        <f t="shared" si="0"/>
        <v>65069.363200000007</v>
      </c>
      <c r="AI41" s="75"/>
      <c r="AJ41" s="75"/>
      <c r="AK41" s="76"/>
    </row>
    <row r="42" spans="1:122" s="76" customFormat="1" ht="13.15" hidden="1" customHeight="1" outlineLevel="2" x14ac:dyDescent="0.25">
      <c r="A42" s="54">
        <v>12</v>
      </c>
      <c r="B42" s="55" t="s">
        <v>131</v>
      </c>
      <c r="C42" s="56" t="s">
        <v>132</v>
      </c>
      <c r="D42" s="113" t="s">
        <v>133</v>
      </c>
      <c r="E42" s="157" t="s">
        <v>134</v>
      </c>
      <c r="F42" s="157" t="s">
        <v>134</v>
      </c>
      <c r="G42" s="115" t="s">
        <v>135</v>
      </c>
      <c r="H42" s="60"/>
      <c r="I42" s="172">
        <v>145533</v>
      </c>
      <c r="J42" s="60"/>
      <c r="K42" s="62">
        <f>J42/0.702804</f>
        <v>0</v>
      </c>
      <c r="L42" s="173">
        <f>0.101%+L7</f>
        <v>2.759E-2</v>
      </c>
      <c r="M42" s="64">
        <v>2.5000000000000001E-3</v>
      </c>
      <c r="N42" s="65">
        <v>4</v>
      </c>
      <c r="O42" s="174"/>
      <c r="P42" s="67">
        <v>0</v>
      </c>
      <c r="Q42" s="68"/>
      <c r="R42" s="69"/>
      <c r="S42" s="70" t="s">
        <v>44</v>
      </c>
      <c r="T42" s="71">
        <v>0</v>
      </c>
      <c r="U42" s="72"/>
      <c r="V42" s="116">
        <v>0</v>
      </c>
      <c r="W42" s="116">
        <v>0</v>
      </c>
      <c r="X42" s="175"/>
      <c r="Y42" s="175"/>
      <c r="Z42" s="72">
        <v>0</v>
      </c>
      <c r="AA42" s="116">
        <v>0</v>
      </c>
      <c r="AB42" s="116">
        <v>0</v>
      </c>
      <c r="AC42" s="116">
        <v>0</v>
      </c>
      <c r="AD42" s="116">
        <v>0</v>
      </c>
      <c r="AE42" s="116">
        <v>0</v>
      </c>
      <c r="AF42" s="116">
        <v>0</v>
      </c>
      <c r="AG42" s="116">
        <v>0</v>
      </c>
      <c r="AH42" s="117">
        <f t="shared" ref="AH42:AH73" si="1">SUM(AA42:AG42)</f>
        <v>0</v>
      </c>
      <c r="AI42" s="75"/>
    </row>
    <row r="43" spans="1:122" s="95" customFormat="1" ht="15" hidden="1" customHeight="1" outlineLevel="2" thickBot="1" x14ac:dyDescent="0.3">
      <c r="A43" s="77"/>
      <c r="B43" s="78"/>
      <c r="C43" s="79"/>
      <c r="D43" s="79"/>
      <c r="E43" s="81"/>
      <c r="F43" s="81"/>
      <c r="G43" s="82"/>
      <c r="H43" s="83"/>
      <c r="I43" s="119"/>
      <c r="J43" s="120"/>
      <c r="K43" s="121"/>
      <c r="L43" s="86"/>
      <c r="M43" s="79"/>
      <c r="N43" s="79"/>
      <c r="O43" s="87"/>
      <c r="P43" s="85"/>
      <c r="Q43" s="111"/>
      <c r="R43" s="112"/>
      <c r="S43" s="90" t="s">
        <v>46</v>
      </c>
      <c r="T43" s="91"/>
      <c r="U43" s="184"/>
      <c r="V43" s="122">
        <v>0</v>
      </c>
      <c r="W43" s="122">
        <v>0</v>
      </c>
      <c r="X43" s="177"/>
      <c r="Y43" s="177"/>
      <c r="Z43" s="92">
        <v>0</v>
      </c>
      <c r="AA43" s="122">
        <v>0</v>
      </c>
      <c r="AB43" s="122">
        <v>0</v>
      </c>
      <c r="AC43" s="122">
        <v>0</v>
      </c>
      <c r="AD43" s="122">
        <v>0</v>
      </c>
      <c r="AE43" s="122">
        <v>0</v>
      </c>
      <c r="AF43" s="122">
        <v>0</v>
      </c>
      <c r="AG43" s="122">
        <v>0</v>
      </c>
      <c r="AH43" s="202">
        <f t="shared" si="1"/>
        <v>0</v>
      </c>
      <c r="AI43" s="75"/>
    </row>
    <row r="44" spans="1:122" s="76" customFormat="1" ht="13.5" hidden="1" outlineLevel="2" thickBot="1" x14ac:dyDescent="0.3">
      <c r="A44" s="54" t="s">
        <v>136</v>
      </c>
      <c r="B44" s="55" t="s">
        <v>137</v>
      </c>
      <c r="C44" s="56" t="s">
        <v>138</v>
      </c>
      <c r="D44" s="113" t="s">
        <v>139</v>
      </c>
      <c r="E44" s="157" t="s">
        <v>78</v>
      </c>
      <c r="F44" s="157" t="s">
        <v>78</v>
      </c>
      <c r="G44" s="115" t="s">
        <v>90</v>
      </c>
      <c r="H44" s="60"/>
      <c r="I44" s="172">
        <v>109384</v>
      </c>
      <c r="J44" s="60"/>
      <c r="K44" s="62">
        <f>J44/0.702804</f>
        <v>0</v>
      </c>
      <c r="L44" s="173">
        <f>0.101%+L7</f>
        <v>2.759E-2</v>
      </c>
      <c r="M44" s="64">
        <v>2.5000000000000001E-3</v>
      </c>
      <c r="N44" s="65">
        <v>4</v>
      </c>
      <c r="O44" s="174"/>
      <c r="P44" s="67">
        <v>0</v>
      </c>
      <c r="Q44" s="68"/>
      <c r="R44" s="69"/>
      <c r="S44" s="70" t="s">
        <v>44</v>
      </c>
      <c r="T44" s="71">
        <v>68651</v>
      </c>
      <c r="U44" s="72">
        <v>24964</v>
      </c>
      <c r="V44" s="72">
        <v>24964</v>
      </c>
      <c r="W44" s="72">
        <v>18723</v>
      </c>
      <c r="X44" s="73"/>
      <c r="Y44" s="73"/>
      <c r="Z44" s="72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7">
        <f t="shared" si="1"/>
        <v>0</v>
      </c>
      <c r="AI44" s="75"/>
    </row>
    <row r="45" spans="1:122" s="203" customFormat="1" ht="15.75" hidden="1" outlineLevel="2" thickBot="1" x14ac:dyDescent="0.3">
      <c r="A45" s="77"/>
      <c r="B45" s="78" t="s">
        <v>140</v>
      </c>
      <c r="C45" s="204" t="s">
        <v>141</v>
      </c>
      <c r="D45" s="79"/>
      <c r="E45" s="81"/>
      <c r="F45" s="81"/>
      <c r="G45" s="82"/>
      <c r="H45" s="83"/>
      <c r="I45" s="119"/>
      <c r="J45" s="195"/>
      <c r="K45" s="196"/>
      <c r="L45" s="86"/>
      <c r="M45" s="197"/>
      <c r="N45" s="197"/>
      <c r="O45" s="198"/>
      <c r="P45" s="199"/>
      <c r="Q45" s="200"/>
      <c r="R45" s="201"/>
      <c r="S45" s="90" t="s">
        <v>46</v>
      </c>
      <c r="T45" s="91"/>
      <c r="U45" s="92">
        <f>((SUM(U44:$AG44))*($L44+$M44))</f>
        <v>2065.7085899999997</v>
      </c>
      <c r="V45" s="92">
        <f>((SUM(V44:$AG44))*($L44+$M44))</f>
        <v>1314.5418299999999</v>
      </c>
      <c r="W45" s="92">
        <f>((SUM(W44:$AG44))*($L44+$M44))</f>
        <v>563.37506999999994</v>
      </c>
      <c r="X45" s="93"/>
      <c r="Y45" s="93"/>
      <c r="Z45" s="92">
        <v>0</v>
      </c>
      <c r="AA45" s="122">
        <f>((SUM(AA44:$AG44))*($L44+$M44))</f>
        <v>0</v>
      </c>
      <c r="AB45" s="122">
        <f>((SUM(AB44:$AG44))*($L44+$M44))</f>
        <v>0</v>
      </c>
      <c r="AC45" s="122">
        <f>((SUM(AC44:$AG44))*($L44+$M44))</f>
        <v>0</v>
      </c>
      <c r="AD45" s="122">
        <f>((SUM(AD44:$AG44))*($L44+$M44))</f>
        <v>0</v>
      </c>
      <c r="AE45" s="122">
        <f>((SUM(AE44:$AG44))*($L44+$M44))</f>
        <v>0</v>
      </c>
      <c r="AF45" s="122">
        <f>((SUM(AF44:$AG44))*($L44+$M44))</f>
        <v>0</v>
      </c>
      <c r="AG45" s="122">
        <f>((SUM(AG44:$AG44))*($L44+$M44))</f>
        <v>0</v>
      </c>
      <c r="AH45" s="202">
        <f t="shared" si="1"/>
        <v>0</v>
      </c>
      <c r="AI45" s="75"/>
    </row>
    <row r="46" spans="1:122" s="76" customFormat="1" ht="13.5" hidden="1" outlineLevel="2" thickBot="1" x14ac:dyDescent="0.3">
      <c r="A46" s="54" t="s">
        <v>142</v>
      </c>
      <c r="B46" s="55" t="s">
        <v>137</v>
      </c>
      <c r="C46" s="56" t="s">
        <v>143</v>
      </c>
      <c r="D46" s="113" t="s">
        <v>144</v>
      </c>
      <c r="E46" s="157"/>
      <c r="F46" s="160" t="s">
        <v>145</v>
      </c>
      <c r="G46" s="115" t="s">
        <v>146</v>
      </c>
      <c r="H46" s="60"/>
      <c r="I46" s="172">
        <v>179713</v>
      </c>
      <c r="J46" s="60"/>
      <c r="K46" s="62"/>
      <c r="L46" s="173">
        <f>0.101%+L7</f>
        <v>2.759E-2</v>
      </c>
      <c r="M46" s="64">
        <v>2.5000000000000001E-3</v>
      </c>
      <c r="N46" s="65">
        <v>4</v>
      </c>
      <c r="O46" s="174"/>
      <c r="P46" s="67"/>
      <c r="Q46" s="68"/>
      <c r="R46" s="69"/>
      <c r="S46" s="105" t="s">
        <v>44</v>
      </c>
      <c r="T46" s="71">
        <v>157328</v>
      </c>
      <c r="U46" s="72">
        <v>23146</v>
      </c>
      <c r="V46" s="72">
        <v>92652</v>
      </c>
      <c r="W46" s="72">
        <v>63915</v>
      </c>
      <c r="X46" s="73"/>
      <c r="Y46" s="73"/>
      <c r="Z46" s="72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7">
        <f t="shared" si="1"/>
        <v>0</v>
      </c>
      <c r="AI46" s="75"/>
    </row>
    <row r="47" spans="1:122" s="95" customFormat="1" ht="15.75" hidden="1" outlineLevel="2" thickBot="1" x14ac:dyDescent="0.3">
      <c r="A47" s="77"/>
      <c r="B47" s="78" t="s">
        <v>147</v>
      </c>
      <c r="C47" s="79"/>
      <c r="D47" s="79"/>
      <c r="E47" s="81"/>
      <c r="F47" s="81"/>
      <c r="G47" s="82"/>
      <c r="H47" s="83"/>
      <c r="I47" s="119"/>
      <c r="J47" s="120"/>
      <c r="K47" s="121"/>
      <c r="L47" s="86"/>
      <c r="M47" s="79"/>
      <c r="N47" s="79"/>
      <c r="O47" s="87"/>
      <c r="P47" s="85"/>
      <c r="Q47" s="111"/>
      <c r="R47" s="112"/>
      <c r="S47" s="90" t="s">
        <v>46</v>
      </c>
      <c r="T47" s="184"/>
      <c r="U47" s="92">
        <f>((SUM(U46:$AG46))*($L46+$M46))</f>
        <v>5407.5641699999996</v>
      </c>
      <c r="V47" s="92">
        <f>((SUM(V46:$AG46))*($L46+$M46))</f>
        <v>4711.1010299999998</v>
      </c>
      <c r="W47" s="92">
        <f>((SUM(W46:$AG46))*($L46+$M46))</f>
        <v>1923.20235</v>
      </c>
      <c r="X47" s="93"/>
      <c r="Y47" s="93"/>
      <c r="Z47" s="92">
        <v>0</v>
      </c>
      <c r="AA47" s="122">
        <f>((SUM(AA46:$AG46))*($L46+$M46))</f>
        <v>0</v>
      </c>
      <c r="AB47" s="122">
        <f>((SUM(AB46:$AG46))*($L46+$M46))</f>
        <v>0</v>
      </c>
      <c r="AC47" s="122">
        <f>((SUM(AC46:$AG46))*($L46+$M46))</f>
        <v>0</v>
      </c>
      <c r="AD47" s="122">
        <f>((SUM(AD46:$AG46))*($L46+$M46))</f>
        <v>0</v>
      </c>
      <c r="AE47" s="122">
        <f>((SUM(AE46:$AG46))*($L46+$M46))</f>
        <v>0</v>
      </c>
      <c r="AF47" s="122">
        <f>((SUM(AF46:$AG46))*($L46+$M46))</f>
        <v>0</v>
      </c>
      <c r="AG47" s="122">
        <f>((SUM(AG46:$AG46))*($L46+$M46))</f>
        <v>0</v>
      </c>
      <c r="AH47" s="202">
        <f t="shared" si="1"/>
        <v>0</v>
      </c>
      <c r="AI47" s="75"/>
    </row>
    <row r="48" spans="1:122" s="205" customFormat="1" hidden="1" outlineLevel="1" collapsed="1" x14ac:dyDescent="0.25">
      <c r="A48" s="54" t="s">
        <v>136</v>
      </c>
      <c r="B48" s="55" t="s">
        <v>137</v>
      </c>
      <c r="C48" s="56" t="s">
        <v>148</v>
      </c>
      <c r="D48" s="113" t="s">
        <v>149</v>
      </c>
      <c r="E48" s="157"/>
      <c r="F48" s="160" t="s">
        <v>150</v>
      </c>
      <c r="G48" s="115" t="s">
        <v>151</v>
      </c>
      <c r="H48" s="60"/>
      <c r="I48" s="191">
        <v>1230506</v>
      </c>
      <c r="J48" s="60"/>
      <c r="K48" s="62"/>
      <c r="L48" s="182">
        <v>5.0529999999999999E-2</v>
      </c>
      <c r="M48" s="64">
        <f>M6</f>
        <v>0</v>
      </c>
      <c r="N48" s="65">
        <v>4</v>
      </c>
      <c r="O48" s="187">
        <v>45443</v>
      </c>
      <c r="P48" s="67"/>
      <c r="Q48" s="68"/>
      <c r="R48" s="69"/>
      <c r="S48" s="105" t="s">
        <v>44</v>
      </c>
      <c r="T48" s="71">
        <v>157328</v>
      </c>
      <c r="U48" s="72">
        <v>23146</v>
      </c>
      <c r="V48" s="72">
        <v>0</v>
      </c>
      <c r="W48" s="72">
        <v>20000</v>
      </c>
      <c r="X48" s="73"/>
      <c r="Y48" s="73"/>
      <c r="Z48" s="72">
        <v>64754</v>
      </c>
      <c r="AA48" s="72">
        <v>86352</v>
      </c>
      <c r="AB48" s="72">
        <v>86352</v>
      </c>
      <c r="AC48" s="72">
        <v>86352</v>
      </c>
      <c r="AD48" s="72">
        <v>86352</v>
      </c>
      <c r="AE48" s="72">
        <v>86352</v>
      </c>
      <c r="AF48" s="72">
        <v>86352</v>
      </c>
      <c r="AG48" s="72">
        <f>-SUM(AA48:AF48)+I48</f>
        <v>712394</v>
      </c>
      <c r="AH48" s="74">
        <f t="shared" si="1"/>
        <v>1230506</v>
      </c>
      <c r="AI48" s="75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</row>
    <row r="49" spans="1:122" s="207" customFormat="1" ht="15.75" hidden="1" outlineLevel="1" thickBot="1" x14ac:dyDescent="0.3">
      <c r="A49" s="77"/>
      <c r="B49" s="78" t="s">
        <v>147</v>
      </c>
      <c r="C49" s="79"/>
      <c r="D49" s="79"/>
      <c r="E49" s="81"/>
      <c r="F49" s="81"/>
      <c r="G49" s="82"/>
      <c r="H49" s="83"/>
      <c r="I49" s="206"/>
      <c r="J49" s="120"/>
      <c r="K49" s="121"/>
      <c r="L49" s="86"/>
      <c r="M49" s="79"/>
      <c r="N49" s="79"/>
      <c r="O49" s="87"/>
      <c r="P49" s="85"/>
      <c r="Q49" s="111"/>
      <c r="R49" s="112"/>
      <c r="S49" s="90" t="s">
        <v>46</v>
      </c>
      <c r="T49" s="91"/>
      <c r="U49" s="92">
        <f>((SUM(U48:$AG48))*($L48+$M48))</f>
        <v>67629.655180000002</v>
      </c>
      <c r="V49" s="92">
        <f>((SUM(V48:$AG48))*($L48+$M48))</f>
        <v>66460.087799999994</v>
      </c>
      <c r="W49" s="92">
        <f>((SUM(W48:$AG48))*($L48+$M48))</f>
        <v>66460.087799999994</v>
      </c>
      <c r="X49" s="93">
        <v>11211.34</v>
      </c>
      <c r="Y49" s="93">
        <v>11246.45</v>
      </c>
      <c r="Z49" s="92">
        <v>22457.79</v>
      </c>
      <c r="AA49" s="92">
        <f>((SUM(AA48:$AG48))*($L48+$M48))</f>
        <v>62177.468179999996</v>
      </c>
      <c r="AB49" s="92">
        <f>((SUM(AB48:$AG48))*($L48+$M48))</f>
        <v>57814.101620000001</v>
      </c>
      <c r="AC49" s="92">
        <f>((SUM(AC48:$AG48))*($L48+$M48))</f>
        <v>53450.735059999999</v>
      </c>
      <c r="AD49" s="92">
        <f>((SUM(AD48:$AG48))*($L48+$M48))</f>
        <v>49087.368499999997</v>
      </c>
      <c r="AE49" s="92">
        <f>((SUM(AE48:$AG48))*($L48+$M48))</f>
        <v>44724.001940000002</v>
      </c>
      <c r="AF49" s="92">
        <f>((SUM(AF48:$AG48))*($L48+$M48))</f>
        <v>40360.63538</v>
      </c>
      <c r="AG49" s="92">
        <f>((SUM(AG48:$AG48))*($L48+$M48))*6</f>
        <v>215983.61291999999</v>
      </c>
      <c r="AH49" s="94">
        <f t="shared" si="1"/>
        <v>523597.92359999998</v>
      </c>
      <c r="AI49" s="7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</row>
    <row r="50" spans="1:122" s="207" customFormat="1" ht="25.15" hidden="1" customHeight="1" outlineLevel="1" x14ac:dyDescent="0.25">
      <c r="A50" s="208" t="s">
        <v>142</v>
      </c>
      <c r="B50" s="209" t="s">
        <v>152</v>
      </c>
      <c r="C50" s="210" t="s">
        <v>153</v>
      </c>
      <c r="D50" s="211" t="s">
        <v>154</v>
      </c>
      <c r="E50" s="160"/>
      <c r="F50" s="160" t="s">
        <v>155</v>
      </c>
      <c r="G50" s="115" t="s">
        <v>156</v>
      </c>
      <c r="H50" s="100"/>
      <c r="I50" s="191">
        <v>292889</v>
      </c>
      <c r="J50" s="162"/>
      <c r="K50" s="121"/>
      <c r="L50" s="182">
        <v>4.6100000000000002E-2</v>
      </c>
      <c r="M50" s="64">
        <f>M6</f>
        <v>0</v>
      </c>
      <c r="N50" s="102"/>
      <c r="O50" s="163"/>
      <c r="P50" s="104"/>
      <c r="Q50" s="164"/>
      <c r="R50" s="165"/>
      <c r="S50" s="105" t="s">
        <v>44</v>
      </c>
      <c r="T50" s="178"/>
      <c r="U50" s="212"/>
      <c r="V50" s="212"/>
      <c r="W50" s="212"/>
      <c r="X50" s="213"/>
      <c r="Y50" s="213"/>
      <c r="Z50" s="72">
        <v>10099</v>
      </c>
      <c r="AA50" s="72">
        <v>20200</v>
      </c>
      <c r="AB50" s="72">
        <v>20200</v>
      </c>
      <c r="AC50" s="72">
        <v>20200</v>
      </c>
      <c r="AD50" s="72">
        <v>20200</v>
      </c>
      <c r="AE50" s="72">
        <v>20200</v>
      </c>
      <c r="AF50" s="72">
        <v>20200</v>
      </c>
      <c r="AG50" s="72">
        <f>-SUM(AA50:AF50)+I50</f>
        <v>171689</v>
      </c>
      <c r="AH50" s="74">
        <f t="shared" si="1"/>
        <v>292889</v>
      </c>
      <c r="AI50" s="7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</row>
    <row r="51" spans="1:122" s="207" customFormat="1" ht="23.25" hidden="1" outlineLevel="1" thickBot="1" x14ac:dyDescent="0.3">
      <c r="A51" s="96"/>
      <c r="B51" s="214" t="s">
        <v>157</v>
      </c>
      <c r="C51" s="102"/>
      <c r="D51" s="102"/>
      <c r="E51" s="160"/>
      <c r="F51" s="81"/>
      <c r="G51" s="158"/>
      <c r="H51" s="100"/>
      <c r="I51" s="215"/>
      <c r="J51" s="162"/>
      <c r="K51" s="121"/>
      <c r="L51" s="216"/>
      <c r="M51" s="102"/>
      <c r="N51" s="102"/>
      <c r="O51" s="163"/>
      <c r="P51" s="104"/>
      <c r="Q51" s="164"/>
      <c r="R51" s="165"/>
      <c r="S51" s="90" t="s">
        <v>46</v>
      </c>
      <c r="T51" s="178"/>
      <c r="U51" s="212"/>
      <c r="V51" s="212"/>
      <c r="W51" s="212"/>
      <c r="X51" s="213">
        <v>85.43</v>
      </c>
      <c r="Y51" s="213">
        <v>30.95</v>
      </c>
      <c r="Z51" s="92">
        <v>116.38000000000001</v>
      </c>
      <c r="AA51" s="92">
        <f>((SUM(AA50:$AG50))*($L50+$M50))</f>
        <v>13502.1829</v>
      </c>
      <c r="AB51" s="92">
        <f>((SUM(AB50:$AG50))*($L50+$M50))</f>
        <v>12570.9629</v>
      </c>
      <c r="AC51" s="92">
        <f>((SUM(AC50:$AG50))*($L50+$M50))</f>
        <v>11639.742900000001</v>
      </c>
      <c r="AD51" s="92">
        <f>((SUM(AD50:$AG50))*($L50+$M50))</f>
        <v>10708.5229</v>
      </c>
      <c r="AE51" s="92">
        <f>((SUM(AE50:$AG50))*($L50+$M50))</f>
        <v>9777.3029000000006</v>
      </c>
      <c r="AF51" s="92">
        <f>((SUM(AF50:$AG50))*($L50+$M50))</f>
        <v>8846.0829000000012</v>
      </c>
      <c r="AG51" s="92">
        <f>((SUM(AG50:$AG50))*($L50+$M50))*7</f>
        <v>55404.040300000001</v>
      </c>
      <c r="AH51" s="94">
        <f t="shared" si="1"/>
        <v>122448.8377</v>
      </c>
      <c r="AI51" s="7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</row>
    <row r="52" spans="1:122" s="95" customFormat="1" hidden="1" outlineLevel="1" x14ac:dyDescent="0.25">
      <c r="A52" s="54">
        <v>14</v>
      </c>
      <c r="B52" s="55" t="s">
        <v>158</v>
      </c>
      <c r="C52" s="56" t="s">
        <v>159</v>
      </c>
      <c r="D52" s="113" t="s">
        <v>160</v>
      </c>
      <c r="E52" s="157"/>
      <c r="F52" s="160" t="s">
        <v>161</v>
      </c>
      <c r="G52" s="115" t="s">
        <v>162</v>
      </c>
      <c r="H52" s="60"/>
      <c r="I52" s="191">
        <v>1174140</v>
      </c>
      <c r="J52" s="60"/>
      <c r="K52" s="121"/>
      <c r="L52" s="182">
        <v>1.9029999999999998E-2</v>
      </c>
      <c r="M52" s="64">
        <v>2.5000000000000001E-3</v>
      </c>
      <c r="N52" s="65">
        <v>4</v>
      </c>
      <c r="O52" s="103">
        <v>45181</v>
      </c>
      <c r="P52" s="104"/>
      <c r="Q52" s="164"/>
      <c r="R52" s="165"/>
      <c r="S52" s="105" t="s">
        <v>44</v>
      </c>
      <c r="T52" s="71">
        <v>1113420</v>
      </c>
      <c r="U52" s="72">
        <v>80976</v>
      </c>
      <c r="V52" s="72">
        <v>80976</v>
      </c>
      <c r="W52" s="72">
        <v>80976</v>
      </c>
      <c r="X52" s="73"/>
      <c r="Y52" s="73"/>
      <c r="Z52" s="72">
        <v>80976</v>
      </c>
      <c r="AA52" s="72">
        <v>80976</v>
      </c>
      <c r="AB52" s="72">
        <v>80976</v>
      </c>
      <c r="AC52" s="72">
        <v>80976</v>
      </c>
      <c r="AD52" s="72">
        <v>80976</v>
      </c>
      <c r="AE52" s="72">
        <v>80976</v>
      </c>
      <c r="AF52" s="72">
        <v>80976</v>
      </c>
      <c r="AG52" s="72">
        <v>303660</v>
      </c>
      <c r="AH52" s="74">
        <f t="shared" si="1"/>
        <v>789516</v>
      </c>
      <c r="AI52" s="75"/>
    </row>
    <row r="53" spans="1:122" s="95" customFormat="1" ht="15.75" hidden="1" outlineLevel="1" thickBot="1" x14ac:dyDescent="0.3">
      <c r="A53" s="77"/>
      <c r="B53" s="78"/>
      <c r="C53" s="79"/>
      <c r="D53" s="79"/>
      <c r="E53" s="81"/>
      <c r="F53" s="81"/>
      <c r="G53" s="82"/>
      <c r="H53" s="83"/>
      <c r="I53" s="217"/>
      <c r="J53" s="120"/>
      <c r="K53" s="121"/>
      <c r="L53" s="86"/>
      <c r="M53" s="79"/>
      <c r="N53" s="79"/>
      <c r="O53" s="163"/>
      <c r="P53" s="104"/>
      <c r="Q53" s="164"/>
      <c r="R53" s="165"/>
      <c r="S53" s="90" t="s">
        <v>46</v>
      </c>
      <c r="T53" s="91"/>
      <c r="U53" s="92">
        <f>((SUM(U52:$AG52))*($L52+$M52))</f>
        <v>23971.932599999996</v>
      </c>
      <c r="V53" s="92">
        <f>((SUM(V52:$AG52))*($L52+$M52))</f>
        <v>22228.519319999996</v>
      </c>
      <c r="W53" s="92">
        <f>((SUM(W52:$AG52))*($L52+$M52))</f>
        <v>20485.106039999999</v>
      </c>
      <c r="X53" s="93">
        <v>12525.74</v>
      </c>
      <c r="Y53" s="93">
        <v>4979.59</v>
      </c>
      <c r="Z53" s="92">
        <v>17505.330000000002</v>
      </c>
      <c r="AA53" s="92">
        <f>((SUM(AA52:$AG52))*($L52+$M52))</f>
        <v>16998.279479999997</v>
      </c>
      <c r="AB53" s="92">
        <f>((SUM(AB52:$AG52))*($L52+$M52))</f>
        <v>15254.866199999999</v>
      </c>
      <c r="AC53" s="92">
        <f>((SUM(AC52:$AG52))*($L52+$M52))</f>
        <v>13511.452919999998</v>
      </c>
      <c r="AD53" s="92">
        <f>((SUM(AD52:$AG52))*($L52+$M52))</f>
        <v>11768.039639999999</v>
      </c>
      <c r="AE53" s="92">
        <f>((SUM(AE52:$AG52))*($L52+$M52))</f>
        <v>10024.626359999998</v>
      </c>
      <c r="AF53" s="92">
        <f>((SUM(AF52:$AG52))*($L52+$M52))</f>
        <v>8281.2130799999995</v>
      </c>
      <c r="AG53" s="92">
        <f>((SUM(AG52:$AG52))*($L52+$M52))*4</f>
        <v>26151.199199999995</v>
      </c>
      <c r="AH53" s="94">
        <f t="shared" si="1"/>
        <v>101989.67687999998</v>
      </c>
      <c r="AI53" s="75"/>
    </row>
    <row r="54" spans="1:122" s="95" customFormat="1" hidden="1" outlineLevel="1" x14ac:dyDescent="0.25">
      <c r="A54" s="54">
        <v>15</v>
      </c>
      <c r="B54" s="55" t="s">
        <v>163</v>
      </c>
      <c r="C54" s="56" t="s">
        <v>164</v>
      </c>
      <c r="D54" s="113" t="s">
        <v>165</v>
      </c>
      <c r="E54" s="157"/>
      <c r="F54" s="160" t="s">
        <v>166</v>
      </c>
      <c r="G54" s="115" t="s">
        <v>167</v>
      </c>
      <c r="H54" s="60"/>
      <c r="I54" s="191">
        <v>186392</v>
      </c>
      <c r="J54" s="60"/>
      <c r="K54" s="62">
        <f>J54/0.702804</f>
        <v>0</v>
      </c>
      <c r="L54" s="182">
        <v>3.4459999999999998E-2</v>
      </c>
      <c r="M54" s="64">
        <f>M6</f>
        <v>0</v>
      </c>
      <c r="N54" s="65">
        <v>4</v>
      </c>
      <c r="O54" s="66">
        <v>45262</v>
      </c>
      <c r="P54" s="67">
        <v>0</v>
      </c>
      <c r="Q54" s="68"/>
      <c r="R54" s="69"/>
      <c r="S54" s="105" t="s">
        <v>44</v>
      </c>
      <c r="T54" s="71"/>
      <c r="U54" s="72">
        <v>16907.599999999999</v>
      </c>
      <c r="V54" s="72">
        <v>0</v>
      </c>
      <c r="W54" s="72">
        <v>12992</v>
      </c>
      <c r="X54" s="73"/>
      <c r="Y54" s="73"/>
      <c r="Z54" s="72">
        <v>17360</v>
      </c>
      <c r="AA54" s="72">
        <v>17360</v>
      </c>
      <c r="AB54" s="72">
        <v>15080</v>
      </c>
      <c r="AC54" s="72">
        <v>8240</v>
      </c>
      <c r="AD54" s="72">
        <v>8240</v>
      </c>
      <c r="AE54" s="72">
        <v>8240</v>
      </c>
      <c r="AF54" s="72">
        <v>8240</v>
      </c>
      <c r="AG54" s="72">
        <v>73732.399999999994</v>
      </c>
      <c r="AH54" s="74">
        <f t="shared" si="1"/>
        <v>139132.4</v>
      </c>
      <c r="AI54" s="75"/>
    </row>
    <row r="55" spans="1:122" s="95" customFormat="1" ht="15.75" hidden="1" outlineLevel="1" thickBot="1" x14ac:dyDescent="0.3">
      <c r="A55" s="77"/>
      <c r="B55" s="78" t="s">
        <v>168</v>
      </c>
      <c r="C55" s="79"/>
      <c r="D55" s="79"/>
      <c r="E55" s="81"/>
      <c r="F55" s="81"/>
      <c r="G55" s="82"/>
      <c r="H55" s="83"/>
      <c r="I55" s="119"/>
      <c r="J55" s="120"/>
      <c r="K55" s="121"/>
      <c r="L55" s="86"/>
      <c r="M55" s="79"/>
      <c r="N55" s="79"/>
      <c r="O55" s="87"/>
      <c r="P55" s="85"/>
      <c r="Q55" s="111"/>
      <c r="R55" s="112"/>
      <c r="S55" s="105" t="s">
        <v>46</v>
      </c>
      <c r="T55" s="91"/>
      <c r="U55" s="92">
        <f>((SUM(U54:$AG54))*($L54+$M54))</f>
        <v>6423.0683199999994</v>
      </c>
      <c r="V55" s="92">
        <f>((SUM(V54:$AG54))*($L54+$M54))</f>
        <v>5840.4324239999996</v>
      </c>
      <c r="W55" s="92">
        <f>((SUM(W54:$AG54))*($L54+$M54))</f>
        <v>5840.4324239999996</v>
      </c>
      <c r="X55" s="93">
        <v>3538.87</v>
      </c>
      <c r="Y55" s="93">
        <v>1446.03</v>
      </c>
      <c r="Z55" s="92">
        <v>4984.8999999999996</v>
      </c>
      <c r="AA55" s="92">
        <f>((SUM(AA54:$AG54))*($L54+$M54))</f>
        <v>4794.5025039999991</v>
      </c>
      <c r="AB55" s="92">
        <f>((SUM(AB54:$AG54))*($L54+$M54))</f>
        <v>4196.2769039999994</v>
      </c>
      <c r="AC55" s="92">
        <f>((SUM(AC54:$AG54))*($L54+$M54))</f>
        <v>3676.6201039999996</v>
      </c>
      <c r="AD55" s="92">
        <f>((SUM(AD54:$AG54))*($L54+$M54))</f>
        <v>3392.6697039999995</v>
      </c>
      <c r="AE55" s="92">
        <f>((SUM(AE54:$AG54))*($L54+$M54))</f>
        <v>3108.7193039999997</v>
      </c>
      <c r="AF55" s="92">
        <f>((SUM(AF54:$AG54))*($L54+$M54))</f>
        <v>2824.7689039999996</v>
      </c>
      <c r="AG55" s="92">
        <f>((SUM(AG54:$AG54))*($L54+$M54))*10</f>
        <v>25408.185039999997</v>
      </c>
      <c r="AH55" s="94">
        <f t="shared" si="1"/>
        <v>47401.742463999995</v>
      </c>
      <c r="AI55" s="75"/>
    </row>
    <row r="56" spans="1:122" s="95" customFormat="1" hidden="1" outlineLevel="1" x14ac:dyDescent="0.25">
      <c r="A56" s="54">
        <v>16</v>
      </c>
      <c r="B56" s="57" t="s">
        <v>169</v>
      </c>
      <c r="C56" s="56" t="s">
        <v>170</v>
      </c>
      <c r="D56" s="113" t="s">
        <v>171</v>
      </c>
      <c r="E56" s="157"/>
      <c r="F56" s="160" t="s">
        <v>172</v>
      </c>
      <c r="G56" s="115" t="s">
        <v>173</v>
      </c>
      <c r="H56" s="60"/>
      <c r="I56" s="191">
        <v>46991.33</v>
      </c>
      <c r="J56" s="60"/>
      <c r="K56" s="62">
        <f>J56/0.702804</f>
        <v>0</v>
      </c>
      <c r="L56" s="182">
        <v>2.5000000000000001E-3</v>
      </c>
      <c r="M56" s="64">
        <v>2.5000000000000001E-3</v>
      </c>
      <c r="N56" s="65">
        <v>4</v>
      </c>
      <c r="O56" s="174"/>
      <c r="P56" s="67">
        <v>0</v>
      </c>
      <c r="Q56" s="68"/>
      <c r="R56" s="69"/>
      <c r="S56" s="70" t="s">
        <v>44</v>
      </c>
      <c r="T56" s="72"/>
      <c r="U56" s="72"/>
      <c r="V56" s="72">
        <v>9883</v>
      </c>
      <c r="W56" s="72">
        <v>9896</v>
      </c>
      <c r="X56" s="73"/>
      <c r="Y56" s="73"/>
      <c r="Z56" s="72">
        <v>9896</v>
      </c>
      <c r="AA56" s="72">
        <v>9896</v>
      </c>
      <c r="AB56" s="72">
        <v>7420.33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74">
        <f t="shared" si="1"/>
        <v>17316.330000000002</v>
      </c>
      <c r="AI56" s="75"/>
    </row>
    <row r="57" spans="1:122" s="95" customFormat="1" ht="15.75" hidden="1" outlineLevel="1" thickBot="1" x14ac:dyDescent="0.3">
      <c r="A57" s="77"/>
      <c r="B57" s="78"/>
      <c r="C57" s="79"/>
      <c r="D57" s="79"/>
      <c r="E57" s="81"/>
      <c r="F57" s="81" t="s">
        <v>174</v>
      </c>
      <c r="G57" s="82"/>
      <c r="H57" s="83"/>
      <c r="I57" s="119"/>
      <c r="J57" s="120"/>
      <c r="K57" s="121"/>
      <c r="L57" s="86"/>
      <c r="M57" s="79"/>
      <c r="N57" s="79"/>
      <c r="O57" s="87"/>
      <c r="P57" s="85"/>
      <c r="Q57" s="111"/>
      <c r="R57" s="112"/>
      <c r="S57" s="90" t="s">
        <v>46</v>
      </c>
      <c r="T57" s="184"/>
      <c r="U57" s="184"/>
      <c r="V57" s="92">
        <f>((SUM(V56:$AG56))*($L56+$M56))</f>
        <v>234.95665000000002</v>
      </c>
      <c r="W57" s="92">
        <f>((SUM(W56:$AG56))*($L56+$M56))</f>
        <v>185.54165</v>
      </c>
      <c r="X57" s="93">
        <v>51</v>
      </c>
      <c r="Y57" s="93">
        <v>14.03</v>
      </c>
      <c r="Z57" s="92">
        <v>65.03</v>
      </c>
      <c r="AA57" s="92">
        <f>((SUM(AA56:$AG56))*($L56+$M56))</f>
        <v>86.58165000000001</v>
      </c>
      <c r="AB57" s="92">
        <f>((SUM(AB56:$AG56))*($L56+$M56))</f>
        <v>37.101649999999999</v>
      </c>
      <c r="AC57" s="122">
        <f>((SUM(AC56:$AG56))*($L56+$M56))</f>
        <v>0</v>
      </c>
      <c r="AD57" s="122">
        <f>((SUM(AD56:$AG56))*($L56+$M56))</f>
        <v>0</v>
      </c>
      <c r="AE57" s="122">
        <f>((SUM(AE56:$AG56))*($L56+$M56))</f>
        <v>0</v>
      </c>
      <c r="AF57" s="122">
        <f>((SUM(AF56:$AG56))*($L56+$M56))</f>
        <v>0</v>
      </c>
      <c r="AG57" s="122">
        <f>((SUM(AG56:$AG56))*($L56+$M56))</f>
        <v>0</v>
      </c>
      <c r="AH57" s="94">
        <f t="shared" si="1"/>
        <v>123.6833</v>
      </c>
      <c r="AI57" s="75"/>
    </row>
    <row r="58" spans="1:122" s="221" customFormat="1" hidden="1" outlineLevel="1" x14ac:dyDescent="0.25">
      <c r="A58" s="54">
        <v>17</v>
      </c>
      <c r="B58" s="57" t="s">
        <v>175</v>
      </c>
      <c r="C58" s="56" t="s">
        <v>176</v>
      </c>
      <c r="D58" s="113" t="s">
        <v>177</v>
      </c>
      <c r="E58" s="218"/>
      <c r="F58" s="160" t="s">
        <v>166</v>
      </c>
      <c r="G58" s="115" t="s">
        <v>178</v>
      </c>
      <c r="H58" s="60"/>
      <c r="I58" s="219">
        <v>581242</v>
      </c>
      <c r="J58" s="60"/>
      <c r="K58" s="62">
        <f>J58/0.702804</f>
        <v>0</v>
      </c>
      <c r="L58" s="182">
        <v>3.3020000000000001E-2</v>
      </c>
      <c r="M58" s="64">
        <v>0</v>
      </c>
      <c r="N58" s="65">
        <v>4</v>
      </c>
      <c r="O58" s="66">
        <v>45262</v>
      </c>
      <c r="P58" s="67">
        <v>0</v>
      </c>
      <c r="Q58" s="68"/>
      <c r="R58" s="69"/>
      <c r="S58" s="105" t="s">
        <v>44</v>
      </c>
      <c r="T58" s="220"/>
      <c r="U58" s="72"/>
      <c r="V58" s="72"/>
      <c r="W58" s="72">
        <v>58880</v>
      </c>
      <c r="X58" s="73"/>
      <c r="Y58" s="73"/>
      <c r="Z58" s="72">
        <v>58116</v>
      </c>
      <c r="AA58" s="72">
        <v>58116</v>
      </c>
      <c r="AB58" s="72">
        <v>58116</v>
      </c>
      <c r="AC58" s="72">
        <v>58116</v>
      </c>
      <c r="AD58" s="72">
        <v>58116</v>
      </c>
      <c r="AE58" s="72">
        <v>58116</v>
      </c>
      <c r="AF58" s="72">
        <v>58116</v>
      </c>
      <c r="AG58" s="72">
        <v>115550.12</v>
      </c>
      <c r="AH58" s="74">
        <f t="shared" si="1"/>
        <v>464246.12</v>
      </c>
      <c r="AI58" s="75"/>
    </row>
    <row r="59" spans="1:122" s="221" customFormat="1" ht="15.75" hidden="1" outlineLevel="1" thickBot="1" x14ac:dyDescent="0.3">
      <c r="A59" s="77"/>
      <c r="B59" s="222"/>
      <c r="C59" s="79"/>
      <c r="D59" s="86"/>
      <c r="E59" s="223"/>
      <c r="F59" s="81"/>
      <c r="G59" s="82"/>
      <c r="H59" s="83"/>
      <c r="I59" s="119"/>
      <c r="J59" s="120"/>
      <c r="K59" s="121"/>
      <c r="L59" s="86"/>
      <c r="M59" s="79"/>
      <c r="N59" s="79"/>
      <c r="O59" s="87"/>
      <c r="P59" s="85"/>
      <c r="Q59" s="111"/>
      <c r="R59" s="112"/>
      <c r="S59" s="90" t="s">
        <v>46</v>
      </c>
      <c r="T59" s="224"/>
      <c r="U59" s="184"/>
      <c r="V59" s="184"/>
      <c r="W59" s="92">
        <f>((SUM(W58:$AG58))*($L58+$M58))</f>
        <v>19192.614802399999</v>
      </c>
      <c r="X59" s="93">
        <v>9717.24</v>
      </c>
      <c r="Y59" s="93">
        <v>3967.16</v>
      </c>
      <c r="Z59" s="92">
        <v>13684.4</v>
      </c>
      <c r="AA59" s="92">
        <f>((SUM(AA58:$AG58))*($L58+$M58))</f>
        <v>15329.406882400001</v>
      </c>
      <c r="AB59" s="92">
        <f>((SUM(AB58:$AG58))*($L58+$M58))</f>
        <v>13410.4165624</v>
      </c>
      <c r="AC59" s="92">
        <f>((SUM(AC58:$AG58))*($L58+$M58))</f>
        <v>11491.426242400001</v>
      </c>
      <c r="AD59" s="92">
        <f>((SUM(AD58:$AG58))*($L58+$M58))</f>
        <v>9572.4359224</v>
      </c>
      <c r="AE59" s="92">
        <f>((SUM(AE58:$AG58))*($L58+$M58))</f>
        <v>7653.4456024000001</v>
      </c>
      <c r="AF59" s="92">
        <f>((SUM(AF58:$AG58))*($L58+$M58))</f>
        <v>5734.4552824000002</v>
      </c>
      <c r="AG59" s="92">
        <f>((SUM(AG58:$AG58))*($L58+$M58))*3</f>
        <v>11446.3948872</v>
      </c>
      <c r="AH59" s="94">
        <f t="shared" si="1"/>
        <v>74637.98138160001</v>
      </c>
      <c r="AI59" s="75"/>
    </row>
    <row r="60" spans="1:122" s="221" customFormat="1" hidden="1" outlineLevel="1" x14ac:dyDescent="0.25">
      <c r="A60" s="54">
        <v>18</v>
      </c>
      <c r="B60" s="57" t="s">
        <v>179</v>
      </c>
      <c r="C60" s="56" t="s">
        <v>180</v>
      </c>
      <c r="D60" s="113" t="s">
        <v>181</v>
      </c>
      <c r="E60" s="218"/>
      <c r="F60" s="160" t="s">
        <v>182</v>
      </c>
      <c r="G60" s="115" t="s">
        <v>183</v>
      </c>
      <c r="H60" s="60"/>
      <c r="I60" s="191">
        <v>141294</v>
      </c>
      <c r="J60" s="60"/>
      <c r="K60" s="62">
        <f>J60/0.702804</f>
        <v>0</v>
      </c>
      <c r="L60" s="182">
        <v>2.5000000000000001E-3</v>
      </c>
      <c r="M60" s="64">
        <f>M6</f>
        <v>0</v>
      </c>
      <c r="N60" s="65">
        <v>4</v>
      </c>
      <c r="O60" s="174"/>
      <c r="P60" s="67">
        <v>0</v>
      </c>
      <c r="Q60" s="68"/>
      <c r="R60" s="69"/>
      <c r="S60" s="105" t="s">
        <v>44</v>
      </c>
      <c r="T60" s="220"/>
      <c r="U60" s="72"/>
      <c r="V60" s="72"/>
      <c r="W60" s="72">
        <v>29739</v>
      </c>
      <c r="X60" s="73"/>
      <c r="Y60" s="73"/>
      <c r="Z60" s="72">
        <v>29748</v>
      </c>
      <c r="AA60" s="72">
        <v>29748</v>
      </c>
      <c r="AB60" s="72">
        <v>29748</v>
      </c>
      <c r="AC60" s="72">
        <v>22311</v>
      </c>
      <c r="AD60" s="116">
        <v>0</v>
      </c>
      <c r="AE60" s="116">
        <v>0</v>
      </c>
      <c r="AF60" s="116">
        <v>0</v>
      </c>
      <c r="AG60" s="116">
        <v>0</v>
      </c>
      <c r="AH60" s="74">
        <f t="shared" si="1"/>
        <v>81807</v>
      </c>
      <c r="AI60" s="75"/>
    </row>
    <row r="61" spans="1:122" s="221" customFormat="1" ht="15.75" hidden="1" outlineLevel="1" thickBot="1" x14ac:dyDescent="0.3">
      <c r="A61" s="77"/>
      <c r="B61" s="222"/>
      <c r="C61" s="79"/>
      <c r="D61" s="86"/>
      <c r="E61" s="223"/>
      <c r="F61" s="81"/>
      <c r="G61" s="82"/>
      <c r="H61" s="83"/>
      <c r="I61" s="119"/>
      <c r="J61" s="120"/>
      <c r="K61" s="121"/>
      <c r="L61" s="86"/>
      <c r="M61" s="79"/>
      <c r="N61" s="79"/>
      <c r="O61" s="87"/>
      <c r="P61" s="85"/>
      <c r="Q61" s="111"/>
      <c r="R61" s="112"/>
      <c r="S61" s="90" t="s">
        <v>46</v>
      </c>
      <c r="T61" s="224"/>
      <c r="U61" s="184"/>
      <c r="V61" s="184"/>
      <c r="W61" s="92">
        <f>((SUM(W60:$AG60))*($L60+$M60))</f>
        <v>353.23500000000001</v>
      </c>
      <c r="X61" s="93">
        <v>209.75</v>
      </c>
      <c r="Y61" s="93">
        <v>61.2</v>
      </c>
      <c r="Z61" s="92">
        <v>270.95</v>
      </c>
      <c r="AA61" s="92">
        <f>((SUM(AA60:$AG60))*($L60+$M60))</f>
        <v>204.51750000000001</v>
      </c>
      <c r="AB61" s="92">
        <f>((SUM(AB60:$AG60))*($L60+$M60))</f>
        <v>130.14750000000001</v>
      </c>
      <c r="AC61" s="92">
        <f>((SUM(AC60:$AG60))*($L60+$M60))</f>
        <v>55.777500000000003</v>
      </c>
      <c r="AD61" s="122">
        <f>((SUM(AD60:$AG60))*($L60+$M60))</f>
        <v>0</v>
      </c>
      <c r="AE61" s="122">
        <f>((SUM(AE60:$AG60))*($L60+$M60))</f>
        <v>0</v>
      </c>
      <c r="AF61" s="122">
        <f>((SUM(AF60:$AG60))*($L60+$M60))</f>
        <v>0</v>
      </c>
      <c r="AG61" s="122">
        <f>((SUM(AG60:$AG60))*($L60+$M60))</f>
        <v>0</v>
      </c>
      <c r="AH61" s="94">
        <f t="shared" si="1"/>
        <v>390.4425</v>
      </c>
      <c r="AI61" s="75"/>
    </row>
    <row r="62" spans="1:122" s="221" customFormat="1" hidden="1" outlineLevel="1" x14ac:dyDescent="0.25">
      <c r="A62" s="54">
        <v>19</v>
      </c>
      <c r="B62" s="57" t="s">
        <v>184</v>
      </c>
      <c r="C62" s="56" t="s">
        <v>185</v>
      </c>
      <c r="D62" s="113" t="s">
        <v>186</v>
      </c>
      <c r="E62" s="218"/>
      <c r="F62" s="160" t="s">
        <v>166</v>
      </c>
      <c r="G62" s="115" t="s">
        <v>178</v>
      </c>
      <c r="H62" s="60"/>
      <c r="I62" s="191">
        <v>697002</v>
      </c>
      <c r="J62" s="60"/>
      <c r="K62" s="62">
        <f>J62/0.702804</f>
        <v>0</v>
      </c>
      <c r="L62" s="182">
        <v>3.3020000000000001E-2</v>
      </c>
      <c r="M62" s="64">
        <f>M6</f>
        <v>0</v>
      </c>
      <c r="N62" s="65">
        <v>4</v>
      </c>
      <c r="O62" s="66">
        <v>45262</v>
      </c>
      <c r="P62" s="67">
        <v>0</v>
      </c>
      <c r="Q62" s="68"/>
      <c r="R62" s="69"/>
      <c r="S62" s="105" t="s">
        <v>44</v>
      </c>
      <c r="T62" s="220"/>
      <c r="U62" s="72"/>
      <c r="V62" s="72"/>
      <c r="W62" s="72">
        <v>36654</v>
      </c>
      <c r="X62" s="73"/>
      <c r="Y62" s="73"/>
      <c r="Z62" s="72">
        <v>73372</v>
      </c>
      <c r="AA62" s="72">
        <v>73372</v>
      </c>
      <c r="AB62" s="72">
        <v>73372</v>
      </c>
      <c r="AC62" s="72">
        <v>73372</v>
      </c>
      <c r="AD62" s="72">
        <v>73372</v>
      </c>
      <c r="AE62" s="72">
        <v>73372</v>
      </c>
      <c r="AF62" s="72">
        <v>73372</v>
      </c>
      <c r="AG62" s="72">
        <f>146744</f>
        <v>146744</v>
      </c>
      <c r="AH62" s="74">
        <f t="shared" si="1"/>
        <v>586976</v>
      </c>
      <c r="AI62" s="75"/>
    </row>
    <row r="63" spans="1:122" s="221" customFormat="1" ht="15.75" hidden="1" outlineLevel="1" thickBot="1" x14ac:dyDescent="0.3">
      <c r="A63" s="77"/>
      <c r="B63" s="222"/>
      <c r="C63" s="79"/>
      <c r="D63" s="86"/>
      <c r="E63" s="223"/>
      <c r="F63" s="81"/>
      <c r="G63" s="82"/>
      <c r="H63" s="83"/>
      <c r="I63" s="119"/>
      <c r="J63" s="120"/>
      <c r="K63" s="121"/>
      <c r="L63" s="86"/>
      <c r="M63" s="79"/>
      <c r="N63" s="79"/>
      <c r="O63" s="87"/>
      <c r="P63" s="85"/>
      <c r="Q63" s="111"/>
      <c r="R63" s="112"/>
      <c r="S63" s="90" t="s">
        <v>46</v>
      </c>
      <c r="T63" s="224"/>
      <c r="U63" s="184"/>
      <c r="V63" s="184"/>
      <c r="W63" s="92">
        <f>((SUM(W62:$AG62))*($L62+$M62))</f>
        <v>23015.00604</v>
      </c>
      <c r="X63" s="93">
        <v>12683.64</v>
      </c>
      <c r="Y63" s="93">
        <v>5244.23</v>
      </c>
      <c r="Z63" s="92">
        <v>17927.87</v>
      </c>
      <c r="AA63" s="92">
        <f>((SUM(AA62:$AG62))*($L62+$M62))</f>
        <v>19381.947520000002</v>
      </c>
      <c r="AB63" s="92">
        <f>((SUM(AB62:$AG62))*($L62+$M62))</f>
        <v>16959.20408</v>
      </c>
      <c r="AC63" s="92">
        <f>((SUM(AC62:$AG62))*($L62+$M62))</f>
        <v>14536.460640000001</v>
      </c>
      <c r="AD63" s="92">
        <f>((SUM(AD62:$AG62))*($L62+$M62))</f>
        <v>12113.717200000001</v>
      </c>
      <c r="AE63" s="92">
        <f>((SUM(AE62:$AG62))*($L62+$M62))</f>
        <v>9690.9737600000008</v>
      </c>
      <c r="AF63" s="92">
        <f>((SUM(AF62:$AG62))*($L62+$M62))</f>
        <v>7268.2303200000006</v>
      </c>
      <c r="AG63" s="92">
        <f>((SUM(AG62:$AG62))*($L62+$M62))*4</f>
        <v>19381.947520000002</v>
      </c>
      <c r="AH63" s="94">
        <f t="shared" si="1"/>
        <v>99332.481039999999</v>
      </c>
      <c r="AI63" s="75"/>
    </row>
    <row r="64" spans="1:122" s="95" customFormat="1" ht="12.6" hidden="1" customHeight="1" outlineLevel="1" x14ac:dyDescent="0.25">
      <c r="A64" s="54">
        <v>20</v>
      </c>
      <c r="B64" s="57" t="s">
        <v>187</v>
      </c>
      <c r="C64" s="56" t="s">
        <v>188</v>
      </c>
      <c r="D64" s="113" t="s">
        <v>189</v>
      </c>
      <c r="E64" s="157"/>
      <c r="F64" s="160" t="s">
        <v>172</v>
      </c>
      <c r="G64" s="115" t="s">
        <v>173</v>
      </c>
      <c r="H64" s="60"/>
      <c r="I64" s="191">
        <f>53218</f>
        <v>53218</v>
      </c>
      <c r="J64" s="60"/>
      <c r="K64" s="62">
        <f>J64/0.702804</f>
        <v>0</v>
      </c>
      <c r="L64" s="182">
        <v>2.5000000000000001E-3</v>
      </c>
      <c r="M64" s="64">
        <f>M6</f>
        <v>0</v>
      </c>
      <c r="N64" s="65">
        <v>4</v>
      </c>
      <c r="O64" s="174"/>
      <c r="P64" s="67">
        <v>0</v>
      </c>
      <c r="Q64" s="68"/>
      <c r="R64" s="69"/>
      <c r="S64" s="105" t="s">
        <v>44</v>
      </c>
      <c r="T64" s="72"/>
      <c r="U64" s="72"/>
      <c r="V64" s="72">
        <v>11430</v>
      </c>
      <c r="W64" s="72">
        <v>11448</v>
      </c>
      <c r="X64" s="73"/>
      <c r="Y64" s="73"/>
      <c r="Z64" s="72">
        <v>11448</v>
      </c>
      <c r="AA64" s="72">
        <v>11448</v>
      </c>
      <c r="AB64" s="72">
        <v>7444</v>
      </c>
      <c r="AC64" s="116">
        <v>0</v>
      </c>
      <c r="AD64" s="116">
        <v>0</v>
      </c>
      <c r="AE64" s="116">
        <v>0</v>
      </c>
      <c r="AF64" s="116">
        <v>0</v>
      </c>
      <c r="AG64" s="116">
        <v>0</v>
      </c>
      <c r="AH64" s="74">
        <f t="shared" si="1"/>
        <v>18892</v>
      </c>
      <c r="AI64" s="75"/>
    </row>
    <row r="65" spans="1:35" s="95" customFormat="1" ht="15.75" hidden="1" outlineLevel="1" thickBot="1" x14ac:dyDescent="0.3">
      <c r="A65" s="77"/>
      <c r="B65" s="222"/>
      <c r="C65" s="79"/>
      <c r="D65" s="79"/>
      <c r="E65" s="81"/>
      <c r="F65" s="81"/>
      <c r="G65" s="82"/>
      <c r="H65" s="83"/>
      <c r="I65" s="119"/>
      <c r="J65" s="120"/>
      <c r="K65" s="121"/>
      <c r="L65" s="86"/>
      <c r="M65" s="79"/>
      <c r="N65" s="79"/>
      <c r="O65" s="87"/>
      <c r="P65" s="85"/>
      <c r="Q65" s="111"/>
      <c r="R65" s="112"/>
      <c r="S65" s="90" t="s">
        <v>46</v>
      </c>
      <c r="T65" s="184"/>
      <c r="U65" s="184"/>
      <c r="V65" s="92">
        <f>((SUM(V64:$AG64))*($L64+$M64))</f>
        <v>133.04500000000002</v>
      </c>
      <c r="W65" s="92">
        <f>((SUM(W64:$AG64))*($L64+$M64))</f>
        <v>104.47</v>
      </c>
      <c r="X65" s="93">
        <v>57.75</v>
      </c>
      <c r="Y65" s="93">
        <v>15.89</v>
      </c>
      <c r="Z65" s="92">
        <v>73.64</v>
      </c>
      <c r="AA65" s="92">
        <f>((SUM(AA64:$AG64))*($L64+$M64))</f>
        <v>47.230000000000004</v>
      </c>
      <c r="AB65" s="92">
        <f>((SUM(AB64:$AG64))*($L64+$M64))</f>
        <v>18.61</v>
      </c>
      <c r="AC65" s="122">
        <f>((SUM(AC64:$AG64))*($L64+$M64))</f>
        <v>0</v>
      </c>
      <c r="AD65" s="122">
        <f>((SUM(AD64:$AG64))*($L64+$M64))</f>
        <v>0</v>
      </c>
      <c r="AE65" s="122">
        <f>((SUM(AE64:$AG64))*($L64+$M64))</f>
        <v>0</v>
      </c>
      <c r="AF65" s="122">
        <f>((SUM(AF64:$AG64))*($L64+$M64))</f>
        <v>0</v>
      </c>
      <c r="AG65" s="122">
        <f>((SUM(AG64:$AG64))*($L64+$M64))</f>
        <v>0</v>
      </c>
      <c r="AH65" s="94">
        <f t="shared" si="1"/>
        <v>65.84</v>
      </c>
      <c r="AI65" s="75"/>
    </row>
    <row r="66" spans="1:35" s="95" customFormat="1" ht="12.6" hidden="1" customHeight="1" outlineLevel="1" x14ac:dyDescent="0.25">
      <c r="A66" s="54">
        <v>21</v>
      </c>
      <c r="B66" s="57" t="s">
        <v>190</v>
      </c>
      <c r="C66" s="56" t="s">
        <v>191</v>
      </c>
      <c r="D66" s="113" t="s">
        <v>192</v>
      </c>
      <c r="E66" s="157"/>
      <c r="F66" s="160" t="s">
        <v>193</v>
      </c>
      <c r="G66" s="115" t="s">
        <v>194</v>
      </c>
      <c r="H66" s="60"/>
      <c r="I66" s="191">
        <v>496340</v>
      </c>
      <c r="J66" s="60"/>
      <c r="K66" s="62">
        <f>J66/0.702804</f>
        <v>0</v>
      </c>
      <c r="L66" s="182">
        <v>2.376E-2</v>
      </c>
      <c r="M66" s="64">
        <f>M6</f>
        <v>0</v>
      </c>
      <c r="N66" s="65">
        <v>4</v>
      </c>
      <c r="O66" s="66">
        <v>45141</v>
      </c>
      <c r="P66" s="67">
        <v>0</v>
      </c>
      <c r="Q66" s="68"/>
      <c r="R66" s="69"/>
      <c r="S66" s="105" t="s">
        <v>44</v>
      </c>
      <c r="T66" s="72"/>
      <c r="U66" s="72"/>
      <c r="V66" s="72"/>
      <c r="W66" s="72"/>
      <c r="X66" s="73"/>
      <c r="Y66" s="73"/>
      <c r="Z66" s="72">
        <v>26815</v>
      </c>
      <c r="AA66" s="72">
        <v>47782.7</v>
      </c>
      <c r="AB66" s="72">
        <v>47782.7</v>
      </c>
      <c r="AC66" s="72">
        <v>47782.7</v>
      </c>
      <c r="AD66" s="72">
        <v>47782.7</v>
      </c>
      <c r="AE66" s="72">
        <v>47782.7</v>
      </c>
      <c r="AF66" s="72">
        <v>47782.7</v>
      </c>
      <c r="AG66" s="72">
        <v>182828.79999999999</v>
      </c>
      <c r="AH66" s="74">
        <f t="shared" si="1"/>
        <v>469525</v>
      </c>
      <c r="AI66" s="75"/>
    </row>
    <row r="67" spans="1:35" s="95" customFormat="1" ht="15.75" hidden="1" outlineLevel="1" thickBot="1" x14ac:dyDescent="0.3">
      <c r="A67" s="77"/>
      <c r="B67" s="222" t="s">
        <v>195</v>
      </c>
      <c r="C67" s="79"/>
      <c r="D67" s="79" t="s">
        <v>196</v>
      </c>
      <c r="E67" s="81"/>
      <c r="F67" s="81"/>
      <c r="G67" s="82"/>
      <c r="H67" s="83"/>
      <c r="I67" s="119"/>
      <c r="J67" s="120"/>
      <c r="K67" s="121"/>
      <c r="L67" s="86"/>
      <c r="M67" s="79"/>
      <c r="N67" s="79"/>
      <c r="O67" s="87"/>
      <c r="P67" s="85"/>
      <c r="Q67" s="111"/>
      <c r="R67" s="112"/>
      <c r="S67" s="90" t="s">
        <v>46</v>
      </c>
      <c r="T67" s="184"/>
      <c r="U67" s="184"/>
      <c r="V67" s="184"/>
      <c r="W67" s="184"/>
      <c r="X67" s="190">
        <v>8391.08</v>
      </c>
      <c r="Y67" s="190">
        <v>5533.52</v>
      </c>
      <c r="Z67" s="92">
        <v>13924.6</v>
      </c>
      <c r="AA67" s="92">
        <f>((SUM(AA66:$AG66))*($L66+$M66))</f>
        <v>11155.914000000001</v>
      </c>
      <c r="AB67" s="92">
        <f>((SUM(AB66:$AG66))*($L66+$M66))</f>
        <v>10020.597048</v>
      </c>
      <c r="AC67" s="92">
        <f>((SUM(AC66:$AG66))*($L66+$M66))</f>
        <v>8885.2800959999986</v>
      </c>
      <c r="AD67" s="92">
        <f>((SUM(AD66:$AG66))*($L66+$M66))</f>
        <v>7749.9631439999994</v>
      </c>
      <c r="AE67" s="92">
        <f>((SUM(AE66:$AG66))*($L66+$M66))</f>
        <v>6614.6461919999992</v>
      </c>
      <c r="AF67" s="92">
        <f>((SUM(AF66:$AG66))*($L66+$M66))</f>
        <v>5479.32924</v>
      </c>
      <c r="AG67" s="92">
        <f>((SUM(AG66:$AG66))*($L66+$M66))*3</f>
        <v>13032.036864</v>
      </c>
      <c r="AH67" s="94">
        <f t="shared" si="1"/>
        <v>62937.766583999997</v>
      </c>
      <c r="AI67" s="75"/>
    </row>
    <row r="68" spans="1:35" s="95" customFormat="1" ht="12.6" hidden="1" customHeight="1" outlineLevel="1" x14ac:dyDescent="0.25">
      <c r="A68" s="54">
        <v>22</v>
      </c>
      <c r="B68" s="57" t="s">
        <v>197</v>
      </c>
      <c r="C68" s="56" t="s">
        <v>198</v>
      </c>
      <c r="D68" s="113" t="s">
        <v>199</v>
      </c>
      <c r="E68" s="157"/>
      <c r="F68" s="160" t="s">
        <v>200</v>
      </c>
      <c r="G68" s="115" t="s">
        <v>201</v>
      </c>
      <c r="H68" s="60"/>
      <c r="I68" s="225">
        <v>96800</v>
      </c>
      <c r="J68" s="60"/>
      <c r="K68" s="62">
        <f>J68/0.702804</f>
        <v>0</v>
      </c>
      <c r="L68" s="182">
        <v>5.2209999999999999E-2</v>
      </c>
      <c r="M68" s="64">
        <f>M6</f>
        <v>0</v>
      </c>
      <c r="N68" s="65">
        <v>4</v>
      </c>
      <c r="O68" s="66">
        <v>45493</v>
      </c>
      <c r="P68" s="67">
        <v>0</v>
      </c>
      <c r="Q68" s="68"/>
      <c r="R68" s="69"/>
      <c r="S68" s="105" t="s">
        <v>44</v>
      </c>
      <c r="T68" s="72"/>
      <c r="U68" s="72"/>
      <c r="V68" s="72"/>
      <c r="W68" s="72"/>
      <c r="X68" s="73"/>
      <c r="Y68" s="73"/>
      <c r="Z68" s="72">
        <v>20375</v>
      </c>
      <c r="AA68" s="72">
        <v>20380</v>
      </c>
      <c r="AB68" s="72">
        <v>20380</v>
      </c>
      <c r="AC68" s="72">
        <v>20380</v>
      </c>
      <c r="AD68" s="72">
        <v>15285</v>
      </c>
      <c r="AE68" s="116">
        <v>0</v>
      </c>
      <c r="AF68" s="116">
        <v>0</v>
      </c>
      <c r="AG68" s="116">
        <v>0</v>
      </c>
      <c r="AH68" s="74">
        <f t="shared" si="1"/>
        <v>76425</v>
      </c>
      <c r="AI68" s="75"/>
    </row>
    <row r="69" spans="1:35" s="95" customFormat="1" ht="15.75" hidden="1" outlineLevel="1" thickBot="1" x14ac:dyDescent="0.3">
      <c r="A69" s="77"/>
      <c r="B69" s="222" t="s">
        <v>202</v>
      </c>
      <c r="C69" s="79"/>
      <c r="D69" s="79"/>
      <c r="E69" s="81"/>
      <c r="F69" s="81"/>
      <c r="G69" s="82"/>
      <c r="H69" s="83"/>
      <c r="I69" s="119"/>
      <c r="J69" s="120"/>
      <c r="K69" s="121"/>
      <c r="L69" s="86"/>
      <c r="M69" s="79"/>
      <c r="N69" s="79"/>
      <c r="O69" s="87"/>
      <c r="P69" s="85"/>
      <c r="Q69" s="111"/>
      <c r="R69" s="112"/>
      <c r="S69" s="90" t="s">
        <v>46</v>
      </c>
      <c r="T69" s="184"/>
      <c r="U69" s="184"/>
      <c r="V69" s="184"/>
      <c r="W69" s="184"/>
      <c r="X69" s="190">
        <v>1431.26</v>
      </c>
      <c r="Y69" s="190">
        <v>937.63</v>
      </c>
      <c r="Z69" s="92">
        <v>2368.89</v>
      </c>
      <c r="AA69" s="92">
        <f>((SUM(AA68:$AG68))*($L68+$M68))</f>
        <v>3990.1492499999999</v>
      </c>
      <c r="AB69" s="92">
        <f>((SUM(AB68:$AG68))*($L68+$M68))</f>
        <v>2926.1094499999999</v>
      </c>
      <c r="AC69" s="92">
        <f>((SUM(AC68:$AG68))*($L68+$M68))</f>
        <v>1862.0696499999999</v>
      </c>
      <c r="AD69" s="92">
        <f>((SUM(AD68:$AG68))*($L68+$M68))</f>
        <v>798.02985000000001</v>
      </c>
      <c r="AE69" s="122">
        <f>((SUM(AE68:$AG68))*($L68+$M68))</f>
        <v>0</v>
      </c>
      <c r="AF69" s="122">
        <f>((SUM(AF68:$AG68))*($L68+$M68))</f>
        <v>0</v>
      </c>
      <c r="AG69" s="122">
        <f>((SUM(AG68:$AG68))*($L68+$M68))</f>
        <v>0</v>
      </c>
      <c r="AH69" s="94">
        <f t="shared" si="1"/>
        <v>9576.3582000000006</v>
      </c>
      <c r="AI69" s="75"/>
    </row>
    <row r="70" spans="1:35" s="95" customFormat="1" ht="13.15" hidden="1" customHeight="1" outlineLevel="1" x14ac:dyDescent="0.25">
      <c r="A70" s="226">
        <v>23</v>
      </c>
      <c r="B70" s="478" t="s">
        <v>203</v>
      </c>
      <c r="C70" s="480" t="s">
        <v>204</v>
      </c>
      <c r="D70" s="482" t="s">
        <v>205</v>
      </c>
      <c r="E70" s="157"/>
      <c r="F70" s="484" t="s">
        <v>206</v>
      </c>
      <c r="G70" s="485" t="s">
        <v>207</v>
      </c>
      <c r="H70" s="60"/>
      <c r="I70" s="490">
        <v>5678344.2000000002</v>
      </c>
      <c r="J70" s="60"/>
      <c r="K70" s="62"/>
      <c r="L70" s="182">
        <v>3.6249999999999998E-2</v>
      </c>
      <c r="M70" s="64">
        <f>$M$7</f>
        <v>2.5000000000000001E-3</v>
      </c>
      <c r="N70" s="65"/>
      <c r="O70" s="66">
        <v>45348</v>
      </c>
      <c r="P70" s="67"/>
      <c r="Q70" s="68"/>
      <c r="R70" s="69"/>
      <c r="S70" s="105" t="s">
        <v>44</v>
      </c>
      <c r="T70" s="72">
        <v>3976000</v>
      </c>
      <c r="U70" s="72"/>
      <c r="V70" s="72">
        <v>552592</v>
      </c>
      <c r="W70" s="72">
        <v>508856</v>
      </c>
      <c r="X70" s="73"/>
      <c r="Y70" s="73"/>
      <c r="Z70" s="72">
        <v>434960</v>
      </c>
      <c r="AA70" s="72">
        <v>395316</v>
      </c>
      <c r="AB70" s="72">
        <v>363420</v>
      </c>
      <c r="AC70" s="72">
        <v>344336</v>
      </c>
      <c r="AD70" s="72">
        <v>314856</v>
      </c>
      <c r="AE70" s="72">
        <v>305080</v>
      </c>
      <c r="AF70" s="72">
        <v>279984</v>
      </c>
      <c r="AG70" s="72">
        <v>1029192</v>
      </c>
      <c r="AH70" s="227">
        <f t="shared" si="1"/>
        <v>3032184</v>
      </c>
      <c r="AI70" s="75"/>
    </row>
    <row r="71" spans="1:35" s="95" customFormat="1" ht="15.75" hidden="1" outlineLevel="1" thickBot="1" x14ac:dyDescent="0.3">
      <c r="A71" s="228"/>
      <c r="B71" s="479"/>
      <c r="C71" s="481"/>
      <c r="D71" s="483"/>
      <c r="E71" s="81"/>
      <c r="F71" s="481"/>
      <c r="G71" s="481"/>
      <c r="H71" s="83"/>
      <c r="I71" s="491"/>
      <c r="J71" s="120"/>
      <c r="K71" s="121"/>
      <c r="L71" s="86"/>
      <c r="M71" s="79"/>
      <c r="N71" s="79"/>
      <c r="O71" s="87"/>
      <c r="P71" s="85"/>
      <c r="Q71" s="111"/>
      <c r="R71" s="112"/>
      <c r="S71" s="90" t="s">
        <v>46</v>
      </c>
      <c r="T71" s="184"/>
      <c r="U71" s="184"/>
      <c r="V71" s="92">
        <v>6000</v>
      </c>
      <c r="W71" s="92">
        <v>9940</v>
      </c>
      <c r="X71" s="93">
        <v>42392.02</v>
      </c>
      <c r="Y71" s="93">
        <v>29984.080000000002</v>
      </c>
      <c r="Z71" s="92">
        <v>65376.100000000006</v>
      </c>
      <c r="AA71" s="92">
        <f>((SUM(AA70:$AG70))*($L70+$M70))</f>
        <v>117497.13</v>
      </c>
      <c r="AB71" s="92">
        <f>((SUM(AB70:$AG70))*($L70+$M70))</f>
        <v>102178.63499999999</v>
      </c>
      <c r="AC71" s="92">
        <f>((SUM(AC70:$AG70))*($L70+$M70))</f>
        <v>88096.11</v>
      </c>
      <c r="AD71" s="92">
        <f>((SUM(AD70:$AG70))*($L70+$M70))</f>
        <v>74753.09</v>
      </c>
      <c r="AE71" s="92">
        <f>((SUM(AE70:$AG70))*($L70+$M70))</f>
        <v>62552.42</v>
      </c>
      <c r="AF71" s="92">
        <f>((SUM(AF70:$AG70))*($L70+$M70))</f>
        <v>50730.57</v>
      </c>
      <c r="AG71" s="92">
        <f>((SUM(AG70:$AG70))*($L70+$M70))*6</f>
        <v>239287.14</v>
      </c>
      <c r="AH71" s="229">
        <f t="shared" si="1"/>
        <v>735095.09499999997</v>
      </c>
      <c r="AI71" s="75"/>
    </row>
    <row r="72" spans="1:35" s="95" customFormat="1" ht="13.15" hidden="1" customHeight="1" outlineLevel="1" x14ac:dyDescent="0.25">
      <c r="A72" s="226">
        <v>24</v>
      </c>
      <c r="B72" s="492" t="s">
        <v>208</v>
      </c>
      <c r="C72" s="482" t="s">
        <v>209</v>
      </c>
      <c r="D72" s="482" t="s">
        <v>210</v>
      </c>
      <c r="E72" s="157"/>
      <c r="F72" s="494" t="s">
        <v>211</v>
      </c>
      <c r="G72" s="482" t="s">
        <v>212</v>
      </c>
      <c r="H72" s="60"/>
      <c r="I72" s="490">
        <v>2075409</v>
      </c>
      <c r="J72" s="60"/>
      <c r="K72" s="62"/>
      <c r="L72" s="182">
        <v>3.8249999999999999E-2</v>
      </c>
      <c r="M72" s="64">
        <f>$M$7</f>
        <v>2.5000000000000001E-3</v>
      </c>
      <c r="N72" s="65"/>
      <c r="O72" s="66">
        <v>45404</v>
      </c>
      <c r="P72" s="67"/>
      <c r="Q72" s="68"/>
      <c r="R72" s="69"/>
      <c r="S72" s="105" t="s">
        <v>44</v>
      </c>
      <c r="T72" s="72">
        <v>1809890</v>
      </c>
      <c r="U72" s="72"/>
      <c r="V72" s="72">
        <v>265519</v>
      </c>
      <c r="W72" s="72">
        <v>248648</v>
      </c>
      <c r="X72" s="73"/>
      <c r="Y72" s="73"/>
      <c r="Z72" s="72">
        <v>150040</v>
      </c>
      <c r="AA72" s="72">
        <v>128252</v>
      </c>
      <c r="AB72" s="72">
        <v>123200</v>
      </c>
      <c r="AC72" s="72">
        <v>121648</v>
      </c>
      <c r="AD72" s="72">
        <v>117000</v>
      </c>
      <c r="AE72" s="72">
        <v>117000</v>
      </c>
      <c r="AF72" s="72">
        <v>117000</v>
      </c>
      <c r="AG72" s="72">
        <v>687102</v>
      </c>
      <c r="AH72" s="227">
        <f t="shared" si="1"/>
        <v>1411202</v>
      </c>
      <c r="AI72" s="75"/>
    </row>
    <row r="73" spans="1:35" s="95" customFormat="1" ht="15.75" hidden="1" outlineLevel="1" thickBot="1" x14ac:dyDescent="0.3">
      <c r="A73" s="228"/>
      <c r="B73" s="493"/>
      <c r="C73" s="487"/>
      <c r="D73" s="487"/>
      <c r="E73" s="81"/>
      <c r="F73" s="489"/>
      <c r="G73" s="487"/>
      <c r="H73" s="83"/>
      <c r="I73" s="491"/>
      <c r="J73" s="120"/>
      <c r="K73" s="121"/>
      <c r="L73" s="86"/>
      <c r="M73" s="79"/>
      <c r="N73" s="79"/>
      <c r="O73" s="87"/>
      <c r="P73" s="85"/>
      <c r="Q73" s="111"/>
      <c r="R73" s="112"/>
      <c r="S73" s="90" t="s">
        <v>46</v>
      </c>
      <c r="T73" s="184"/>
      <c r="U73" s="184"/>
      <c r="V73" s="92">
        <v>5500</v>
      </c>
      <c r="W73" s="92">
        <v>4524.7250000000004</v>
      </c>
      <c r="X73" s="93">
        <v>13337.62</v>
      </c>
      <c r="Y73" s="93">
        <v>14483.98</v>
      </c>
      <c r="Z73" s="92">
        <v>25821.599999999999</v>
      </c>
      <c r="AA73" s="92">
        <f>((SUM(AA72:$AG72))*($L72+$M72))</f>
        <v>57506.481500000002</v>
      </c>
      <c r="AB73" s="92">
        <f>((SUM(AB72:$AG72))*($L72+$M72))</f>
        <v>52280.212500000001</v>
      </c>
      <c r="AC73" s="92">
        <f>((SUM(AC72:$AG72))*($L72+$M72))</f>
        <v>47259.8125</v>
      </c>
      <c r="AD73" s="92">
        <f>((SUM(AD72:$AG72))*($L72+$M72))</f>
        <v>42302.656500000005</v>
      </c>
      <c r="AE73" s="92">
        <f>((SUM(AE72:$AG72))*($L72+$M72))</f>
        <v>37534.906500000005</v>
      </c>
      <c r="AF73" s="92">
        <f>((SUM(AF72:$AG72))*($L72+$M72))</f>
        <v>32767.156500000001</v>
      </c>
      <c r="AG73" s="92">
        <f>((SUM(AG72:$AG72))*($L72+$M72))*8.5</f>
        <v>237994.95525</v>
      </c>
      <c r="AH73" s="229">
        <f t="shared" si="1"/>
        <v>507646.18125000002</v>
      </c>
      <c r="AI73" s="75"/>
    </row>
    <row r="74" spans="1:35" s="95" customFormat="1" ht="13.15" hidden="1" customHeight="1" outlineLevel="1" x14ac:dyDescent="0.25">
      <c r="A74" s="226">
        <v>25</v>
      </c>
      <c r="B74" s="478" t="s">
        <v>213</v>
      </c>
      <c r="C74" s="482" t="s">
        <v>214</v>
      </c>
      <c r="D74" s="482" t="s">
        <v>215</v>
      </c>
      <c r="E74" s="157"/>
      <c r="F74" s="488" t="s">
        <v>216</v>
      </c>
      <c r="G74" s="480" t="s">
        <v>217</v>
      </c>
      <c r="H74" s="60"/>
      <c r="I74" s="490">
        <v>484935.32</v>
      </c>
      <c r="J74" s="60"/>
      <c r="K74" s="62"/>
      <c r="L74" s="182">
        <v>3.363E-2</v>
      </c>
      <c r="M74" s="64">
        <f>$M$7</f>
        <v>2.5000000000000001E-3</v>
      </c>
      <c r="N74" s="65"/>
      <c r="O74" s="66">
        <v>45321</v>
      </c>
      <c r="P74" s="67"/>
      <c r="Q74" s="68"/>
      <c r="R74" s="69"/>
      <c r="S74" s="105" t="s">
        <v>44</v>
      </c>
      <c r="T74" s="72">
        <v>330070</v>
      </c>
      <c r="U74" s="72"/>
      <c r="V74" s="72">
        <v>20312</v>
      </c>
      <c r="W74" s="72">
        <v>20312</v>
      </c>
      <c r="X74" s="73"/>
      <c r="Y74" s="73"/>
      <c r="Z74" s="72">
        <v>20312</v>
      </c>
      <c r="AA74" s="72">
        <v>20312</v>
      </c>
      <c r="AB74" s="72">
        <v>20312</v>
      </c>
      <c r="AC74" s="72">
        <v>20312</v>
      </c>
      <c r="AD74" s="72">
        <v>20312</v>
      </c>
      <c r="AE74" s="72">
        <v>20312</v>
      </c>
      <c r="AF74" s="72">
        <v>20312</v>
      </c>
      <c r="AG74" s="72">
        <v>167574</v>
      </c>
      <c r="AH74" s="227">
        <f t="shared" ref="AH74:AH137" si="2">SUM(AA74:AG74)</f>
        <v>289446</v>
      </c>
      <c r="AI74" s="75"/>
    </row>
    <row r="75" spans="1:35" s="95" customFormat="1" ht="15.75" hidden="1" outlineLevel="1" thickBot="1" x14ac:dyDescent="0.3">
      <c r="A75" s="228"/>
      <c r="B75" s="486"/>
      <c r="C75" s="487"/>
      <c r="D75" s="487"/>
      <c r="E75" s="81"/>
      <c r="F75" s="489"/>
      <c r="G75" s="481"/>
      <c r="H75" s="83"/>
      <c r="I75" s="491"/>
      <c r="J75" s="120"/>
      <c r="K75" s="121"/>
      <c r="L75" s="86"/>
      <c r="M75" s="79"/>
      <c r="N75" s="79"/>
      <c r="O75" s="87"/>
      <c r="P75" s="85"/>
      <c r="Q75" s="111"/>
      <c r="R75" s="112"/>
      <c r="S75" s="90" t="s">
        <v>46</v>
      </c>
      <c r="T75" s="184"/>
      <c r="U75" s="184"/>
      <c r="V75" s="92">
        <v>1000</v>
      </c>
      <c r="W75" s="92">
        <v>841.6785000000001</v>
      </c>
      <c r="X75" s="93">
        <v>4344.29</v>
      </c>
      <c r="Y75" s="93">
        <v>2569.66</v>
      </c>
      <c r="Z75" s="92">
        <v>6913.95</v>
      </c>
      <c r="AA75" s="92">
        <f>((SUM(AA74:$AG74))*($L74+$M74))</f>
        <v>10457.68398</v>
      </c>
      <c r="AB75" s="92">
        <f>((SUM(AB74:$AG74))*($L74+$M74))</f>
        <v>9723.81142</v>
      </c>
      <c r="AC75" s="92">
        <f>((SUM(AC74:$AG74))*($L74+$M74))</f>
        <v>8989.9388600000002</v>
      </c>
      <c r="AD75" s="92">
        <f>((SUM(AD74:$AG74))*($L74+$M74))</f>
        <v>8256.0663000000004</v>
      </c>
      <c r="AE75" s="92">
        <f>((SUM(AE74:$AG74))*($L74+$M74))</f>
        <v>7522.1937400000006</v>
      </c>
      <c r="AF75" s="92">
        <f>((SUM(AF74:$AG74))*($L74+$M74))</f>
        <v>6788.3211800000008</v>
      </c>
      <c r="AG75" s="92">
        <f>((SUM(AG74:$AG74))*($L74+$M74))*8.3</f>
        <v>50251.923546000005</v>
      </c>
      <c r="AH75" s="229">
        <f t="shared" si="2"/>
        <v>101989.93902600001</v>
      </c>
      <c r="AI75" s="75"/>
    </row>
    <row r="76" spans="1:35" s="95" customFormat="1" ht="13.15" hidden="1" customHeight="1" outlineLevel="1" x14ac:dyDescent="0.25">
      <c r="A76" s="226">
        <v>26</v>
      </c>
      <c r="B76" s="478" t="s">
        <v>218</v>
      </c>
      <c r="C76" s="482" t="s">
        <v>219</v>
      </c>
      <c r="D76" s="482" t="s">
        <v>220</v>
      </c>
      <c r="E76" s="157"/>
      <c r="F76" s="488" t="s">
        <v>221</v>
      </c>
      <c r="G76" s="480" t="s">
        <v>222</v>
      </c>
      <c r="H76" s="60"/>
      <c r="I76" s="490">
        <v>55899</v>
      </c>
      <c r="J76" s="60"/>
      <c r="K76" s="62"/>
      <c r="L76" s="182">
        <v>3.807E-2</v>
      </c>
      <c r="M76" s="64">
        <f>$M$7</f>
        <v>2.5000000000000001E-3</v>
      </c>
      <c r="N76" s="65"/>
      <c r="O76" s="66">
        <v>45436</v>
      </c>
      <c r="P76" s="67"/>
      <c r="Q76" s="68"/>
      <c r="R76" s="69"/>
      <c r="S76" s="105" t="s">
        <v>44</v>
      </c>
      <c r="T76" s="72">
        <v>31304</v>
      </c>
      <c r="U76" s="72"/>
      <c r="V76" s="72">
        <v>8944</v>
      </c>
      <c r="W76" s="72">
        <v>8944</v>
      </c>
      <c r="X76" s="73"/>
      <c r="Y76" s="73"/>
      <c r="Z76" s="72">
        <v>8944</v>
      </c>
      <c r="AA76" s="72">
        <v>8944</v>
      </c>
      <c r="AB76" s="72">
        <v>4472</v>
      </c>
      <c r="AC76" s="116">
        <v>0</v>
      </c>
      <c r="AD76" s="116">
        <v>0</v>
      </c>
      <c r="AE76" s="116">
        <v>0</v>
      </c>
      <c r="AF76" s="116">
        <v>0</v>
      </c>
      <c r="AG76" s="116">
        <v>0</v>
      </c>
      <c r="AH76" s="227">
        <f t="shared" si="2"/>
        <v>13416</v>
      </c>
      <c r="AI76" s="75"/>
    </row>
    <row r="77" spans="1:35" s="95" customFormat="1" ht="15.75" hidden="1" outlineLevel="1" thickBot="1" x14ac:dyDescent="0.3">
      <c r="A77" s="228"/>
      <c r="B77" s="486"/>
      <c r="C77" s="487"/>
      <c r="D77" s="487"/>
      <c r="E77" s="81"/>
      <c r="F77" s="489"/>
      <c r="G77" s="481"/>
      <c r="H77" s="83"/>
      <c r="I77" s="491"/>
      <c r="J77" s="120"/>
      <c r="K77" s="121"/>
      <c r="L77" s="86"/>
      <c r="M77" s="79"/>
      <c r="N77" s="79"/>
      <c r="O77" s="87"/>
      <c r="P77" s="85"/>
      <c r="Q77" s="111"/>
      <c r="R77" s="112"/>
      <c r="S77" s="90" t="s">
        <v>46</v>
      </c>
      <c r="T77" s="184"/>
      <c r="U77" s="184"/>
      <c r="V77" s="92">
        <v>120</v>
      </c>
      <c r="W77" s="92">
        <v>79.825200000000009</v>
      </c>
      <c r="X77" s="93">
        <v>165.95999999999998</v>
      </c>
      <c r="Y77" s="93">
        <v>171.43</v>
      </c>
      <c r="Z77" s="92">
        <v>337.39</v>
      </c>
      <c r="AA77" s="92">
        <f>((SUM(AA76:$AG76))*($L76+$M76))</f>
        <v>544.28712000000007</v>
      </c>
      <c r="AB77" s="92">
        <f>((SUM(AB76:$AG76))*($L76+$M76))</f>
        <v>181.42904000000001</v>
      </c>
      <c r="AC77" s="122">
        <f>((SUM(AC76:$AG76))*($L76+$M76))</f>
        <v>0</v>
      </c>
      <c r="AD77" s="122">
        <f>((SUM(AD76:$AG76))*($L76+$M76))</f>
        <v>0</v>
      </c>
      <c r="AE77" s="122">
        <f>((SUM(AE76:$AG76))*($L76+$M76))</f>
        <v>0</v>
      </c>
      <c r="AF77" s="122">
        <f>((SUM(AF76:$AG76))*($L76+$M76))</f>
        <v>0</v>
      </c>
      <c r="AG77" s="122">
        <f>((SUM(AG76:$AG76))*($L76+$M76))</f>
        <v>0</v>
      </c>
      <c r="AH77" s="229">
        <f t="shared" si="2"/>
        <v>725.71616000000006</v>
      </c>
      <c r="AI77" s="75"/>
    </row>
    <row r="78" spans="1:35" s="95" customFormat="1" ht="13.15" hidden="1" customHeight="1" outlineLevel="1" x14ac:dyDescent="0.25">
      <c r="A78" s="226">
        <v>27</v>
      </c>
      <c r="B78" s="478" t="s">
        <v>223</v>
      </c>
      <c r="C78" s="482" t="s">
        <v>224</v>
      </c>
      <c r="D78" s="482" t="s">
        <v>225</v>
      </c>
      <c r="E78" s="157"/>
      <c r="F78" s="480" t="s">
        <v>221</v>
      </c>
      <c r="G78" s="480" t="s">
        <v>226</v>
      </c>
      <c r="H78" s="60"/>
      <c r="I78" s="496">
        <v>8518.4</v>
      </c>
      <c r="J78" s="60"/>
      <c r="K78" s="62"/>
      <c r="L78" s="182">
        <v>0</v>
      </c>
      <c r="M78" s="64">
        <f>$M$7</f>
        <v>2.5000000000000001E-3</v>
      </c>
      <c r="N78" s="65"/>
      <c r="O78" s="174"/>
      <c r="P78" s="67"/>
      <c r="Q78" s="68"/>
      <c r="R78" s="69"/>
      <c r="S78" s="105" t="s">
        <v>44</v>
      </c>
      <c r="T78" s="72">
        <v>2844</v>
      </c>
      <c r="U78" s="72"/>
      <c r="V78" s="72">
        <v>1896</v>
      </c>
      <c r="W78" s="72">
        <v>1896</v>
      </c>
      <c r="X78" s="73"/>
      <c r="Y78" s="73"/>
      <c r="Z78" s="72">
        <v>948</v>
      </c>
      <c r="AA78" s="116">
        <v>0</v>
      </c>
      <c r="AB78" s="116">
        <v>0</v>
      </c>
      <c r="AC78" s="116">
        <v>0</v>
      </c>
      <c r="AD78" s="116">
        <v>0</v>
      </c>
      <c r="AE78" s="116">
        <v>0</v>
      </c>
      <c r="AF78" s="116">
        <v>0</v>
      </c>
      <c r="AG78" s="116">
        <v>0</v>
      </c>
      <c r="AH78" s="227">
        <f t="shared" si="2"/>
        <v>0</v>
      </c>
      <c r="AI78" s="75"/>
    </row>
    <row r="79" spans="1:35" s="95" customFormat="1" ht="15.75" hidden="1" outlineLevel="1" thickBot="1" x14ac:dyDescent="0.3">
      <c r="A79" s="228"/>
      <c r="B79" s="495"/>
      <c r="C79" s="487"/>
      <c r="D79" s="487"/>
      <c r="E79" s="81"/>
      <c r="F79" s="483"/>
      <c r="G79" s="481"/>
      <c r="H79" s="83"/>
      <c r="I79" s="497"/>
      <c r="J79" s="120"/>
      <c r="K79" s="121"/>
      <c r="L79" s="86"/>
      <c r="M79" s="79"/>
      <c r="N79" s="79"/>
      <c r="O79" s="87"/>
      <c r="P79" s="85"/>
      <c r="Q79" s="111"/>
      <c r="R79" s="112"/>
      <c r="S79" s="90" t="s">
        <v>46</v>
      </c>
      <c r="T79" s="184"/>
      <c r="U79" s="184"/>
      <c r="V79" s="92">
        <v>125</v>
      </c>
      <c r="W79" s="92">
        <v>7.2522000000000002</v>
      </c>
      <c r="X79" s="93">
        <v>3.7900000000000005</v>
      </c>
      <c r="Y79" s="93"/>
      <c r="Z79" s="92">
        <v>3.7900000000000005</v>
      </c>
      <c r="AA79" s="122">
        <f>((SUM(AA78:$AG78))*($L78+$M78))</f>
        <v>0</v>
      </c>
      <c r="AB79" s="122">
        <f>((SUM(AB78:$AG78))*($L78+$M78))</f>
        <v>0</v>
      </c>
      <c r="AC79" s="122">
        <f>((SUM(AC78:$AG78))*($L78+$M78))</f>
        <v>0</v>
      </c>
      <c r="AD79" s="122">
        <f>((SUM(AD78:$AG78))*($L78+$M78))</f>
        <v>0</v>
      </c>
      <c r="AE79" s="122">
        <f>((SUM(AE78:$AG78))*($L78+$M78))</f>
        <v>0</v>
      </c>
      <c r="AF79" s="122">
        <f>((SUM(AF78:$AG78))*($L78+$M78))</f>
        <v>0</v>
      </c>
      <c r="AG79" s="122">
        <f>((SUM(AG78:$AG78))*($L78+$M78))</f>
        <v>0</v>
      </c>
      <c r="AH79" s="229">
        <f t="shared" si="2"/>
        <v>0</v>
      </c>
      <c r="AI79" s="75"/>
    </row>
    <row r="80" spans="1:35" s="95" customFormat="1" ht="13.15" hidden="1" customHeight="1" outlineLevel="1" x14ac:dyDescent="0.25">
      <c r="A80" s="226">
        <v>28</v>
      </c>
      <c r="B80" s="478" t="s">
        <v>227</v>
      </c>
      <c r="C80" s="482" t="s">
        <v>228</v>
      </c>
      <c r="D80" s="482" t="s">
        <v>229</v>
      </c>
      <c r="E80" s="157"/>
      <c r="F80" s="488" t="s">
        <v>221</v>
      </c>
      <c r="G80" s="480" t="s">
        <v>230</v>
      </c>
      <c r="H80" s="60"/>
      <c r="I80" s="490">
        <v>238897.15</v>
      </c>
      <c r="J80" s="60"/>
      <c r="K80" s="62"/>
      <c r="L80" s="182">
        <v>3.807E-2</v>
      </c>
      <c r="M80" s="64">
        <f>$M$7</f>
        <v>2.5000000000000001E-3</v>
      </c>
      <c r="N80" s="65"/>
      <c r="O80" s="66">
        <v>45436</v>
      </c>
      <c r="P80" s="67"/>
      <c r="Q80" s="68"/>
      <c r="R80" s="69"/>
      <c r="S80" s="105" t="s">
        <v>44</v>
      </c>
      <c r="T80" s="72">
        <v>174900</v>
      </c>
      <c r="U80" s="72"/>
      <c r="V80" s="72">
        <v>10600</v>
      </c>
      <c r="W80" s="72">
        <v>10600</v>
      </c>
      <c r="X80" s="73"/>
      <c r="Y80" s="73"/>
      <c r="Z80" s="72">
        <v>10600</v>
      </c>
      <c r="AA80" s="72">
        <v>10600</v>
      </c>
      <c r="AB80" s="72">
        <v>10600</v>
      </c>
      <c r="AC80" s="72">
        <v>10600</v>
      </c>
      <c r="AD80" s="72">
        <v>10600</v>
      </c>
      <c r="AE80" s="72">
        <v>10600</v>
      </c>
      <c r="AF80" s="72">
        <v>10600</v>
      </c>
      <c r="AG80" s="72">
        <v>90100</v>
      </c>
      <c r="AH80" s="227">
        <f t="shared" si="2"/>
        <v>153700</v>
      </c>
      <c r="AI80" s="75"/>
    </row>
    <row r="81" spans="1:35" s="95" customFormat="1" ht="15.75" hidden="1" outlineLevel="1" thickBot="1" x14ac:dyDescent="0.3">
      <c r="A81" s="228"/>
      <c r="B81" s="486"/>
      <c r="C81" s="487"/>
      <c r="D81" s="487"/>
      <c r="E81" s="81"/>
      <c r="F81" s="489"/>
      <c r="G81" s="481"/>
      <c r="H81" s="83"/>
      <c r="I81" s="491"/>
      <c r="J81" s="120"/>
      <c r="K81" s="121"/>
      <c r="L81" s="86"/>
      <c r="M81" s="79"/>
      <c r="N81" s="79"/>
      <c r="O81" s="87"/>
      <c r="P81" s="85"/>
      <c r="Q81" s="111"/>
      <c r="R81" s="112"/>
      <c r="S81" s="90" t="s">
        <v>46</v>
      </c>
      <c r="T81" s="184"/>
      <c r="U81" s="184"/>
      <c r="V81" s="92">
        <v>1000</v>
      </c>
      <c r="W81" s="92">
        <v>445.995</v>
      </c>
      <c r="X81" s="93">
        <v>1287.47</v>
      </c>
      <c r="Y81" s="93">
        <v>1543.82</v>
      </c>
      <c r="Z81" s="92">
        <v>2831.29</v>
      </c>
      <c r="AA81" s="92">
        <f>((SUM(AA80:$AG80))*($L80+$M80))</f>
        <v>6235.6090000000004</v>
      </c>
      <c r="AB81" s="92">
        <f>((SUM(AB80:$AG80))*($L80+$M80))</f>
        <v>5805.567</v>
      </c>
      <c r="AC81" s="92">
        <f>((SUM(AC80:$AG80))*($L80+$M80))</f>
        <v>5375.5250000000005</v>
      </c>
      <c r="AD81" s="92">
        <f>((SUM(AD80:$AG80))*($L80+$M80))</f>
        <v>4945.4830000000002</v>
      </c>
      <c r="AE81" s="92">
        <f>((SUM(AE80:$AG80))*($L80+$M80))</f>
        <v>4515.4409999999998</v>
      </c>
      <c r="AF81" s="92">
        <f>((SUM(AF80:$AG80))*($L80+$M80))</f>
        <v>4085.3990000000003</v>
      </c>
      <c r="AG81" s="92">
        <f>((SUM(AG80:$AG80))*($L80+$M80))*8.5</f>
        <v>31070.534500000002</v>
      </c>
      <c r="AH81" s="229">
        <f t="shared" si="2"/>
        <v>62033.558499999999</v>
      </c>
      <c r="AI81" s="75"/>
    </row>
    <row r="82" spans="1:35" s="95" customFormat="1" ht="13.15" hidden="1" customHeight="1" outlineLevel="1" x14ac:dyDescent="0.25">
      <c r="A82" s="226">
        <v>29</v>
      </c>
      <c r="B82" s="478" t="s">
        <v>231</v>
      </c>
      <c r="C82" s="482" t="s">
        <v>232</v>
      </c>
      <c r="D82" s="482" t="s">
        <v>233</v>
      </c>
      <c r="E82" s="157"/>
      <c r="F82" s="488" t="s">
        <v>221</v>
      </c>
      <c r="G82" s="480" t="s">
        <v>234</v>
      </c>
      <c r="H82" s="60"/>
      <c r="I82" s="490">
        <v>49472</v>
      </c>
      <c r="J82" s="60"/>
      <c r="K82" s="62"/>
      <c r="L82" s="182">
        <v>3.807E-2</v>
      </c>
      <c r="M82" s="64">
        <f>$M$7</f>
        <v>2.5000000000000001E-3</v>
      </c>
      <c r="N82" s="65"/>
      <c r="O82" s="66">
        <v>45436</v>
      </c>
      <c r="P82" s="67"/>
      <c r="Q82" s="68"/>
      <c r="R82" s="69"/>
      <c r="S82" s="105" t="s">
        <v>44</v>
      </c>
      <c r="T82" s="72">
        <v>39928</v>
      </c>
      <c r="U82" s="72"/>
      <c r="V82" s="72">
        <v>3472</v>
      </c>
      <c r="W82" s="72">
        <v>3472</v>
      </c>
      <c r="X82" s="73"/>
      <c r="Y82" s="73"/>
      <c r="Z82" s="72">
        <v>3472</v>
      </c>
      <c r="AA82" s="72">
        <v>3472</v>
      </c>
      <c r="AB82" s="72">
        <v>3472</v>
      </c>
      <c r="AC82" s="72">
        <v>3472</v>
      </c>
      <c r="AD82" s="72">
        <v>3472</v>
      </c>
      <c r="AE82" s="72">
        <v>3472</v>
      </c>
      <c r="AF82" s="72">
        <v>3472</v>
      </c>
      <c r="AG82" s="72">
        <v>12152</v>
      </c>
      <c r="AH82" s="227">
        <f t="shared" si="2"/>
        <v>32984</v>
      </c>
      <c r="AI82" s="75"/>
    </row>
    <row r="83" spans="1:35" s="95" customFormat="1" ht="15.75" hidden="1" outlineLevel="1" thickBot="1" x14ac:dyDescent="0.3">
      <c r="A83" s="228"/>
      <c r="B83" s="486"/>
      <c r="C83" s="487"/>
      <c r="D83" s="487"/>
      <c r="E83" s="81"/>
      <c r="F83" s="489"/>
      <c r="G83" s="481"/>
      <c r="H83" s="83"/>
      <c r="I83" s="491"/>
      <c r="J83" s="120"/>
      <c r="K83" s="121"/>
      <c r="L83" s="86"/>
      <c r="M83" s="79"/>
      <c r="N83" s="79"/>
      <c r="O83" s="87"/>
      <c r="P83" s="85"/>
      <c r="Q83" s="111"/>
      <c r="R83" s="112"/>
      <c r="S83" s="90" t="s">
        <v>46</v>
      </c>
      <c r="T83" s="184"/>
      <c r="U83" s="184"/>
      <c r="V83" s="92">
        <v>125</v>
      </c>
      <c r="W83" s="92">
        <v>101.8164</v>
      </c>
      <c r="X83" s="93">
        <v>121.18</v>
      </c>
      <c r="Y83" s="93">
        <v>143.56</v>
      </c>
      <c r="Z83" s="92">
        <v>264.74</v>
      </c>
      <c r="AA83" s="92">
        <f>((SUM(AA82:$AG82))*($L82+$M82))</f>
        <v>1338.1608800000001</v>
      </c>
      <c r="AB83" s="92">
        <f>((SUM(AB82:$AG82))*($L82+$M82))</f>
        <v>1197.3018400000001</v>
      </c>
      <c r="AC83" s="92">
        <f>((SUM(AC82:$AG82))*($L82+$M82))</f>
        <v>1056.4428</v>
      </c>
      <c r="AD83" s="92">
        <f>((SUM(AD82:$AG82))*($L82+$M82))</f>
        <v>915.5837600000001</v>
      </c>
      <c r="AE83" s="92">
        <f>((SUM(AE82:$AG82))*($L82+$M82))</f>
        <v>774.72472000000005</v>
      </c>
      <c r="AF83" s="92">
        <f>((SUM(AF82:$AG82))*($L82+$M82))</f>
        <v>633.86568</v>
      </c>
      <c r="AG83" s="92">
        <f>((SUM(AG82:$AG82))*($L82+$M82))*3.5</f>
        <v>1725.52324</v>
      </c>
      <c r="AH83" s="229">
        <f t="shared" si="2"/>
        <v>7641.6029200000012</v>
      </c>
      <c r="AI83" s="75"/>
    </row>
    <row r="84" spans="1:35" s="95" customFormat="1" ht="13.15" hidden="1" customHeight="1" outlineLevel="1" x14ac:dyDescent="0.25">
      <c r="A84" s="226">
        <v>30</v>
      </c>
      <c r="B84" s="478" t="s">
        <v>235</v>
      </c>
      <c r="C84" s="482" t="s">
        <v>236</v>
      </c>
      <c r="D84" s="482" t="s">
        <v>237</v>
      </c>
      <c r="E84" s="157"/>
      <c r="F84" s="488" t="s">
        <v>221</v>
      </c>
      <c r="G84" s="480" t="s">
        <v>230</v>
      </c>
      <c r="H84" s="60"/>
      <c r="I84" s="490">
        <v>278611.39</v>
      </c>
      <c r="J84" s="60"/>
      <c r="K84" s="62"/>
      <c r="L84" s="182">
        <v>3.807E-2</v>
      </c>
      <c r="M84" s="64">
        <f>$M$7</f>
        <v>2.5000000000000001E-3</v>
      </c>
      <c r="N84" s="65"/>
      <c r="O84" s="66">
        <v>45436</v>
      </c>
      <c r="P84" s="67"/>
      <c r="Q84" s="68"/>
      <c r="R84" s="69"/>
      <c r="S84" s="105" t="s">
        <v>44</v>
      </c>
      <c r="T84" s="72">
        <v>238854</v>
      </c>
      <c r="U84" s="72"/>
      <c r="V84" s="72">
        <v>14476</v>
      </c>
      <c r="W84" s="72">
        <v>14476</v>
      </c>
      <c r="X84" s="73"/>
      <c r="Y84" s="73"/>
      <c r="Z84" s="72">
        <v>14476</v>
      </c>
      <c r="AA84" s="72">
        <v>14476</v>
      </c>
      <c r="AB84" s="72">
        <v>14476</v>
      </c>
      <c r="AC84" s="72">
        <v>14476</v>
      </c>
      <c r="AD84" s="72">
        <v>14476</v>
      </c>
      <c r="AE84" s="72">
        <v>14476</v>
      </c>
      <c r="AF84" s="72">
        <v>14476</v>
      </c>
      <c r="AG84" s="72">
        <v>123046</v>
      </c>
      <c r="AH84" s="227">
        <f t="shared" si="2"/>
        <v>209902</v>
      </c>
      <c r="AI84" s="75"/>
    </row>
    <row r="85" spans="1:35" s="95" customFormat="1" ht="15.75" hidden="1" outlineLevel="1" thickBot="1" x14ac:dyDescent="0.3">
      <c r="A85" s="228"/>
      <c r="B85" s="486"/>
      <c r="C85" s="487"/>
      <c r="D85" s="487"/>
      <c r="E85" s="81"/>
      <c r="F85" s="489"/>
      <c r="G85" s="481"/>
      <c r="H85" s="83"/>
      <c r="I85" s="491"/>
      <c r="J85" s="120"/>
      <c r="K85" s="121"/>
      <c r="L85" s="86"/>
      <c r="M85" s="79"/>
      <c r="N85" s="79"/>
      <c r="O85" s="87"/>
      <c r="P85" s="85"/>
      <c r="Q85" s="111"/>
      <c r="R85" s="112"/>
      <c r="S85" s="90" t="s">
        <v>46</v>
      </c>
      <c r="T85" s="184"/>
      <c r="U85" s="184"/>
      <c r="V85" s="92">
        <v>120</v>
      </c>
      <c r="W85" s="92">
        <v>609.07770000000005</v>
      </c>
      <c r="X85" s="93">
        <v>1758.23</v>
      </c>
      <c r="Y85" s="93">
        <v>2108.35</v>
      </c>
      <c r="Z85" s="92">
        <v>3866.58</v>
      </c>
      <c r="AA85" s="92">
        <f>((SUM(AA84:$AG84))*($L84+$M84))</f>
        <v>8515.7241400000003</v>
      </c>
      <c r="AB85" s="92">
        <f>((SUM(AB84:$AG84))*($L84+$M84))</f>
        <v>7928.43282</v>
      </c>
      <c r="AC85" s="92">
        <f>((SUM(AC84:$AG84))*($L84+$M84))</f>
        <v>7341.1415000000006</v>
      </c>
      <c r="AD85" s="92">
        <f>((SUM(AD84:$AG84))*($L84+$M84))</f>
        <v>6753.8501800000004</v>
      </c>
      <c r="AE85" s="92">
        <f>((SUM(AE84:$AG84))*($L84+$M84))</f>
        <v>6166.5588600000001</v>
      </c>
      <c r="AF85" s="92">
        <f>((SUM(AF84:$AG84))*($L84+$M84))</f>
        <v>5579.2675399999998</v>
      </c>
      <c r="AG85" s="92">
        <f>((SUM(AG84:$AG84))*($L84+$M84))*8.5</f>
        <v>42431.797870000002</v>
      </c>
      <c r="AH85" s="229">
        <f t="shared" si="2"/>
        <v>84716.77291</v>
      </c>
      <c r="AI85" s="75"/>
    </row>
    <row r="86" spans="1:35" s="95" customFormat="1" ht="13.15" hidden="1" customHeight="1" outlineLevel="1" x14ac:dyDescent="0.25">
      <c r="A86" s="226">
        <v>31</v>
      </c>
      <c r="B86" s="478" t="s">
        <v>238</v>
      </c>
      <c r="C86" s="482" t="s">
        <v>239</v>
      </c>
      <c r="D86" s="482" t="s">
        <v>240</v>
      </c>
      <c r="E86" s="157"/>
      <c r="F86" s="488" t="s">
        <v>241</v>
      </c>
      <c r="G86" s="480" t="s">
        <v>242</v>
      </c>
      <c r="H86" s="60"/>
      <c r="I86" s="490">
        <v>34291</v>
      </c>
      <c r="J86" s="60"/>
      <c r="K86" s="62"/>
      <c r="L86" s="182">
        <v>1.107E-2</v>
      </c>
      <c r="M86" s="64">
        <f>$M$7</f>
        <v>2.5000000000000001E-3</v>
      </c>
      <c r="N86" s="65"/>
      <c r="O86" s="66">
        <v>45484</v>
      </c>
      <c r="P86" s="67"/>
      <c r="Q86" s="68"/>
      <c r="R86" s="69"/>
      <c r="S86" s="105" t="s">
        <v>44</v>
      </c>
      <c r="T86" s="72">
        <v>23266</v>
      </c>
      <c r="U86" s="72"/>
      <c r="V86" s="72">
        <v>3684</v>
      </c>
      <c r="W86" s="72">
        <v>3684</v>
      </c>
      <c r="X86" s="73"/>
      <c r="Y86" s="73"/>
      <c r="Z86" s="72">
        <v>3616</v>
      </c>
      <c r="AA86" s="72">
        <v>3548</v>
      </c>
      <c r="AB86" s="72">
        <v>3548</v>
      </c>
      <c r="AC86" s="72">
        <v>3548</v>
      </c>
      <c r="AD86" s="72">
        <v>3548</v>
      </c>
      <c r="AE86" s="72">
        <v>1774</v>
      </c>
      <c r="AF86" s="116">
        <v>0</v>
      </c>
      <c r="AG86" s="116">
        <v>0</v>
      </c>
      <c r="AH86" s="227">
        <f t="shared" si="2"/>
        <v>15966</v>
      </c>
      <c r="AI86" s="75"/>
    </row>
    <row r="87" spans="1:35" s="95" customFormat="1" ht="15.75" hidden="1" outlineLevel="1" thickBot="1" x14ac:dyDescent="0.3">
      <c r="A87" s="228"/>
      <c r="B87" s="486"/>
      <c r="C87" s="487"/>
      <c r="D87" s="487"/>
      <c r="E87" s="81"/>
      <c r="F87" s="489"/>
      <c r="G87" s="481"/>
      <c r="H87" s="83"/>
      <c r="I87" s="491"/>
      <c r="J87" s="120"/>
      <c r="K87" s="121"/>
      <c r="L87" s="86"/>
      <c r="M87" s="79"/>
      <c r="N87" s="79"/>
      <c r="O87" s="87"/>
      <c r="P87" s="85"/>
      <c r="Q87" s="111"/>
      <c r="R87" s="112"/>
      <c r="S87" s="90" t="s">
        <v>46</v>
      </c>
      <c r="T87" s="184"/>
      <c r="U87" s="184"/>
      <c r="V87" s="92">
        <v>250</v>
      </c>
      <c r="W87" s="92">
        <v>59.328300000000006</v>
      </c>
      <c r="X87" s="93">
        <v>163.44</v>
      </c>
      <c r="Y87" s="93">
        <v>172.63</v>
      </c>
      <c r="Z87" s="92">
        <v>336.07</v>
      </c>
      <c r="AA87" s="92">
        <f>((SUM(AA86:$AG86))*($L86+$M86))</f>
        <v>216.65862000000001</v>
      </c>
      <c r="AB87" s="92">
        <f>((SUM(AB86:$AG86))*($L86+$M86))</f>
        <v>168.51226</v>
      </c>
      <c r="AC87" s="92">
        <f>((SUM(AC86:$AG86))*($L86+$M86))</f>
        <v>120.36590000000001</v>
      </c>
      <c r="AD87" s="92">
        <f>((SUM(AD86:$AG86))*($L86+$M86))</f>
        <v>72.219540000000009</v>
      </c>
      <c r="AE87" s="92">
        <f>((SUM(AE86:$AG86))*($L86+$M86))</f>
        <v>24.073180000000001</v>
      </c>
      <c r="AF87" s="122">
        <f>((SUM(AF86:$AG86))*($L86+$M86))</f>
        <v>0</v>
      </c>
      <c r="AG87" s="122">
        <f>((SUM(AG86:$AG86))*($L86+$M86))</f>
        <v>0</v>
      </c>
      <c r="AH87" s="229">
        <f t="shared" si="2"/>
        <v>601.82950000000005</v>
      </c>
      <c r="AI87" s="75"/>
    </row>
    <row r="88" spans="1:35" s="95" customFormat="1" ht="13.15" hidden="1" customHeight="1" outlineLevel="1" x14ac:dyDescent="0.25">
      <c r="A88" s="226">
        <v>32</v>
      </c>
      <c r="B88" s="478" t="s">
        <v>243</v>
      </c>
      <c r="C88" s="482" t="s">
        <v>244</v>
      </c>
      <c r="D88" s="482" t="s">
        <v>245</v>
      </c>
      <c r="E88" s="157"/>
      <c r="F88" s="488" t="s">
        <v>246</v>
      </c>
      <c r="G88" s="480" t="s">
        <v>247</v>
      </c>
      <c r="H88" s="60"/>
      <c r="I88" s="490">
        <v>3496295</v>
      </c>
      <c r="J88" s="60"/>
      <c r="K88" s="62"/>
      <c r="L88" s="182">
        <v>4.1140000000000003E-2</v>
      </c>
      <c r="M88" s="64">
        <f>$M$7</f>
        <v>2.5000000000000001E-3</v>
      </c>
      <c r="N88" s="65"/>
      <c r="O88" s="66">
        <v>45505</v>
      </c>
      <c r="P88" s="67"/>
      <c r="Q88" s="68"/>
      <c r="R88" s="69"/>
      <c r="S88" s="105" t="s">
        <v>44</v>
      </c>
      <c r="T88" s="72">
        <v>3370393</v>
      </c>
      <c r="U88" s="72"/>
      <c r="V88" s="72">
        <v>125902</v>
      </c>
      <c r="W88" s="72">
        <v>125996</v>
      </c>
      <c r="X88" s="73"/>
      <c r="Y88" s="73"/>
      <c r="Z88" s="72">
        <v>125996</v>
      </c>
      <c r="AA88" s="72">
        <v>125996</v>
      </c>
      <c r="AB88" s="72">
        <v>125996</v>
      </c>
      <c r="AC88" s="72">
        <v>125996</v>
      </c>
      <c r="AD88" s="72">
        <v>125996</v>
      </c>
      <c r="AE88" s="72">
        <v>125996</v>
      </c>
      <c r="AF88" s="72">
        <v>125996</v>
      </c>
      <c r="AG88" s="72">
        <v>2362425</v>
      </c>
      <c r="AH88" s="227">
        <f t="shared" si="2"/>
        <v>3118401</v>
      </c>
      <c r="AI88" s="75"/>
    </row>
    <row r="89" spans="1:35" s="95" customFormat="1" ht="15.75" hidden="1" outlineLevel="1" thickBot="1" x14ac:dyDescent="0.3">
      <c r="A89" s="228"/>
      <c r="B89" s="486"/>
      <c r="C89" s="487"/>
      <c r="D89" s="487"/>
      <c r="E89" s="81"/>
      <c r="F89" s="489"/>
      <c r="G89" s="481"/>
      <c r="H89" s="83"/>
      <c r="I89" s="491"/>
      <c r="J89" s="120"/>
      <c r="K89" s="121"/>
      <c r="L89" s="86"/>
      <c r="M89" s="79"/>
      <c r="N89" s="79"/>
      <c r="O89" s="87"/>
      <c r="P89" s="85"/>
      <c r="Q89" s="111"/>
      <c r="R89" s="112"/>
      <c r="S89" s="90" t="s">
        <v>46</v>
      </c>
      <c r="T89" s="184"/>
      <c r="U89" s="184"/>
      <c r="V89" s="92">
        <v>10000</v>
      </c>
      <c r="W89" s="92">
        <v>8493.3903600000012</v>
      </c>
      <c r="X89" s="93">
        <v>30053.5</v>
      </c>
      <c r="Y89" s="93">
        <v>25488.22</v>
      </c>
      <c r="Z89" s="92">
        <v>50541.72</v>
      </c>
      <c r="AA89" s="92">
        <f>((SUM(AA88:$AG88))*($L88+$M88))</f>
        <v>136087.01964000001</v>
      </c>
      <c r="AB89" s="92">
        <f>((SUM(AB88:$AG88))*($L88+$M88))</f>
        <v>130588.55420000001</v>
      </c>
      <c r="AC89" s="92">
        <f>((SUM(AC88:$AG88))*($L88+$M88))</f>
        <v>125090.08876000001</v>
      </c>
      <c r="AD89" s="92">
        <f>((SUM(AD88:$AG88))*($L88+$M88))</f>
        <v>119591.62332000001</v>
      </c>
      <c r="AE89" s="92">
        <f>((SUM(AE88:$AG88))*($L88+$M88))</f>
        <v>114093.15788000001</v>
      </c>
      <c r="AF89" s="92">
        <f>((SUM(AF88:$AG88))*($L88+$M88))</f>
        <v>108594.69244000001</v>
      </c>
      <c r="AG89" s="92">
        <f>((SUM(AG88:$AG88))*($L88+$M88))*18</f>
        <v>1855732.0860000001</v>
      </c>
      <c r="AH89" s="229">
        <f t="shared" si="2"/>
        <v>2589777.22224</v>
      </c>
      <c r="AI89" s="75"/>
    </row>
    <row r="90" spans="1:35" s="95" customFormat="1" ht="13.15" hidden="1" customHeight="1" outlineLevel="1" x14ac:dyDescent="0.25">
      <c r="A90" s="226">
        <v>33</v>
      </c>
      <c r="B90" s="478" t="s">
        <v>248</v>
      </c>
      <c r="C90" s="482" t="s">
        <v>249</v>
      </c>
      <c r="D90" s="482" t="s">
        <v>250</v>
      </c>
      <c r="E90" s="157"/>
      <c r="F90" s="488" t="s">
        <v>246</v>
      </c>
      <c r="G90" s="480" t="s">
        <v>247</v>
      </c>
      <c r="H90" s="60"/>
      <c r="I90" s="498">
        <v>2614009</v>
      </c>
      <c r="J90" s="60"/>
      <c r="K90" s="62"/>
      <c r="L90" s="182">
        <v>4.1140000000000003E-2</v>
      </c>
      <c r="M90" s="64">
        <f>$M$7</f>
        <v>2.5000000000000001E-3</v>
      </c>
      <c r="N90" s="65"/>
      <c r="O90" s="66">
        <v>45505</v>
      </c>
      <c r="P90" s="67"/>
      <c r="Q90" s="68"/>
      <c r="R90" s="69"/>
      <c r="S90" s="105" t="s">
        <v>44</v>
      </c>
      <c r="T90" s="72">
        <v>2519850</v>
      </c>
      <c r="U90" s="72"/>
      <c r="V90" s="72">
        <v>94159</v>
      </c>
      <c r="W90" s="72">
        <v>94200</v>
      </c>
      <c r="X90" s="73"/>
      <c r="Y90" s="73"/>
      <c r="Z90" s="72">
        <v>94200</v>
      </c>
      <c r="AA90" s="72">
        <v>94200</v>
      </c>
      <c r="AB90" s="72">
        <v>94200</v>
      </c>
      <c r="AC90" s="72">
        <v>94200</v>
      </c>
      <c r="AD90" s="72">
        <v>94200</v>
      </c>
      <c r="AE90" s="72">
        <v>94200</v>
      </c>
      <c r="AF90" s="72">
        <v>94200</v>
      </c>
      <c r="AG90" s="72">
        <v>1766250</v>
      </c>
      <c r="AH90" s="227">
        <f t="shared" si="2"/>
        <v>2331450</v>
      </c>
      <c r="AI90" s="75"/>
    </row>
    <row r="91" spans="1:35" s="95" customFormat="1" ht="15.75" hidden="1" outlineLevel="1" thickBot="1" x14ac:dyDescent="0.3">
      <c r="A91" s="228"/>
      <c r="B91" s="486"/>
      <c r="C91" s="487"/>
      <c r="D91" s="487"/>
      <c r="E91" s="81"/>
      <c r="F91" s="489"/>
      <c r="G91" s="481"/>
      <c r="H91" s="83"/>
      <c r="I91" s="499"/>
      <c r="J91" s="120"/>
      <c r="K91" s="121"/>
      <c r="L91" s="86"/>
      <c r="M91" s="79"/>
      <c r="N91" s="79"/>
      <c r="O91" s="87"/>
      <c r="P91" s="85"/>
      <c r="Q91" s="111"/>
      <c r="R91" s="112"/>
      <c r="S91" s="90" t="s">
        <v>46</v>
      </c>
      <c r="T91" s="184"/>
      <c r="U91" s="184"/>
      <c r="V91" s="122">
        <v>0</v>
      </c>
      <c r="W91" s="92">
        <v>6350.0219999999999</v>
      </c>
      <c r="X91" s="93">
        <v>22429.32</v>
      </c>
      <c r="Y91" s="93">
        <v>19021.490000000002</v>
      </c>
      <c r="Z91" s="92">
        <v>41450.81</v>
      </c>
      <c r="AA91" s="92">
        <f>((SUM(AA90:$AG90))*($L90+$M90))</f>
        <v>101744.47800000002</v>
      </c>
      <c r="AB91" s="92">
        <f>((SUM(AB90:$AG90))*($L90+$M90))</f>
        <v>97633.590000000011</v>
      </c>
      <c r="AC91" s="92">
        <f>((SUM(AC90:$AG90))*($L90+$M90))</f>
        <v>93522.702000000005</v>
      </c>
      <c r="AD91" s="92">
        <f>((SUM(AD90:$AG90))*($L90+$M90))</f>
        <v>89411.814000000013</v>
      </c>
      <c r="AE91" s="92">
        <f>((SUM(AE90:$AG90))*($L90+$M90))</f>
        <v>85300.926000000007</v>
      </c>
      <c r="AF91" s="92">
        <f>((SUM(AF90:$AG90))*($L90+$M90))</f>
        <v>81190.038000000015</v>
      </c>
      <c r="AG91" s="92">
        <f>((SUM(AG90:$AG90))*($L90+$M90))*18</f>
        <v>1387424.7000000002</v>
      </c>
      <c r="AH91" s="229">
        <f t="shared" si="2"/>
        <v>1936228.2480000001</v>
      </c>
      <c r="AI91" s="75"/>
    </row>
    <row r="92" spans="1:35" s="95" customFormat="1" ht="13.15" hidden="1" customHeight="1" outlineLevel="1" x14ac:dyDescent="0.25">
      <c r="A92" s="226">
        <v>34</v>
      </c>
      <c r="B92" s="478" t="s">
        <v>251</v>
      </c>
      <c r="C92" s="480" t="s">
        <v>252</v>
      </c>
      <c r="D92" s="480" t="s">
        <v>253</v>
      </c>
      <c r="E92" s="157"/>
      <c r="F92" s="500" t="s">
        <v>254</v>
      </c>
      <c r="G92" s="480" t="s">
        <v>255</v>
      </c>
      <c r="H92" s="60"/>
      <c r="I92" s="498">
        <v>190128</v>
      </c>
      <c r="J92" s="60"/>
      <c r="K92" s="62"/>
      <c r="L92" s="182">
        <v>1.482E-2</v>
      </c>
      <c r="M92" s="64">
        <f>$M$7</f>
        <v>2.5000000000000001E-3</v>
      </c>
      <c r="N92" s="65"/>
      <c r="O92" s="66">
        <v>45168</v>
      </c>
      <c r="P92" s="67"/>
      <c r="Q92" s="68"/>
      <c r="R92" s="69"/>
      <c r="S92" s="105" t="s">
        <v>44</v>
      </c>
      <c r="T92" s="72">
        <v>163346</v>
      </c>
      <c r="U92" s="72"/>
      <c r="V92" s="72">
        <v>9752</v>
      </c>
      <c r="W92" s="72">
        <v>9752</v>
      </c>
      <c r="X92" s="73"/>
      <c r="Y92" s="73"/>
      <c r="Z92" s="72">
        <v>9752</v>
      </c>
      <c r="AA92" s="72">
        <v>9752</v>
      </c>
      <c r="AB92" s="72">
        <v>9752</v>
      </c>
      <c r="AC92" s="72">
        <v>9752</v>
      </c>
      <c r="AD92" s="72">
        <v>9752</v>
      </c>
      <c r="AE92" s="72">
        <v>9752</v>
      </c>
      <c r="AF92" s="72">
        <v>9752</v>
      </c>
      <c r="AG92" s="72">
        <v>85330</v>
      </c>
      <c r="AH92" s="227">
        <f t="shared" si="2"/>
        <v>143842</v>
      </c>
      <c r="AI92" s="75"/>
    </row>
    <row r="93" spans="1:35" s="95" customFormat="1" ht="15.75" hidden="1" outlineLevel="1" thickBot="1" x14ac:dyDescent="0.3">
      <c r="A93" s="228"/>
      <c r="B93" s="495"/>
      <c r="C93" s="483"/>
      <c r="D93" s="483"/>
      <c r="E93" s="81"/>
      <c r="F93" s="494"/>
      <c r="G93" s="481"/>
      <c r="H93" s="83"/>
      <c r="I93" s="499"/>
      <c r="J93" s="120"/>
      <c r="K93" s="121"/>
      <c r="L93" s="86"/>
      <c r="M93" s="79"/>
      <c r="N93" s="79"/>
      <c r="O93" s="87"/>
      <c r="P93" s="85"/>
      <c r="Q93" s="111"/>
      <c r="R93" s="112"/>
      <c r="S93" s="90" t="s">
        <v>46</v>
      </c>
      <c r="T93" s="184"/>
      <c r="U93" s="184"/>
      <c r="V93" s="92">
        <v>400</v>
      </c>
      <c r="W93" s="92">
        <v>411.63192000000004</v>
      </c>
      <c r="X93" s="93">
        <v>1722.69</v>
      </c>
      <c r="Y93" s="93">
        <v>908.07</v>
      </c>
      <c r="Z93" s="92">
        <v>2630.76</v>
      </c>
      <c r="AA93" s="92">
        <f>((SUM(AA92:$AG92))*($L92+$M92))</f>
        <v>2491.3434399999996</v>
      </c>
      <c r="AB93" s="92">
        <f>((SUM(AB92:$AG92))*($L92+$M92))</f>
        <v>2322.4387999999999</v>
      </c>
      <c r="AC93" s="92">
        <f>((SUM(AC92:$AG92))*($L92+$M92))</f>
        <v>2153.5341599999997</v>
      </c>
      <c r="AD93" s="92">
        <f>((SUM(AD92:$AG92))*($L92+$M92))</f>
        <v>1984.6295199999997</v>
      </c>
      <c r="AE93" s="92">
        <f>((SUM(AE92:$AG92))*($L92+$M92))</f>
        <v>1815.7248799999998</v>
      </c>
      <c r="AF93" s="92">
        <f>((SUM(AF92:$AG92))*($L92+$M92))</f>
        <v>1646.8202399999998</v>
      </c>
      <c r="AG93" s="92">
        <f>((SUM(AG92:$AG92))*($L92+$M92))*8.8</f>
        <v>13005.657279999999</v>
      </c>
      <c r="AH93" s="229">
        <f t="shared" si="2"/>
        <v>25420.14832</v>
      </c>
      <c r="AI93" s="75"/>
    </row>
    <row r="94" spans="1:35" s="95" customFormat="1" ht="13.15" hidden="1" customHeight="1" outlineLevel="1" x14ac:dyDescent="0.25">
      <c r="A94" s="226">
        <v>35</v>
      </c>
      <c r="B94" s="478" t="s">
        <v>256</v>
      </c>
      <c r="C94" s="482" t="s">
        <v>257</v>
      </c>
      <c r="D94" s="482" t="s">
        <v>258</v>
      </c>
      <c r="E94" s="157"/>
      <c r="F94" s="488" t="s">
        <v>161</v>
      </c>
      <c r="G94" s="480" t="s">
        <v>255</v>
      </c>
      <c r="H94" s="60"/>
      <c r="I94" s="490">
        <v>177076.43</v>
      </c>
      <c r="J94" s="60"/>
      <c r="K94" s="62"/>
      <c r="L94" s="182">
        <v>1.9029999999999998E-2</v>
      </c>
      <c r="M94" s="64">
        <f>$M$7</f>
        <v>2.5000000000000001E-3</v>
      </c>
      <c r="N94" s="65"/>
      <c r="O94" s="66">
        <v>45180</v>
      </c>
      <c r="P94" s="67"/>
      <c r="Q94" s="68"/>
      <c r="R94" s="69"/>
      <c r="S94" s="105" t="s">
        <v>44</v>
      </c>
      <c r="T94" s="72">
        <v>154100</v>
      </c>
      <c r="U94" s="72"/>
      <c r="V94" s="72">
        <v>9200</v>
      </c>
      <c r="W94" s="72">
        <v>9200</v>
      </c>
      <c r="X94" s="73"/>
      <c r="Y94" s="73"/>
      <c r="Z94" s="72">
        <v>9200</v>
      </c>
      <c r="AA94" s="72">
        <v>9200</v>
      </c>
      <c r="AB94" s="72">
        <v>9200</v>
      </c>
      <c r="AC94" s="72">
        <v>9200</v>
      </c>
      <c r="AD94" s="72">
        <v>9200</v>
      </c>
      <c r="AE94" s="72">
        <v>9200</v>
      </c>
      <c r="AF94" s="72">
        <v>9200</v>
      </c>
      <c r="AG94" s="72">
        <v>80500</v>
      </c>
      <c r="AH94" s="227">
        <f t="shared" si="2"/>
        <v>135700</v>
      </c>
      <c r="AI94" s="75"/>
    </row>
    <row r="95" spans="1:35" s="95" customFormat="1" ht="15.75" hidden="1" outlineLevel="1" thickBot="1" x14ac:dyDescent="0.3">
      <c r="A95" s="228"/>
      <c r="B95" s="486"/>
      <c r="C95" s="487"/>
      <c r="D95" s="487"/>
      <c r="E95" s="81"/>
      <c r="F95" s="485"/>
      <c r="G95" s="481"/>
      <c r="H95" s="83"/>
      <c r="I95" s="491"/>
      <c r="J95" s="120"/>
      <c r="K95" s="121"/>
      <c r="L95" s="86"/>
      <c r="M95" s="79"/>
      <c r="N95" s="79"/>
      <c r="O95" s="87"/>
      <c r="P95" s="85"/>
      <c r="Q95" s="111"/>
      <c r="R95" s="112"/>
      <c r="S95" s="90" t="s">
        <v>46</v>
      </c>
      <c r="T95" s="184"/>
      <c r="U95" s="184"/>
      <c r="V95" s="92">
        <v>400</v>
      </c>
      <c r="W95" s="92">
        <v>385.25</v>
      </c>
      <c r="X95" s="93">
        <v>2086.9299999999998</v>
      </c>
      <c r="Y95" s="93">
        <v>851.75</v>
      </c>
      <c r="Z95" s="92">
        <v>2938.68</v>
      </c>
      <c r="AA95" s="92">
        <f>((SUM(AA94:$AG94))*($L94+$M94))</f>
        <v>2921.6209999999996</v>
      </c>
      <c r="AB95" s="92">
        <f>((SUM(AB94:$AG94))*($L94+$M94))</f>
        <v>2723.5449999999996</v>
      </c>
      <c r="AC95" s="92">
        <f>((SUM(AC94:$AG94))*($L94+$M94))</f>
        <v>2525.4689999999996</v>
      </c>
      <c r="AD95" s="92">
        <f>((SUM(AD94:$AG94))*($L94+$M94))</f>
        <v>2327.3929999999996</v>
      </c>
      <c r="AE95" s="92">
        <f>((SUM(AE94:$AG94))*($L94+$M94))</f>
        <v>2129.3169999999996</v>
      </c>
      <c r="AF95" s="92">
        <f>((SUM(AF94:$AG94))*($L94+$M94))</f>
        <v>1931.2409999999998</v>
      </c>
      <c r="AG95" s="92">
        <f>((SUM(AG94:$AG94))*($L94+$M94))*8.8</f>
        <v>15251.851999999999</v>
      </c>
      <c r="AH95" s="229">
        <f t="shared" si="2"/>
        <v>29810.437999999995</v>
      </c>
      <c r="AI95" s="75"/>
    </row>
    <row r="96" spans="1:35" s="95" customFormat="1" ht="13.15" hidden="1" customHeight="1" outlineLevel="1" x14ac:dyDescent="0.25">
      <c r="A96" s="226">
        <v>36</v>
      </c>
      <c r="B96" s="478" t="s">
        <v>259</v>
      </c>
      <c r="C96" s="482" t="s">
        <v>260</v>
      </c>
      <c r="D96" s="482" t="s">
        <v>261</v>
      </c>
      <c r="E96" s="157"/>
      <c r="F96" s="488" t="s">
        <v>262</v>
      </c>
      <c r="G96" s="480" t="s">
        <v>263</v>
      </c>
      <c r="H96" s="60"/>
      <c r="I96" s="490">
        <v>160577.24</v>
      </c>
      <c r="J96" s="60"/>
      <c r="K96" s="62"/>
      <c r="L96" s="182">
        <v>2.964E-2</v>
      </c>
      <c r="M96" s="64">
        <f>$M$7</f>
        <v>2.5000000000000001E-3</v>
      </c>
      <c r="N96" s="65"/>
      <c r="O96" s="66">
        <v>45238</v>
      </c>
      <c r="P96" s="67"/>
      <c r="Q96" s="68"/>
      <c r="R96" s="69"/>
      <c r="S96" s="105" t="s">
        <v>44</v>
      </c>
      <c r="T96" s="72">
        <v>140012</v>
      </c>
      <c r="U96" s="72"/>
      <c r="V96" s="72">
        <v>8236</v>
      </c>
      <c r="W96" s="72">
        <v>8236</v>
      </c>
      <c r="X96" s="73"/>
      <c r="Y96" s="73"/>
      <c r="Z96" s="72">
        <v>8236</v>
      </c>
      <c r="AA96" s="72">
        <v>8236</v>
      </c>
      <c r="AB96" s="72">
        <v>8236</v>
      </c>
      <c r="AC96" s="72">
        <v>8236</v>
      </c>
      <c r="AD96" s="72">
        <v>8236</v>
      </c>
      <c r="AE96" s="72">
        <v>8236</v>
      </c>
      <c r="AF96" s="72">
        <v>8236</v>
      </c>
      <c r="AG96" s="72">
        <v>74124</v>
      </c>
      <c r="AH96" s="227">
        <f t="shared" si="2"/>
        <v>123540</v>
      </c>
      <c r="AI96" s="75"/>
    </row>
    <row r="97" spans="1:37" s="95" customFormat="1" ht="15.75" hidden="1" outlineLevel="1" thickBot="1" x14ac:dyDescent="0.3">
      <c r="A97" s="228"/>
      <c r="B97" s="486"/>
      <c r="C97" s="487"/>
      <c r="D97" s="487"/>
      <c r="E97" s="81"/>
      <c r="F97" s="505"/>
      <c r="G97" s="481"/>
      <c r="H97" s="83"/>
      <c r="I97" s="491"/>
      <c r="J97" s="120"/>
      <c r="K97" s="121"/>
      <c r="L97" s="86"/>
      <c r="M97" s="79"/>
      <c r="N97" s="79"/>
      <c r="O97" s="87"/>
      <c r="P97" s="85"/>
      <c r="Q97" s="111"/>
      <c r="R97" s="112"/>
      <c r="S97" s="90" t="s">
        <v>46</v>
      </c>
      <c r="T97" s="184"/>
      <c r="U97" s="184"/>
      <c r="V97" s="92">
        <v>250</v>
      </c>
      <c r="W97" s="92">
        <v>350.03000000000003</v>
      </c>
      <c r="X97" s="93">
        <v>2537.44</v>
      </c>
      <c r="Y97" s="93">
        <v>965.1</v>
      </c>
      <c r="Z97" s="92">
        <v>3502.54</v>
      </c>
      <c r="AA97" s="92">
        <f>((SUM(AA96:$AG96))*($L96+$M96))</f>
        <v>3970.5756000000001</v>
      </c>
      <c r="AB97" s="92">
        <f>((SUM(AB96:$AG96))*($L96+$M96))</f>
        <v>3705.8705600000003</v>
      </c>
      <c r="AC97" s="92">
        <f>((SUM(AC96:$AG96))*($L96+$M96))</f>
        <v>3441.16552</v>
      </c>
      <c r="AD97" s="92">
        <f>((SUM(AD96:$AG96))*($L96+$M96))</f>
        <v>3176.4604800000002</v>
      </c>
      <c r="AE97" s="92">
        <f>((SUM(AE96:$AG96))*($L96+$M96))</f>
        <v>2911.7554400000004</v>
      </c>
      <c r="AF97" s="92">
        <f>((SUM(AF96:$AG96))*($L96+$M96))</f>
        <v>2647.0504000000001</v>
      </c>
      <c r="AG97" s="92">
        <f>((SUM(AG96:$AG96))*($L96+$M96))*8.8</f>
        <v>20964.639168000005</v>
      </c>
      <c r="AH97" s="229">
        <f t="shared" si="2"/>
        <v>40817.517168000006</v>
      </c>
      <c r="AI97" s="75"/>
    </row>
    <row r="98" spans="1:37" s="95" customFormat="1" ht="13.15" hidden="1" customHeight="1" outlineLevel="1" x14ac:dyDescent="0.25">
      <c r="A98" s="226">
        <v>37</v>
      </c>
      <c r="B98" s="501" t="s">
        <v>264</v>
      </c>
      <c r="C98" s="503" t="s">
        <v>265</v>
      </c>
      <c r="D98" s="503" t="s">
        <v>266</v>
      </c>
      <c r="E98" s="157"/>
      <c r="F98" s="488" t="s">
        <v>267</v>
      </c>
      <c r="G98" s="480" t="s">
        <v>268</v>
      </c>
      <c r="H98" s="60"/>
      <c r="I98" s="490">
        <v>131127</v>
      </c>
      <c r="J98" s="60"/>
      <c r="K98" s="62"/>
      <c r="L98" s="182">
        <v>2.9870000000000001E-2</v>
      </c>
      <c r="M98" s="64">
        <f>$M$7</f>
        <v>2.5000000000000001E-3</v>
      </c>
      <c r="N98" s="65"/>
      <c r="O98" s="66">
        <v>45244</v>
      </c>
      <c r="P98" s="67"/>
      <c r="Q98" s="68"/>
      <c r="R98" s="69"/>
      <c r="S98" s="105" t="s">
        <v>44</v>
      </c>
      <c r="T98" s="72">
        <v>114376</v>
      </c>
      <c r="U98" s="72"/>
      <c r="V98" s="72">
        <v>6728</v>
      </c>
      <c r="W98" s="72">
        <v>6728</v>
      </c>
      <c r="X98" s="73"/>
      <c r="Y98" s="73"/>
      <c r="Z98" s="72">
        <v>6728</v>
      </c>
      <c r="AA98" s="72">
        <v>6728</v>
      </c>
      <c r="AB98" s="72">
        <v>6728</v>
      </c>
      <c r="AC98" s="72">
        <v>6728</v>
      </c>
      <c r="AD98" s="72">
        <v>6728</v>
      </c>
      <c r="AE98" s="72">
        <v>6728</v>
      </c>
      <c r="AF98" s="72">
        <v>6728</v>
      </c>
      <c r="AG98" s="72">
        <v>60552</v>
      </c>
      <c r="AH98" s="227">
        <f t="shared" si="2"/>
        <v>100920</v>
      </c>
      <c r="AI98" s="75"/>
    </row>
    <row r="99" spans="1:37" s="95" customFormat="1" ht="15.75" hidden="1" outlineLevel="1" thickBot="1" x14ac:dyDescent="0.3">
      <c r="A99" s="228"/>
      <c r="B99" s="502"/>
      <c r="C99" s="504"/>
      <c r="D99" s="504"/>
      <c r="E99" s="81"/>
      <c r="F99" s="505"/>
      <c r="G99" s="481"/>
      <c r="H99" s="83"/>
      <c r="I99" s="506"/>
      <c r="J99" s="120"/>
      <c r="K99" s="121"/>
      <c r="L99" s="86"/>
      <c r="M99" s="79"/>
      <c r="N99" s="79"/>
      <c r="O99" s="87"/>
      <c r="P99" s="85"/>
      <c r="Q99" s="111"/>
      <c r="R99" s="112"/>
      <c r="S99" s="90" t="s">
        <v>46</v>
      </c>
      <c r="T99" s="184"/>
      <c r="U99" s="184"/>
      <c r="V99" s="92">
        <v>360</v>
      </c>
      <c r="W99" s="92">
        <v>285.94</v>
      </c>
      <c r="X99" s="93">
        <v>2034.5</v>
      </c>
      <c r="Y99" s="93">
        <v>794.51</v>
      </c>
      <c r="Z99" s="92">
        <v>2829.01</v>
      </c>
      <c r="AA99" s="92">
        <f>((SUM(AA98:$AG98))*($L98+$M98))</f>
        <v>3266.7804000000001</v>
      </c>
      <c r="AB99" s="92">
        <f>((SUM(AB98:$AG98))*($L98+$M98))</f>
        <v>3048.9950400000002</v>
      </c>
      <c r="AC99" s="92">
        <f>((SUM(AC98:$AG98))*($L98+$M98))</f>
        <v>2831.2096800000004</v>
      </c>
      <c r="AD99" s="92">
        <f>((SUM(AD98:$AG98))*($L98+$M98))</f>
        <v>2613.4243200000001</v>
      </c>
      <c r="AE99" s="92">
        <f>((SUM(AE98:$AG98))*($L98+$M98))</f>
        <v>2395.6389600000002</v>
      </c>
      <c r="AF99" s="92">
        <f>((SUM(AF98:$AG98))*($L98+$M98))</f>
        <v>2177.8536000000004</v>
      </c>
      <c r="AG99" s="92">
        <f>((SUM(AG98:$AG98))*($L98+$M98))*9</f>
        <v>17640.614160000001</v>
      </c>
      <c r="AH99" s="229">
        <f t="shared" si="2"/>
        <v>33974.516159999999</v>
      </c>
      <c r="AI99" s="75"/>
    </row>
    <row r="100" spans="1:37" s="95" customFormat="1" ht="13.15" hidden="1" customHeight="1" outlineLevel="1" x14ac:dyDescent="0.25">
      <c r="A100" s="226">
        <v>38</v>
      </c>
      <c r="B100" s="501" t="s">
        <v>269</v>
      </c>
      <c r="C100" s="503" t="s">
        <v>270</v>
      </c>
      <c r="D100" s="503" t="s">
        <v>271</v>
      </c>
      <c r="E100" s="157"/>
      <c r="F100" s="488" t="s">
        <v>272</v>
      </c>
      <c r="G100" s="480" t="s">
        <v>273</v>
      </c>
      <c r="H100" s="60"/>
      <c r="I100" s="507">
        <v>17365.23</v>
      </c>
      <c r="J100" s="60"/>
      <c r="K100" s="62"/>
      <c r="L100" s="182">
        <v>3.8210000000000001E-2</v>
      </c>
      <c r="M100" s="64">
        <f>$M$7</f>
        <v>2.5000000000000001E-3</v>
      </c>
      <c r="N100" s="65"/>
      <c r="O100" s="66">
        <v>45357</v>
      </c>
      <c r="P100" s="67"/>
      <c r="Q100" s="68"/>
      <c r="R100" s="69"/>
      <c r="S100" s="105" t="s">
        <v>44</v>
      </c>
      <c r="T100" s="72">
        <v>14007</v>
      </c>
      <c r="U100" s="72"/>
      <c r="V100" s="72">
        <v>1932</v>
      </c>
      <c r="W100" s="72">
        <v>1932</v>
      </c>
      <c r="X100" s="73"/>
      <c r="Y100" s="73"/>
      <c r="Z100" s="72">
        <v>1932</v>
      </c>
      <c r="AA100" s="72">
        <v>1932</v>
      </c>
      <c r="AB100" s="72">
        <v>1932</v>
      </c>
      <c r="AC100" s="72">
        <v>1932</v>
      </c>
      <c r="AD100" s="72">
        <v>1932</v>
      </c>
      <c r="AE100" s="72">
        <v>1932</v>
      </c>
      <c r="AF100" s="72">
        <v>483</v>
      </c>
      <c r="AG100" s="116">
        <v>0</v>
      </c>
      <c r="AH100" s="227">
        <f t="shared" si="2"/>
        <v>10143</v>
      </c>
      <c r="AI100" s="75"/>
    </row>
    <row r="101" spans="1:37" s="95" customFormat="1" ht="15.75" hidden="1" outlineLevel="1" thickBot="1" x14ac:dyDescent="0.3">
      <c r="A101" s="228"/>
      <c r="B101" s="502"/>
      <c r="C101" s="504"/>
      <c r="D101" s="504"/>
      <c r="E101" s="81"/>
      <c r="F101" s="505"/>
      <c r="G101" s="481"/>
      <c r="H101" s="83"/>
      <c r="I101" s="508"/>
      <c r="J101" s="120"/>
      <c r="K101" s="121"/>
      <c r="L101" s="86"/>
      <c r="M101" s="79"/>
      <c r="N101" s="79"/>
      <c r="O101" s="87"/>
      <c r="P101" s="85"/>
      <c r="Q101" s="111"/>
      <c r="R101" s="112"/>
      <c r="S101" s="90" t="s">
        <v>46</v>
      </c>
      <c r="T101" s="184"/>
      <c r="U101" s="184"/>
      <c r="V101" s="92">
        <v>360</v>
      </c>
      <c r="W101" s="92">
        <v>35.017499999999998</v>
      </c>
      <c r="X101" s="93">
        <v>144.10000000000002</v>
      </c>
      <c r="Y101" s="93">
        <v>107.92</v>
      </c>
      <c r="Z101" s="92">
        <v>252.02000000000004</v>
      </c>
      <c r="AA101" s="92">
        <f>((SUM(AA100:$AG100))*($L100+$M100))</f>
        <v>412.92153000000002</v>
      </c>
      <c r="AB101" s="92">
        <f>((SUM(AB100:$AG100))*($L100+$M100))</f>
        <v>334.26981000000001</v>
      </c>
      <c r="AC101" s="92">
        <f>((SUM(AC100:$AG100))*($L100+$M100))</f>
        <v>255.61809000000002</v>
      </c>
      <c r="AD101" s="92">
        <f>((SUM(AD100:$AG100))*($L100+$M100))</f>
        <v>176.96637000000001</v>
      </c>
      <c r="AE101" s="92">
        <f>((SUM(AE100:$AG100))*($L100+$M100))</f>
        <v>98.314650000000015</v>
      </c>
      <c r="AF101" s="92">
        <f>((SUM(AF100:$AG100))*($L100+$M100))</f>
        <v>19.662930000000003</v>
      </c>
      <c r="AG101" s="122">
        <f>((SUM(AG100:$AG100))*($L100+$M100))</f>
        <v>0</v>
      </c>
      <c r="AH101" s="229">
        <f t="shared" si="2"/>
        <v>1297.7533800000001</v>
      </c>
      <c r="AI101" s="75"/>
    </row>
    <row r="102" spans="1:37" s="95" customFormat="1" ht="13.15" hidden="1" customHeight="1" outlineLevel="1" x14ac:dyDescent="0.25">
      <c r="A102" s="226">
        <v>39</v>
      </c>
      <c r="B102" s="501" t="s">
        <v>274</v>
      </c>
      <c r="C102" s="503" t="s">
        <v>275</v>
      </c>
      <c r="D102" s="503" t="s">
        <v>276</v>
      </c>
      <c r="E102" s="157"/>
      <c r="F102" s="488" t="s">
        <v>277</v>
      </c>
      <c r="G102" s="480" t="s">
        <v>278</v>
      </c>
      <c r="H102" s="60"/>
      <c r="I102" s="490">
        <v>2227434</v>
      </c>
      <c r="J102" s="60"/>
      <c r="K102" s="62"/>
      <c r="L102" s="182">
        <v>3.9390000000000001E-2</v>
      </c>
      <c r="M102" s="64">
        <f>$M$7</f>
        <v>2.5000000000000001E-3</v>
      </c>
      <c r="N102" s="65"/>
      <c r="O102" s="66">
        <v>45449</v>
      </c>
      <c r="P102" s="67"/>
      <c r="Q102" s="68"/>
      <c r="R102" s="69"/>
      <c r="S102" s="105" t="s">
        <v>44</v>
      </c>
      <c r="T102" s="72">
        <v>2149290</v>
      </c>
      <c r="U102" s="72"/>
      <c r="V102" s="72">
        <v>78144</v>
      </c>
      <c r="W102" s="72">
        <v>78156</v>
      </c>
      <c r="X102" s="73"/>
      <c r="Y102" s="73"/>
      <c r="Z102" s="72">
        <v>78156</v>
      </c>
      <c r="AA102" s="72">
        <v>78156</v>
      </c>
      <c r="AB102" s="72">
        <v>78156</v>
      </c>
      <c r="AC102" s="72">
        <v>78156</v>
      </c>
      <c r="AD102" s="72">
        <v>78156</v>
      </c>
      <c r="AE102" s="72">
        <v>78156</v>
      </c>
      <c r="AF102" s="72">
        <v>78156</v>
      </c>
      <c r="AG102" s="72">
        <v>1524042</v>
      </c>
      <c r="AH102" s="227">
        <f t="shared" si="2"/>
        <v>1992978</v>
      </c>
      <c r="AI102" s="75"/>
    </row>
    <row r="103" spans="1:37" s="95" customFormat="1" ht="15.75" hidden="1" outlineLevel="1" thickBot="1" x14ac:dyDescent="0.3">
      <c r="A103" s="228"/>
      <c r="B103" s="502"/>
      <c r="C103" s="504"/>
      <c r="D103" s="504"/>
      <c r="E103" s="81"/>
      <c r="F103" s="505"/>
      <c r="G103" s="481"/>
      <c r="H103" s="83"/>
      <c r="I103" s="506"/>
      <c r="J103" s="120"/>
      <c r="K103" s="121"/>
      <c r="L103" s="86"/>
      <c r="M103" s="79"/>
      <c r="N103" s="79"/>
      <c r="O103" s="87"/>
      <c r="P103" s="85"/>
      <c r="Q103" s="111"/>
      <c r="R103" s="112"/>
      <c r="S103" s="90" t="s">
        <v>46</v>
      </c>
      <c r="T103" s="184"/>
      <c r="U103" s="184"/>
      <c r="V103" s="92">
        <v>4828.2325000000001</v>
      </c>
      <c r="W103" s="92">
        <v>5373.2250000000004</v>
      </c>
      <c r="X103" s="93">
        <v>13112.92</v>
      </c>
      <c r="Y103" s="93">
        <v>18414.689999999999</v>
      </c>
      <c r="Z103" s="92">
        <v>31527.61</v>
      </c>
      <c r="AA103" s="92">
        <f>((SUM(AA102:$AG102))*($L102+$M102))</f>
        <v>83485.848420000009</v>
      </c>
      <c r="AB103" s="92">
        <f>((SUM(AB102:$AG102))*($L102+$M102))</f>
        <v>80211.893580000004</v>
      </c>
      <c r="AC103" s="92">
        <f>((SUM(AC102:$AG102))*($L102+$M102))</f>
        <v>76937.938740000012</v>
      </c>
      <c r="AD103" s="92">
        <f>((SUM(AD102:$AG102))*($L102+$M102))</f>
        <v>73663.983900000007</v>
      </c>
      <c r="AE103" s="92">
        <f>((SUM(AE102:$AG102))*($L102+$M102))</f>
        <v>70390.029060000001</v>
      </c>
      <c r="AF103" s="92">
        <f>((SUM(AF102:$AG102))*($L102+$M102))</f>
        <v>67116.07422000001</v>
      </c>
      <c r="AG103" s="92">
        <f>((SUM(AG102:$AG102))*($L102+$M102))*19</f>
        <v>1213000.26822</v>
      </c>
      <c r="AH103" s="229">
        <f t="shared" si="2"/>
        <v>1664806.03614</v>
      </c>
      <c r="AI103" s="75"/>
    </row>
    <row r="104" spans="1:37" s="95" customFormat="1" ht="13.15" hidden="1" customHeight="1" outlineLevel="1" x14ac:dyDescent="0.25">
      <c r="A104" s="226">
        <v>40</v>
      </c>
      <c r="B104" s="478" t="s">
        <v>279</v>
      </c>
      <c r="C104" s="482" t="s">
        <v>280</v>
      </c>
      <c r="D104" s="482" t="s">
        <v>281</v>
      </c>
      <c r="E104" s="157"/>
      <c r="F104" s="488" t="s">
        <v>282</v>
      </c>
      <c r="G104" s="480" t="s">
        <v>283</v>
      </c>
      <c r="H104" s="60"/>
      <c r="I104" s="507">
        <v>605017</v>
      </c>
      <c r="J104" s="60"/>
      <c r="K104" s="62"/>
      <c r="L104" s="182">
        <v>2.811E-2</v>
      </c>
      <c r="M104" s="64">
        <f>$M$7</f>
        <v>2.5000000000000001E-3</v>
      </c>
      <c r="N104" s="65"/>
      <c r="O104" s="66">
        <v>45266</v>
      </c>
      <c r="P104" s="67"/>
      <c r="Q104" s="68"/>
      <c r="R104" s="69"/>
      <c r="S104" s="105" t="s">
        <v>44</v>
      </c>
      <c r="T104" s="72">
        <v>568224</v>
      </c>
      <c r="U104" s="72"/>
      <c r="V104" s="72">
        <v>15714.46</v>
      </c>
      <c r="W104" s="72">
        <v>31568</v>
      </c>
      <c r="X104" s="73"/>
      <c r="Y104" s="73"/>
      <c r="Z104" s="72">
        <v>31568</v>
      </c>
      <c r="AA104" s="72">
        <v>31568</v>
      </c>
      <c r="AB104" s="72">
        <v>31568</v>
      </c>
      <c r="AC104" s="72">
        <v>31568</v>
      </c>
      <c r="AD104" s="72">
        <v>31568</v>
      </c>
      <c r="AE104" s="72">
        <v>31568</v>
      </c>
      <c r="AF104" s="72">
        <v>31568</v>
      </c>
      <c r="AG104" s="72">
        <v>315680</v>
      </c>
      <c r="AH104" s="227">
        <f t="shared" si="2"/>
        <v>505088</v>
      </c>
      <c r="AI104" s="75"/>
    </row>
    <row r="105" spans="1:37" s="95" customFormat="1" ht="15.75" hidden="1" outlineLevel="1" thickBot="1" x14ac:dyDescent="0.3">
      <c r="A105" s="228"/>
      <c r="B105" s="486"/>
      <c r="C105" s="487"/>
      <c r="D105" s="487"/>
      <c r="E105" s="81"/>
      <c r="F105" s="505"/>
      <c r="G105" s="481"/>
      <c r="H105" s="83"/>
      <c r="I105" s="509"/>
      <c r="J105" s="120"/>
      <c r="K105" s="121"/>
      <c r="L105" s="86"/>
      <c r="M105" s="79"/>
      <c r="N105" s="79"/>
      <c r="O105" s="87"/>
      <c r="P105" s="85"/>
      <c r="Q105" s="111"/>
      <c r="R105" s="112"/>
      <c r="S105" s="90" t="s">
        <v>46</v>
      </c>
      <c r="T105" s="184"/>
      <c r="U105" s="184"/>
      <c r="V105" s="92">
        <v>1492.5425</v>
      </c>
      <c r="W105" s="92">
        <v>1431.9244800000001</v>
      </c>
      <c r="X105" s="93">
        <v>8612.48</v>
      </c>
      <c r="Y105" s="93">
        <v>3735</v>
      </c>
      <c r="Z105" s="92">
        <v>12347.48</v>
      </c>
      <c r="AA105" s="92">
        <f>((SUM(AA104:$AG104))*($L104+$M104))</f>
        <v>15460.74368</v>
      </c>
      <c r="AB105" s="92">
        <f>((SUM(AB104:$AG104))*($L104+$M104))</f>
        <v>14494.447199999999</v>
      </c>
      <c r="AC105" s="92">
        <f>((SUM(AC104:$AG104))*($L104+$M104))</f>
        <v>13528.15072</v>
      </c>
      <c r="AD105" s="92">
        <f>((SUM(AD104:$AG104))*($L104+$M104))</f>
        <v>12561.854239999999</v>
      </c>
      <c r="AE105" s="92">
        <f>((SUM(AE104:$AG104))*($L104+$M104))</f>
        <v>11595.55776</v>
      </c>
      <c r="AF105" s="92">
        <f>((SUM(AF104:$AG104))*($L104+$M104))</f>
        <v>10629.261279999999</v>
      </c>
      <c r="AG105" s="92">
        <f>((SUM(AG104:$AG104))*($L104+$M104))*9</f>
        <v>86966.683199999999</v>
      </c>
      <c r="AH105" s="229">
        <f t="shared" si="2"/>
        <v>165236.69808</v>
      </c>
      <c r="AI105" s="75"/>
    </row>
    <row r="106" spans="1:37" s="95" customFormat="1" ht="13.15" hidden="1" customHeight="1" outlineLevel="2" x14ac:dyDescent="0.25">
      <c r="A106" s="226">
        <v>41</v>
      </c>
      <c r="B106" s="478" t="s">
        <v>284</v>
      </c>
      <c r="C106" s="480" t="s">
        <v>285</v>
      </c>
      <c r="D106" s="480" t="s">
        <v>286</v>
      </c>
      <c r="E106" s="157"/>
      <c r="F106" s="488" t="s">
        <v>287</v>
      </c>
      <c r="G106" s="480" t="s">
        <v>288</v>
      </c>
      <c r="H106" s="60"/>
      <c r="I106" s="496">
        <v>33731</v>
      </c>
      <c r="J106" s="60"/>
      <c r="K106" s="62"/>
      <c r="L106" s="173">
        <f>$L$7</f>
        <v>2.6579999999999999E-2</v>
      </c>
      <c r="M106" s="64">
        <f>$M$7</f>
        <v>2.5000000000000001E-3</v>
      </c>
      <c r="N106" s="65"/>
      <c r="O106" s="174"/>
      <c r="P106" s="67"/>
      <c r="Q106" s="68"/>
      <c r="R106" s="69"/>
      <c r="S106" s="105" t="s">
        <v>44</v>
      </c>
      <c r="T106" s="72">
        <v>31920</v>
      </c>
      <c r="U106" s="72"/>
      <c r="V106" s="72">
        <v>1811.17</v>
      </c>
      <c r="W106" s="72">
        <v>3648</v>
      </c>
      <c r="X106" s="73"/>
      <c r="Y106" s="73"/>
      <c r="Z106" s="72">
        <v>0</v>
      </c>
      <c r="AA106" s="72"/>
      <c r="AB106" s="72"/>
      <c r="AC106" s="72"/>
      <c r="AD106" s="72"/>
      <c r="AE106" s="72"/>
      <c r="AF106" s="72"/>
      <c r="AG106" s="72"/>
      <c r="AH106" s="227">
        <f t="shared" si="2"/>
        <v>0</v>
      </c>
      <c r="AI106" s="75"/>
    </row>
    <row r="107" spans="1:37" s="95" customFormat="1" ht="15.75" hidden="1" outlineLevel="2" thickBot="1" x14ac:dyDescent="0.3">
      <c r="A107" s="228"/>
      <c r="B107" s="495"/>
      <c r="C107" s="483"/>
      <c r="D107" s="483"/>
      <c r="E107" s="81"/>
      <c r="F107" s="489"/>
      <c r="G107" s="481"/>
      <c r="H107" s="83"/>
      <c r="I107" s="497"/>
      <c r="J107" s="120"/>
      <c r="K107" s="121"/>
      <c r="L107" s="86"/>
      <c r="M107" s="79"/>
      <c r="N107" s="79"/>
      <c r="O107" s="87"/>
      <c r="P107" s="85"/>
      <c r="Q107" s="111"/>
      <c r="R107" s="112"/>
      <c r="S107" s="90" t="s">
        <v>46</v>
      </c>
      <c r="T107" s="184"/>
      <c r="U107" s="184"/>
      <c r="V107" s="92">
        <v>110</v>
      </c>
      <c r="W107" s="92"/>
      <c r="X107" s="93"/>
      <c r="Y107" s="93"/>
      <c r="Z107" s="92">
        <v>0</v>
      </c>
      <c r="AA107" s="92">
        <f>((SUM(AA106:$AG106))*($L106+$M106))</f>
        <v>0</v>
      </c>
      <c r="AB107" s="92">
        <f>((SUM(AB106:$AG106))*($L106+$M106))</f>
        <v>0</v>
      </c>
      <c r="AC107" s="92">
        <f>((SUM(AC106:$AG106))*($L106+$M106))</f>
        <v>0</v>
      </c>
      <c r="AD107" s="92">
        <f>((SUM(AD106:$AG106))*($L106+$M106))</f>
        <v>0</v>
      </c>
      <c r="AE107" s="92">
        <f>((SUM(AE106:$AG106))*($L106+$M106))</f>
        <v>0</v>
      </c>
      <c r="AF107" s="92">
        <f>((SUM(AF106:$AG106))*($L106+$M106))</f>
        <v>0</v>
      </c>
      <c r="AG107" s="92">
        <f>((SUM(AG106:$AG106))*($L106+$M106))</f>
        <v>0</v>
      </c>
      <c r="AH107" s="229">
        <f t="shared" si="2"/>
        <v>0</v>
      </c>
      <c r="AI107" s="75"/>
    </row>
    <row r="108" spans="1:37" s="95" customFormat="1" ht="13.15" hidden="1" customHeight="1" outlineLevel="1" collapsed="1" x14ac:dyDescent="0.25">
      <c r="A108" s="226">
        <v>41</v>
      </c>
      <c r="B108" s="478" t="s">
        <v>289</v>
      </c>
      <c r="C108" s="480" t="s">
        <v>290</v>
      </c>
      <c r="D108" s="480" t="s">
        <v>291</v>
      </c>
      <c r="E108" s="157"/>
      <c r="F108" s="488" t="s">
        <v>292</v>
      </c>
      <c r="G108" s="480" t="s">
        <v>293</v>
      </c>
      <c r="H108" s="60"/>
      <c r="I108" s="507">
        <v>363119</v>
      </c>
      <c r="J108" s="60"/>
      <c r="K108" s="62"/>
      <c r="L108" s="182">
        <v>3.243E-2</v>
      </c>
      <c r="M108" s="64">
        <f>M6</f>
        <v>0</v>
      </c>
      <c r="N108" s="65"/>
      <c r="O108" s="174" t="s">
        <v>294</v>
      </c>
      <c r="P108" s="67"/>
      <c r="Q108" s="68"/>
      <c r="R108" s="69"/>
      <c r="S108" s="105" t="s">
        <v>44</v>
      </c>
      <c r="T108" s="72">
        <v>352205</v>
      </c>
      <c r="U108" s="72"/>
      <c r="V108" s="116">
        <v>0</v>
      </c>
      <c r="W108" s="72">
        <v>18788</v>
      </c>
      <c r="X108" s="73"/>
      <c r="Y108" s="73"/>
      <c r="Z108" s="72">
        <v>18788</v>
      </c>
      <c r="AA108" s="72">
        <v>18788</v>
      </c>
      <c r="AB108" s="72">
        <v>18788</v>
      </c>
      <c r="AC108" s="72">
        <v>18788</v>
      </c>
      <c r="AD108" s="72">
        <v>18788</v>
      </c>
      <c r="AE108" s="72">
        <v>18788</v>
      </c>
      <c r="AF108" s="72">
        <v>18788</v>
      </c>
      <c r="AG108" s="72">
        <v>201901</v>
      </c>
      <c r="AH108" s="227">
        <f t="shared" si="2"/>
        <v>314629</v>
      </c>
      <c r="AI108" s="75"/>
      <c r="AJ108" s="75"/>
    </row>
    <row r="109" spans="1:37" s="95" customFormat="1" ht="15.75" hidden="1" outlineLevel="1" thickBot="1" x14ac:dyDescent="0.3">
      <c r="A109" s="228"/>
      <c r="B109" s="495"/>
      <c r="C109" s="483"/>
      <c r="D109" s="483"/>
      <c r="E109" s="81"/>
      <c r="F109" s="489"/>
      <c r="G109" s="481"/>
      <c r="H109" s="83"/>
      <c r="I109" s="509"/>
      <c r="J109" s="120"/>
      <c r="K109" s="121"/>
      <c r="L109" s="86"/>
      <c r="M109" s="79"/>
      <c r="N109" s="79"/>
      <c r="O109" s="87"/>
      <c r="P109" s="85"/>
      <c r="Q109" s="111"/>
      <c r="R109" s="112"/>
      <c r="S109" s="90" t="s">
        <v>46</v>
      </c>
      <c r="T109" s="184"/>
      <c r="U109" s="184"/>
      <c r="V109" s="92">
        <v>600</v>
      </c>
      <c r="W109" s="92">
        <v>887.5566</v>
      </c>
      <c r="X109" s="93">
        <v>8069.3099999999995</v>
      </c>
      <c r="Y109" s="93">
        <v>2641.66</v>
      </c>
      <c r="Z109" s="92">
        <v>10710.97</v>
      </c>
      <c r="AA109" s="92">
        <f>((SUM(AA108:$AG108))*($L108+$M108))</f>
        <v>10203.418470000001</v>
      </c>
      <c r="AB109" s="92">
        <f>((SUM(AB108:$AG108))*($L108+$M108))</f>
        <v>9594.12363</v>
      </c>
      <c r="AC109" s="92">
        <f>((SUM(AC108:$AG108))*($L108+$M108))</f>
        <v>8984.8287899999996</v>
      </c>
      <c r="AD109" s="92">
        <f>((SUM(AD108:$AG108))*($L108+$M108))</f>
        <v>8375.5339500000009</v>
      </c>
      <c r="AE109" s="92">
        <f>((SUM(AE108:$AG108))*($L108+$M108))</f>
        <v>7766.2391100000004</v>
      </c>
      <c r="AF109" s="92">
        <f>((SUM(AF108:$AG108))*($L108+$M108))</f>
        <v>7156.94427</v>
      </c>
      <c r="AG109" s="92">
        <f>((SUM(AG108:$AG108))*($L108+$M108))*10</f>
        <v>65476.494300000006</v>
      </c>
      <c r="AH109" s="229">
        <f t="shared" si="2"/>
        <v>117557.58252000001</v>
      </c>
      <c r="AI109" s="75"/>
      <c r="AJ109" s="75"/>
    </row>
    <row r="110" spans="1:37" s="95" customFormat="1" ht="13.15" hidden="1" customHeight="1" outlineLevel="1" x14ac:dyDescent="0.25">
      <c r="A110" s="226">
        <v>42</v>
      </c>
      <c r="B110" s="478" t="s">
        <v>295</v>
      </c>
      <c r="C110" s="480" t="s">
        <v>296</v>
      </c>
      <c r="D110" s="480" t="s">
        <v>297</v>
      </c>
      <c r="E110" s="157"/>
      <c r="F110" s="488" t="s">
        <v>292</v>
      </c>
      <c r="G110" s="480" t="s">
        <v>298</v>
      </c>
      <c r="H110" s="60"/>
      <c r="I110" s="490">
        <v>824810</v>
      </c>
      <c r="J110" s="60"/>
      <c r="K110" s="62"/>
      <c r="L110" s="182">
        <v>3.4709999999999998E-2</v>
      </c>
      <c r="M110" s="64">
        <f>M6</f>
        <v>0</v>
      </c>
      <c r="N110" s="65"/>
      <c r="O110" s="66">
        <v>45200</v>
      </c>
      <c r="P110" s="67"/>
      <c r="Q110" s="68"/>
      <c r="R110" s="69"/>
      <c r="S110" s="105" t="s">
        <v>44</v>
      </c>
      <c r="T110" s="72"/>
      <c r="U110" s="72"/>
      <c r="V110" s="116">
        <v>0</v>
      </c>
      <c r="W110" s="116">
        <v>0</v>
      </c>
      <c r="X110" s="175"/>
      <c r="Y110" s="175"/>
      <c r="Z110" s="72">
        <v>29693</v>
      </c>
      <c r="AA110" s="72">
        <v>29724</v>
      </c>
      <c r="AB110" s="72">
        <v>29724</v>
      </c>
      <c r="AC110" s="72">
        <v>29724</v>
      </c>
      <c r="AD110" s="72">
        <v>29724</v>
      </c>
      <c r="AE110" s="72">
        <v>29724</v>
      </c>
      <c r="AF110" s="72">
        <v>29724</v>
      </c>
      <c r="AG110" s="72">
        <v>616773</v>
      </c>
      <c r="AH110" s="227">
        <f t="shared" si="2"/>
        <v>795117</v>
      </c>
      <c r="AI110" s="75"/>
      <c r="AJ110" s="75"/>
    </row>
    <row r="111" spans="1:37" s="95" customFormat="1" ht="15.75" hidden="1" outlineLevel="1" thickBot="1" x14ac:dyDescent="0.3">
      <c r="A111" s="228"/>
      <c r="B111" s="495"/>
      <c r="C111" s="483"/>
      <c r="D111" s="483"/>
      <c r="E111" s="81"/>
      <c r="F111" s="489"/>
      <c r="G111" s="481"/>
      <c r="H111" s="83"/>
      <c r="I111" s="491"/>
      <c r="J111" s="120"/>
      <c r="K111" s="121"/>
      <c r="L111" s="86"/>
      <c r="M111" s="79"/>
      <c r="N111" s="79"/>
      <c r="O111" s="87"/>
      <c r="P111" s="85"/>
      <c r="Q111" s="111"/>
      <c r="R111" s="112"/>
      <c r="S111" s="90" t="s">
        <v>46</v>
      </c>
      <c r="T111" s="184"/>
      <c r="U111" s="184"/>
      <c r="V111" s="92">
        <v>1058</v>
      </c>
      <c r="W111" s="92">
        <v>3299.2400000000002</v>
      </c>
      <c r="X111" s="93">
        <v>21629.07</v>
      </c>
      <c r="Y111" s="93">
        <v>7176.9</v>
      </c>
      <c r="Z111" s="92">
        <v>28805.97</v>
      </c>
      <c r="AA111" s="92">
        <f>((SUM(AA110:$AG110))*($L110+$M110))</f>
        <v>27598.511069999997</v>
      </c>
      <c r="AB111" s="92">
        <f>((SUM(AB110:$AG110))*($L110+$M110))</f>
        <v>26566.791029999997</v>
      </c>
      <c r="AC111" s="92">
        <f>((SUM(AC110:$AG110))*($L110+$M110))</f>
        <v>25535.07099</v>
      </c>
      <c r="AD111" s="92">
        <f>((SUM(AD110:$AG110))*($L110+$M110))</f>
        <v>24503.35095</v>
      </c>
      <c r="AE111" s="92">
        <f>((SUM(AE110:$AG110))*($L110+$M110))</f>
        <v>23471.63091</v>
      </c>
      <c r="AF111" s="92">
        <f>((SUM(AF110:$AG110))*($L110+$M110))</f>
        <v>22439.91087</v>
      </c>
      <c r="AG111" s="92">
        <f>((SUM(AG110:$AG110))*($L110+$M110))*20</f>
        <v>428163.81660000002</v>
      </c>
      <c r="AH111" s="229">
        <f t="shared" si="2"/>
        <v>578279.08241999999</v>
      </c>
      <c r="AI111" s="75"/>
      <c r="AJ111" s="75"/>
    </row>
    <row r="112" spans="1:37" s="95" customFormat="1" ht="13.15" hidden="1" customHeight="1" outlineLevel="1" x14ac:dyDescent="0.25">
      <c r="A112" s="226">
        <v>43</v>
      </c>
      <c r="B112" s="510" t="s">
        <v>299</v>
      </c>
      <c r="C112" s="516" t="s">
        <v>300</v>
      </c>
      <c r="D112" s="512" t="s">
        <v>301</v>
      </c>
      <c r="E112" s="157"/>
      <c r="F112" s="500" t="s">
        <v>302</v>
      </c>
      <c r="G112" s="480" t="s">
        <v>303</v>
      </c>
      <c r="H112" s="60"/>
      <c r="I112" s="490">
        <v>9703992</v>
      </c>
      <c r="J112" s="60"/>
      <c r="K112" s="62"/>
      <c r="L112" s="182">
        <v>4.156E-2</v>
      </c>
      <c r="M112" s="64">
        <f>M6</f>
        <v>0</v>
      </c>
      <c r="N112" s="65"/>
      <c r="O112" s="66">
        <v>45317</v>
      </c>
      <c r="P112" s="67"/>
      <c r="Q112" s="68"/>
      <c r="R112" s="69"/>
      <c r="S112" s="105" t="s">
        <v>44</v>
      </c>
      <c r="T112" s="72"/>
      <c r="U112" s="72"/>
      <c r="V112" s="116">
        <v>0</v>
      </c>
      <c r="W112" s="116">
        <v>0</v>
      </c>
      <c r="X112" s="175"/>
      <c r="Y112" s="175"/>
      <c r="Z112" s="72">
        <v>343399</v>
      </c>
      <c r="AA112" s="183">
        <v>343508</v>
      </c>
      <c r="AB112" s="72">
        <v>343508</v>
      </c>
      <c r="AC112" s="72">
        <v>343508</v>
      </c>
      <c r="AD112" s="72">
        <v>343508</v>
      </c>
      <c r="AE112" s="72">
        <v>343508</v>
      </c>
      <c r="AF112" s="72">
        <v>343508</v>
      </c>
      <c r="AG112" s="72">
        <v>7299545</v>
      </c>
      <c r="AH112" s="227">
        <f t="shared" si="2"/>
        <v>9360593</v>
      </c>
      <c r="AI112" s="75"/>
      <c r="AJ112" s="207"/>
      <c r="AK112" s="207"/>
    </row>
    <row r="113" spans="1:37" s="95" customFormat="1" ht="15.75" hidden="1" outlineLevel="1" thickBot="1" x14ac:dyDescent="0.3">
      <c r="A113" s="228"/>
      <c r="B113" s="511"/>
      <c r="C113" s="517"/>
      <c r="D113" s="513"/>
      <c r="E113" s="81"/>
      <c r="F113" s="514"/>
      <c r="G113" s="481"/>
      <c r="H113" s="83"/>
      <c r="I113" s="515"/>
      <c r="J113" s="120"/>
      <c r="K113" s="121"/>
      <c r="L113" s="86"/>
      <c r="M113" s="79"/>
      <c r="N113" s="79"/>
      <c r="O113" s="87"/>
      <c r="P113" s="85"/>
      <c r="Q113" s="111"/>
      <c r="R113" s="112"/>
      <c r="S113" s="90" t="s">
        <v>46</v>
      </c>
      <c r="T113" s="184"/>
      <c r="U113" s="184"/>
      <c r="V113" s="92">
        <v>3000</v>
      </c>
      <c r="W113" s="92">
        <v>24259.98</v>
      </c>
      <c r="X113" s="93">
        <v>182887.93</v>
      </c>
      <c r="Y113" s="93">
        <v>100638.34</v>
      </c>
      <c r="Z113" s="92">
        <v>243526.27000000002</v>
      </c>
      <c r="AA113" s="92">
        <f>((SUM(AA112:$AG112))*($L112+$M112))</f>
        <v>389026.24508000002</v>
      </c>
      <c r="AB113" s="92">
        <f>((SUM(AB112:$AG112))*($L112+$M112))</f>
        <v>374750.0526</v>
      </c>
      <c r="AC113" s="92">
        <f>((SUM(AC112:$AG112))*($L112+$M112))</f>
        <v>360473.86012000003</v>
      </c>
      <c r="AD113" s="92">
        <f>((SUM(AD112:$AG112))*($L112+$M112))</f>
        <v>346197.66764</v>
      </c>
      <c r="AE113" s="92">
        <f>((SUM(AE112:$AG112))*($L112+$M112))</f>
        <v>331921.47515999997</v>
      </c>
      <c r="AF113" s="92">
        <f>((SUM(AF112:$AG112))*($L112+$M112))</f>
        <v>317645.28268</v>
      </c>
      <c r="AG113" s="92">
        <f>((SUM(AG112:$AG112))*($L112+$M112))*21</f>
        <v>6370750.894199999</v>
      </c>
      <c r="AH113" s="229">
        <f t="shared" si="2"/>
        <v>8490765.4774799999</v>
      </c>
      <c r="AI113" s="75"/>
      <c r="AJ113" s="207"/>
      <c r="AK113" s="207"/>
    </row>
    <row r="114" spans="1:37" s="95" customFormat="1" ht="13.15" hidden="1" customHeight="1" outlineLevel="1" x14ac:dyDescent="0.25">
      <c r="A114" s="226">
        <v>44</v>
      </c>
      <c r="B114" s="510" t="s">
        <v>304</v>
      </c>
      <c r="C114" s="512" t="s">
        <v>305</v>
      </c>
      <c r="D114" s="512" t="s">
        <v>306</v>
      </c>
      <c r="E114" s="157"/>
      <c r="F114" s="500" t="s">
        <v>302</v>
      </c>
      <c r="G114" s="480" t="s">
        <v>307</v>
      </c>
      <c r="H114" s="60"/>
      <c r="I114" s="490">
        <v>43430</v>
      </c>
      <c r="J114" s="60"/>
      <c r="K114" s="62"/>
      <c r="L114" s="182">
        <v>2.5000000000000001E-3</v>
      </c>
      <c r="M114" s="64">
        <f>M6</f>
        <v>0</v>
      </c>
      <c r="N114" s="65"/>
      <c r="O114" s="174"/>
      <c r="P114" s="67"/>
      <c r="Q114" s="68"/>
      <c r="R114" s="69"/>
      <c r="S114" s="105" t="s">
        <v>44</v>
      </c>
      <c r="T114" s="72">
        <v>43430</v>
      </c>
      <c r="U114" s="72"/>
      <c r="V114" s="116">
        <v>0</v>
      </c>
      <c r="W114" s="72">
        <v>4688</v>
      </c>
      <c r="X114" s="73"/>
      <c r="Y114" s="73"/>
      <c r="Z114" s="72">
        <v>4696</v>
      </c>
      <c r="AA114" s="72">
        <v>4696</v>
      </c>
      <c r="AB114" s="72">
        <v>4696</v>
      </c>
      <c r="AC114" s="72">
        <v>4696</v>
      </c>
      <c r="AD114" s="72">
        <v>4696</v>
      </c>
      <c r="AE114" s="72">
        <v>4696</v>
      </c>
      <c r="AF114" s="72">
        <v>4696</v>
      </c>
      <c r="AG114" s="72">
        <v>5870</v>
      </c>
      <c r="AH114" s="227">
        <f t="shared" si="2"/>
        <v>34046</v>
      </c>
      <c r="AI114" s="75"/>
    </row>
    <row r="115" spans="1:37" s="95" customFormat="1" ht="15.75" hidden="1" outlineLevel="1" thickBot="1" x14ac:dyDescent="0.3">
      <c r="A115" s="228"/>
      <c r="B115" s="511"/>
      <c r="C115" s="513"/>
      <c r="D115" s="513"/>
      <c r="E115" s="81"/>
      <c r="F115" s="514"/>
      <c r="G115" s="481"/>
      <c r="H115" s="83"/>
      <c r="I115" s="515"/>
      <c r="J115" s="120"/>
      <c r="K115" s="121"/>
      <c r="L115" s="86"/>
      <c r="M115" s="79"/>
      <c r="N115" s="79"/>
      <c r="O115" s="87"/>
      <c r="P115" s="85"/>
      <c r="Q115" s="111"/>
      <c r="R115" s="112"/>
      <c r="S115" s="90" t="s">
        <v>46</v>
      </c>
      <c r="T115" s="184"/>
      <c r="U115" s="184"/>
      <c r="V115" s="92">
        <v>80</v>
      </c>
      <c r="W115" s="92">
        <v>823</v>
      </c>
      <c r="X115" s="93">
        <v>13.21</v>
      </c>
      <c r="Y115" s="93">
        <v>4.1900000000000004</v>
      </c>
      <c r="Z115" s="92">
        <v>17.400000000000002</v>
      </c>
      <c r="AA115" s="92">
        <f>((SUM(AA114:$AG114))*($L114+$M114))</f>
        <v>85.114999999999995</v>
      </c>
      <c r="AB115" s="92">
        <f>((SUM(AB114:$AG114))*($L114+$M114))</f>
        <v>73.375</v>
      </c>
      <c r="AC115" s="92">
        <f>((SUM(AC114:$AG114))*($L114+$M114))</f>
        <v>61.634999999999998</v>
      </c>
      <c r="AD115" s="92">
        <f>((SUM(AD114:$AG114))*($L114+$M114))</f>
        <v>49.895000000000003</v>
      </c>
      <c r="AE115" s="92">
        <f>((SUM(AE114:$AG114))*($L114+$M114))</f>
        <v>38.155000000000001</v>
      </c>
      <c r="AF115" s="92">
        <f>((SUM(AF114:$AG114))*($L114+$M114))</f>
        <v>26.414999999999999</v>
      </c>
      <c r="AG115" s="92">
        <f>((SUM(AG114:$AG114))*($L114+$M114))*2</f>
        <v>29.35</v>
      </c>
      <c r="AH115" s="229">
        <f t="shared" si="2"/>
        <v>363.94</v>
      </c>
      <c r="AI115" s="75"/>
    </row>
    <row r="116" spans="1:37" s="95" customFormat="1" ht="13.15" hidden="1" customHeight="1" outlineLevel="1" x14ac:dyDescent="0.25">
      <c r="A116" s="226">
        <v>45</v>
      </c>
      <c r="B116" s="501" t="s">
        <v>308</v>
      </c>
      <c r="C116" s="503" t="s">
        <v>309</v>
      </c>
      <c r="D116" s="503" t="s">
        <v>310</v>
      </c>
      <c r="E116" s="157"/>
      <c r="F116" s="500" t="s">
        <v>311</v>
      </c>
      <c r="G116" s="480" t="s">
        <v>312</v>
      </c>
      <c r="H116" s="60"/>
      <c r="I116" s="507">
        <v>195366</v>
      </c>
      <c r="J116" s="60"/>
      <c r="K116" s="62"/>
      <c r="L116" s="182">
        <v>2.5000000000000001E-3</v>
      </c>
      <c r="M116" s="64">
        <f>M6</f>
        <v>0</v>
      </c>
      <c r="N116" s="65"/>
      <c r="O116" s="174"/>
      <c r="P116" s="67"/>
      <c r="Q116" s="68"/>
      <c r="R116" s="69"/>
      <c r="S116" s="105" t="s">
        <v>44</v>
      </c>
      <c r="T116" s="72">
        <v>195366</v>
      </c>
      <c r="U116" s="72"/>
      <c r="V116" s="116">
        <v>0</v>
      </c>
      <c r="W116" s="72">
        <v>86826</v>
      </c>
      <c r="X116" s="73"/>
      <c r="Y116" s="73"/>
      <c r="Z116" s="72">
        <v>86832</v>
      </c>
      <c r="AA116" s="72">
        <v>21708</v>
      </c>
      <c r="AB116" s="116">
        <v>0</v>
      </c>
      <c r="AC116" s="116">
        <v>0</v>
      </c>
      <c r="AD116" s="116">
        <v>0</v>
      </c>
      <c r="AE116" s="116">
        <v>0</v>
      </c>
      <c r="AF116" s="116">
        <v>0</v>
      </c>
      <c r="AG116" s="116">
        <v>0</v>
      </c>
      <c r="AH116" s="227">
        <f t="shared" si="2"/>
        <v>21708</v>
      </c>
      <c r="AI116" s="75"/>
    </row>
    <row r="117" spans="1:37" s="95" customFormat="1" ht="15.75" hidden="1" outlineLevel="1" thickBot="1" x14ac:dyDescent="0.3">
      <c r="A117" s="228"/>
      <c r="B117" s="518"/>
      <c r="C117" s="519"/>
      <c r="D117" s="519"/>
      <c r="E117" s="81"/>
      <c r="F117" s="514"/>
      <c r="G117" s="481"/>
      <c r="H117" s="83"/>
      <c r="I117" s="520"/>
      <c r="J117" s="120"/>
      <c r="K117" s="121"/>
      <c r="L117" s="86"/>
      <c r="M117" s="79"/>
      <c r="N117" s="79"/>
      <c r="O117" s="87"/>
      <c r="P117" s="85"/>
      <c r="Q117" s="111"/>
      <c r="R117" s="112"/>
      <c r="S117" s="90" t="s">
        <v>46</v>
      </c>
      <c r="T117" s="184"/>
      <c r="U117" s="184"/>
      <c r="V117" s="92">
        <v>500</v>
      </c>
      <c r="W117" s="92">
        <v>488.41500000000002</v>
      </c>
      <c r="X117" s="93">
        <v>195.98</v>
      </c>
      <c r="Y117" s="93">
        <v>38.380000000000003</v>
      </c>
      <c r="Z117" s="92">
        <v>234.35999999999999</v>
      </c>
      <c r="AA117" s="92">
        <f>((SUM(AA116:$AG116))*($L116+$M116))</f>
        <v>54.27</v>
      </c>
      <c r="AB117" s="122">
        <f>((SUM(AB116:$AG116))*($L116+$M116))</f>
        <v>0</v>
      </c>
      <c r="AC117" s="122">
        <f>((SUM(AC116:$AG116))*($L116+$M116))</f>
        <v>0</v>
      </c>
      <c r="AD117" s="122">
        <f>((SUM(AD116:$AG116))*($L116+$M116))</f>
        <v>0</v>
      </c>
      <c r="AE117" s="122">
        <f>((SUM(AE116:$AG116))*($L116+$M116))</f>
        <v>0</v>
      </c>
      <c r="AF117" s="122">
        <f>((SUM(AF116:$AG116))*($L116+$M116))</f>
        <v>0</v>
      </c>
      <c r="AG117" s="122">
        <f>((SUM(AG116:$AG116))*($L116+$M116))</f>
        <v>0</v>
      </c>
      <c r="AH117" s="229">
        <f t="shared" si="2"/>
        <v>54.27</v>
      </c>
      <c r="AI117" s="75"/>
    </row>
    <row r="118" spans="1:37" s="95" customFormat="1" ht="13.15" hidden="1" customHeight="1" outlineLevel="1" x14ac:dyDescent="0.25">
      <c r="A118" s="226">
        <v>46</v>
      </c>
      <c r="B118" s="510" t="s">
        <v>313</v>
      </c>
      <c r="C118" s="512" t="s">
        <v>314</v>
      </c>
      <c r="D118" s="512" t="s">
        <v>315</v>
      </c>
      <c r="E118" s="157"/>
      <c r="F118" s="500" t="s">
        <v>316</v>
      </c>
      <c r="G118" s="480" t="s">
        <v>317</v>
      </c>
      <c r="H118" s="60"/>
      <c r="I118" s="490">
        <v>617703</v>
      </c>
      <c r="J118" s="60"/>
      <c r="K118" s="62"/>
      <c r="L118" s="182">
        <v>4.505E-2</v>
      </c>
      <c r="M118" s="64">
        <f>M6</f>
        <v>0</v>
      </c>
      <c r="N118" s="65"/>
      <c r="O118" s="66">
        <v>45412</v>
      </c>
      <c r="P118" s="67"/>
      <c r="Q118" s="68"/>
      <c r="R118" s="69"/>
      <c r="S118" s="105" t="s">
        <v>44</v>
      </c>
      <c r="T118" s="72">
        <v>617703</v>
      </c>
      <c r="U118" s="72"/>
      <c r="V118" s="116">
        <v>0</v>
      </c>
      <c r="W118" s="72">
        <v>20913</v>
      </c>
      <c r="X118" s="73"/>
      <c r="Y118" s="73"/>
      <c r="Z118" s="72">
        <v>20940</v>
      </c>
      <c r="AA118" s="72">
        <v>20940</v>
      </c>
      <c r="AB118" s="72">
        <v>20940</v>
      </c>
      <c r="AC118" s="72">
        <v>20940</v>
      </c>
      <c r="AD118" s="72">
        <v>20940</v>
      </c>
      <c r="AE118" s="72">
        <v>20940</v>
      </c>
      <c r="AF118" s="72">
        <v>20940</v>
      </c>
      <c r="AG118" s="72">
        <v>450210</v>
      </c>
      <c r="AH118" s="227">
        <f t="shared" si="2"/>
        <v>575850</v>
      </c>
      <c r="AI118" s="75"/>
    </row>
    <row r="119" spans="1:37" s="95" customFormat="1" ht="15.75" hidden="1" outlineLevel="1" thickBot="1" x14ac:dyDescent="0.3">
      <c r="A119" s="228"/>
      <c r="B119" s="511"/>
      <c r="C119" s="513"/>
      <c r="D119" s="513"/>
      <c r="E119" s="81"/>
      <c r="F119" s="514"/>
      <c r="G119" s="481"/>
      <c r="H119" s="83"/>
      <c r="I119" s="515"/>
      <c r="J119" s="120"/>
      <c r="K119" s="121"/>
      <c r="L119" s="86"/>
      <c r="M119" s="79"/>
      <c r="N119" s="79"/>
      <c r="O119" s="87"/>
      <c r="P119" s="85"/>
      <c r="Q119" s="111"/>
      <c r="R119" s="112"/>
      <c r="S119" s="90" t="s">
        <v>46</v>
      </c>
      <c r="T119" s="184"/>
      <c r="U119" s="184"/>
      <c r="V119" s="92">
        <v>1000</v>
      </c>
      <c r="W119" s="92">
        <v>1544.2574999999999</v>
      </c>
      <c r="X119" s="93">
        <v>7353.73</v>
      </c>
      <c r="Y119" s="93">
        <v>6742.97</v>
      </c>
      <c r="Z119" s="92">
        <v>12096.7</v>
      </c>
      <c r="AA119" s="92">
        <f>((SUM(AA118:$AG118))*($L118+$M118))</f>
        <v>25942.0425</v>
      </c>
      <c r="AB119" s="92">
        <f>((SUM(AB118:$AG118))*($L118+$M118))</f>
        <v>24998.695500000002</v>
      </c>
      <c r="AC119" s="92">
        <f>((SUM(AC118:$AG118))*($L118+$M118))</f>
        <v>24055.3485</v>
      </c>
      <c r="AD119" s="92">
        <f>((SUM(AD118:$AG118))*($L118+$M118))</f>
        <v>23112.001499999998</v>
      </c>
      <c r="AE119" s="92">
        <f>((SUM(AE118:$AG118))*($L118+$M118))</f>
        <v>22168.654500000001</v>
      </c>
      <c r="AF119" s="92">
        <f>((SUM(AF118:$AG118))*($L118+$M118))</f>
        <v>21225.307499999999</v>
      </c>
      <c r="AG119" s="92">
        <f>((SUM(AG118:$AG118))*($L118+$M118))*21</f>
        <v>425921.17050000001</v>
      </c>
      <c r="AH119" s="229">
        <f t="shared" si="2"/>
        <v>567423.22050000005</v>
      </c>
      <c r="AI119" s="75"/>
    </row>
    <row r="120" spans="1:37" s="95" customFormat="1" ht="13.15" hidden="1" customHeight="1" outlineLevel="1" x14ac:dyDescent="0.25">
      <c r="A120" s="226">
        <v>47</v>
      </c>
      <c r="B120" s="510" t="s">
        <v>318</v>
      </c>
      <c r="C120" s="512" t="s">
        <v>319</v>
      </c>
      <c r="D120" s="512" t="s">
        <v>320</v>
      </c>
      <c r="E120" s="157"/>
      <c r="F120" s="500" t="s">
        <v>321</v>
      </c>
      <c r="G120" s="480" t="s">
        <v>322</v>
      </c>
      <c r="H120" s="60"/>
      <c r="I120" s="490">
        <v>145332</v>
      </c>
      <c r="J120" s="60"/>
      <c r="K120" s="62"/>
      <c r="L120" s="182">
        <v>4.41E-2</v>
      </c>
      <c r="M120" s="64">
        <f>M6</f>
        <v>0</v>
      </c>
      <c r="N120" s="65"/>
      <c r="O120" s="66">
        <v>45439</v>
      </c>
      <c r="P120" s="67"/>
      <c r="Q120" s="68"/>
      <c r="R120" s="69"/>
      <c r="S120" s="105" t="s">
        <v>44</v>
      </c>
      <c r="T120" s="72">
        <v>145332</v>
      </c>
      <c r="U120" s="72"/>
      <c r="V120" s="116">
        <v>0</v>
      </c>
      <c r="W120" s="72">
        <v>7396</v>
      </c>
      <c r="X120" s="73"/>
      <c r="Y120" s="73"/>
      <c r="Z120" s="72">
        <v>7456</v>
      </c>
      <c r="AA120" s="72">
        <v>7456</v>
      </c>
      <c r="AB120" s="72">
        <v>7456</v>
      </c>
      <c r="AC120" s="72">
        <v>7456</v>
      </c>
      <c r="AD120" s="72">
        <v>7456</v>
      </c>
      <c r="AE120" s="72">
        <v>7456</v>
      </c>
      <c r="AF120" s="72">
        <v>7456</v>
      </c>
      <c r="AG120" s="72">
        <v>85744</v>
      </c>
      <c r="AH120" s="227">
        <f t="shared" si="2"/>
        <v>130480</v>
      </c>
      <c r="AI120" s="75"/>
      <c r="AJ120" s="221"/>
      <c r="AK120" s="221"/>
    </row>
    <row r="121" spans="1:37" s="95" customFormat="1" ht="15.75" hidden="1" outlineLevel="1" thickBot="1" x14ac:dyDescent="0.3">
      <c r="A121" s="228"/>
      <c r="B121" s="511"/>
      <c r="C121" s="513"/>
      <c r="D121" s="513"/>
      <c r="E121" s="81"/>
      <c r="F121" s="514"/>
      <c r="G121" s="481"/>
      <c r="H121" s="83"/>
      <c r="I121" s="515"/>
      <c r="J121" s="120"/>
      <c r="K121" s="121"/>
      <c r="L121" s="86"/>
      <c r="M121" s="79"/>
      <c r="N121" s="79"/>
      <c r="O121" s="87"/>
      <c r="P121" s="85"/>
      <c r="Q121" s="111"/>
      <c r="R121" s="112"/>
      <c r="S121" s="90" t="s">
        <v>46</v>
      </c>
      <c r="T121" s="184"/>
      <c r="U121" s="184"/>
      <c r="V121" s="92">
        <v>200</v>
      </c>
      <c r="W121" s="92">
        <v>363.33</v>
      </c>
      <c r="X121" s="93">
        <v>1324.6100000000001</v>
      </c>
      <c r="Y121" s="93">
        <v>1510.01</v>
      </c>
      <c r="Z121" s="92">
        <v>2834.62</v>
      </c>
      <c r="AA121" s="92">
        <f>((SUM(AA120:$AG120))*($L120+$M120))</f>
        <v>5754.1679999999997</v>
      </c>
      <c r="AB121" s="92">
        <f>((SUM(AB120:$AG120))*($L120+$M120))</f>
        <v>5425.3584000000001</v>
      </c>
      <c r="AC121" s="92">
        <f>((SUM(AC120:$AG120))*($L120+$M120))</f>
        <v>5096.5488000000005</v>
      </c>
      <c r="AD121" s="92">
        <f>((SUM(AD120:$AG120))*($L120+$M120))</f>
        <v>4767.7392</v>
      </c>
      <c r="AE121" s="92">
        <f>((SUM(AE120:$AG120))*($L120+$M120))</f>
        <v>4438.9296000000004</v>
      </c>
      <c r="AF121" s="92">
        <f>((SUM(AF120:$AG120))*($L120+$M120))</f>
        <v>4110.12</v>
      </c>
      <c r="AG121" s="92">
        <f>((SUM(AG120:$AG120))*($L120+$M120))*11</f>
        <v>41594.414400000001</v>
      </c>
      <c r="AH121" s="229">
        <f t="shared" si="2"/>
        <v>71187.278399999996</v>
      </c>
      <c r="AI121" s="75"/>
      <c r="AJ121" s="221"/>
      <c r="AK121" s="221"/>
    </row>
    <row r="122" spans="1:37" s="95" customFormat="1" ht="13.9" hidden="1" customHeight="1" outlineLevel="1" x14ac:dyDescent="0.25">
      <c r="A122" s="226">
        <v>48</v>
      </c>
      <c r="B122" s="510" t="s">
        <v>323</v>
      </c>
      <c r="C122" s="512" t="s">
        <v>324</v>
      </c>
      <c r="D122" s="512" t="s">
        <v>325</v>
      </c>
      <c r="E122" s="157"/>
      <c r="F122" s="500" t="s">
        <v>321</v>
      </c>
      <c r="G122" s="480" t="s">
        <v>322</v>
      </c>
      <c r="H122" s="60"/>
      <c r="I122" s="507">
        <v>132027</v>
      </c>
      <c r="J122" s="60"/>
      <c r="K122" s="62"/>
      <c r="L122" s="182">
        <v>4.41E-2</v>
      </c>
      <c r="M122" s="64">
        <f>M6</f>
        <v>0</v>
      </c>
      <c r="N122" s="65"/>
      <c r="O122" s="66">
        <v>45439</v>
      </c>
      <c r="P122" s="67"/>
      <c r="Q122" s="68"/>
      <c r="R122" s="69"/>
      <c r="S122" s="105" t="s">
        <v>44</v>
      </c>
      <c r="T122" s="72">
        <v>132027</v>
      </c>
      <c r="U122" s="72"/>
      <c r="V122" s="116">
        <v>0</v>
      </c>
      <c r="W122" s="72">
        <v>6745</v>
      </c>
      <c r="X122" s="73"/>
      <c r="Y122" s="73"/>
      <c r="Z122" s="72">
        <v>6772</v>
      </c>
      <c r="AA122" s="72">
        <v>6772</v>
      </c>
      <c r="AB122" s="72">
        <v>6772</v>
      </c>
      <c r="AC122" s="72">
        <v>6772</v>
      </c>
      <c r="AD122" s="72">
        <v>6772</v>
      </c>
      <c r="AE122" s="72">
        <v>6772</v>
      </c>
      <c r="AF122" s="72">
        <v>6772</v>
      </c>
      <c r="AG122" s="72">
        <v>77878</v>
      </c>
      <c r="AH122" s="227">
        <f t="shared" si="2"/>
        <v>118510</v>
      </c>
      <c r="AI122" s="75"/>
      <c r="AJ122" s="221"/>
      <c r="AK122" s="221"/>
    </row>
    <row r="123" spans="1:37" s="95" customFormat="1" ht="15.75" hidden="1" outlineLevel="1" thickBot="1" x14ac:dyDescent="0.3">
      <c r="A123" s="228"/>
      <c r="B123" s="511"/>
      <c r="C123" s="513"/>
      <c r="D123" s="513"/>
      <c r="E123" s="81"/>
      <c r="F123" s="514"/>
      <c r="G123" s="481"/>
      <c r="H123" s="83"/>
      <c r="I123" s="520"/>
      <c r="J123" s="120"/>
      <c r="K123" s="121"/>
      <c r="L123" s="86"/>
      <c r="M123" s="79"/>
      <c r="N123" s="79"/>
      <c r="O123" s="87"/>
      <c r="P123" s="85"/>
      <c r="Q123" s="111"/>
      <c r="R123" s="112"/>
      <c r="S123" s="90" t="s">
        <v>46</v>
      </c>
      <c r="T123" s="184"/>
      <c r="U123" s="184"/>
      <c r="V123" s="92">
        <v>200</v>
      </c>
      <c r="W123" s="92">
        <v>747.32264500000019</v>
      </c>
      <c r="X123" s="93">
        <v>1202.1199999999999</v>
      </c>
      <c r="Y123" s="93">
        <v>1370.35</v>
      </c>
      <c r="Z123" s="92">
        <v>2572.4699999999998</v>
      </c>
      <c r="AA123" s="92">
        <f>((SUM(AA122:$AG122))*($L122+$M122))</f>
        <v>5226.2910000000002</v>
      </c>
      <c r="AB123" s="92">
        <f>((SUM(AB122:$AG122))*($L122+$M122))</f>
        <v>4927.6458000000002</v>
      </c>
      <c r="AC123" s="92">
        <f>((SUM(AC122:$AG122))*($L122+$M122))</f>
        <v>4629.0006000000003</v>
      </c>
      <c r="AD123" s="92">
        <f>((SUM(AD122:$AG122))*($L122+$M122))</f>
        <v>4330.3554000000004</v>
      </c>
      <c r="AE123" s="92">
        <f>((SUM(AE122:$AG122))*($L122+$M122))</f>
        <v>4031.7102</v>
      </c>
      <c r="AF123" s="92">
        <f>((SUM(AF122:$AG122))*($L122+$M122))</f>
        <v>3733.0650000000001</v>
      </c>
      <c r="AG123" s="92">
        <f>((SUM(AG122:$AG122))*($L122+$M122))*11</f>
        <v>37778.6178</v>
      </c>
      <c r="AH123" s="229">
        <f t="shared" si="2"/>
        <v>64656.685799999999</v>
      </c>
      <c r="AI123" s="75"/>
      <c r="AJ123" s="221"/>
      <c r="AK123" s="221"/>
    </row>
    <row r="124" spans="1:37" s="95" customFormat="1" ht="13.15" hidden="1" customHeight="1" outlineLevel="1" x14ac:dyDescent="0.25">
      <c r="A124" s="226">
        <v>49</v>
      </c>
      <c r="B124" s="501" t="s">
        <v>326</v>
      </c>
      <c r="C124" s="503" t="s">
        <v>327</v>
      </c>
      <c r="D124" s="503" t="s">
        <v>328</v>
      </c>
      <c r="E124" s="157"/>
      <c r="F124" s="500" t="s">
        <v>329</v>
      </c>
      <c r="G124" s="480" t="s">
        <v>330</v>
      </c>
      <c r="H124" s="60"/>
      <c r="I124" s="490">
        <v>279650</v>
      </c>
      <c r="J124" s="60"/>
      <c r="K124" s="62"/>
      <c r="L124" s="182">
        <v>4.2029999999999998E-2</v>
      </c>
      <c r="M124" s="64">
        <f>M6</f>
        <v>0</v>
      </c>
      <c r="N124" s="65"/>
      <c r="O124" s="66">
        <v>45390</v>
      </c>
      <c r="P124" s="67"/>
      <c r="Q124" s="68"/>
      <c r="R124" s="69"/>
      <c r="S124" s="105" t="s">
        <v>44</v>
      </c>
      <c r="T124" s="72">
        <v>279650</v>
      </c>
      <c r="U124" s="72"/>
      <c r="V124" s="116">
        <v>0</v>
      </c>
      <c r="W124" s="72">
        <v>9467</v>
      </c>
      <c r="X124" s="73"/>
      <c r="Y124" s="73"/>
      <c r="Z124" s="72">
        <v>9564</v>
      </c>
      <c r="AA124" s="72">
        <v>9564</v>
      </c>
      <c r="AB124" s="72">
        <v>9564</v>
      </c>
      <c r="AC124" s="72">
        <v>9564</v>
      </c>
      <c r="AD124" s="72">
        <v>9564</v>
      </c>
      <c r="AE124" s="72">
        <v>9564</v>
      </c>
      <c r="AF124" s="72">
        <v>9564</v>
      </c>
      <c r="AG124" s="72">
        <v>203235</v>
      </c>
      <c r="AH124" s="227">
        <f t="shared" si="2"/>
        <v>260619</v>
      </c>
      <c r="AI124" s="75"/>
      <c r="AJ124" s="221"/>
      <c r="AK124" s="221"/>
    </row>
    <row r="125" spans="1:37" s="95" customFormat="1" ht="15.75" hidden="1" outlineLevel="1" thickBot="1" x14ac:dyDescent="0.3">
      <c r="A125" s="228"/>
      <c r="B125" s="518"/>
      <c r="C125" s="519"/>
      <c r="D125" s="519"/>
      <c r="E125" s="81"/>
      <c r="F125" s="514"/>
      <c r="G125" s="481"/>
      <c r="H125" s="83"/>
      <c r="I125" s="515"/>
      <c r="J125" s="120"/>
      <c r="K125" s="121"/>
      <c r="L125" s="86"/>
      <c r="M125" s="79"/>
      <c r="N125" s="79"/>
      <c r="O125" s="87"/>
      <c r="P125" s="85"/>
      <c r="Q125" s="111"/>
      <c r="R125" s="112"/>
      <c r="S125" s="90" t="s">
        <v>46</v>
      </c>
      <c r="T125" s="184"/>
      <c r="U125" s="184"/>
      <c r="V125" s="92">
        <v>300</v>
      </c>
      <c r="W125" s="92">
        <v>707.5145</v>
      </c>
      <c r="X125" s="93">
        <v>3429.71</v>
      </c>
      <c r="Y125" s="93">
        <v>2847.6</v>
      </c>
      <c r="Z125" s="92">
        <v>6277.3099999999995</v>
      </c>
      <c r="AA125" s="92">
        <f>((SUM(AA124:$AG124))*($L124+$M124))</f>
        <v>10953.816569999999</v>
      </c>
      <c r="AB125" s="92">
        <f>((SUM(AB124:$AG124))*($L124+$M124))</f>
        <v>10551.84165</v>
      </c>
      <c r="AC125" s="92">
        <f>((SUM(AC124:$AG124))*($L124+$M124))</f>
        <v>10149.86673</v>
      </c>
      <c r="AD125" s="92">
        <f>((SUM(AD124:$AG124))*($L124+$M124))</f>
        <v>9747.8918099999992</v>
      </c>
      <c r="AE125" s="92">
        <f>((SUM(AE124:$AG124))*($L124+$M124))</f>
        <v>9345.9168900000004</v>
      </c>
      <c r="AF125" s="92">
        <f>((SUM(AF124:$AG124))*($L124+$M124))</f>
        <v>8943.9419699999999</v>
      </c>
      <c r="AG125" s="92">
        <f>((SUM(AG124:$AG124))*($L124+$M124))*21</f>
        <v>179381.30804999999</v>
      </c>
      <c r="AH125" s="229">
        <f t="shared" si="2"/>
        <v>239074.58366999999</v>
      </c>
      <c r="AI125" s="75"/>
      <c r="AJ125" s="221"/>
      <c r="AK125" s="221"/>
    </row>
    <row r="126" spans="1:37" s="95" customFormat="1" ht="13.9" hidden="1" customHeight="1" outlineLevel="1" x14ac:dyDescent="0.25">
      <c r="A126" s="226">
        <v>50</v>
      </c>
      <c r="B126" s="501" t="s">
        <v>331</v>
      </c>
      <c r="C126" s="521" t="s">
        <v>332</v>
      </c>
      <c r="D126" s="503" t="s">
        <v>333</v>
      </c>
      <c r="E126" s="157"/>
      <c r="F126" s="500" t="s">
        <v>334</v>
      </c>
      <c r="G126" s="480" t="s">
        <v>335</v>
      </c>
      <c r="H126" s="60"/>
      <c r="I126" s="490">
        <v>400000</v>
      </c>
      <c r="J126" s="60"/>
      <c r="K126" s="62"/>
      <c r="L126" s="182">
        <v>4.2419999999999999E-2</v>
      </c>
      <c r="M126" s="64">
        <f>M6</f>
        <v>0</v>
      </c>
      <c r="N126" s="65"/>
      <c r="O126" s="66">
        <v>45346</v>
      </c>
      <c r="P126" s="67"/>
      <c r="Q126" s="68"/>
      <c r="R126" s="69"/>
      <c r="S126" s="105" t="s">
        <v>44</v>
      </c>
      <c r="T126" s="72">
        <v>400000</v>
      </c>
      <c r="U126" s="72"/>
      <c r="V126" s="116">
        <v>0</v>
      </c>
      <c r="W126" s="72">
        <v>13653</v>
      </c>
      <c r="X126" s="73"/>
      <c r="Y126" s="73"/>
      <c r="Z126" s="72">
        <v>13676</v>
      </c>
      <c r="AA126" s="183">
        <v>13676</v>
      </c>
      <c r="AB126" s="72">
        <v>13676</v>
      </c>
      <c r="AC126" s="72">
        <v>13676</v>
      </c>
      <c r="AD126" s="72">
        <v>13676</v>
      </c>
      <c r="AE126" s="72">
        <v>13676</v>
      </c>
      <c r="AF126" s="72">
        <v>13676</v>
      </c>
      <c r="AG126" s="72">
        <v>290615</v>
      </c>
      <c r="AH126" s="227">
        <f t="shared" si="2"/>
        <v>372671</v>
      </c>
      <c r="AI126" s="75"/>
    </row>
    <row r="127" spans="1:37" s="95" customFormat="1" ht="15.75" hidden="1" outlineLevel="1" thickBot="1" x14ac:dyDescent="0.3">
      <c r="A127" s="228"/>
      <c r="B127" s="518"/>
      <c r="C127" s="522"/>
      <c r="D127" s="519"/>
      <c r="E127" s="81"/>
      <c r="F127" s="514"/>
      <c r="G127" s="481"/>
      <c r="H127" s="83"/>
      <c r="I127" s="515"/>
      <c r="J127" s="120"/>
      <c r="K127" s="121"/>
      <c r="L127" s="86"/>
      <c r="M127" s="79"/>
      <c r="N127" s="79"/>
      <c r="O127" s="87"/>
      <c r="P127" s="85"/>
      <c r="Q127" s="111"/>
      <c r="R127" s="112"/>
      <c r="S127" s="90" t="s">
        <v>46</v>
      </c>
      <c r="T127" s="184"/>
      <c r="U127" s="184"/>
      <c r="V127" s="92">
        <v>400</v>
      </c>
      <c r="W127" s="92">
        <v>1012</v>
      </c>
      <c r="X127" s="93">
        <v>6157.64</v>
      </c>
      <c r="Y127" s="93">
        <v>4109.7</v>
      </c>
      <c r="Z127" s="92">
        <v>8267.34</v>
      </c>
      <c r="AA127" s="92">
        <f>((SUM(AA126:$AG126))*($L126+$M126))</f>
        <v>15808.703820000001</v>
      </c>
      <c r="AB127" s="92">
        <f>((SUM(AB126:$AG126))*($L126+$M126))</f>
        <v>15228.5679</v>
      </c>
      <c r="AC127" s="92">
        <f>((SUM(AC126:$AG126))*($L126+$M126))</f>
        <v>14648.431979999999</v>
      </c>
      <c r="AD127" s="92">
        <f>((SUM(AD126:$AG126))*($L126+$M126))</f>
        <v>14068.296060000001</v>
      </c>
      <c r="AE127" s="92">
        <f>((SUM(AE126:$AG126))*($L126+$M126))</f>
        <v>13488.16014</v>
      </c>
      <c r="AF127" s="92">
        <f>((SUM(AF126:$AG126))*($L126+$M126))</f>
        <v>12908.024219999999</v>
      </c>
      <c r="AG127" s="92">
        <f>((SUM(AG126:$AG126))*($L126+$M126))*21</f>
        <v>258885.65430000002</v>
      </c>
      <c r="AH127" s="229">
        <f t="shared" si="2"/>
        <v>345035.83842000004</v>
      </c>
      <c r="AI127" s="75"/>
    </row>
    <row r="128" spans="1:37" s="95" customFormat="1" ht="12.6" hidden="1" customHeight="1" outlineLevel="1" x14ac:dyDescent="0.25">
      <c r="A128" s="226">
        <v>51</v>
      </c>
      <c r="B128" s="501" t="s">
        <v>336</v>
      </c>
      <c r="C128" s="523" t="s">
        <v>337</v>
      </c>
      <c r="D128" s="523" t="s">
        <v>338</v>
      </c>
      <c r="E128" s="157"/>
      <c r="F128" s="500" t="s">
        <v>339</v>
      </c>
      <c r="G128" s="480" t="s">
        <v>340</v>
      </c>
      <c r="H128" s="60"/>
      <c r="I128" s="490">
        <v>247902</v>
      </c>
      <c r="J128" s="230"/>
      <c r="K128" s="231" t="s">
        <v>44</v>
      </c>
      <c r="L128" s="182">
        <v>3.6269999999999997E-2</v>
      </c>
      <c r="M128" s="64">
        <f>M6</f>
        <v>0</v>
      </c>
      <c r="N128" s="65"/>
      <c r="O128" s="66">
        <v>45283</v>
      </c>
      <c r="P128" s="67"/>
      <c r="Q128" s="68"/>
      <c r="R128" s="69"/>
      <c r="S128" s="105" t="s">
        <v>44</v>
      </c>
      <c r="T128" s="72"/>
      <c r="U128" s="72"/>
      <c r="V128" s="116"/>
      <c r="W128" s="116">
        <v>0</v>
      </c>
      <c r="X128" s="175"/>
      <c r="Y128" s="175"/>
      <c r="Z128" s="72">
        <v>61974</v>
      </c>
      <c r="AA128" s="72">
        <v>61976</v>
      </c>
      <c r="AB128" s="72">
        <v>61976</v>
      </c>
      <c r="AC128" s="72">
        <v>61976</v>
      </c>
      <c r="AD128" s="116">
        <v>0</v>
      </c>
      <c r="AE128" s="116">
        <v>0</v>
      </c>
      <c r="AF128" s="116">
        <v>0</v>
      </c>
      <c r="AG128" s="116">
        <v>0</v>
      </c>
      <c r="AH128" s="227">
        <f t="shared" si="2"/>
        <v>185928</v>
      </c>
      <c r="AI128" s="75"/>
    </row>
    <row r="129" spans="1:36" s="95" customFormat="1" ht="15.75" hidden="1" outlineLevel="1" thickBot="1" x14ac:dyDescent="0.3">
      <c r="A129" s="228"/>
      <c r="B129" s="518"/>
      <c r="C129" s="519"/>
      <c r="D129" s="519"/>
      <c r="E129" s="81"/>
      <c r="F129" s="514"/>
      <c r="G129" s="483"/>
      <c r="H129" s="83"/>
      <c r="I129" s="515"/>
      <c r="J129" s="232"/>
      <c r="K129" s="233" t="s">
        <v>46</v>
      </c>
      <c r="L129" s="86"/>
      <c r="M129" s="79"/>
      <c r="N129" s="79"/>
      <c r="O129" s="87"/>
      <c r="P129" s="85"/>
      <c r="Q129" s="111"/>
      <c r="R129" s="112"/>
      <c r="S129" s="90" t="s">
        <v>46</v>
      </c>
      <c r="T129" s="184"/>
      <c r="U129" s="184"/>
      <c r="V129" s="184"/>
      <c r="W129" s="92">
        <f>SUM(W$128:$AC128)*0.25%</f>
        <v>619.755</v>
      </c>
      <c r="X129" s="93">
        <v>4671.8600000000006</v>
      </c>
      <c r="Y129" s="93">
        <v>1993.43</v>
      </c>
      <c r="Z129" s="92">
        <v>6665.2900000000009</v>
      </c>
      <c r="AA129" s="92">
        <f>((SUM(AA128:$AG128))*($L128+$M128))</f>
        <v>6743.6085599999997</v>
      </c>
      <c r="AB129" s="92">
        <f>((SUM(AB128:$AG128))*($L128+$M128))</f>
        <v>4495.7390399999995</v>
      </c>
      <c r="AC129" s="92">
        <f>((SUM(AC128:$AG128))*($L128+$M128))</f>
        <v>2247.8695199999997</v>
      </c>
      <c r="AD129" s="122">
        <f>((SUM(AD128:$AG128))*($L128+$M128))</f>
        <v>0</v>
      </c>
      <c r="AE129" s="122">
        <f>((SUM(AE128:$AG128))*($L128+$M128))</f>
        <v>0</v>
      </c>
      <c r="AF129" s="122">
        <f>((SUM(AF128:$AG128))*($L128+$M128))</f>
        <v>0</v>
      </c>
      <c r="AG129" s="122">
        <f>((SUM(AG128:$AG128))*($L128+$M128))</f>
        <v>0</v>
      </c>
      <c r="AH129" s="229">
        <f t="shared" si="2"/>
        <v>13487.217119999999</v>
      </c>
      <c r="AI129" s="75"/>
    </row>
    <row r="130" spans="1:36" s="95" customFormat="1" ht="12.6" hidden="1" customHeight="1" outlineLevel="1" x14ac:dyDescent="0.25">
      <c r="A130" s="226">
        <v>52</v>
      </c>
      <c r="B130" s="501" t="s">
        <v>341</v>
      </c>
      <c r="C130" s="503" t="s">
        <v>342</v>
      </c>
      <c r="D130" s="503" t="s">
        <v>343</v>
      </c>
      <c r="E130" s="157"/>
      <c r="F130" s="500" t="s">
        <v>344</v>
      </c>
      <c r="G130" s="480" t="s">
        <v>345</v>
      </c>
      <c r="H130" s="60"/>
      <c r="I130" s="490">
        <v>54624</v>
      </c>
      <c r="J130" s="230"/>
      <c r="K130" s="231" t="s">
        <v>44</v>
      </c>
      <c r="L130" s="182">
        <v>3.7269999999999998E-2</v>
      </c>
      <c r="M130" s="64">
        <f>M6</f>
        <v>0</v>
      </c>
      <c r="N130" s="65"/>
      <c r="O130" s="66">
        <v>45324</v>
      </c>
      <c r="P130" s="67"/>
      <c r="Q130" s="68"/>
      <c r="R130" s="69"/>
      <c r="S130" s="105" t="s">
        <v>44</v>
      </c>
      <c r="T130" s="72"/>
      <c r="U130" s="72"/>
      <c r="V130" s="116"/>
      <c r="W130" s="116">
        <v>3760</v>
      </c>
      <c r="X130" s="175"/>
      <c r="Y130" s="175"/>
      <c r="Z130" s="72">
        <v>8064</v>
      </c>
      <c r="AA130" s="72">
        <v>8064</v>
      </c>
      <c r="AB130" s="72">
        <v>8064</v>
      </c>
      <c r="AC130" s="72">
        <v>8064</v>
      </c>
      <c r="AD130" s="72">
        <v>8064</v>
      </c>
      <c r="AE130" s="72">
        <v>8064</v>
      </c>
      <c r="AF130" s="72">
        <v>2480</v>
      </c>
      <c r="AG130" s="116">
        <v>0</v>
      </c>
      <c r="AH130" s="227">
        <f t="shared" si="2"/>
        <v>42800</v>
      </c>
      <c r="AI130" s="75"/>
    </row>
    <row r="131" spans="1:36" s="95" customFormat="1" ht="15.75" hidden="1" outlineLevel="1" thickBot="1" x14ac:dyDescent="0.3">
      <c r="A131" s="228"/>
      <c r="B131" s="518"/>
      <c r="C131" s="519"/>
      <c r="D131" s="519"/>
      <c r="E131" s="81"/>
      <c r="F131" s="514"/>
      <c r="G131" s="481"/>
      <c r="H131" s="83"/>
      <c r="I131" s="515"/>
      <c r="J131" s="232"/>
      <c r="K131" s="233" t="s">
        <v>46</v>
      </c>
      <c r="L131" s="86"/>
      <c r="M131" s="79"/>
      <c r="N131" s="79"/>
      <c r="O131" s="87"/>
      <c r="P131" s="85"/>
      <c r="Q131" s="111"/>
      <c r="R131" s="112"/>
      <c r="S131" s="90" t="s">
        <v>46</v>
      </c>
      <c r="T131" s="184"/>
      <c r="U131" s="184"/>
      <c r="V131" s="184"/>
      <c r="W131" s="92">
        <v>417.68</v>
      </c>
      <c r="X131" s="93">
        <v>203.42000000000002</v>
      </c>
      <c r="Y131" s="93">
        <v>75.88</v>
      </c>
      <c r="Z131" s="92">
        <v>279.3</v>
      </c>
      <c r="AA131" s="92">
        <f>((SUM(AA130:$AG130))*($L130+$M130))</f>
        <v>1595.1559999999999</v>
      </c>
      <c r="AB131" s="92">
        <f>((SUM(AB130:$AG130))*($L130+$M130))</f>
        <v>1294.6107199999999</v>
      </c>
      <c r="AC131" s="92">
        <f>((SUM(AC130:$AG130))*($L130+$M130))</f>
        <v>994.06543999999997</v>
      </c>
      <c r="AD131" s="92">
        <f>((SUM(AD130:$AG130))*($L130+$M130))</f>
        <v>693.52015999999992</v>
      </c>
      <c r="AE131" s="92">
        <f>((SUM(AE130:$AG130))*($L130+$M130))</f>
        <v>392.97487999999998</v>
      </c>
      <c r="AF131" s="92">
        <f>((SUM(AF130:$AG130))*($L130+$M130))</f>
        <v>92.429599999999994</v>
      </c>
      <c r="AG131" s="122">
        <f>((SUM(AG130:$AG130))*($L130+$M130))</f>
        <v>0</v>
      </c>
      <c r="AH131" s="229">
        <f t="shared" si="2"/>
        <v>5062.7567999999992</v>
      </c>
      <c r="AI131" s="75"/>
    </row>
    <row r="132" spans="1:36" s="95" customFormat="1" ht="12.6" hidden="1" customHeight="1" outlineLevel="1" x14ac:dyDescent="0.25">
      <c r="A132" s="226">
        <v>53</v>
      </c>
      <c r="B132" s="501" t="s">
        <v>346</v>
      </c>
      <c r="C132" s="503" t="s">
        <v>347</v>
      </c>
      <c r="D132" s="503" t="s">
        <v>348</v>
      </c>
      <c r="E132" s="157">
        <v>44594</v>
      </c>
      <c r="F132" s="500">
        <v>44594</v>
      </c>
      <c r="G132" s="480" t="s">
        <v>349</v>
      </c>
      <c r="H132" s="60"/>
      <c r="I132" s="490">
        <v>178121</v>
      </c>
      <c r="J132" s="230"/>
      <c r="K132" s="231" t="s">
        <v>44</v>
      </c>
      <c r="L132" s="182">
        <v>3.9019999999999999E-2</v>
      </c>
      <c r="M132" s="64">
        <f>M6</f>
        <v>0</v>
      </c>
      <c r="N132" s="65"/>
      <c r="O132" s="66">
        <v>45324</v>
      </c>
      <c r="P132" s="67"/>
      <c r="Q132" s="68"/>
      <c r="R132" s="69"/>
      <c r="S132" s="105" t="s">
        <v>44</v>
      </c>
      <c r="T132" s="72"/>
      <c r="U132" s="72"/>
      <c r="V132" s="116"/>
      <c r="W132" s="116">
        <v>0</v>
      </c>
      <c r="X132" s="175"/>
      <c r="Y132" s="175"/>
      <c r="Z132" s="72">
        <v>84838</v>
      </c>
      <c r="AA132" s="72">
        <v>12500</v>
      </c>
      <c r="AB132" s="72">
        <v>12500</v>
      </c>
      <c r="AC132" s="72">
        <v>12500</v>
      </c>
      <c r="AD132" s="72">
        <v>12500</v>
      </c>
      <c r="AE132" s="72">
        <v>12500</v>
      </c>
      <c r="AF132" s="72">
        <v>12500</v>
      </c>
      <c r="AG132" s="116">
        <f>90625-72342</f>
        <v>18283</v>
      </c>
      <c r="AH132" s="227">
        <f t="shared" si="2"/>
        <v>93283</v>
      </c>
      <c r="AI132" s="75"/>
    </row>
    <row r="133" spans="1:36" s="95" customFormat="1" ht="15.75" hidden="1" outlineLevel="1" thickBot="1" x14ac:dyDescent="0.3">
      <c r="A133" s="228"/>
      <c r="B133" s="518"/>
      <c r="C133" s="519"/>
      <c r="D133" s="519"/>
      <c r="E133" s="81"/>
      <c r="F133" s="514"/>
      <c r="G133" s="481"/>
      <c r="H133" s="83"/>
      <c r="I133" s="515"/>
      <c r="J133" s="232"/>
      <c r="K133" s="233" t="s">
        <v>46</v>
      </c>
      <c r="L133" s="86"/>
      <c r="M133" s="79"/>
      <c r="N133" s="79"/>
      <c r="O133" s="87"/>
      <c r="P133" s="85"/>
      <c r="Q133" s="111"/>
      <c r="R133" s="112"/>
      <c r="S133" s="90" t="s">
        <v>46</v>
      </c>
      <c r="T133" s="184"/>
      <c r="U133" s="184"/>
      <c r="V133" s="184"/>
      <c r="W133" s="92">
        <v>471.30250000000001</v>
      </c>
      <c r="X133" s="93">
        <v>1807.31</v>
      </c>
      <c r="Y133" s="93">
        <v>988.8</v>
      </c>
      <c r="Z133" s="92">
        <v>2796.1099999999997</v>
      </c>
      <c r="AA133" s="92">
        <f>((SUM(AA132:$AG132))*($L132+$M132))</f>
        <v>3639.9026599999997</v>
      </c>
      <c r="AB133" s="92">
        <f>((SUM(AB132:$AG132))*($L132+$M132))</f>
        <v>3152.1526599999997</v>
      </c>
      <c r="AC133" s="92">
        <f>((SUM(AC132:$AG132))*($L132+$M132))</f>
        <v>2664.4026599999997</v>
      </c>
      <c r="AD133" s="92">
        <f>((SUM(AD132:$AG132))*($L132+$M132))</f>
        <v>2176.6526599999997</v>
      </c>
      <c r="AE133" s="92">
        <f>((SUM(AE132:$AG132))*($L132+$M132))</f>
        <v>1688.90266</v>
      </c>
      <c r="AF133" s="92">
        <f>((SUM(AF132:$AG132))*($L132+$M132))</f>
        <v>1201.15266</v>
      </c>
      <c r="AG133" s="92">
        <f>((SUM(AG132:$AG132))*($L132+$M132))*7</f>
        <v>4993.81862</v>
      </c>
      <c r="AH133" s="229">
        <f t="shared" si="2"/>
        <v>19516.984579999997</v>
      </c>
      <c r="AI133" s="75"/>
    </row>
    <row r="134" spans="1:36" s="95" customFormat="1" ht="12.6" hidden="1" customHeight="1" outlineLevel="1" x14ac:dyDescent="0.25">
      <c r="A134" s="226">
        <v>54</v>
      </c>
      <c r="B134" s="501" t="s">
        <v>346</v>
      </c>
      <c r="C134" s="503" t="s">
        <v>350</v>
      </c>
      <c r="D134" s="503" t="s">
        <v>351</v>
      </c>
      <c r="E134" s="157">
        <v>44594</v>
      </c>
      <c r="F134" s="500">
        <v>44781</v>
      </c>
      <c r="G134" s="480" t="s">
        <v>352</v>
      </c>
      <c r="H134" s="60"/>
      <c r="I134" s="524">
        <v>39831</v>
      </c>
      <c r="J134" s="230"/>
      <c r="K134" s="231" t="s">
        <v>44</v>
      </c>
      <c r="L134" s="182">
        <f>$L$7</f>
        <v>2.6579999999999999E-2</v>
      </c>
      <c r="M134" s="64">
        <f>$M$7</f>
        <v>2.5000000000000001E-3</v>
      </c>
      <c r="N134" s="65"/>
      <c r="O134" s="174"/>
      <c r="P134" s="67"/>
      <c r="Q134" s="68"/>
      <c r="R134" s="69"/>
      <c r="S134" s="105" t="s">
        <v>44</v>
      </c>
      <c r="T134" s="72"/>
      <c r="U134" s="72"/>
      <c r="V134" s="116"/>
      <c r="W134" s="116">
        <v>0</v>
      </c>
      <c r="X134" s="175"/>
      <c r="Y134" s="175"/>
      <c r="Z134" s="72">
        <v>39831</v>
      </c>
      <c r="AA134" s="72"/>
      <c r="AB134" s="72"/>
      <c r="AC134" s="72"/>
      <c r="AD134" s="72"/>
      <c r="AE134" s="72"/>
      <c r="AF134" s="72"/>
      <c r="AG134" s="116"/>
      <c r="AH134" s="227">
        <f t="shared" si="2"/>
        <v>0</v>
      </c>
      <c r="AI134" s="75"/>
    </row>
    <row r="135" spans="1:36" s="95" customFormat="1" ht="15.75" hidden="1" outlineLevel="1" thickBot="1" x14ac:dyDescent="0.3">
      <c r="A135" s="228"/>
      <c r="B135" s="518"/>
      <c r="C135" s="519"/>
      <c r="D135" s="519"/>
      <c r="E135" s="81"/>
      <c r="F135" s="514"/>
      <c r="G135" s="481"/>
      <c r="H135" s="83"/>
      <c r="I135" s="525"/>
      <c r="J135" s="232"/>
      <c r="K135" s="233" t="s">
        <v>46</v>
      </c>
      <c r="L135" s="79"/>
      <c r="M135" s="79"/>
      <c r="N135" s="79"/>
      <c r="O135" s="87"/>
      <c r="P135" s="85"/>
      <c r="Q135" s="111"/>
      <c r="R135" s="112"/>
      <c r="S135" s="90" t="s">
        <v>46</v>
      </c>
      <c r="T135" s="184"/>
      <c r="U135" s="184"/>
      <c r="V135" s="184"/>
      <c r="W135" s="92">
        <v>532.79</v>
      </c>
      <c r="X135" s="93">
        <v>301.77000000000004</v>
      </c>
      <c r="Y135" s="93"/>
      <c r="Z135" s="92">
        <v>301.77000000000004</v>
      </c>
      <c r="AA135" s="92">
        <f>((SUM(AA134:$AG134))*($L134+$M134))</f>
        <v>0</v>
      </c>
      <c r="AB135" s="92">
        <f>((SUM(AB134:$AG134))*($L134+$M134))</f>
        <v>0</v>
      </c>
      <c r="AC135" s="92">
        <f>((SUM(AC134:$AG134))*($L134+$M134))</f>
        <v>0</v>
      </c>
      <c r="AD135" s="92">
        <f>((SUM(AD134:$AG134))*($L134+$M134))</f>
        <v>0</v>
      </c>
      <c r="AE135" s="92">
        <f>((SUM(AE134:$AG134))*($L134+$M134))</f>
        <v>0</v>
      </c>
      <c r="AF135" s="92">
        <f>((SUM(AF134:$AG134))*($L134+$M134))</f>
        <v>0</v>
      </c>
      <c r="AG135" s="92">
        <f>((SUM(AG134:$AG134))*($L134+$M134))*7</f>
        <v>0</v>
      </c>
      <c r="AH135" s="229">
        <f t="shared" si="2"/>
        <v>0</v>
      </c>
      <c r="AI135" s="75"/>
    </row>
    <row r="136" spans="1:36" s="95" customFormat="1" ht="12.6" hidden="1" customHeight="1" outlineLevel="1" x14ac:dyDescent="0.25">
      <c r="A136" s="226">
        <v>55</v>
      </c>
      <c r="B136" s="501" t="s">
        <v>353</v>
      </c>
      <c r="C136" s="521" t="s">
        <v>354</v>
      </c>
      <c r="D136" s="503" t="s">
        <v>355</v>
      </c>
      <c r="E136" s="157">
        <v>44594</v>
      </c>
      <c r="F136" s="500">
        <v>44894</v>
      </c>
      <c r="G136" s="480" t="s">
        <v>356</v>
      </c>
      <c r="H136" s="60"/>
      <c r="I136" s="490">
        <v>503660</v>
      </c>
      <c r="J136" s="230"/>
      <c r="K136" s="231" t="s">
        <v>44</v>
      </c>
      <c r="L136" s="182">
        <v>4.6120000000000001E-2</v>
      </c>
      <c r="M136" s="64">
        <f>M6</f>
        <v>0</v>
      </c>
      <c r="N136" s="65"/>
      <c r="O136" s="174"/>
      <c r="P136" s="67"/>
      <c r="Q136" s="68"/>
      <c r="R136" s="69"/>
      <c r="S136" s="105" t="s">
        <v>44</v>
      </c>
      <c r="T136" s="72"/>
      <c r="U136" s="72"/>
      <c r="V136" s="116">
        <v>0</v>
      </c>
      <c r="W136" s="116">
        <v>0</v>
      </c>
      <c r="X136" s="175"/>
      <c r="Y136" s="175"/>
      <c r="Z136" s="72">
        <v>8788</v>
      </c>
      <c r="AA136" s="183">
        <v>35348</v>
      </c>
      <c r="AB136" s="72">
        <v>35348</v>
      </c>
      <c r="AC136" s="72">
        <v>35348</v>
      </c>
      <c r="AD136" s="72">
        <v>35348</v>
      </c>
      <c r="AE136" s="72">
        <v>35348</v>
      </c>
      <c r="AF136" s="72">
        <v>35348</v>
      </c>
      <c r="AG136" s="116">
        <v>282784</v>
      </c>
      <c r="AH136" s="227">
        <f t="shared" si="2"/>
        <v>494872</v>
      </c>
      <c r="AI136" s="75"/>
    </row>
    <row r="137" spans="1:36" s="95" customFormat="1" ht="15.75" hidden="1" outlineLevel="1" thickBot="1" x14ac:dyDescent="0.3">
      <c r="A137" s="228"/>
      <c r="B137" s="518"/>
      <c r="C137" s="522"/>
      <c r="D137" s="519"/>
      <c r="E137" s="81"/>
      <c r="F137" s="514"/>
      <c r="G137" s="481"/>
      <c r="H137" s="83"/>
      <c r="I137" s="515"/>
      <c r="J137" s="232"/>
      <c r="K137" s="233" t="s">
        <v>46</v>
      </c>
      <c r="L137" s="79"/>
      <c r="M137" s="79"/>
      <c r="N137" s="79"/>
      <c r="O137" s="87"/>
      <c r="P137" s="85"/>
      <c r="Q137" s="111"/>
      <c r="R137" s="112"/>
      <c r="S137" s="90" t="s">
        <v>46</v>
      </c>
      <c r="T137" s="184"/>
      <c r="U137" s="184"/>
      <c r="V137" s="184"/>
      <c r="W137" s="92"/>
      <c r="X137" s="93">
        <v>13106.650000000001</v>
      </c>
      <c r="Y137" s="93">
        <v>5936.25</v>
      </c>
      <c r="Z137" s="92">
        <v>14042.900000000001</v>
      </c>
      <c r="AA137" s="92">
        <f>((SUM(AA136:$AG136))*($L136+$M136))</f>
        <v>22823.496640000001</v>
      </c>
      <c r="AB137" s="92">
        <f>((SUM(AB136:$AG136))*($L136+$M136))</f>
        <v>21193.246879999999</v>
      </c>
      <c r="AC137" s="92">
        <f>((SUM(AC136:$AG136))*($L136+$M136))</f>
        <v>19562.99712</v>
      </c>
      <c r="AD137" s="92">
        <f>((SUM(AD136:$AG136))*($L136+$M136))</f>
        <v>17932.747360000001</v>
      </c>
      <c r="AE137" s="92">
        <f>((SUM(AE136:$AG136))*($L136+$M136))</f>
        <v>16302.497600000001</v>
      </c>
      <c r="AF137" s="92">
        <f>((SUM(AF136:$AG136))*($L136+$M136))</f>
        <v>14672.24784</v>
      </c>
      <c r="AG137" s="92">
        <f>((SUM(AG136:$AG136))*($L136+$M136))*7</f>
        <v>91293.986560000005</v>
      </c>
      <c r="AH137" s="229">
        <f t="shared" si="2"/>
        <v>203781.22000000003</v>
      </c>
      <c r="AI137" s="75"/>
    </row>
    <row r="138" spans="1:36" s="95" customFormat="1" ht="12.6" hidden="1" customHeight="1" outlineLevel="1" x14ac:dyDescent="0.25">
      <c r="A138" s="226">
        <v>56</v>
      </c>
      <c r="B138" s="501" t="s">
        <v>357</v>
      </c>
      <c r="C138" s="521" t="s">
        <v>358</v>
      </c>
      <c r="D138" s="503" t="s">
        <v>359</v>
      </c>
      <c r="E138" s="157">
        <v>44594</v>
      </c>
      <c r="F138" s="500">
        <v>44894</v>
      </c>
      <c r="G138" s="480" t="s">
        <v>360</v>
      </c>
      <c r="H138" s="60"/>
      <c r="I138" s="490">
        <v>300000</v>
      </c>
      <c r="J138" s="230"/>
      <c r="K138" s="231" t="s">
        <v>44</v>
      </c>
      <c r="L138" s="182">
        <v>4.3979999999999998E-2</v>
      </c>
      <c r="M138" s="64">
        <f>M6</f>
        <v>0</v>
      </c>
      <c r="N138" s="65"/>
      <c r="O138" s="174"/>
      <c r="P138" s="67"/>
      <c r="Q138" s="68"/>
      <c r="R138" s="69"/>
      <c r="S138" s="105" t="s">
        <v>44</v>
      </c>
      <c r="T138" s="72"/>
      <c r="U138" s="72"/>
      <c r="V138" s="116">
        <v>0</v>
      </c>
      <c r="W138" s="116">
        <v>0</v>
      </c>
      <c r="X138" s="175"/>
      <c r="Y138" s="175"/>
      <c r="Z138" s="72">
        <v>11724</v>
      </c>
      <c r="AA138" s="183">
        <v>32436</v>
      </c>
      <c r="AB138" s="72">
        <v>32436</v>
      </c>
      <c r="AC138" s="72">
        <v>32436</v>
      </c>
      <c r="AD138" s="72">
        <v>32436</v>
      </c>
      <c r="AE138" s="72">
        <v>32436</v>
      </c>
      <c r="AF138" s="72">
        <v>32436</v>
      </c>
      <c r="AG138" s="116">
        <v>97308</v>
      </c>
      <c r="AH138" s="227">
        <f t="shared" ref="AH138:AH163" si="3">SUM(AA138:AG138)</f>
        <v>291924</v>
      </c>
      <c r="AI138" s="75"/>
    </row>
    <row r="139" spans="1:36" s="95" customFormat="1" ht="15.75" hidden="1" outlineLevel="1" thickBot="1" x14ac:dyDescent="0.3">
      <c r="A139" s="228"/>
      <c r="B139" s="518"/>
      <c r="C139" s="522"/>
      <c r="D139" s="519"/>
      <c r="E139" s="81"/>
      <c r="F139" s="514"/>
      <c r="G139" s="481"/>
      <c r="H139" s="83"/>
      <c r="I139" s="515"/>
      <c r="J139" s="232"/>
      <c r="K139" s="233" t="s">
        <v>46</v>
      </c>
      <c r="L139" s="79"/>
      <c r="M139" s="79"/>
      <c r="N139" s="79"/>
      <c r="O139" s="87"/>
      <c r="P139" s="85"/>
      <c r="Q139" s="111"/>
      <c r="R139" s="112"/>
      <c r="S139" s="90" t="s">
        <v>46</v>
      </c>
      <c r="T139" s="184"/>
      <c r="U139" s="184"/>
      <c r="V139" s="184"/>
      <c r="W139" s="92"/>
      <c r="X139" s="93">
        <v>7541.8600000000006</v>
      </c>
      <c r="Y139" s="93">
        <v>3371.8</v>
      </c>
      <c r="Z139" s="92">
        <v>10912.66</v>
      </c>
      <c r="AA139" s="92">
        <f>((SUM(AA138:$AG138))*($L138+$M138))</f>
        <v>12838.817519999999</v>
      </c>
      <c r="AB139" s="92">
        <f>((SUM(AB138:$AG138))*($L138+$M138))</f>
        <v>11412.28224</v>
      </c>
      <c r="AC139" s="92">
        <f>((SUM(AC138:$AG138))*($L138+$M138))</f>
        <v>9985.7469600000004</v>
      </c>
      <c r="AD139" s="92">
        <f>((SUM(AD138:$AG138))*($L138+$M138))</f>
        <v>8559.2116800000003</v>
      </c>
      <c r="AE139" s="92">
        <f>((SUM(AE138:$AG138))*($L138+$M138))</f>
        <v>7132.6763999999994</v>
      </c>
      <c r="AF139" s="92">
        <f>((SUM(AF138:$AG138))*($L138+$M138))</f>
        <v>5706.1411200000002</v>
      </c>
      <c r="AG139" s="92">
        <f>((SUM(AG138:$AG138))*($L138+$M138))*2</f>
        <v>8559.2116800000003</v>
      </c>
      <c r="AH139" s="229">
        <f t="shared" si="3"/>
        <v>64194.087599999999</v>
      </c>
      <c r="AI139" s="75"/>
    </row>
    <row r="140" spans="1:36" s="95" customFormat="1" ht="12.6" hidden="1" customHeight="1" outlineLevel="1" x14ac:dyDescent="0.25">
      <c r="A140" s="226">
        <v>57</v>
      </c>
      <c r="B140" s="501" t="s">
        <v>361</v>
      </c>
      <c r="C140" s="503" t="s">
        <v>362</v>
      </c>
      <c r="D140" s="503"/>
      <c r="E140" s="157">
        <v>44594</v>
      </c>
      <c r="F140" s="480">
        <v>2023</v>
      </c>
      <c r="G140" s="480">
        <v>2028</v>
      </c>
      <c r="H140" s="60"/>
      <c r="I140" s="524">
        <v>59922</v>
      </c>
      <c r="J140" s="230"/>
      <c r="K140" s="231" t="s">
        <v>44</v>
      </c>
      <c r="L140" s="182">
        <f>$L$7</f>
        <v>2.6579999999999999E-2</v>
      </c>
      <c r="M140" s="64">
        <f>$M$7</f>
        <v>2.5000000000000001E-3</v>
      </c>
      <c r="N140" s="65"/>
      <c r="O140" s="174"/>
      <c r="P140" s="67"/>
      <c r="Q140" s="68"/>
      <c r="R140" s="69"/>
      <c r="S140" s="105" t="s">
        <v>44</v>
      </c>
      <c r="T140" s="72"/>
      <c r="U140" s="72"/>
      <c r="V140" s="116">
        <v>0</v>
      </c>
      <c r="W140" s="116">
        <v>0</v>
      </c>
      <c r="X140" s="175"/>
      <c r="Y140" s="175"/>
      <c r="Z140" s="72">
        <v>0</v>
      </c>
      <c r="AA140" s="72">
        <f>59922/5</f>
        <v>11984.4</v>
      </c>
      <c r="AB140" s="72">
        <f>59922/5</f>
        <v>11984.4</v>
      </c>
      <c r="AC140" s="72">
        <f>59922/5</f>
        <v>11984.4</v>
      </c>
      <c r="AD140" s="72">
        <f>59922/5</f>
        <v>11984.4</v>
      </c>
      <c r="AE140" s="72">
        <f>59922/5</f>
        <v>11984.4</v>
      </c>
      <c r="AF140" s="72"/>
      <c r="AG140" s="116"/>
      <c r="AH140" s="227">
        <f t="shared" si="3"/>
        <v>59922</v>
      </c>
      <c r="AI140" s="75"/>
    </row>
    <row r="141" spans="1:36" s="95" customFormat="1" ht="15.75" hidden="1" outlineLevel="1" thickBot="1" x14ac:dyDescent="0.3">
      <c r="A141" s="228"/>
      <c r="B141" s="518"/>
      <c r="C141" s="519"/>
      <c r="D141" s="519"/>
      <c r="E141" s="81"/>
      <c r="F141" s="483"/>
      <c r="G141" s="483"/>
      <c r="H141" s="83"/>
      <c r="I141" s="525"/>
      <c r="J141" s="232"/>
      <c r="K141" s="233" t="s">
        <v>46</v>
      </c>
      <c r="L141" s="79"/>
      <c r="M141" s="79"/>
      <c r="N141" s="79"/>
      <c r="O141" s="87"/>
      <c r="P141" s="85"/>
      <c r="Q141" s="111"/>
      <c r="R141" s="112"/>
      <c r="S141" s="90" t="s">
        <v>46</v>
      </c>
      <c r="T141" s="184"/>
      <c r="U141" s="184"/>
      <c r="V141" s="184"/>
      <c r="W141" s="92"/>
      <c r="X141" s="93"/>
      <c r="Y141" s="93"/>
      <c r="Z141" s="92">
        <v>0</v>
      </c>
      <c r="AA141" s="92">
        <f>((SUM(AA140:$AG140))*($L140+$M140))</f>
        <v>1742.5317599999998</v>
      </c>
      <c r="AB141" s="92">
        <f>((SUM(AB140:$AG140))*($L140+$M140))</f>
        <v>1394.025408</v>
      </c>
      <c r="AC141" s="92">
        <f>((SUM(AC140:$AG140))*($L140+$M140))</f>
        <v>1045.5190559999999</v>
      </c>
      <c r="AD141" s="92">
        <f>((SUM(AD140:$AG140))*($L140+$M140))</f>
        <v>697.01270399999999</v>
      </c>
      <c r="AE141" s="92">
        <f>((SUM(AE140:$AG140))*($L140+$M140))</f>
        <v>348.50635199999999</v>
      </c>
      <c r="AF141" s="92">
        <f>((SUM(AF140:$AG140))*($L140+$M140))</f>
        <v>0</v>
      </c>
      <c r="AG141" s="92">
        <f>((SUM(AG140:$AG140))*($L140+$M140))*2</f>
        <v>0</v>
      </c>
      <c r="AH141" s="229">
        <f t="shared" si="3"/>
        <v>5227.5952799999995</v>
      </c>
      <c r="AI141" s="75"/>
    </row>
    <row r="142" spans="1:36" s="95" customFormat="1" ht="12.6" hidden="1" customHeight="1" outlineLevel="1" x14ac:dyDescent="0.25">
      <c r="A142" s="226">
        <v>58</v>
      </c>
      <c r="B142" s="501" t="s">
        <v>363</v>
      </c>
      <c r="C142" s="503" t="s">
        <v>362</v>
      </c>
      <c r="D142" s="503"/>
      <c r="E142" s="157">
        <v>44594</v>
      </c>
      <c r="F142" s="480">
        <v>2023</v>
      </c>
      <c r="G142" s="480">
        <v>2033</v>
      </c>
      <c r="H142" s="60"/>
      <c r="I142" s="524">
        <v>207089</v>
      </c>
      <c r="J142" s="230"/>
      <c r="K142" s="231" t="s">
        <v>44</v>
      </c>
      <c r="L142" s="182">
        <f>$L$7</f>
        <v>2.6579999999999999E-2</v>
      </c>
      <c r="M142" s="64">
        <f>$M$7</f>
        <v>2.5000000000000001E-3</v>
      </c>
      <c r="N142" s="65"/>
      <c r="O142" s="174"/>
      <c r="P142" s="67"/>
      <c r="Q142" s="68"/>
      <c r="R142" s="69"/>
      <c r="S142" s="105" t="s">
        <v>44</v>
      </c>
      <c r="T142" s="72"/>
      <c r="U142" s="72"/>
      <c r="V142" s="116">
        <v>0</v>
      </c>
      <c r="W142" s="116">
        <v>0</v>
      </c>
      <c r="X142" s="175"/>
      <c r="Y142" s="175"/>
      <c r="Z142" s="72">
        <v>0</v>
      </c>
      <c r="AA142" s="72">
        <f t="shared" ref="AA142:AF142" si="4">207089/10</f>
        <v>20708.900000000001</v>
      </c>
      <c r="AB142" s="72">
        <f t="shared" si="4"/>
        <v>20708.900000000001</v>
      </c>
      <c r="AC142" s="72">
        <f t="shared" si="4"/>
        <v>20708.900000000001</v>
      </c>
      <c r="AD142" s="72">
        <f t="shared" si="4"/>
        <v>20708.900000000001</v>
      </c>
      <c r="AE142" s="72">
        <f t="shared" si="4"/>
        <v>20708.900000000001</v>
      </c>
      <c r="AF142" s="72">
        <f t="shared" si="4"/>
        <v>20708.900000000001</v>
      </c>
      <c r="AG142" s="116">
        <f>I142-SUM(AA142:AF142)</f>
        <v>82835.600000000006</v>
      </c>
      <c r="AH142" s="227">
        <f t="shared" si="3"/>
        <v>207089</v>
      </c>
      <c r="AI142" s="75"/>
      <c r="AJ142" s="75"/>
    </row>
    <row r="143" spans="1:36" s="95" customFormat="1" ht="15.75" hidden="1" outlineLevel="1" thickBot="1" x14ac:dyDescent="0.3">
      <c r="A143" s="228"/>
      <c r="B143" s="518"/>
      <c r="C143" s="519"/>
      <c r="D143" s="519"/>
      <c r="E143" s="81"/>
      <c r="F143" s="483"/>
      <c r="G143" s="483"/>
      <c r="H143" s="83"/>
      <c r="I143" s="525"/>
      <c r="J143" s="232"/>
      <c r="K143" s="233" t="s">
        <v>46</v>
      </c>
      <c r="L143" s="79"/>
      <c r="M143" s="79"/>
      <c r="N143" s="79"/>
      <c r="O143" s="87"/>
      <c r="P143" s="85"/>
      <c r="Q143" s="111"/>
      <c r="R143" s="112"/>
      <c r="S143" s="90" t="s">
        <v>46</v>
      </c>
      <c r="T143" s="184"/>
      <c r="U143" s="184"/>
      <c r="V143" s="184"/>
      <c r="W143" s="92"/>
      <c r="X143" s="93"/>
      <c r="Y143" s="93"/>
      <c r="Z143" s="92">
        <v>0</v>
      </c>
      <c r="AA143" s="92">
        <f>((SUM(AA142:$AG142))*($L142+$M142))</f>
        <v>6022.1481199999998</v>
      </c>
      <c r="AB143" s="92">
        <f>((SUM(AB142:$AG142))*($L142+$M142))</f>
        <v>5419.9333079999997</v>
      </c>
      <c r="AC143" s="92">
        <f>((SUM(AC142:$AG142))*($L142+$M142))</f>
        <v>4817.7184960000004</v>
      </c>
      <c r="AD143" s="92">
        <f>((SUM(AD142:$AG142))*($L142+$M142))</f>
        <v>4215.5036840000002</v>
      </c>
      <c r="AE143" s="92">
        <f>((SUM(AE142:$AG142))*($L142+$M142))</f>
        <v>3613.2888720000001</v>
      </c>
      <c r="AF143" s="92">
        <f>((SUM(AF142:$AG142))*($L142+$M142))</f>
        <v>3011.0740599999999</v>
      </c>
      <c r="AG143" s="92">
        <f>((SUM(AG142:$AG142))*($L142+$M142))*2</f>
        <v>4817.7184960000004</v>
      </c>
      <c r="AH143" s="229">
        <f t="shared" si="3"/>
        <v>31917.385036</v>
      </c>
      <c r="AI143" s="75"/>
      <c r="AJ143" s="75"/>
    </row>
    <row r="144" spans="1:36" s="95" customFormat="1" ht="18.600000000000001" hidden="1" customHeight="1" outlineLevel="1" x14ac:dyDescent="0.25">
      <c r="A144" s="226">
        <v>59</v>
      </c>
      <c r="B144" s="501" t="s">
        <v>364</v>
      </c>
      <c r="C144" s="503" t="s">
        <v>365</v>
      </c>
      <c r="D144" s="503" t="s">
        <v>366</v>
      </c>
      <c r="E144" s="157">
        <v>44594</v>
      </c>
      <c r="F144" s="480" t="s">
        <v>367</v>
      </c>
      <c r="G144" s="480" t="s">
        <v>368</v>
      </c>
      <c r="H144" s="60"/>
      <c r="I144" s="490">
        <v>167687</v>
      </c>
      <c r="J144" s="230"/>
      <c r="K144" s="231" t="s">
        <v>44</v>
      </c>
      <c r="L144" s="182">
        <f>$L$7</f>
        <v>2.6579999999999999E-2</v>
      </c>
      <c r="M144" s="64">
        <f>$M$7</f>
        <v>2.5000000000000001E-3</v>
      </c>
      <c r="N144" s="65"/>
      <c r="O144" s="174"/>
      <c r="P144" s="67"/>
      <c r="Q144" s="68"/>
      <c r="R144" s="69"/>
      <c r="S144" s="105" t="s">
        <v>44</v>
      </c>
      <c r="T144" s="72"/>
      <c r="U144" s="72"/>
      <c r="V144" s="116">
        <v>0</v>
      </c>
      <c r="W144" s="116">
        <v>0</v>
      </c>
      <c r="X144" s="175"/>
      <c r="Y144" s="175"/>
      <c r="Z144" s="72">
        <v>0</v>
      </c>
      <c r="AA144" s="72">
        <f>16769*3</f>
        <v>50307</v>
      </c>
      <c r="AB144" s="72">
        <f>16769*4</f>
        <v>67076</v>
      </c>
      <c r="AC144" s="72">
        <f>16769*3-3</f>
        <v>50304</v>
      </c>
      <c r="AD144" s="72"/>
      <c r="AE144" s="72"/>
      <c r="AF144" s="72"/>
      <c r="AG144" s="116"/>
      <c r="AH144" s="227">
        <f t="shared" si="3"/>
        <v>167687</v>
      </c>
      <c r="AI144" s="75"/>
      <c r="AJ144" s="75"/>
    </row>
    <row r="145" spans="1:36" s="95" customFormat="1" ht="18.600000000000001" hidden="1" customHeight="1" outlineLevel="1" thickBot="1" x14ac:dyDescent="0.3">
      <c r="A145" s="228"/>
      <c r="B145" s="518"/>
      <c r="C145" s="519"/>
      <c r="D145" s="519"/>
      <c r="E145" s="81"/>
      <c r="F145" s="483"/>
      <c r="G145" s="483"/>
      <c r="H145" s="83"/>
      <c r="I145" s="515"/>
      <c r="J145" s="232"/>
      <c r="K145" s="233" t="s">
        <v>46</v>
      </c>
      <c r="L145" s="79"/>
      <c r="M145" s="79"/>
      <c r="N145" s="79"/>
      <c r="O145" s="87"/>
      <c r="P145" s="85"/>
      <c r="Q145" s="111"/>
      <c r="R145" s="112"/>
      <c r="S145" s="90" t="s">
        <v>46</v>
      </c>
      <c r="T145" s="184"/>
      <c r="U145" s="184"/>
      <c r="V145" s="184"/>
      <c r="W145" s="92"/>
      <c r="X145" s="93"/>
      <c r="Y145" s="93"/>
      <c r="Z145" s="92">
        <v>0</v>
      </c>
      <c r="AA145" s="92">
        <f>((SUM(AA144:$AD144))*($L144+$M144))</f>
        <v>4876.3379599999998</v>
      </c>
      <c r="AB145" s="92">
        <f>((SUM(AB144:$AD144))*($L144+$M144))</f>
        <v>3413.4103999999998</v>
      </c>
      <c r="AC145" s="92">
        <f>((SUM(AC144:$AD144))*($L144+$M144))</f>
        <v>1462.84032</v>
      </c>
      <c r="AD145" s="92">
        <f>((SUM(AD144:$AD144))*($L144+$M144))</f>
        <v>0</v>
      </c>
      <c r="AE145" s="92">
        <f>((SUM($AD144:AE144))*($L144+$M144))</f>
        <v>0</v>
      </c>
      <c r="AF145" s="92">
        <f>((SUM($AD144:AF144))*($L144+$M144))</f>
        <v>0</v>
      </c>
      <c r="AG145" s="92">
        <f>((SUM($AD144:AG144))*($L144+$M144))*2</f>
        <v>0</v>
      </c>
      <c r="AH145" s="229">
        <f t="shared" si="3"/>
        <v>9752.5886799999989</v>
      </c>
      <c r="AI145" s="75"/>
      <c r="AJ145" s="75"/>
    </row>
    <row r="146" spans="1:36" s="95" customFormat="1" ht="18.600000000000001" hidden="1" customHeight="1" outlineLevel="1" x14ac:dyDescent="0.25">
      <c r="A146" s="226">
        <v>60</v>
      </c>
      <c r="B146" s="501" t="s">
        <v>369</v>
      </c>
      <c r="C146" s="503" t="s">
        <v>370</v>
      </c>
      <c r="D146" s="503" t="s">
        <v>371</v>
      </c>
      <c r="E146" s="157">
        <v>44594</v>
      </c>
      <c r="F146" s="480" t="s">
        <v>372</v>
      </c>
      <c r="G146" s="480" t="s">
        <v>373</v>
      </c>
      <c r="H146" s="60"/>
      <c r="I146" s="490">
        <v>37335</v>
      </c>
      <c r="J146" s="230"/>
      <c r="K146" s="231" t="s">
        <v>44</v>
      </c>
      <c r="L146" s="182">
        <v>3.6049999999999999E-2</v>
      </c>
      <c r="M146" s="64">
        <f>M6</f>
        <v>0</v>
      </c>
      <c r="N146" s="65"/>
      <c r="O146" s="234">
        <v>45239</v>
      </c>
      <c r="P146" s="67"/>
      <c r="Q146" s="68"/>
      <c r="R146" s="69"/>
      <c r="S146" s="105" t="s">
        <v>44</v>
      </c>
      <c r="T146" s="72"/>
      <c r="U146" s="72"/>
      <c r="V146" s="116">
        <v>0</v>
      </c>
      <c r="W146" s="116">
        <v>0</v>
      </c>
      <c r="X146" s="175"/>
      <c r="Y146" s="175"/>
      <c r="Z146" s="72">
        <v>0</v>
      </c>
      <c r="AA146" s="72">
        <f>$I$146</f>
        <v>37335</v>
      </c>
      <c r="AB146" s="72"/>
      <c r="AC146" s="72"/>
      <c r="AD146" s="72"/>
      <c r="AE146" s="72"/>
      <c r="AF146" s="72"/>
      <c r="AG146" s="116"/>
      <c r="AH146" s="227">
        <f t="shared" si="3"/>
        <v>37335</v>
      </c>
      <c r="AI146" s="75"/>
      <c r="AJ146" s="75"/>
    </row>
    <row r="147" spans="1:36" s="95" customFormat="1" ht="18.600000000000001" hidden="1" customHeight="1" outlineLevel="1" thickBot="1" x14ac:dyDescent="0.3">
      <c r="A147" s="228"/>
      <c r="B147" s="518"/>
      <c r="C147" s="519"/>
      <c r="D147" s="519"/>
      <c r="E147" s="81"/>
      <c r="F147" s="483"/>
      <c r="G147" s="483"/>
      <c r="H147" s="83"/>
      <c r="I147" s="515"/>
      <c r="J147" s="232"/>
      <c r="K147" s="233" t="s">
        <v>46</v>
      </c>
      <c r="L147" s="79"/>
      <c r="M147" s="79"/>
      <c r="N147" s="79"/>
      <c r="O147" s="87"/>
      <c r="P147" s="85"/>
      <c r="Q147" s="111"/>
      <c r="R147" s="112"/>
      <c r="S147" s="90" t="s">
        <v>46</v>
      </c>
      <c r="T147" s="184"/>
      <c r="U147" s="184"/>
      <c r="V147" s="184"/>
      <c r="W147" s="92"/>
      <c r="X147" s="93">
        <v>119.64</v>
      </c>
      <c r="Y147" s="93">
        <v>343.96</v>
      </c>
      <c r="Z147" s="92">
        <v>463.59999999999997</v>
      </c>
      <c r="AA147" s="92">
        <f>((SUM(AA146:$AG146))*($L146+$M146))</f>
        <v>1345.9267499999999</v>
      </c>
      <c r="AB147" s="92">
        <f>((SUM(AB146:$AG146))*($L146+$M146))</f>
        <v>0</v>
      </c>
      <c r="AC147" s="92">
        <f>((SUM(AC146:$AG146))*($L146+$M146))</f>
        <v>0</v>
      </c>
      <c r="AD147" s="92">
        <f>((SUM(AD146:$AG146))*($L146+$M146))</f>
        <v>0</v>
      </c>
      <c r="AE147" s="92">
        <f>((SUM(AE146:$AG146))*($L146+$M146))</f>
        <v>0</v>
      </c>
      <c r="AF147" s="92">
        <f>((SUM(AF146:$AG146))*($L146+$M146))</f>
        <v>0</v>
      </c>
      <c r="AG147" s="92">
        <f>((SUM(AG146:$AG146))*($L146+$M146))*2</f>
        <v>0</v>
      </c>
      <c r="AH147" s="229">
        <f t="shared" si="3"/>
        <v>1345.9267499999999</v>
      </c>
      <c r="AI147" s="75"/>
      <c r="AJ147" s="75"/>
    </row>
    <row r="148" spans="1:36" s="95" customFormat="1" ht="14.45" hidden="1" customHeight="1" outlineLevel="1" x14ac:dyDescent="0.2">
      <c r="A148" s="226">
        <v>61</v>
      </c>
      <c r="B148" s="501" t="s">
        <v>374</v>
      </c>
      <c r="C148" s="503" t="s">
        <v>375</v>
      </c>
      <c r="D148" s="503" t="s">
        <v>376</v>
      </c>
      <c r="E148" s="157">
        <v>44594</v>
      </c>
      <c r="F148" s="480" t="s">
        <v>377</v>
      </c>
      <c r="G148" s="480" t="s">
        <v>378</v>
      </c>
      <c r="H148" s="60"/>
      <c r="I148" s="490">
        <v>495501</v>
      </c>
      <c r="J148" s="234"/>
      <c r="K148" s="231" t="s">
        <v>44</v>
      </c>
      <c r="L148" s="182">
        <v>5.5239999999999997E-2</v>
      </c>
      <c r="M148" s="64">
        <f>M6</f>
        <v>0</v>
      </c>
      <c r="N148" s="65"/>
      <c r="O148" s="234">
        <v>45469</v>
      </c>
      <c r="P148" s="67"/>
      <c r="Q148" s="68"/>
      <c r="R148" s="69"/>
      <c r="S148" s="105" t="s">
        <v>44</v>
      </c>
      <c r="T148" s="72"/>
      <c r="U148" s="72"/>
      <c r="V148" s="116">
        <v>0</v>
      </c>
      <c r="W148" s="116">
        <v>0</v>
      </c>
      <c r="X148" s="175"/>
      <c r="Y148" s="175"/>
      <c r="Z148" s="72">
        <v>0</v>
      </c>
      <c r="AA148" s="72">
        <f>8693*3</f>
        <v>26079</v>
      </c>
      <c r="AB148" s="72">
        <f>8693*4</f>
        <v>34772</v>
      </c>
      <c r="AC148" s="72">
        <f>8693*4</f>
        <v>34772</v>
      </c>
      <c r="AD148" s="72">
        <f>8693*4</f>
        <v>34772</v>
      </c>
      <c r="AE148" s="72">
        <f>8693*4</f>
        <v>34772</v>
      </c>
      <c r="AF148" s="72">
        <f>8693*4</f>
        <v>34772</v>
      </c>
      <c r="AG148" s="116">
        <f>I148-SUM(AA148:AF148)</f>
        <v>295562</v>
      </c>
      <c r="AH148" s="227">
        <f t="shared" si="3"/>
        <v>495501</v>
      </c>
      <c r="AI148" s="75"/>
      <c r="AJ148" s="75"/>
    </row>
    <row r="149" spans="1:36" s="95" customFormat="1" ht="14.45" hidden="1" customHeight="1" outlineLevel="1" thickBot="1" x14ac:dyDescent="0.3">
      <c r="A149" s="228"/>
      <c r="B149" s="518"/>
      <c r="C149" s="519"/>
      <c r="D149" s="519"/>
      <c r="E149" s="81"/>
      <c r="F149" s="483"/>
      <c r="G149" s="483"/>
      <c r="H149" s="83"/>
      <c r="I149" s="515"/>
      <c r="J149" s="232"/>
      <c r="K149" s="233" t="s">
        <v>46</v>
      </c>
      <c r="L149" s="79"/>
      <c r="M149" s="79"/>
      <c r="N149" s="79"/>
      <c r="O149" s="87"/>
      <c r="P149" s="85"/>
      <c r="Q149" s="111"/>
      <c r="R149" s="112"/>
      <c r="S149" s="90" t="s">
        <v>46</v>
      </c>
      <c r="T149" s="184"/>
      <c r="U149" s="184"/>
      <c r="V149" s="184"/>
      <c r="W149" s="92"/>
      <c r="X149" s="93">
        <v>20.170000000000002</v>
      </c>
      <c r="Y149" s="93">
        <v>1125.72</v>
      </c>
      <c r="Z149" s="92">
        <v>1145.8900000000001</v>
      </c>
      <c r="AA149" s="92">
        <f>((SUM(AA148:$AG148))*($L148+$M148))</f>
        <v>27371.47524</v>
      </c>
      <c r="AB149" s="92">
        <f>((SUM(AB148:$AG148))*($L148+$M148))</f>
        <v>25930.871279999999</v>
      </c>
      <c r="AC149" s="92">
        <f>((SUM(AC148:$AG148))*($L148+$M148))</f>
        <v>24010.065999999999</v>
      </c>
      <c r="AD149" s="92">
        <f>((SUM(AD148:$AG148))*($L148+$M148))</f>
        <v>22089.260719999998</v>
      </c>
      <c r="AE149" s="92">
        <f>((SUM(AE148:$AG148))*($L148+$M148))</f>
        <v>20168.455439999998</v>
      </c>
      <c r="AF149" s="92">
        <f>((SUM(AF148:$AG148))*($L148+$M148))</f>
        <v>18247.650159999997</v>
      </c>
      <c r="AG149" s="92">
        <f>((SUM(AG148:$AG148))*($L148+$M148))*8</f>
        <v>130614.75903999999</v>
      </c>
      <c r="AH149" s="229">
        <f t="shared" si="3"/>
        <v>268432.53787999996</v>
      </c>
      <c r="AI149" s="75"/>
      <c r="AJ149" s="75"/>
    </row>
    <row r="150" spans="1:36" s="95" customFormat="1" ht="14.45" hidden="1" customHeight="1" outlineLevel="1" x14ac:dyDescent="0.25">
      <c r="A150" s="235">
        <v>62</v>
      </c>
      <c r="B150" s="501" t="s">
        <v>379</v>
      </c>
      <c r="C150" s="503" t="s">
        <v>362</v>
      </c>
      <c r="D150" s="503"/>
      <c r="E150" s="157">
        <v>44594</v>
      </c>
      <c r="F150" s="480">
        <v>2023</v>
      </c>
      <c r="G150" s="480">
        <v>2035</v>
      </c>
      <c r="H150" s="60"/>
      <c r="I150" s="524">
        <v>390000</v>
      </c>
      <c r="J150" s="230"/>
      <c r="K150" s="231" t="s">
        <v>44</v>
      </c>
      <c r="L150" s="182">
        <v>3.6049999999999999E-2</v>
      </c>
      <c r="M150" s="64">
        <f>$M$7</f>
        <v>2.5000000000000001E-3</v>
      </c>
      <c r="N150" s="65"/>
      <c r="O150" s="174"/>
      <c r="P150" s="67"/>
      <c r="Q150" s="68"/>
      <c r="R150" s="69"/>
      <c r="S150" s="105" t="s">
        <v>44</v>
      </c>
      <c r="T150" s="72"/>
      <c r="U150" s="72"/>
      <c r="V150" s="116">
        <v>0</v>
      </c>
      <c r="W150" s="116">
        <v>0</v>
      </c>
      <c r="X150" s="175"/>
      <c r="Y150" s="175"/>
      <c r="Z150" s="72">
        <v>0</v>
      </c>
      <c r="AA150" s="72">
        <f t="shared" ref="AA150:AF150" si="5">$I$150/12</f>
        <v>32500</v>
      </c>
      <c r="AB150" s="72">
        <f t="shared" si="5"/>
        <v>32500</v>
      </c>
      <c r="AC150" s="72">
        <f t="shared" si="5"/>
        <v>32500</v>
      </c>
      <c r="AD150" s="72">
        <f t="shared" si="5"/>
        <v>32500</v>
      </c>
      <c r="AE150" s="72">
        <f t="shared" si="5"/>
        <v>32500</v>
      </c>
      <c r="AF150" s="72">
        <f t="shared" si="5"/>
        <v>32500</v>
      </c>
      <c r="AG150" s="116">
        <f>I150-SUM(AA150:AF150)</f>
        <v>195000</v>
      </c>
      <c r="AH150" s="227">
        <f t="shared" si="3"/>
        <v>390000</v>
      </c>
      <c r="AI150" s="75"/>
      <c r="AJ150" s="75"/>
    </row>
    <row r="151" spans="1:36" s="95" customFormat="1" ht="14.45" hidden="1" customHeight="1" outlineLevel="1" thickBot="1" x14ac:dyDescent="0.3">
      <c r="A151" s="236"/>
      <c r="B151" s="518"/>
      <c r="C151" s="519"/>
      <c r="D151" s="519"/>
      <c r="E151" s="81"/>
      <c r="F151" s="483"/>
      <c r="G151" s="483"/>
      <c r="H151" s="83"/>
      <c r="I151" s="525"/>
      <c r="J151" s="232"/>
      <c r="K151" s="233" t="s">
        <v>46</v>
      </c>
      <c r="L151" s="79"/>
      <c r="M151" s="79"/>
      <c r="N151" s="79"/>
      <c r="O151" s="87"/>
      <c r="P151" s="85"/>
      <c r="Q151" s="111"/>
      <c r="R151" s="112"/>
      <c r="S151" s="90" t="s">
        <v>46</v>
      </c>
      <c r="T151" s="184"/>
      <c r="U151" s="184"/>
      <c r="V151" s="184"/>
      <c r="W151" s="92"/>
      <c r="X151" s="93"/>
      <c r="Y151" s="93"/>
      <c r="Z151" s="92">
        <v>0</v>
      </c>
      <c r="AA151" s="92">
        <f>((SUM(AA150:$AG150))*($L150+$M150))</f>
        <v>15034.5</v>
      </c>
      <c r="AB151" s="92">
        <f>((SUM(AB150:$AG150))*($L150+$M150))</f>
        <v>13781.625</v>
      </c>
      <c r="AC151" s="92">
        <f>((SUM(AC150:$AG150))*($L150+$M150))</f>
        <v>12528.75</v>
      </c>
      <c r="AD151" s="92">
        <f>((SUM(AD150:$AG150))*($L150+$M150))</f>
        <v>11275.875</v>
      </c>
      <c r="AE151" s="92">
        <f>((SUM(AE150:$AG150))*($L150+$M150))</f>
        <v>10023</v>
      </c>
      <c r="AF151" s="92">
        <f>((SUM(AF150:$AG150))*($L150+$M150))</f>
        <v>8770.125</v>
      </c>
      <c r="AG151" s="92">
        <f>((SUM(AG150:$AG150))*($L150+$M150))*2</f>
        <v>15034.5</v>
      </c>
      <c r="AH151" s="229">
        <f t="shared" si="3"/>
        <v>86448.375</v>
      </c>
      <c r="AI151" s="75"/>
      <c r="AJ151" s="75"/>
    </row>
    <row r="152" spans="1:36" s="95" customFormat="1" ht="14.45" hidden="1" customHeight="1" outlineLevel="1" x14ac:dyDescent="0.25">
      <c r="A152" s="226">
        <v>63</v>
      </c>
      <c r="B152" s="501" t="s">
        <v>380</v>
      </c>
      <c r="C152" s="503" t="s">
        <v>362</v>
      </c>
      <c r="D152" s="503"/>
      <c r="E152" s="157">
        <v>44594</v>
      </c>
      <c r="F152" s="480">
        <v>2023</v>
      </c>
      <c r="G152" s="480">
        <v>2038</v>
      </c>
      <c r="H152" s="60"/>
      <c r="I152" s="524">
        <v>709447</v>
      </c>
      <c r="J152" s="230"/>
      <c r="K152" s="231" t="s">
        <v>44</v>
      </c>
      <c r="L152" s="182">
        <v>3.6049999999999999E-2</v>
      </c>
      <c r="M152" s="64">
        <f>$M$7</f>
        <v>2.5000000000000001E-3</v>
      </c>
      <c r="N152" s="65"/>
      <c r="O152" s="174"/>
      <c r="P152" s="67"/>
      <c r="Q152" s="68"/>
      <c r="R152" s="69"/>
      <c r="S152" s="105" t="s">
        <v>44</v>
      </c>
      <c r="T152" s="72"/>
      <c r="U152" s="72"/>
      <c r="V152" s="116">
        <v>0</v>
      </c>
      <c r="W152" s="116">
        <v>0</v>
      </c>
      <c r="X152" s="175"/>
      <c r="Y152" s="175"/>
      <c r="Z152" s="72">
        <v>0</v>
      </c>
      <c r="AA152" s="72">
        <f>$I$152/15-20000</f>
        <v>27296.466666666667</v>
      </c>
      <c r="AB152" s="72">
        <f t="shared" ref="AB152:AF152" si="6">$I$152/15</f>
        <v>47296.466666666667</v>
      </c>
      <c r="AC152" s="72">
        <f t="shared" si="6"/>
        <v>47296.466666666667</v>
      </c>
      <c r="AD152" s="72">
        <f t="shared" si="6"/>
        <v>47296.466666666667</v>
      </c>
      <c r="AE152" s="72">
        <f t="shared" si="6"/>
        <v>47296.466666666667</v>
      </c>
      <c r="AF152" s="72">
        <f t="shared" si="6"/>
        <v>47296.466666666667</v>
      </c>
      <c r="AG152" s="116">
        <f>I152-SUM(AA152:AF152)</f>
        <v>445668.2</v>
      </c>
      <c r="AH152" s="227">
        <f t="shared" si="3"/>
        <v>709447</v>
      </c>
      <c r="AI152" s="75"/>
      <c r="AJ152" s="75"/>
    </row>
    <row r="153" spans="1:36" s="95" customFormat="1" ht="14.45" hidden="1" customHeight="1" outlineLevel="1" thickBot="1" x14ac:dyDescent="0.3">
      <c r="A153" s="228"/>
      <c r="B153" s="518"/>
      <c r="C153" s="519"/>
      <c r="D153" s="519"/>
      <c r="E153" s="81"/>
      <c r="F153" s="483"/>
      <c r="G153" s="483"/>
      <c r="H153" s="83"/>
      <c r="I153" s="525"/>
      <c r="J153" s="232"/>
      <c r="K153" s="233" t="s">
        <v>46</v>
      </c>
      <c r="L153" s="79"/>
      <c r="M153" s="79"/>
      <c r="N153" s="79"/>
      <c r="O153" s="87"/>
      <c r="P153" s="85"/>
      <c r="Q153" s="111"/>
      <c r="R153" s="112"/>
      <c r="S153" s="90" t="s">
        <v>46</v>
      </c>
      <c r="T153" s="184"/>
      <c r="U153" s="184"/>
      <c r="V153" s="184"/>
      <c r="W153" s="92"/>
      <c r="X153" s="93"/>
      <c r="Y153" s="93"/>
      <c r="Z153" s="92">
        <v>0</v>
      </c>
      <c r="AA153" s="92">
        <f>((SUM(AA152:$AG152))*($L152+$M152))</f>
        <v>27349.181850000001</v>
      </c>
      <c r="AB153" s="92">
        <f>((SUM(AB152:$AG152))*($L152+$M152))</f>
        <v>26296.903060000001</v>
      </c>
      <c r="AC153" s="92">
        <f>((SUM(AC152:$AG152))*($L152+$M152))</f>
        <v>24473.62427</v>
      </c>
      <c r="AD153" s="92">
        <f>((SUM(AD152:$AG152))*($L152+$M152))</f>
        <v>22650.34548</v>
      </c>
      <c r="AE153" s="92">
        <f>((SUM(AE152:$AG152))*($L152+$M152))</f>
        <v>20827.06669</v>
      </c>
      <c r="AF153" s="92">
        <f>((SUM(AF152:$AG152))*($L152+$M152))</f>
        <v>19003.787900000003</v>
      </c>
      <c r="AG153" s="92">
        <f>((SUM(AG152:$AG152))*($L152+$M152))*2</f>
        <v>34361.018219999998</v>
      </c>
      <c r="AH153" s="229">
        <f t="shared" si="3"/>
        <v>174961.92747</v>
      </c>
      <c r="AI153" s="75"/>
      <c r="AJ153" s="75"/>
    </row>
    <row r="154" spans="1:36" s="95" customFormat="1" ht="14.45" hidden="1" customHeight="1" outlineLevel="1" x14ac:dyDescent="0.25">
      <c r="A154" s="226">
        <v>64</v>
      </c>
      <c r="B154" s="501" t="s">
        <v>381</v>
      </c>
      <c r="C154" s="503" t="s">
        <v>362</v>
      </c>
      <c r="D154" s="503"/>
      <c r="E154" s="157">
        <v>44594</v>
      </c>
      <c r="F154" s="480">
        <v>2023</v>
      </c>
      <c r="G154" s="480">
        <v>2028</v>
      </c>
      <c r="H154" s="60"/>
      <c r="I154" s="524">
        <v>164032</v>
      </c>
      <c r="J154" s="230"/>
      <c r="K154" s="231" t="s">
        <v>44</v>
      </c>
      <c r="L154" s="182">
        <f>$L$7</f>
        <v>2.6579999999999999E-2</v>
      </c>
      <c r="M154" s="64">
        <f>$M$7</f>
        <v>2.5000000000000001E-3</v>
      </c>
      <c r="N154" s="65"/>
      <c r="O154" s="174"/>
      <c r="P154" s="67"/>
      <c r="Q154" s="68"/>
      <c r="R154" s="69"/>
      <c r="S154" s="105" t="s">
        <v>44</v>
      </c>
      <c r="T154" s="72"/>
      <c r="U154" s="72"/>
      <c r="V154" s="116">
        <v>0</v>
      </c>
      <c r="W154" s="116">
        <v>0</v>
      </c>
      <c r="X154" s="175"/>
      <c r="Y154" s="175"/>
      <c r="Z154" s="72">
        <v>0</v>
      </c>
      <c r="AA154" s="72">
        <f>$I$154/5</f>
        <v>32806.400000000001</v>
      </c>
      <c r="AB154" s="72">
        <f>$I$154/5</f>
        <v>32806.400000000001</v>
      </c>
      <c r="AC154" s="72">
        <f>$I$154/5</f>
        <v>32806.400000000001</v>
      </c>
      <c r="AD154" s="72">
        <f>$I$154/5</f>
        <v>32806.400000000001</v>
      </c>
      <c r="AE154" s="72">
        <f>$I$154/5</f>
        <v>32806.400000000001</v>
      </c>
      <c r="AF154" s="72"/>
      <c r="AG154" s="116"/>
      <c r="AH154" s="227">
        <f t="shared" si="3"/>
        <v>164032</v>
      </c>
      <c r="AI154" s="75"/>
      <c r="AJ154" s="75"/>
    </row>
    <row r="155" spans="1:36" s="95" customFormat="1" ht="14.45" hidden="1" customHeight="1" outlineLevel="1" thickBot="1" x14ac:dyDescent="0.3">
      <c r="A155" s="228"/>
      <c r="B155" s="518"/>
      <c r="C155" s="519"/>
      <c r="D155" s="519"/>
      <c r="E155" s="81"/>
      <c r="F155" s="483"/>
      <c r="G155" s="483"/>
      <c r="H155" s="83"/>
      <c r="I155" s="525"/>
      <c r="J155" s="232"/>
      <c r="K155" s="233" t="s">
        <v>46</v>
      </c>
      <c r="L155" s="79"/>
      <c r="M155" s="79"/>
      <c r="N155" s="79"/>
      <c r="O155" s="87"/>
      <c r="P155" s="85"/>
      <c r="Q155" s="111"/>
      <c r="R155" s="112"/>
      <c r="S155" s="90" t="s">
        <v>46</v>
      </c>
      <c r="T155" s="184"/>
      <c r="U155" s="184"/>
      <c r="V155" s="184"/>
      <c r="W155" s="92"/>
      <c r="X155" s="93"/>
      <c r="Y155" s="93"/>
      <c r="Z155" s="92">
        <v>0</v>
      </c>
      <c r="AA155" s="92">
        <f>((SUM(AA154:$AG154))*($L154+$M154))</f>
        <v>4770.0505599999997</v>
      </c>
      <c r="AB155" s="92">
        <f>((SUM(AB154:$AG154))*($L154+$M154))</f>
        <v>3816.0404479999997</v>
      </c>
      <c r="AC155" s="92">
        <f>((SUM(AC154:$AG154))*($L154+$M154))</f>
        <v>2862.0303360000003</v>
      </c>
      <c r="AD155" s="92">
        <f>((SUM(AD154:$AG154))*($L154+$M154))</f>
        <v>1908.0202239999999</v>
      </c>
      <c r="AE155" s="92">
        <f>((SUM(AE154:$AG154))*($L154+$M154))</f>
        <v>954.01011199999994</v>
      </c>
      <c r="AF155" s="92">
        <f>((SUM(AF154:$AG154))*($L154+$M154))</f>
        <v>0</v>
      </c>
      <c r="AG155" s="92">
        <f>((SUM(AG154:$AG154))*($L154+$M154))*2</f>
        <v>0</v>
      </c>
      <c r="AH155" s="229">
        <f t="shared" si="3"/>
        <v>14310.151679999999</v>
      </c>
      <c r="AI155" s="75"/>
      <c r="AJ155" s="75"/>
    </row>
    <row r="156" spans="1:36" s="95" customFormat="1" ht="14.45" hidden="1" customHeight="1" outlineLevel="2" x14ac:dyDescent="0.25">
      <c r="A156" s="226">
        <v>65</v>
      </c>
      <c r="B156" s="501" t="s">
        <v>382</v>
      </c>
      <c r="C156" s="503" t="s">
        <v>362</v>
      </c>
      <c r="D156" s="503"/>
      <c r="E156" s="157">
        <v>44594</v>
      </c>
      <c r="F156" s="480">
        <v>2023</v>
      </c>
      <c r="G156" s="480">
        <v>2038</v>
      </c>
      <c r="H156" s="60"/>
      <c r="I156" s="524"/>
      <c r="J156" s="230"/>
      <c r="K156" s="231" t="s">
        <v>44</v>
      </c>
      <c r="L156" s="182">
        <f>$L$7</f>
        <v>2.6579999999999999E-2</v>
      </c>
      <c r="M156" s="64">
        <f>$M$7</f>
        <v>2.5000000000000001E-3</v>
      </c>
      <c r="N156" s="65"/>
      <c r="O156" s="174"/>
      <c r="P156" s="67"/>
      <c r="Q156" s="68"/>
      <c r="R156" s="69"/>
      <c r="S156" s="105" t="s">
        <v>44</v>
      </c>
      <c r="T156" s="72"/>
      <c r="U156" s="72"/>
      <c r="V156" s="116">
        <v>0</v>
      </c>
      <c r="W156" s="116">
        <v>0</v>
      </c>
      <c r="X156" s="175"/>
      <c r="Y156" s="175"/>
      <c r="Z156" s="72">
        <v>0</v>
      </c>
      <c r="AA156" s="72">
        <f t="shared" ref="AA156:AF156" si="7">$I$156/15</f>
        <v>0</v>
      </c>
      <c r="AB156" s="72">
        <f t="shared" si="7"/>
        <v>0</v>
      </c>
      <c r="AC156" s="72">
        <f t="shared" si="7"/>
        <v>0</v>
      </c>
      <c r="AD156" s="72">
        <f t="shared" si="7"/>
        <v>0</v>
      </c>
      <c r="AE156" s="72">
        <f t="shared" si="7"/>
        <v>0</v>
      </c>
      <c r="AF156" s="72">
        <f t="shared" si="7"/>
        <v>0</v>
      </c>
      <c r="AG156" s="116">
        <f>I156-SUM(AA156:AF156)</f>
        <v>0</v>
      </c>
      <c r="AH156" s="227">
        <f t="shared" si="3"/>
        <v>0</v>
      </c>
      <c r="AI156" s="75"/>
      <c r="AJ156" s="75"/>
    </row>
    <row r="157" spans="1:36" s="95" customFormat="1" ht="14.45" hidden="1" customHeight="1" outlineLevel="2" thickBot="1" x14ac:dyDescent="0.3">
      <c r="A157" s="228"/>
      <c r="B157" s="518"/>
      <c r="C157" s="519"/>
      <c r="D157" s="519"/>
      <c r="E157" s="81"/>
      <c r="F157" s="483"/>
      <c r="G157" s="483"/>
      <c r="H157" s="83"/>
      <c r="I157" s="525"/>
      <c r="J157" s="232"/>
      <c r="K157" s="233" t="s">
        <v>46</v>
      </c>
      <c r="L157" s="79"/>
      <c r="M157" s="79"/>
      <c r="N157" s="79"/>
      <c r="O157" s="87"/>
      <c r="P157" s="85"/>
      <c r="Q157" s="111"/>
      <c r="R157" s="112"/>
      <c r="S157" s="90" t="s">
        <v>46</v>
      </c>
      <c r="T157" s="184"/>
      <c r="U157" s="184"/>
      <c r="V157" s="184"/>
      <c r="W157" s="92"/>
      <c r="X157" s="93"/>
      <c r="Y157" s="93"/>
      <c r="Z157" s="92">
        <v>0</v>
      </c>
      <c r="AA157" s="92">
        <f>((SUM(AA156:$AG156))*($L156+$M156))</f>
        <v>0</v>
      </c>
      <c r="AB157" s="92">
        <f>((SUM(AB156:$AG156))*($L156+$M156))</f>
        <v>0</v>
      </c>
      <c r="AC157" s="92">
        <f>((SUM(AC156:$AG156))*($L156+$M156))</f>
        <v>0</v>
      </c>
      <c r="AD157" s="92">
        <f>((SUM(AD156:$AG156))*($L156+$M156))</f>
        <v>0</v>
      </c>
      <c r="AE157" s="92">
        <f>((SUM(AE156:$AG156))*($L156+$M156))</f>
        <v>0</v>
      </c>
      <c r="AF157" s="92">
        <f>((SUM(AF156:$AG156))*($L156+$M156))</f>
        <v>0</v>
      </c>
      <c r="AG157" s="92">
        <f>((SUM(AG156:$AG156))*($L156+$M156))*2</f>
        <v>0</v>
      </c>
      <c r="AH157" s="229">
        <f t="shared" si="3"/>
        <v>0</v>
      </c>
      <c r="AI157" s="75"/>
      <c r="AJ157" s="75"/>
    </row>
    <row r="158" spans="1:36" s="95" customFormat="1" ht="14.45" hidden="1" customHeight="1" outlineLevel="1" collapsed="1" x14ac:dyDescent="0.25">
      <c r="A158" s="235">
        <v>65</v>
      </c>
      <c r="B158" s="501" t="s">
        <v>383</v>
      </c>
      <c r="C158" s="503" t="s">
        <v>384</v>
      </c>
      <c r="D158" s="503" t="s">
        <v>385</v>
      </c>
      <c r="E158" s="157">
        <v>44594</v>
      </c>
      <c r="F158" s="480" t="s">
        <v>386</v>
      </c>
      <c r="G158" s="480" t="s">
        <v>387</v>
      </c>
      <c r="H158" s="60"/>
      <c r="I158" s="490">
        <v>287500</v>
      </c>
      <c r="J158" s="230"/>
      <c r="K158" s="231" t="s">
        <v>44</v>
      </c>
      <c r="L158" s="182">
        <f>$L$7</f>
        <v>2.6579999999999999E-2</v>
      </c>
      <c r="M158" s="64">
        <f>$M$7</f>
        <v>2.5000000000000001E-3</v>
      </c>
      <c r="N158" s="65"/>
      <c r="O158" s="174"/>
      <c r="P158" s="67"/>
      <c r="Q158" s="68"/>
      <c r="R158" s="69"/>
      <c r="S158" s="105" t="s">
        <v>44</v>
      </c>
      <c r="T158" s="72"/>
      <c r="U158" s="72"/>
      <c r="V158" s="116">
        <v>0</v>
      </c>
      <c r="W158" s="116">
        <v>0</v>
      </c>
      <c r="X158" s="175"/>
      <c r="Y158" s="175"/>
      <c r="Z158" s="72">
        <v>0</v>
      </c>
      <c r="AA158" s="72">
        <f>7771*2</f>
        <v>15542</v>
      </c>
      <c r="AB158" s="72">
        <f>7771*4</f>
        <v>31084</v>
      </c>
      <c r="AC158" s="72">
        <f>7771*4</f>
        <v>31084</v>
      </c>
      <c r="AD158" s="72">
        <f>7771*4</f>
        <v>31084</v>
      </c>
      <c r="AE158" s="72">
        <f>7771*4</f>
        <v>31084</v>
      </c>
      <c r="AF158" s="72">
        <f>7771*4</f>
        <v>31084</v>
      </c>
      <c r="AG158" s="116">
        <f>I158-SUM(AA158:AF158)</f>
        <v>116538</v>
      </c>
      <c r="AH158" s="227">
        <f t="shared" si="3"/>
        <v>287500</v>
      </c>
      <c r="AI158" s="75"/>
      <c r="AJ158" s="75"/>
    </row>
    <row r="159" spans="1:36" s="95" customFormat="1" ht="14.45" hidden="1" customHeight="1" outlineLevel="1" thickBot="1" x14ac:dyDescent="0.3">
      <c r="A159" s="236"/>
      <c r="B159" s="518"/>
      <c r="C159" s="519"/>
      <c r="D159" s="519"/>
      <c r="E159" s="81"/>
      <c r="F159" s="483"/>
      <c r="G159" s="483"/>
      <c r="H159" s="83"/>
      <c r="I159" s="515"/>
      <c r="J159" s="232"/>
      <c r="K159" s="233" t="s">
        <v>46</v>
      </c>
      <c r="L159" s="79"/>
      <c r="M159" s="79"/>
      <c r="N159" s="79"/>
      <c r="O159" s="87"/>
      <c r="P159" s="85"/>
      <c r="Q159" s="111"/>
      <c r="R159" s="112"/>
      <c r="S159" s="90" t="s">
        <v>46</v>
      </c>
      <c r="T159" s="184"/>
      <c r="U159" s="184"/>
      <c r="V159" s="184"/>
      <c r="W159" s="92"/>
      <c r="X159" s="93"/>
      <c r="Y159" s="93"/>
      <c r="Z159" s="92">
        <v>0</v>
      </c>
      <c r="AA159" s="92">
        <f>((SUM(AA158:$AG158))*($L158+$M158))</f>
        <v>8360.5</v>
      </c>
      <c r="AB159" s="92">
        <f>((SUM(AB158:$AG158))*($L158+$M158))</f>
        <v>7908.5386399999998</v>
      </c>
      <c r="AC159" s="92">
        <f>((SUM(AC158:$AG158))*($L158+$M158))</f>
        <v>7004.6159199999993</v>
      </c>
      <c r="AD159" s="92">
        <f>((SUM(AD158:$AG158))*($L158+$M158))</f>
        <v>6100.6931999999997</v>
      </c>
      <c r="AE159" s="92">
        <f>((SUM(AE158:$AG158))*($L158+$M158))</f>
        <v>5196.7704800000001</v>
      </c>
      <c r="AF159" s="92">
        <f>((SUM(AF158:$AG158))*($L158+$M158))</f>
        <v>4292.8477599999997</v>
      </c>
      <c r="AG159" s="92">
        <f>((SUM(AG158:$AG158))*($L158+$M158))*2</f>
        <v>6777.8500799999993</v>
      </c>
      <c r="AH159" s="229">
        <f t="shared" si="3"/>
        <v>45641.81607999999</v>
      </c>
      <c r="AI159" s="75"/>
      <c r="AJ159" s="75"/>
    </row>
    <row r="160" spans="1:36" s="95" customFormat="1" ht="14.45" hidden="1" customHeight="1" outlineLevel="1" x14ac:dyDescent="0.25">
      <c r="A160" s="235">
        <v>66</v>
      </c>
      <c r="B160" s="501" t="s">
        <v>388</v>
      </c>
      <c r="C160" s="503" t="s">
        <v>362</v>
      </c>
      <c r="D160" s="503"/>
      <c r="E160" s="157">
        <v>44594</v>
      </c>
      <c r="F160" s="480">
        <v>2023</v>
      </c>
      <c r="G160" s="480">
        <v>2030</v>
      </c>
      <c r="H160" s="60"/>
      <c r="I160" s="524">
        <v>126000</v>
      </c>
      <c r="J160" s="230"/>
      <c r="K160" s="231" t="s">
        <v>44</v>
      </c>
      <c r="L160" s="182">
        <f>$L$7</f>
        <v>2.6579999999999999E-2</v>
      </c>
      <c r="M160" s="64">
        <f>$M$7</f>
        <v>2.5000000000000001E-3</v>
      </c>
      <c r="N160" s="65"/>
      <c r="O160" s="174"/>
      <c r="P160" s="67"/>
      <c r="Q160" s="68"/>
      <c r="R160" s="69"/>
      <c r="S160" s="105" t="s">
        <v>44</v>
      </c>
      <c r="T160" s="72"/>
      <c r="U160" s="72"/>
      <c r="V160" s="116">
        <v>0</v>
      </c>
      <c r="W160" s="116">
        <v>0</v>
      </c>
      <c r="X160" s="175"/>
      <c r="Y160" s="175"/>
      <c r="Z160" s="72">
        <v>0</v>
      </c>
      <c r="AA160" s="72">
        <f t="shared" ref="AA160:AF160" si="8">$I$160/7</f>
        <v>18000</v>
      </c>
      <c r="AB160" s="72">
        <f t="shared" si="8"/>
        <v>18000</v>
      </c>
      <c r="AC160" s="72">
        <f t="shared" si="8"/>
        <v>18000</v>
      </c>
      <c r="AD160" s="72">
        <f t="shared" si="8"/>
        <v>18000</v>
      </c>
      <c r="AE160" s="72">
        <f t="shared" si="8"/>
        <v>18000</v>
      </c>
      <c r="AF160" s="72">
        <f t="shared" si="8"/>
        <v>18000</v>
      </c>
      <c r="AG160" s="116">
        <f>I160-SUM(AA160:AF160)</f>
        <v>18000</v>
      </c>
      <c r="AH160" s="227">
        <f t="shared" si="3"/>
        <v>126000</v>
      </c>
      <c r="AI160" s="75"/>
      <c r="AJ160" s="75"/>
    </row>
    <row r="161" spans="1:37" s="95" customFormat="1" ht="14.45" hidden="1" customHeight="1" outlineLevel="1" thickBot="1" x14ac:dyDescent="0.3">
      <c r="A161" s="236"/>
      <c r="B161" s="518"/>
      <c r="C161" s="519"/>
      <c r="D161" s="519"/>
      <c r="E161" s="81"/>
      <c r="F161" s="483"/>
      <c r="G161" s="483"/>
      <c r="H161" s="83"/>
      <c r="I161" s="525"/>
      <c r="J161" s="232"/>
      <c r="K161" s="233" t="s">
        <v>46</v>
      </c>
      <c r="L161" s="79"/>
      <c r="M161" s="79"/>
      <c r="N161" s="79"/>
      <c r="O161" s="87"/>
      <c r="P161" s="85"/>
      <c r="Q161" s="111"/>
      <c r="R161" s="112"/>
      <c r="S161" s="90" t="s">
        <v>46</v>
      </c>
      <c r="T161" s="184"/>
      <c r="U161" s="184"/>
      <c r="V161" s="184"/>
      <c r="W161" s="92"/>
      <c r="X161" s="93"/>
      <c r="Y161" s="93"/>
      <c r="Z161" s="92">
        <v>0</v>
      </c>
      <c r="AA161" s="92">
        <f>((SUM(AA160:$AG160))*($L160+$M160))</f>
        <v>3664.08</v>
      </c>
      <c r="AB161" s="92">
        <f>((SUM(AB160:$AG160))*($L160+$M160))</f>
        <v>3140.64</v>
      </c>
      <c r="AC161" s="92">
        <f>((SUM(AC160:$AG160))*($L160+$M160))</f>
        <v>2617.1999999999998</v>
      </c>
      <c r="AD161" s="92">
        <f>((SUM(AD160:$AG160))*($L160+$M160))</f>
        <v>2093.7599999999998</v>
      </c>
      <c r="AE161" s="92">
        <f>((SUM(AE160:$AG160))*($L160+$M160))</f>
        <v>1570.32</v>
      </c>
      <c r="AF161" s="92">
        <f>((SUM(AF160:$AG160))*($L160+$M160))</f>
        <v>1046.8799999999999</v>
      </c>
      <c r="AG161" s="92">
        <f>((SUM(AG160:$AG160))*($L160+$M160))*2</f>
        <v>1046.8799999999999</v>
      </c>
      <c r="AH161" s="229">
        <f t="shared" si="3"/>
        <v>15179.759999999997</v>
      </c>
      <c r="AI161" s="75"/>
      <c r="AJ161" s="75"/>
    </row>
    <row r="162" spans="1:37" s="95" customFormat="1" ht="14.45" hidden="1" customHeight="1" outlineLevel="1" x14ac:dyDescent="0.25">
      <c r="A162" s="226">
        <v>67</v>
      </c>
      <c r="B162" s="501" t="s">
        <v>0</v>
      </c>
      <c r="C162" s="503" t="s">
        <v>362</v>
      </c>
      <c r="D162" s="503"/>
      <c r="E162" s="157">
        <v>44594</v>
      </c>
      <c r="F162" s="480">
        <v>2023</v>
      </c>
      <c r="G162" s="480">
        <v>2026</v>
      </c>
      <c r="H162" s="60"/>
      <c r="I162" s="524">
        <v>68000</v>
      </c>
      <c r="J162" s="230"/>
      <c r="K162" s="231" t="s">
        <v>44</v>
      </c>
      <c r="L162" s="182">
        <f>$L$7</f>
        <v>2.6579999999999999E-2</v>
      </c>
      <c r="M162" s="64">
        <f>$M$7</f>
        <v>2.5000000000000001E-3</v>
      </c>
      <c r="N162" s="65"/>
      <c r="O162" s="174"/>
      <c r="P162" s="67"/>
      <c r="Q162" s="68"/>
      <c r="R162" s="69"/>
      <c r="S162" s="105" t="s">
        <v>44</v>
      </c>
      <c r="T162" s="72"/>
      <c r="U162" s="72"/>
      <c r="V162" s="116">
        <v>0</v>
      </c>
      <c r="W162" s="116">
        <v>0</v>
      </c>
      <c r="X162" s="175"/>
      <c r="Y162" s="175"/>
      <c r="Z162" s="72">
        <v>0</v>
      </c>
      <c r="AA162" s="72">
        <f>$I$162/3</f>
        <v>22666.666666666668</v>
      </c>
      <c r="AB162" s="72">
        <f>$I$162/3</f>
        <v>22666.666666666668</v>
      </c>
      <c r="AC162" s="72">
        <f>$I$162/3</f>
        <v>22666.666666666668</v>
      </c>
      <c r="AD162" s="72"/>
      <c r="AE162" s="72"/>
      <c r="AF162" s="72"/>
      <c r="AG162" s="116"/>
      <c r="AH162" s="227">
        <f t="shared" si="3"/>
        <v>68000</v>
      </c>
      <c r="AI162" s="75"/>
      <c r="AJ162" s="75"/>
    </row>
    <row r="163" spans="1:37" s="95" customFormat="1" ht="14.45" hidden="1" customHeight="1" outlineLevel="1" thickBot="1" x14ac:dyDescent="0.3">
      <c r="A163" s="228"/>
      <c r="B163" s="518"/>
      <c r="C163" s="519"/>
      <c r="D163" s="519"/>
      <c r="E163" s="81"/>
      <c r="F163" s="483"/>
      <c r="G163" s="483"/>
      <c r="H163" s="83"/>
      <c r="I163" s="525"/>
      <c r="J163" s="232"/>
      <c r="K163" s="233" t="s">
        <v>46</v>
      </c>
      <c r="L163" s="79"/>
      <c r="M163" s="79"/>
      <c r="N163" s="79"/>
      <c r="O163" s="87"/>
      <c r="P163" s="85"/>
      <c r="Q163" s="111"/>
      <c r="R163" s="112"/>
      <c r="S163" s="90" t="s">
        <v>46</v>
      </c>
      <c r="T163" s="184"/>
      <c r="U163" s="184"/>
      <c r="V163" s="184"/>
      <c r="W163" s="92"/>
      <c r="X163" s="93"/>
      <c r="Y163" s="93"/>
      <c r="Z163" s="92">
        <v>0</v>
      </c>
      <c r="AA163" s="92">
        <f>((SUM(AA162:$AG162))*($L162+$M162))</f>
        <v>1977.4399999999998</v>
      </c>
      <c r="AB163" s="92">
        <f>((SUM(AB162:$AG162))*($L162+$M162))</f>
        <v>1318.2933333333333</v>
      </c>
      <c r="AC163" s="92">
        <f>((SUM(AC162:$AG162))*($L162+$M162))</f>
        <v>659.14666666666665</v>
      </c>
      <c r="AD163" s="92"/>
      <c r="AE163" s="92"/>
      <c r="AF163" s="92"/>
      <c r="AG163" s="92"/>
      <c r="AH163" s="229">
        <f t="shared" si="3"/>
        <v>3954.8799999999997</v>
      </c>
      <c r="AI163" s="75"/>
      <c r="AJ163" s="75"/>
    </row>
    <row r="164" spans="1:37" s="95" customFormat="1" ht="15" hidden="1" outlineLevel="1" x14ac:dyDescent="0.25">
      <c r="A164" s="237"/>
      <c r="B164" s="238"/>
      <c r="C164" s="239"/>
      <c r="D164" s="239"/>
      <c r="E164" s="240"/>
      <c r="F164" s="240"/>
      <c r="G164" s="239"/>
      <c r="H164" s="241"/>
      <c r="I164" s="242"/>
      <c r="J164" s="243"/>
      <c r="K164" s="121"/>
      <c r="L164" s="239"/>
      <c r="M164" s="239"/>
      <c r="N164" s="239"/>
      <c r="O164" s="244"/>
      <c r="P164" s="121"/>
      <c r="Q164" s="245"/>
      <c r="R164" s="245"/>
      <c r="S164" s="246" t="s">
        <v>389</v>
      </c>
      <c r="T164" s="247"/>
      <c r="U164" s="248">
        <f>SUM(U10:U139)</f>
        <v>1536576.7615003933</v>
      </c>
      <c r="V164" s="248">
        <f>SUM(V10:V139)</f>
        <v>4434121.9921058705</v>
      </c>
      <c r="W164" s="248">
        <f>SUM(W10:W139)</f>
        <v>4161967.3674100931</v>
      </c>
      <c r="X164" s="249">
        <f>SUM(X10:X163)</f>
        <v>712574.82</v>
      </c>
      <c r="Y164" s="249">
        <f>SUM(Y10:Y163)</f>
        <v>489614.74999999988</v>
      </c>
      <c r="Z164" s="250">
        <f>SUM(Z10:Z163)</f>
        <v>4689229.7079218114</v>
      </c>
      <c r="AA164" s="250">
        <f>SUM(AA10:AA163)</f>
        <v>5757978.6803439846</v>
      </c>
      <c r="AB164" s="250">
        <f t="shared" ref="AB164:AH164" si="9">SUM(AB10:AB163)</f>
        <v>5576909.8293302646</v>
      </c>
      <c r="AC164" s="250">
        <f t="shared" si="9"/>
        <v>5380363.9350565439</v>
      </c>
      <c r="AD164" s="250">
        <f t="shared" si="9"/>
        <v>5034825.6323061557</v>
      </c>
      <c r="AE164" s="250">
        <f t="shared" si="9"/>
        <v>4855559.3883591052</v>
      </c>
      <c r="AF164" s="250">
        <f t="shared" si="9"/>
        <v>4625313.952442049</v>
      </c>
      <c r="AG164" s="250">
        <f t="shared" si="9"/>
        <v>52976322.464450255</v>
      </c>
      <c r="AH164" s="250">
        <f t="shared" si="9"/>
        <v>84207273.882288352</v>
      </c>
      <c r="AI164" s="251"/>
      <c r="AJ164" s="75"/>
    </row>
    <row r="165" spans="1:37" hidden="1" outlineLevel="1" x14ac:dyDescent="0.2">
      <c r="H165" s="252"/>
      <c r="I165" s="253"/>
      <c r="J165" s="252"/>
      <c r="K165" s="253"/>
      <c r="O165" s="254"/>
      <c r="P165" s="253"/>
      <c r="AA165" s="255"/>
      <c r="AB165" s="255"/>
      <c r="AC165" s="255"/>
      <c r="AD165" s="255"/>
      <c r="AE165" s="255"/>
      <c r="AF165" s="255"/>
      <c r="AG165" s="255"/>
      <c r="AH165" s="255"/>
      <c r="AJ165" s="75"/>
    </row>
    <row r="166" spans="1:37" s="95" customFormat="1" ht="13.9" hidden="1" customHeight="1" outlineLevel="2" x14ac:dyDescent="0.25">
      <c r="A166" s="237"/>
      <c r="B166" s="256" t="s">
        <v>390</v>
      </c>
      <c r="C166" s="257"/>
      <c r="D166" s="258"/>
      <c r="E166" s="259"/>
      <c r="F166" s="256" t="s">
        <v>391</v>
      </c>
      <c r="G166" s="256"/>
      <c r="H166" s="260"/>
      <c r="I166" s="261"/>
      <c r="J166" s="262"/>
      <c r="K166" s="263"/>
      <c r="L166" s="261"/>
      <c r="M166" s="261"/>
      <c r="N166" s="261"/>
      <c r="O166" s="261"/>
      <c r="P166" s="261"/>
      <c r="Q166" s="261">
        <f>SUM(Q10:Q165)</f>
        <v>9816171</v>
      </c>
      <c r="R166" s="261">
        <f>SUM(R10:R165)</f>
        <v>9638788</v>
      </c>
      <c r="S166" s="264" t="s">
        <v>44</v>
      </c>
      <c r="T166" s="265"/>
      <c r="U166" s="266">
        <f t="shared" ref="U166:AG167" si="10">SUMIF($S$10:$S$69,$S166,U$10:U$69)</f>
        <v>1100521.7431783541</v>
      </c>
      <c r="V166" s="266">
        <f t="shared" si="10"/>
        <v>2313981.0731783542</v>
      </c>
      <c r="W166" s="266">
        <f t="shared" si="10"/>
        <v>1761953.5999999999</v>
      </c>
      <c r="X166" s="267"/>
      <c r="Y166" s="267"/>
      <c r="Z166" s="266"/>
      <c r="AA166" s="266">
        <f>SUMIF($S$10:$S$69,$S166,AA$10:AA$69)+SUMIF($S$150:$S$151,$S166,AA$150:AA$151)+SUMIF($S$158:$S$161,$S166,AA$158:AA$161)</f>
        <v>1879709.8379218103</v>
      </c>
      <c r="AB166" s="266">
        <f t="shared" si="10"/>
        <v>1804908.1679218104</v>
      </c>
      <c r="AC166" s="266">
        <f t="shared" si="10"/>
        <v>1782158.8379218101</v>
      </c>
      <c r="AD166" s="266">
        <f t="shared" si="10"/>
        <v>1736214.8379218103</v>
      </c>
      <c r="AE166" s="266">
        <f t="shared" si="10"/>
        <v>1692649.8379218103</v>
      </c>
      <c r="AF166" s="266">
        <f t="shared" si="10"/>
        <v>1663423.8379218103</v>
      </c>
      <c r="AG166" s="266">
        <f t="shared" si="10"/>
        <v>13042132.718703706</v>
      </c>
      <c r="AH166" s="266">
        <f>SUM(AA166:AG166)</f>
        <v>23601198.076234568</v>
      </c>
      <c r="AJ166" s="266"/>
      <c r="AK166" s="268"/>
    </row>
    <row r="167" spans="1:37" s="95" customFormat="1" ht="13.9" hidden="1" customHeight="1" outlineLevel="2" thickBot="1" x14ac:dyDescent="0.25">
      <c r="A167" s="237"/>
      <c r="B167" s="269"/>
      <c r="C167" s="270"/>
      <c r="D167" s="271"/>
      <c r="E167" s="272"/>
      <c r="F167" s="273" t="s">
        <v>392</v>
      </c>
      <c r="G167" s="274"/>
      <c r="H167" s="275"/>
      <c r="I167" s="276"/>
      <c r="J167" s="277"/>
      <c r="K167" s="278"/>
      <c r="L167" s="276"/>
      <c r="M167" s="276"/>
      <c r="N167" s="276"/>
      <c r="O167" s="276"/>
      <c r="P167" s="276"/>
      <c r="Q167" s="276"/>
      <c r="R167" s="276"/>
      <c r="S167" s="276" t="s">
        <v>46</v>
      </c>
      <c r="T167" s="279"/>
      <c r="U167" s="280">
        <f t="shared" si="10"/>
        <v>436055.01832203905</v>
      </c>
      <c r="V167" s="280">
        <f t="shared" si="10"/>
        <v>847288.51392751595</v>
      </c>
      <c r="W167" s="280">
        <f t="shared" si="10"/>
        <v>961573.49410509295</v>
      </c>
      <c r="X167" s="281"/>
      <c r="Y167" s="281"/>
      <c r="Z167" s="280"/>
      <c r="AA167" s="280">
        <f>SUMIF($S$10:$S$69,$S167,AA$10:AA$69)+SUMIF($S$150:$S$151,$S167,AA$150:AA$151)+SUMIF($S$158:$S$161,$S167,AA$158:AA$161)</f>
        <v>905339.28700883954</v>
      </c>
      <c r="AB167" s="280">
        <f t="shared" si="10"/>
        <v>817778.55807778577</v>
      </c>
      <c r="AC167" s="280">
        <f t="shared" si="10"/>
        <v>757377.8662967321</v>
      </c>
      <c r="AD167" s="280">
        <f t="shared" si="10"/>
        <v>696902.19490567886</v>
      </c>
      <c r="AE167" s="280">
        <f t="shared" si="10"/>
        <v>637093.30314462539</v>
      </c>
      <c r="AF167" s="280">
        <f t="shared" si="10"/>
        <v>578707.12623357214</v>
      </c>
      <c r="AG167" s="280">
        <f t="shared" si="10"/>
        <v>7454141.108466533</v>
      </c>
      <c r="AH167" s="280">
        <f>SUM(AA167:AG167)</f>
        <v>11847339.444133766</v>
      </c>
      <c r="AJ167" s="280"/>
      <c r="AK167" s="268"/>
    </row>
    <row r="168" spans="1:37" s="95" customFormat="1" ht="13.9" hidden="1" customHeight="1" outlineLevel="2" thickTop="1" x14ac:dyDescent="0.2">
      <c r="A168" s="237"/>
      <c r="B168" s="282"/>
      <c r="C168" s="257"/>
      <c r="D168" s="258"/>
      <c r="E168" s="259"/>
      <c r="F168" s="256" t="s">
        <v>393</v>
      </c>
      <c r="G168" s="256"/>
      <c r="H168" s="260"/>
      <c r="I168" s="261"/>
      <c r="J168" s="262"/>
      <c r="K168" s="263"/>
      <c r="L168" s="261"/>
      <c r="M168" s="261"/>
      <c r="N168" s="261"/>
      <c r="O168" s="261"/>
      <c r="P168" s="261"/>
      <c r="Q168" s="261"/>
      <c r="R168" s="261"/>
      <c r="S168" s="261"/>
      <c r="T168" s="265"/>
      <c r="U168" s="266">
        <f>SUM(U166:U167)</f>
        <v>1536576.761500393</v>
      </c>
      <c r="V168" s="266">
        <f t="shared" ref="V168:AG168" si="11">SUM(V166:V167)</f>
        <v>3161269.5871058702</v>
      </c>
      <c r="W168" s="266">
        <f t="shared" si="11"/>
        <v>2723527.0941050928</v>
      </c>
      <c r="X168" s="267"/>
      <c r="Y168" s="267"/>
      <c r="Z168" s="266"/>
      <c r="AA168" s="266">
        <f>SUM(AA166:AA167)</f>
        <v>2785049.12493065</v>
      </c>
      <c r="AB168" s="266">
        <f t="shared" si="11"/>
        <v>2622686.7259995961</v>
      </c>
      <c r="AC168" s="266">
        <f t="shared" si="11"/>
        <v>2539536.7042185422</v>
      </c>
      <c r="AD168" s="266">
        <f t="shared" si="11"/>
        <v>2433117.0328274891</v>
      </c>
      <c r="AE168" s="266">
        <f t="shared" si="11"/>
        <v>2329743.1410664357</v>
      </c>
      <c r="AF168" s="266">
        <f t="shared" si="11"/>
        <v>2242130.9641553825</v>
      </c>
      <c r="AG168" s="266">
        <f t="shared" si="11"/>
        <v>20496273.827170238</v>
      </c>
      <c r="AH168" s="266">
        <f>SUM(AA168:AG168)</f>
        <v>35448537.520368338</v>
      </c>
      <c r="AJ168" s="266"/>
      <c r="AK168" s="268"/>
    </row>
    <row r="169" spans="1:37" s="95" customFormat="1" ht="5.25" hidden="1" customHeight="1" outlineLevel="2" x14ac:dyDescent="0.2">
      <c r="A169" s="237"/>
      <c r="B169" s="283"/>
      <c r="C169" s="238"/>
      <c r="D169" s="239"/>
      <c r="E169" s="284"/>
      <c r="F169" s="251"/>
      <c r="G169" s="251"/>
      <c r="H169" s="285"/>
      <c r="I169" s="121"/>
      <c r="J169" s="285"/>
      <c r="K169" s="121"/>
      <c r="L169" s="121"/>
      <c r="M169" s="121"/>
      <c r="N169" s="121"/>
      <c r="O169" s="121"/>
      <c r="P169" s="121"/>
      <c r="Q169" s="121"/>
      <c r="R169" s="121"/>
      <c r="S169" s="121"/>
      <c r="T169" s="265"/>
      <c r="U169" s="247"/>
      <c r="V169" s="247"/>
      <c r="W169" s="247"/>
      <c r="X169" s="286"/>
      <c r="Y169" s="286"/>
      <c r="Z169" s="247"/>
      <c r="AA169" s="287"/>
      <c r="AB169" s="287"/>
      <c r="AC169" s="287"/>
      <c r="AD169" s="287"/>
      <c r="AE169" s="287"/>
      <c r="AF169" s="287"/>
      <c r="AG169" s="287"/>
      <c r="AH169" s="287"/>
      <c r="AJ169" s="287"/>
      <c r="AK169" s="268"/>
    </row>
    <row r="170" spans="1:37" s="95" customFormat="1" ht="13.9" hidden="1" customHeight="1" outlineLevel="2" x14ac:dyDescent="0.25">
      <c r="A170" s="237"/>
      <c r="B170" s="288" t="s">
        <v>394</v>
      </c>
      <c r="C170" s="289"/>
      <c r="D170" s="290"/>
      <c r="E170" s="291"/>
      <c r="F170" s="288" t="s">
        <v>391</v>
      </c>
      <c r="G170" s="288"/>
      <c r="H170" s="292"/>
      <c r="I170" s="293"/>
      <c r="J170" s="262"/>
      <c r="K170" s="263"/>
      <c r="L170" s="293"/>
      <c r="M170" s="293"/>
      <c r="N170" s="293"/>
      <c r="O170" s="293"/>
      <c r="P170" s="293"/>
      <c r="Q170" s="293">
        <f>SUM(Q11:Q166)</f>
        <v>17549429</v>
      </c>
      <c r="R170" s="293">
        <f>SUM(R11:R166)</f>
        <v>17211737</v>
      </c>
      <c r="S170" s="293" t="s">
        <v>44</v>
      </c>
      <c r="T170" s="265"/>
      <c r="U170" s="294"/>
      <c r="V170" s="294">
        <f>SUMIF($S$70:$S$139,$S170,V$70:V$139)</f>
        <v>1233073.6299999999</v>
      </c>
      <c r="W170" s="294">
        <f t="shared" ref="W170:AG171" si="12">SUMIF($S$70:$S$139,$S170,W$70:W$139)</f>
        <v>1362540</v>
      </c>
      <c r="X170" s="295"/>
      <c r="Y170" s="295"/>
      <c r="Z170" s="294"/>
      <c r="AA170" s="294">
        <f>SUMIF($S$70:$S$149,$S170,AA$70:AA$149)+SUMIF($S$152:$S$153,$S170,AA$152:AA$153)+SUMIF($S$162:$S$163,$S170,AA$162:AA$163)</f>
        <v>1774221.4333333331</v>
      </c>
      <c r="AB170" s="294">
        <f t="shared" si="12"/>
        <v>1514716</v>
      </c>
      <c r="AC170" s="294">
        <f t="shared" si="12"/>
        <v>1489608</v>
      </c>
      <c r="AD170" s="294">
        <f t="shared" si="12"/>
        <v>1393504</v>
      </c>
      <c r="AE170" s="294">
        <f t="shared" si="12"/>
        <v>1381954</v>
      </c>
      <c r="AF170" s="294">
        <f t="shared" si="12"/>
        <v>1348051</v>
      </c>
      <c r="AG170" s="294">
        <f t="shared" si="12"/>
        <v>18008215</v>
      </c>
      <c r="AH170" s="294">
        <f>SUM(AA170:AG170)</f>
        <v>26910269.433333334</v>
      </c>
      <c r="AJ170" s="294"/>
      <c r="AK170" s="268"/>
    </row>
    <row r="171" spans="1:37" s="95" customFormat="1" ht="13.9" hidden="1" customHeight="1" outlineLevel="2" thickBot="1" x14ac:dyDescent="0.25">
      <c r="A171" s="237"/>
      <c r="B171" s="296"/>
      <c r="C171" s="297"/>
      <c r="D171" s="298"/>
      <c r="E171" s="299"/>
      <c r="F171" s="300" t="s">
        <v>392</v>
      </c>
      <c r="G171" s="301"/>
      <c r="H171" s="302"/>
      <c r="I171" s="303"/>
      <c r="J171" s="277"/>
      <c r="K171" s="278"/>
      <c r="L171" s="303"/>
      <c r="M171" s="303"/>
      <c r="N171" s="303"/>
      <c r="O171" s="303"/>
      <c r="P171" s="303"/>
      <c r="Q171" s="303"/>
      <c r="R171" s="303"/>
      <c r="S171" s="303" t="s">
        <v>46</v>
      </c>
      <c r="T171" s="279"/>
      <c r="U171" s="304"/>
      <c r="V171" s="304">
        <f>SUMIF($S$70:$S$139,$S171,V$70:V$139)</f>
        <v>39778.774999999994</v>
      </c>
      <c r="W171" s="304">
        <f t="shared" si="12"/>
        <v>75900.273305000024</v>
      </c>
      <c r="X171" s="305"/>
      <c r="Y171" s="305"/>
      <c r="Z171" s="304"/>
      <c r="AA171" s="304">
        <f t="shared" si="12"/>
        <v>1090446.6298400001</v>
      </c>
      <c r="AB171" s="304">
        <f t="shared" si="12"/>
        <v>1028191.98912</v>
      </c>
      <c r="AC171" s="304">
        <f t="shared" si="12"/>
        <v>967614.88643999991</v>
      </c>
      <c r="AD171" s="304">
        <f t="shared" si="12"/>
        <v>908021.96179999993</v>
      </c>
      <c r="AE171" s="304">
        <f t="shared" si="12"/>
        <v>852008.66267999995</v>
      </c>
      <c r="AF171" s="304">
        <f t="shared" si="12"/>
        <v>796398.25673999998</v>
      </c>
      <c r="AG171" s="304">
        <f t="shared" si="12"/>
        <v>13125577.111443998</v>
      </c>
      <c r="AH171" s="304">
        <f>SUM(AA171:AG171)</f>
        <v>18768259.498063996</v>
      </c>
      <c r="AJ171" s="304"/>
      <c r="AK171" s="268"/>
    </row>
    <row r="172" spans="1:37" s="95" customFormat="1" ht="13.9" hidden="1" customHeight="1" outlineLevel="2" thickTop="1" x14ac:dyDescent="0.2">
      <c r="A172" s="237"/>
      <c r="B172" s="306"/>
      <c r="C172" s="289"/>
      <c r="D172" s="290"/>
      <c r="E172" s="291"/>
      <c r="F172" s="288" t="s">
        <v>393</v>
      </c>
      <c r="G172" s="288"/>
      <c r="H172" s="292"/>
      <c r="I172" s="293"/>
      <c r="J172" s="262"/>
      <c r="K172" s="263"/>
      <c r="L172" s="293"/>
      <c r="M172" s="293"/>
      <c r="N172" s="293"/>
      <c r="O172" s="293"/>
      <c r="P172" s="293"/>
      <c r="Q172" s="293"/>
      <c r="R172" s="293"/>
      <c r="S172" s="293"/>
      <c r="T172" s="265"/>
      <c r="U172" s="294"/>
      <c r="V172" s="294">
        <f>SUM(V170:V171)</f>
        <v>1272852.4049999998</v>
      </c>
      <c r="W172" s="294">
        <f t="shared" ref="W172:AG172" si="13">SUM(W170:W171)</f>
        <v>1438440.273305</v>
      </c>
      <c r="X172" s="295"/>
      <c r="Y172" s="295"/>
      <c r="Z172" s="294"/>
      <c r="AA172" s="294">
        <f t="shared" si="13"/>
        <v>2864668.0631733332</v>
      </c>
      <c r="AB172" s="294">
        <f t="shared" si="13"/>
        <v>2542907.98912</v>
      </c>
      <c r="AC172" s="294">
        <f t="shared" si="13"/>
        <v>2457222.88644</v>
      </c>
      <c r="AD172" s="294">
        <f t="shared" si="13"/>
        <v>2301525.9617999997</v>
      </c>
      <c r="AE172" s="294">
        <f t="shared" si="13"/>
        <v>2233962.6626800001</v>
      </c>
      <c r="AF172" s="294">
        <f t="shared" si="13"/>
        <v>2144449.2567400001</v>
      </c>
      <c r="AG172" s="294">
        <f t="shared" si="13"/>
        <v>31133792.111443996</v>
      </c>
      <c r="AH172" s="294">
        <f>SUM(AA172:AG172)</f>
        <v>45678528.931397334</v>
      </c>
      <c r="AJ172" s="294"/>
      <c r="AK172" s="268"/>
    </row>
    <row r="173" spans="1:37" s="95" customFormat="1" ht="7.5" hidden="1" customHeight="1" outlineLevel="2" x14ac:dyDescent="0.2">
      <c r="A173" s="237"/>
      <c r="B173" s="283"/>
      <c r="C173" s="238"/>
      <c r="D173" s="239"/>
      <c r="E173" s="284"/>
      <c r="F173" s="251"/>
      <c r="G173" s="251"/>
      <c r="H173" s="285"/>
      <c r="I173" s="121"/>
      <c r="J173" s="285"/>
      <c r="K173" s="121"/>
      <c r="L173" s="121"/>
      <c r="M173" s="121"/>
      <c r="N173" s="121"/>
      <c r="O173" s="121"/>
      <c r="P173" s="121"/>
      <c r="Q173" s="121"/>
      <c r="R173" s="121"/>
      <c r="S173" s="121"/>
      <c r="T173" s="265"/>
      <c r="U173" s="247"/>
      <c r="V173" s="247"/>
      <c r="W173" s="247"/>
      <c r="X173" s="286"/>
      <c r="Y173" s="286"/>
      <c r="Z173" s="247"/>
      <c r="AA173" s="287"/>
      <c r="AB173" s="287"/>
      <c r="AC173" s="287"/>
      <c r="AD173" s="287"/>
      <c r="AE173" s="287"/>
      <c r="AF173" s="287"/>
      <c r="AG173" s="287"/>
      <c r="AH173" s="287"/>
      <c r="AJ173" s="287"/>
      <c r="AK173" s="268"/>
    </row>
    <row r="174" spans="1:37" s="95" customFormat="1" ht="13.9" hidden="1" customHeight="1" outlineLevel="2" x14ac:dyDescent="0.25">
      <c r="A174" s="237"/>
      <c r="B174" s="307" t="s">
        <v>395</v>
      </c>
      <c r="C174" s="308"/>
      <c r="D174" s="309"/>
      <c r="E174" s="310"/>
      <c r="F174" s="307" t="s">
        <v>391</v>
      </c>
      <c r="G174" s="307"/>
      <c r="H174" s="311"/>
      <c r="I174" s="312"/>
      <c r="J174" s="262"/>
      <c r="K174" s="263"/>
      <c r="L174" s="312"/>
      <c r="M174" s="312"/>
      <c r="N174" s="312"/>
      <c r="O174" s="312"/>
      <c r="P174" s="312"/>
      <c r="Q174" s="312"/>
      <c r="R174" s="312"/>
      <c r="S174" s="312" t="s">
        <v>44</v>
      </c>
      <c r="T174" s="265"/>
      <c r="U174" s="313">
        <f>SUM(U166,U170)</f>
        <v>1100521.7431783541</v>
      </c>
      <c r="V174" s="313">
        <f t="shared" ref="V174:AH175" si="14">SUM(V166,V170)</f>
        <v>3547054.7031783541</v>
      </c>
      <c r="W174" s="313">
        <f t="shared" si="14"/>
        <v>3124493.5999999996</v>
      </c>
      <c r="X174" s="314"/>
      <c r="Y174" s="314"/>
      <c r="Z174" s="313"/>
      <c r="AA174" s="313">
        <f t="shared" si="14"/>
        <v>3653931.2712551435</v>
      </c>
      <c r="AB174" s="313">
        <f t="shared" si="14"/>
        <v>3319624.1679218104</v>
      </c>
      <c r="AC174" s="313">
        <f t="shared" si="14"/>
        <v>3271766.8379218103</v>
      </c>
      <c r="AD174" s="313">
        <f t="shared" si="14"/>
        <v>3129718.8379218103</v>
      </c>
      <c r="AE174" s="313">
        <f t="shared" si="14"/>
        <v>3074603.8379218103</v>
      </c>
      <c r="AF174" s="313">
        <f t="shared" si="14"/>
        <v>3011474.8379218103</v>
      </c>
      <c r="AG174" s="313">
        <f t="shared" si="14"/>
        <v>31050347.718703706</v>
      </c>
      <c r="AH174" s="313">
        <f t="shared" si="14"/>
        <v>50511467.509567901</v>
      </c>
      <c r="AJ174" s="313"/>
      <c r="AK174" s="268"/>
    </row>
    <row r="175" spans="1:37" s="95" customFormat="1" ht="13.9" hidden="1" customHeight="1" outlineLevel="2" thickBot="1" x14ac:dyDescent="0.25">
      <c r="A175" s="237"/>
      <c r="B175" s="315"/>
      <c r="C175" s="316"/>
      <c r="D175" s="317"/>
      <c r="E175" s="318"/>
      <c r="F175" s="319" t="s">
        <v>392</v>
      </c>
      <c r="G175" s="320"/>
      <c r="H175" s="321"/>
      <c r="I175" s="322"/>
      <c r="J175" s="277"/>
      <c r="K175" s="278"/>
      <c r="L175" s="322"/>
      <c r="M175" s="322"/>
      <c r="N175" s="322"/>
      <c r="O175" s="322"/>
      <c r="P175" s="322"/>
      <c r="Q175" s="322">
        <f>SUM(Q12:Q170)</f>
        <v>35098858</v>
      </c>
      <c r="R175" s="322">
        <f>SUM(R12:R170)</f>
        <v>34423474</v>
      </c>
      <c r="S175" s="322" t="s">
        <v>46</v>
      </c>
      <c r="T175" s="279"/>
      <c r="U175" s="323">
        <f>SUM(U167,U171)</f>
        <v>436055.01832203905</v>
      </c>
      <c r="V175" s="323">
        <f t="shared" si="14"/>
        <v>887067.28892751597</v>
      </c>
      <c r="W175" s="323">
        <f t="shared" si="14"/>
        <v>1037473.767410093</v>
      </c>
      <c r="X175" s="324"/>
      <c r="Y175" s="324"/>
      <c r="Z175" s="323"/>
      <c r="AA175" s="323">
        <f t="shared" si="14"/>
        <v>1995785.9168488397</v>
      </c>
      <c r="AB175" s="323">
        <f t="shared" si="14"/>
        <v>1845970.5471977857</v>
      </c>
      <c r="AC175" s="323">
        <f t="shared" si="14"/>
        <v>1724992.7527367319</v>
      </c>
      <c r="AD175" s="323">
        <f t="shared" si="14"/>
        <v>1604924.1567056789</v>
      </c>
      <c r="AE175" s="323">
        <f t="shared" si="14"/>
        <v>1489101.9658246255</v>
      </c>
      <c r="AF175" s="323">
        <f t="shared" si="14"/>
        <v>1375105.3829735722</v>
      </c>
      <c r="AG175" s="323">
        <f t="shared" si="14"/>
        <v>20579718.219910532</v>
      </c>
      <c r="AH175" s="323">
        <f t="shared" si="14"/>
        <v>30615598.942197762</v>
      </c>
      <c r="AJ175" s="323"/>
      <c r="AK175" s="268"/>
    </row>
    <row r="176" spans="1:37" s="95" customFormat="1" ht="13.9" hidden="1" customHeight="1" outlineLevel="2" thickTop="1" x14ac:dyDescent="0.2">
      <c r="A176" s="237"/>
      <c r="B176" s="325"/>
      <c r="C176" s="308"/>
      <c r="D176" s="309"/>
      <c r="E176" s="310"/>
      <c r="F176" s="307" t="s">
        <v>393</v>
      </c>
      <c r="G176" s="307"/>
      <c r="H176" s="311"/>
      <c r="I176" s="312"/>
      <c r="J176" s="262"/>
      <c r="K176" s="263"/>
      <c r="L176" s="312"/>
      <c r="M176" s="312"/>
      <c r="N176" s="312"/>
      <c r="O176" s="312"/>
      <c r="P176" s="312"/>
      <c r="Q176" s="312"/>
      <c r="R176" s="312"/>
      <c r="S176" s="312"/>
      <c r="T176" s="265"/>
      <c r="U176" s="313">
        <f>SUM(U174:U175)</f>
        <v>1536576.761500393</v>
      </c>
      <c r="V176" s="313">
        <f t="shared" ref="V176:AH176" si="15">SUM(V174:V175)</f>
        <v>4434121.9921058696</v>
      </c>
      <c r="W176" s="313">
        <f t="shared" si="15"/>
        <v>4161967.3674100926</v>
      </c>
      <c r="X176" s="314"/>
      <c r="Y176" s="314"/>
      <c r="Z176" s="313"/>
      <c r="AA176" s="313">
        <f t="shared" si="15"/>
        <v>5649717.1881039832</v>
      </c>
      <c r="AB176" s="313">
        <f t="shared" si="15"/>
        <v>5165594.7151195966</v>
      </c>
      <c r="AC176" s="313">
        <f t="shared" si="15"/>
        <v>4996759.5906585418</v>
      </c>
      <c r="AD176" s="313">
        <f t="shared" si="15"/>
        <v>4734642.9946274888</v>
      </c>
      <c r="AE176" s="313">
        <f t="shared" si="15"/>
        <v>4563705.8037464358</v>
      </c>
      <c r="AF176" s="313">
        <f t="shared" si="15"/>
        <v>4386580.2208953826</v>
      </c>
      <c r="AG176" s="313">
        <f t="shared" si="15"/>
        <v>51630065.938614234</v>
      </c>
      <c r="AH176" s="313">
        <f t="shared" si="15"/>
        <v>81127066.451765656</v>
      </c>
      <c r="AJ176" s="313"/>
      <c r="AK176" s="268"/>
    </row>
    <row r="177" spans="1:37" s="95" customFormat="1" ht="11.25" hidden="1" customHeight="1" outlineLevel="2" x14ac:dyDescent="0.25">
      <c r="A177" s="237"/>
      <c r="B177" s="238"/>
      <c r="C177" s="238"/>
      <c r="D177" s="239"/>
      <c r="E177" s="284"/>
      <c r="F177" s="240"/>
      <c r="G177" s="239"/>
      <c r="H177" s="262"/>
      <c r="I177" s="263"/>
      <c r="J177" s="262"/>
      <c r="K177" s="263"/>
      <c r="L177" s="239"/>
      <c r="M177" s="239"/>
      <c r="N177" s="239"/>
      <c r="O177" s="326"/>
      <c r="P177" s="327"/>
      <c r="Q177" s="245"/>
      <c r="R177" s="245"/>
      <c r="S177" s="239"/>
      <c r="T177" s="265"/>
      <c r="U177" s="247"/>
      <c r="V177" s="247"/>
      <c r="W177" s="247"/>
      <c r="X177" s="286"/>
      <c r="Y177" s="286"/>
      <c r="Z177" s="247"/>
      <c r="AA177" s="328"/>
      <c r="AB177" s="328"/>
      <c r="AC177" s="328"/>
      <c r="AD177" s="328"/>
      <c r="AE177" s="328"/>
      <c r="AF177" s="328"/>
      <c r="AG177" s="247"/>
      <c r="AH177" s="247"/>
      <c r="AI177" s="251"/>
      <c r="AJ177" s="75"/>
      <c r="AK177" s="268"/>
    </row>
    <row r="178" spans="1:37" s="95" customFormat="1" ht="11.25" hidden="1" customHeight="1" outlineLevel="2" x14ac:dyDescent="0.25">
      <c r="A178" s="237"/>
      <c r="B178" s="238"/>
      <c r="C178" s="238"/>
      <c r="D178" s="239"/>
      <c r="E178" s="284"/>
      <c r="F178" s="240"/>
      <c r="G178" s="239"/>
      <c r="H178" s="262"/>
      <c r="I178" s="263"/>
      <c r="J178" s="262"/>
      <c r="K178" s="263"/>
      <c r="L178" s="239"/>
      <c r="M178" s="239"/>
      <c r="N178" s="239"/>
      <c r="O178" s="326"/>
      <c r="P178" s="327"/>
      <c r="Q178" s="245"/>
      <c r="R178" s="245"/>
      <c r="S178" s="239"/>
      <c r="T178" s="265"/>
      <c r="U178" s="247"/>
      <c r="V178" s="247"/>
      <c r="W178" s="247"/>
      <c r="X178" s="286"/>
      <c r="Y178" s="286"/>
      <c r="Z178" s="247"/>
      <c r="AA178" s="329">
        <f>AA167/AA166</f>
        <v>0.48163778725006529</v>
      </c>
      <c r="AB178" s="329">
        <f t="shared" ref="AB178:AG178" si="16">AB167/AB166</f>
        <v>0.45308596448947558</v>
      </c>
      <c r="AC178" s="329">
        <f t="shared" si="16"/>
        <v>0.42497775741466265</v>
      </c>
      <c r="AD178" s="329">
        <f t="shared" si="16"/>
        <v>0.40139168246013085</v>
      </c>
      <c r="AE178" s="329">
        <f t="shared" si="16"/>
        <v>0.37638812758038087</v>
      </c>
      <c r="AF178" s="329">
        <f t="shared" si="16"/>
        <v>0.34790118612017534</v>
      </c>
      <c r="AG178" s="329">
        <f t="shared" si="16"/>
        <v>0.57154311102635524</v>
      </c>
      <c r="AH178" s="247"/>
      <c r="AI178" s="251"/>
      <c r="AJ178" s="75"/>
      <c r="AK178" s="330"/>
    </row>
    <row r="179" spans="1:37" s="95" customFormat="1" ht="14.25" hidden="1" outlineLevel="1" collapsed="1" thickBot="1" x14ac:dyDescent="0.3">
      <c r="A179" s="25" t="s">
        <v>396</v>
      </c>
      <c r="B179" s="238"/>
      <c r="C179" s="238"/>
      <c r="D179" s="239"/>
      <c r="E179" s="284"/>
      <c r="F179" s="240"/>
      <c r="G179" s="239"/>
      <c r="H179" s="262"/>
      <c r="I179" s="263"/>
      <c r="J179" s="262"/>
      <c r="K179" s="263"/>
      <c r="L179" s="239"/>
      <c r="M179" s="239"/>
      <c r="N179" s="239"/>
      <c r="O179" s="326"/>
      <c r="P179" s="327"/>
      <c r="Q179" s="245"/>
      <c r="R179" s="245"/>
      <c r="S179" s="239"/>
      <c r="T179" s="265"/>
      <c r="U179" s="247"/>
      <c r="V179" s="247"/>
      <c r="W179" s="247"/>
      <c r="X179" s="286"/>
      <c r="Y179" s="286"/>
      <c r="Z179" s="247"/>
      <c r="AA179" s="329">
        <f t="shared" ref="AA179:AG179" si="17">AA171/AA170</f>
        <v>0.61460571344317183</v>
      </c>
      <c r="AB179" s="329">
        <f t="shared" si="17"/>
        <v>0.67880182761653007</v>
      </c>
      <c r="AC179" s="329">
        <f t="shared" si="17"/>
        <v>0.64957685944221566</v>
      </c>
      <c r="AD179" s="329">
        <f t="shared" si="17"/>
        <v>0.65161058870301047</v>
      </c>
      <c r="AE179" s="329">
        <f t="shared" si="17"/>
        <v>0.61652461853288887</v>
      </c>
      <c r="AF179" s="329">
        <f t="shared" si="17"/>
        <v>0.59077754234817526</v>
      </c>
      <c r="AG179" s="329">
        <f t="shared" si="17"/>
        <v>0.72886608203222802</v>
      </c>
      <c r="AH179" s="247"/>
      <c r="AI179" s="251"/>
      <c r="AJ179" s="75"/>
    </row>
    <row r="180" spans="1:37" s="53" customFormat="1" ht="52.5" hidden="1" customHeight="1" outlineLevel="1" thickBot="1" x14ac:dyDescent="0.25">
      <c r="A180" s="476" t="s">
        <v>397</v>
      </c>
      <c r="B180" s="477"/>
      <c r="C180" s="37" t="s">
        <v>7</v>
      </c>
      <c r="D180" s="38" t="s">
        <v>8</v>
      </c>
      <c r="E180" s="39" t="s">
        <v>9</v>
      </c>
      <c r="F180" s="38" t="s">
        <v>9</v>
      </c>
      <c r="G180" s="38" t="s">
        <v>10</v>
      </c>
      <c r="H180" s="40" t="s">
        <v>11</v>
      </c>
      <c r="I180" s="41" t="s">
        <v>12</v>
      </c>
      <c r="J180" s="40" t="s">
        <v>13</v>
      </c>
      <c r="K180" s="41" t="s">
        <v>14</v>
      </c>
      <c r="L180" s="36" t="s">
        <v>398</v>
      </c>
      <c r="M180" s="36" t="s">
        <v>16</v>
      </c>
      <c r="N180" s="36" t="s">
        <v>17</v>
      </c>
      <c r="O180" s="331" t="s">
        <v>399</v>
      </c>
      <c r="P180" s="43" t="s">
        <v>19</v>
      </c>
      <c r="Q180" s="44" t="s">
        <v>20</v>
      </c>
      <c r="R180" s="44" t="s">
        <v>21</v>
      </c>
      <c r="S180" s="46" t="s">
        <v>22</v>
      </c>
      <c r="T180" s="332"/>
      <c r="U180" s="51" t="s">
        <v>24</v>
      </c>
      <c r="V180" s="51" t="s">
        <v>25</v>
      </c>
      <c r="W180" s="51" t="s">
        <v>26</v>
      </c>
      <c r="X180" s="333"/>
      <c r="Y180" s="333"/>
      <c r="Z180" s="51" t="s">
        <v>29</v>
      </c>
      <c r="AA180" s="44" t="s">
        <v>30</v>
      </c>
      <c r="AB180" s="44" t="s">
        <v>31</v>
      </c>
      <c r="AC180" s="44" t="s">
        <v>32</v>
      </c>
      <c r="AD180" s="44" t="s">
        <v>33</v>
      </c>
      <c r="AE180" s="44" t="s">
        <v>34</v>
      </c>
      <c r="AF180" s="44" t="s">
        <v>35</v>
      </c>
      <c r="AG180" s="44" t="s">
        <v>36</v>
      </c>
      <c r="AH180" s="44" t="s">
        <v>37</v>
      </c>
      <c r="AI180" s="52"/>
      <c r="AJ180" s="75"/>
    </row>
    <row r="181" spans="1:37" s="95" customFormat="1" ht="9" hidden="1" customHeight="1" outlineLevel="1" thickBot="1" x14ac:dyDescent="0.25">
      <c r="A181" s="334"/>
      <c r="B181" s="335"/>
      <c r="C181" s="335"/>
      <c r="D181" s="336"/>
      <c r="E181" s="337"/>
      <c r="F181" s="338"/>
      <c r="G181" s="336"/>
      <c r="H181" s="339"/>
      <c r="I181" s="340"/>
      <c r="J181" s="339"/>
      <c r="K181" s="340"/>
      <c r="L181" s="336"/>
      <c r="M181" s="336"/>
      <c r="N181" s="336"/>
      <c r="O181" s="341"/>
      <c r="P181" s="342"/>
      <c r="Q181" s="343"/>
      <c r="R181" s="343"/>
      <c r="S181" s="336"/>
      <c r="T181" s="344"/>
      <c r="U181" s="345"/>
      <c r="V181" s="345"/>
      <c r="W181" s="345"/>
      <c r="X181" s="346"/>
      <c r="Y181" s="346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251"/>
      <c r="AJ181" s="75"/>
    </row>
    <row r="182" spans="1:37" s="76" customFormat="1" hidden="1" outlineLevel="1" x14ac:dyDescent="0.25">
      <c r="A182" s="347">
        <v>1</v>
      </c>
      <c r="B182" s="348" t="s">
        <v>400</v>
      </c>
      <c r="C182" s="349"/>
      <c r="D182" s="98"/>
      <c r="E182" s="350"/>
      <c r="F182" s="193" t="s">
        <v>401</v>
      </c>
      <c r="G182" s="99" t="s">
        <v>402</v>
      </c>
      <c r="H182" s="351">
        <v>110000</v>
      </c>
      <c r="I182" s="62">
        <v>129553</v>
      </c>
      <c r="J182" s="351"/>
      <c r="K182" s="104"/>
      <c r="L182" s="182">
        <f>0.101%+$L$7</f>
        <v>2.759E-2</v>
      </c>
      <c r="M182" s="64">
        <v>2.5000000000000001E-3</v>
      </c>
      <c r="N182" s="102">
        <v>5</v>
      </c>
      <c r="O182" s="352"/>
      <c r="P182" s="353"/>
      <c r="Q182" s="68"/>
      <c r="R182" s="68"/>
      <c r="S182" s="105" t="s">
        <v>44</v>
      </c>
      <c r="T182" s="106"/>
      <c r="U182" s="107">
        <v>8936</v>
      </c>
      <c r="V182" s="107">
        <v>8936</v>
      </c>
      <c r="W182" s="107">
        <v>8936</v>
      </c>
      <c r="X182" s="108"/>
      <c r="Y182" s="108"/>
      <c r="Z182" s="107">
        <v>8936</v>
      </c>
      <c r="AA182" s="107">
        <v>8936</v>
      </c>
      <c r="AB182" s="107">
        <v>8936</v>
      </c>
      <c r="AC182" s="107">
        <v>8936</v>
      </c>
      <c r="AD182" s="107">
        <v>8936</v>
      </c>
      <c r="AE182" s="107">
        <v>8936</v>
      </c>
      <c r="AF182" s="107">
        <v>8936</v>
      </c>
      <c r="AG182" s="107">
        <v>29042</v>
      </c>
      <c r="AH182" s="107">
        <f t="shared" ref="AH182:AH193" si="18">SUM(AA182:AG182)</f>
        <v>82658</v>
      </c>
      <c r="AI182" s="238"/>
      <c r="AJ182" s="75"/>
    </row>
    <row r="183" spans="1:37" s="95" customFormat="1" ht="11.45" hidden="1" customHeight="1" outlineLevel="1" thickBot="1" x14ac:dyDescent="0.3">
      <c r="A183" s="354"/>
      <c r="B183" s="355"/>
      <c r="C183" s="222"/>
      <c r="D183" s="79"/>
      <c r="E183" s="80"/>
      <c r="F183" s="81"/>
      <c r="G183" s="82"/>
      <c r="H183" s="356"/>
      <c r="I183" s="357"/>
      <c r="J183" s="356"/>
      <c r="K183" s="357"/>
      <c r="L183" s="79"/>
      <c r="M183" s="79"/>
      <c r="N183" s="79"/>
      <c r="O183" s="358"/>
      <c r="P183" s="359"/>
      <c r="Q183" s="111"/>
      <c r="R183" s="111"/>
      <c r="S183" s="90" t="s">
        <v>46</v>
      </c>
      <c r="T183" s="91"/>
      <c r="U183" s="184">
        <v>385.27866</v>
      </c>
      <c r="V183" s="184">
        <v>353.91329999999999</v>
      </c>
      <c r="W183" s="184">
        <v>1659.7502999999999</v>
      </c>
      <c r="X183" s="190"/>
      <c r="Y183" s="190"/>
      <c r="Z183" s="184">
        <v>2756.0634599999998</v>
      </c>
      <c r="AA183" s="184">
        <f>((SUM(AA182:$AG182))*($L182+$M182))</f>
        <v>2487.17922</v>
      </c>
      <c r="AB183" s="184">
        <f>((SUM(AB182:$AG182))*($L182+$M182))</f>
        <v>2218.2949800000001</v>
      </c>
      <c r="AC183" s="184">
        <f>((SUM(AC182:$AG182))*($L182+$M182))</f>
        <v>1949.4107399999998</v>
      </c>
      <c r="AD183" s="184">
        <f>((SUM(AD182:$AG182))*($L182+$M182))</f>
        <v>1680.5264999999999</v>
      </c>
      <c r="AE183" s="184">
        <f>((SUM(AE182:$AG182))*($L182+$M182))</f>
        <v>1411.6422599999999</v>
      </c>
      <c r="AF183" s="184">
        <f>((SUM(AF182:$AG182))*($L182+$M182))</f>
        <v>1142.75802</v>
      </c>
      <c r="AG183" s="184">
        <f>((SUM(AG182:$AG182))*($L182+$M182))*3</f>
        <v>2621.6213400000001</v>
      </c>
      <c r="AH183" s="184">
        <f t="shared" si="18"/>
        <v>13511.433059999999</v>
      </c>
      <c r="AI183" s="251"/>
      <c r="AJ183" s="75"/>
    </row>
    <row r="184" spans="1:37" s="76" customFormat="1" hidden="1" outlineLevel="1" x14ac:dyDescent="0.25">
      <c r="A184" s="360">
        <v>2</v>
      </c>
      <c r="B184" s="348" t="s">
        <v>403</v>
      </c>
      <c r="C184" s="349"/>
      <c r="D184" s="98"/>
      <c r="E184" s="350"/>
      <c r="F184" s="193" t="s">
        <v>404</v>
      </c>
      <c r="G184" s="99" t="s">
        <v>405</v>
      </c>
      <c r="H184" s="351">
        <v>110000</v>
      </c>
      <c r="I184" s="62">
        <v>44681</v>
      </c>
      <c r="J184" s="351">
        <v>110000</v>
      </c>
      <c r="K184" s="104"/>
      <c r="L184" s="182">
        <v>3.5599999999999998E-3</v>
      </c>
      <c r="M184" s="64">
        <v>5.0000000000000001E-3</v>
      </c>
      <c r="N184" s="65">
        <v>4</v>
      </c>
      <c r="O184" s="352"/>
      <c r="P184" s="353"/>
      <c r="Q184" s="164"/>
      <c r="R184" s="164"/>
      <c r="S184" s="105" t="s">
        <v>44</v>
      </c>
      <c r="T184" s="106"/>
      <c r="U184" s="107">
        <v>14127.05</v>
      </c>
      <c r="V184" s="107">
        <v>5510.5199999999995</v>
      </c>
      <c r="W184" s="107">
        <v>5510.5199999999995</v>
      </c>
      <c r="X184" s="108"/>
      <c r="Y184" s="108"/>
      <c r="Z184" s="107">
        <v>5976</v>
      </c>
      <c r="AA184" s="107">
        <f>498*12</f>
        <v>5976</v>
      </c>
      <c r="AB184" s="167">
        <v>446.95</v>
      </c>
      <c r="AC184" s="361">
        <v>0</v>
      </c>
      <c r="AD184" s="361">
        <v>0</v>
      </c>
      <c r="AE184" s="361">
        <v>0</v>
      </c>
      <c r="AF184" s="361">
        <v>0</v>
      </c>
      <c r="AG184" s="361">
        <v>0</v>
      </c>
      <c r="AH184" s="361">
        <f t="shared" si="18"/>
        <v>6422.95</v>
      </c>
      <c r="AI184" s="238"/>
      <c r="AJ184" s="75"/>
    </row>
    <row r="185" spans="1:37" s="95" customFormat="1" ht="13.5" hidden="1" outlineLevel="1" thickBot="1" x14ac:dyDescent="0.3">
      <c r="A185" s="354"/>
      <c r="B185" s="355" t="s">
        <v>406</v>
      </c>
      <c r="C185" s="222"/>
      <c r="D185" s="79"/>
      <c r="E185" s="80"/>
      <c r="F185" s="81"/>
      <c r="G185" s="82"/>
      <c r="H185" s="356"/>
      <c r="I185" s="357"/>
      <c r="J185" s="356"/>
      <c r="K185" s="357"/>
      <c r="L185" s="79"/>
      <c r="M185" s="79"/>
      <c r="N185" s="79"/>
      <c r="O185" s="358"/>
      <c r="P185" s="359"/>
      <c r="Q185" s="111"/>
      <c r="R185" s="111"/>
      <c r="S185" s="90" t="s">
        <v>46</v>
      </c>
      <c r="T185" s="91"/>
      <c r="U185" s="184"/>
      <c r="V185" s="184"/>
      <c r="W185" s="184"/>
      <c r="X185" s="190"/>
      <c r="Y185" s="190"/>
      <c r="Z185" s="184"/>
      <c r="AA185" s="184"/>
      <c r="AB185" s="184"/>
      <c r="AC185" s="184"/>
      <c r="AD185" s="184"/>
      <c r="AE185" s="184"/>
      <c r="AF185" s="184"/>
      <c r="AG185" s="184"/>
      <c r="AH185" s="184">
        <f t="shared" si="18"/>
        <v>0</v>
      </c>
      <c r="AI185" s="251"/>
      <c r="AJ185" s="75"/>
    </row>
    <row r="186" spans="1:37" s="76" customFormat="1" hidden="1" outlineLevel="1" x14ac:dyDescent="0.25">
      <c r="A186" s="360">
        <v>3</v>
      </c>
      <c r="B186" s="348" t="s">
        <v>407</v>
      </c>
      <c r="C186" s="349"/>
      <c r="D186" s="98"/>
      <c r="E186" s="350"/>
      <c r="F186" s="193" t="s">
        <v>408</v>
      </c>
      <c r="G186" s="99" t="s">
        <v>409</v>
      </c>
      <c r="H186" s="351">
        <v>110000</v>
      </c>
      <c r="I186" s="62">
        <v>82111</v>
      </c>
      <c r="J186" s="351">
        <v>110000</v>
      </c>
      <c r="K186" s="104"/>
      <c r="L186" s="182">
        <v>3.5599999999999998E-3</v>
      </c>
      <c r="M186" s="64">
        <v>5.0000000000000001E-3</v>
      </c>
      <c r="N186" s="65">
        <v>4</v>
      </c>
      <c r="O186" s="352"/>
      <c r="P186" s="353"/>
      <c r="Q186" s="164"/>
      <c r="R186" s="164"/>
      <c r="S186" s="105" t="s">
        <v>44</v>
      </c>
      <c r="T186" s="106"/>
      <c r="U186" s="107">
        <v>7278.62</v>
      </c>
      <c r="V186" s="107">
        <v>15204.36</v>
      </c>
      <c r="W186" s="107">
        <v>15204.36</v>
      </c>
      <c r="X186" s="108"/>
      <c r="Y186" s="108"/>
      <c r="Z186" s="107">
        <v>15204.36</v>
      </c>
      <c r="AA186" s="107">
        <v>15204.36</v>
      </c>
      <c r="AB186" s="167">
        <v>13937.16</v>
      </c>
      <c r="AC186" s="361">
        <v>0</v>
      </c>
      <c r="AD186" s="361">
        <v>0</v>
      </c>
      <c r="AE186" s="361">
        <v>0</v>
      </c>
      <c r="AF186" s="361">
        <v>0</v>
      </c>
      <c r="AG186" s="361">
        <v>0</v>
      </c>
      <c r="AH186" s="361">
        <f t="shared" si="18"/>
        <v>29141.52</v>
      </c>
      <c r="AI186" s="238"/>
      <c r="AJ186" s="75"/>
    </row>
    <row r="187" spans="1:37" s="95" customFormat="1" ht="13.5" hidden="1" outlineLevel="1" thickBot="1" x14ac:dyDescent="0.3">
      <c r="A187" s="354"/>
      <c r="B187" s="355"/>
      <c r="C187" s="222"/>
      <c r="D187" s="79"/>
      <c r="E187" s="80"/>
      <c r="F187" s="81"/>
      <c r="G187" s="82"/>
      <c r="H187" s="356"/>
      <c r="I187" s="357"/>
      <c r="J187" s="356"/>
      <c r="K187" s="357"/>
      <c r="L187" s="79"/>
      <c r="M187" s="79"/>
      <c r="N187" s="79"/>
      <c r="O187" s="358"/>
      <c r="P187" s="359"/>
      <c r="Q187" s="111"/>
      <c r="R187" s="111"/>
      <c r="S187" s="90" t="s">
        <v>46</v>
      </c>
      <c r="T187" s="91"/>
      <c r="U187" s="184"/>
      <c r="V187" s="184"/>
      <c r="W187" s="184"/>
      <c r="X187" s="190"/>
      <c r="Y187" s="190"/>
      <c r="Z187" s="184"/>
      <c r="AA187" s="184"/>
      <c r="AB187" s="184"/>
      <c r="AC187" s="184"/>
      <c r="AD187" s="184"/>
      <c r="AE187" s="184"/>
      <c r="AF187" s="184"/>
      <c r="AG187" s="184"/>
      <c r="AH187" s="184">
        <f t="shared" si="18"/>
        <v>0</v>
      </c>
      <c r="AI187" s="251"/>
      <c r="AJ187" s="75"/>
    </row>
    <row r="188" spans="1:37" s="76" customFormat="1" hidden="1" outlineLevel="1" x14ac:dyDescent="0.25">
      <c r="A188" s="360">
        <v>4</v>
      </c>
      <c r="B188" s="348" t="s">
        <v>410</v>
      </c>
      <c r="C188" s="349"/>
      <c r="D188" s="98"/>
      <c r="E188" s="350"/>
      <c r="F188" s="193" t="s">
        <v>411</v>
      </c>
      <c r="G188" s="99" t="s">
        <v>412</v>
      </c>
      <c r="H188" s="100">
        <v>110000</v>
      </c>
      <c r="I188" s="62">
        <v>33649.81</v>
      </c>
      <c r="J188" s="351">
        <v>110000</v>
      </c>
      <c r="K188" s="104"/>
      <c r="L188" s="182">
        <v>3.5599999999999998E-3</v>
      </c>
      <c r="M188" s="64">
        <v>5.0000000000000001E-3</v>
      </c>
      <c r="N188" s="65">
        <v>4</v>
      </c>
      <c r="O188" s="352"/>
      <c r="P188" s="353"/>
      <c r="Q188" s="164"/>
      <c r="R188" s="164"/>
      <c r="S188" s="105" t="s">
        <v>44</v>
      </c>
      <c r="T188" s="106"/>
      <c r="U188" s="107"/>
      <c r="V188" s="107">
        <v>12000</v>
      </c>
      <c r="W188" s="107">
        <v>7000</v>
      </c>
      <c r="X188" s="108"/>
      <c r="Y188" s="108"/>
      <c r="Z188" s="107">
        <v>8424</v>
      </c>
      <c r="AA188" s="107">
        <f>702*12</f>
        <v>8424</v>
      </c>
      <c r="AB188" s="107">
        <f>702*4</f>
        <v>2808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f t="shared" si="18"/>
        <v>11232</v>
      </c>
      <c r="AI188" s="362"/>
      <c r="AJ188" s="75"/>
    </row>
    <row r="189" spans="1:37" s="95" customFormat="1" ht="13.5" hidden="1" outlineLevel="1" thickBot="1" x14ac:dyDescent="0.3">
      <c r="A189" s="354"/>
      <c r="B189" s="355"/>
      <c r="C189" s="222"/>
      <c r="D189" s="79"/>
      <c r="E189" s="80"/>
      <c r="F189" s="81"/>
      <c r="G189" s="82"/>
      <c r="H189" s="356"/>
      <c r="I189" s="357"/>
      <c r="J189" s="356"/>
      <c r="K189" s="357"/>
      <c r="L189" s="79"/>
      <c r="M189" s="79"/>
      <c r="N189" s="79"/>
      <c r="O189" s="358"/>
      <c r="P189" s="359"/>
      <c r="Q189" s="111"/>
      <c r="R189" s="111"/>
      <c r="S189" s="90" t="s">
        <v>46</v>
      </c>
      <c r="T189" s="91"/>
      <c r="U189" s="184"/>
      <c r="V189" s="184"/>
      <c r="W189" s="184"/>
      <c r="X189" s="190"/>
      <c r="Y189" s="190"/>
      <c r="Z189" s="184"/>
      <c r="AA189" s="184"/>
      <c r="AB189" s="184"/>
      <c r="AC189" s="184"/>
      <c r="AD189" s="184"/>
      <c r="AE189" s="184"/>
      <c r="AF189" s="184"/>
      <c r="AG189" s="184"/>
      <c r="AH189" s="184">
        <f t="shared" si="18"/>
        <v>0</v>
      </c>
      <c r="AI189" s="251"/>
      <c r="AJ189" s="75"/>
    </row>
    <row r="190" spans="1:37" s="76" customFormat="1" hidden="1" outlineLevel="1" x14ac:dyDescent="0.25">
      <c r="A190" s="360">
        <v>5</v>
      </c>
      <c r="B190" s="348" t="s">
        <v>400</v>
      </c>
      <c r="C190" s="349"/>
      <c r="D190" s="98"/>
      <c r="E190" s="193"/>
      <c r="F190" s="193" t="s">
        <v>413</v>
      </c>
      <c r="G190" s="99" t="s">
        <v>414</v>
      </c>
      <c r="H190" s="100"/>
      <c r="I190" s="62">
        <v>2209678</v>
      </c>
      <c r="J190" s="100">
        <v>110000</v>
      </c>
      <c r="K190" s="104"/>
      <c r="L190" s="182">
        <v>2.758E-2</v>
      </c>
      <c r="M190" s="64">
        <v>2.5000000000000001E-3</v>
      </c>
      <c r="N190" s="65">
        <v>4</v>
      </c>
      <c r="O190" s="363"/>
      <c r="P190" s="364"/>
      <c r="Q190" s="164"/>
      <c r="R190" s="164"/>
      <c r="S190" s="105" t="s">
        <v>44</v>
      </c>
      <c r="T190" s="107"/>
      <c r="U190" s="107"/>
      <c r="V190" s="107">
        <v>0</v>
      </c>
      <c r="W190" s="107">
        <v>0</v>
      </c>
      <c r="X190" s="108"/>
      <c r="Y190" s="108"/>
      <c r="Z190" s="107">
        <v>0</v>
      </c>
      <c r="AA190" s="107"/>
      <c r="AB190" s="107">
        <f>6799*10</f>
        <v>67990</v>
      </c>
      <c r="AC190" s="107">
        <f>6799*12</f>
        <v>81588</v>
      </c>
      <c r="AD190" s="107">
        <f>6799*12</f>
        <v>81588</v>
      </c>
      <c r="AE190" s="107">
        <f>6799*12</f>
        <v>81588</v>
      </c>
      <c r="AF190" s="107">
        <f>6799*12</f>
        <v>81588</v>
      </c>
      <c r="AG190" s="107">
        <f>$I$190-SUM($AB$190:$AE$190)</f>
        <v>1896924</v>
      </c>
      <c r="AH190" s="107">
        <f t="shared" si="18"/>
        <v>2291266</v>
      </c>
      <c r="AI190" s="238"/>
      <c r="AJ190" s="75"/>
    </row>
    <row r="191" spans="1:37" s="95" customFormat="1" ht="13.5" hidden="1" outlineLevel="1" thickBot="1" x14ac:dyDescent="0.3">
      <c r="A191" s="354"/>
      <c r="B191" s="355"/>
      <c r="C191" s="222"/>
      <c r="D191" s="79"/>
      <c r="E191" s="81"/>
      <c r="F191" s="81"/>
      <c r="G191" s="82"/>
      <c r="H191" s="365"/>
      <c r="I191" s="357"/>
      <c r="J191" s="365"/>
      <c r="K191" s="357"/>
      <c r="L191" s="79"/>
      <c r="M191" s="79"/>
      <c r="N191" s="79"/>
      <c r="O191" s="366"/>
      <c r="P191" s="357"/>
      <c r="Q191" s="111"/>
      <c r="R191" s="111"/>
      <c r="S191" s="90" t="s">
        <v>46</v>
      </c>
      <c r="T191" s="184"/>
      <c r="U191" s="184"/>
      <c r="V191" s="184"/>
      <c r="W191" s="184">
        <v>37973</v>
      </c>
      <c r="X191" s="190"/>
      <c r="Y191" s="190"/>
      <c r="Z191" s="184">
        <v>46207.281279999996</v>
      </c>
      <c r="AA191" s="184">
        <f>((SUM(AA190:$AG190))*($L190+$M190))</f>
        <v>68921.281279999996</v>
      </c>
      <c r="AB191" s="184">
        <f>((SUM(AB190:$AG190))*($L190+$M190))</f>
        <v>68921.281279999996</v>
      </c>
      <c r="AC191" s="184">
        <f>((SUM(AC190:$AG190))*($L190+$M190))</f>
        <v>66876.142080000005</v>
      </c>
      <c r="AD191" s="184">
        <f>((SUM(AD190:$AG190))*($L190+$M190))</f>
        <v>64421.975039999998</v>
      </c>
      <c r="AE191" s="184">
        <f>((SUM(AE190:$AG190))*($L190+$M190))</f>
        <v>61967.807999999997</v>
      </c>
      <c r="AF191" s="184">
        <f>((SUM(AF190:$AG190))*($L190+$M190))</f>
        <v>59513.640959999997</v>
      </c>
      <c r="AG191" s="184">
        <f>((SUM(AG190:$AG190))*($L190+$M190))*21</f>
        <v>1198248.9523199999</v>
      </c>
      <c r="AH191" s="184">
        <f t="shared" si="18"/>
        <v>1588871.0809599999</v>
      </c>
      <c r="AI191" s="367"/>
      <c r="AJ191" s="75"/>
    </row>
    <row r="192" spans="1:37" s="76" customFormat="1" hidden="1" outlineLevel="1" x14ac:dyDescent="0.25">
      <c r="A192" s="360">
        <v>6</v>
      </c>
      <c r="B192" s="348" t="s">
        <v>415</v>
      </c>
      <c r="C192" s="349"/>
      <c r="D192" s="98"/>
      <c r="E192" s="193"/>
      <c r="F192" s="193" t="s">
        <v>416</v>
      </c>
      <c r="G192" s="99">
        <v>46965</v>
      </c>
      <c r="H192" s="100"/>
      <c r="I192" s="62">
        <v>134432.07999999999</v>
      </c>
      <c r="J192" s="100">
        <v>110000</v>
      </c>
      <c r="K192" s="104"/>
      <c r="L192" s="182">
        <v>2.758E-2</v>
      </c>
      <c r="M192" s="64">
        <v>2.5000000000000001E-3</v>
      </c>
      <c r="N192" s="65">
        <v>4</v>
      </c>
      <c r="O192" s="363"/>
      <c r="P192" s="364"/>
      <c r="Q192" s="164"/>
      <c r="R192" s="164"/>
      <c r="S192" s="105" t="s">
        <v>44</v>
      </c>
      <c r="T192" s="107"/>
      <c r="U192" s="107"/>
      <c r="V192" s="107">
        <v>0</v>
      </c>
      <c r="W192" s="107">
        <v>0</v>
      </c>
      <c r="X192" s="108"/>
      <c r="Y192" s="108"/>
      <c r="Z192" s="107">
        <v>27121</v>
      </c>
      <c r="AA192" s="107">
        <f>2025*12</f>
        <v>24300</v>
      </c>
      <c r="AB192" s="107">
        <f>2025*12</f>
        <v>24300</v>
      </c>
      <c r="AC192" s="107">
        <f>2025*12</f>
        <v>24300</v>
      </c>
      <c r="AD192" s="107">
        <f>2025*12</f>
        <v>24300</v>
      </c>
      <c r="AE192" s="107">
        <f>2025*5</f>
        <v>10125</v>
      </c>
      <c r="AF192" s="107"/>
      <c r="AG192" s="107"/>
      <c r="AH192" s="107">
        <f t="shared" si="18"/>
        <v>107325</v>
      </c>
      <c r="AI192" s="238"/>
      <c r="AJ192" s="75"/>
    </row>
    <row r="193" spans="1:36" s="95" customFormat="1" ht="13.5" hidden="1" outlineLevel="1" thickBot="1" x14ac:dyDescent="0.3">
      <c r="A193" s="354"/>
      <c r="B193" s="355"/>
      <c r="C193" s="222"/>
      <c r="D193" s="79"/>
      <c r="E193" s="81"/>
      <c r="F193" s="81"/>
      <c r="G193" s="82"/>
      <c r="H193" s="365"/>
      <c r="I193" s="357"/>
      <c r="J193" s="365"/>
      <c r="K193" s="357"/>
      <c r="L193" s="79"/>
      <c r="M193" s="79"/>
      <c r="N193" s="79"/>
      <c r="O193" s="366"/>
      <c r="P193" s="357"/>
      <c r="Q193" s="111"/>
      <c r="R193" s="111"/>
      <c r="S193" s="90" t="s">
        <v>46</v>
      </c>
      <c r="T193" s="184"/>
      <c r="U193" s="184"/>
      <c r="V193" s="184"/>
      <c r="W193" s="184">
        <v>37973</v>
      </c>
      <c r="X193" s="190"/>
      <c r="Y193" s="190"/>
      <c r="Z193" s="184"/>
      <c r="AA193" s="184"/>
      <c r="AB193" s="184"/>
      <c r="AC193" s="184"/>
      <c r="AD193" s="184"/>
      <c r="AE193" s="184"/>
      <c r="AF193" s="184"/>
      <c r="AG193" s="184"/>
      <c r="AH193" s="184">
        <f t="shared" si="18"/>
        <v>0</v>
      </c>
      <c r="AI193" s="367"/>
      <c r="AJ193" s="75"/>
    </row>
    <row r="194" spans="1:36" s="95" customFormat="1" hidden="1" outlineLevel="1" x14ac:dyDescent="0.25">
      <c r="A194" s="237"/>
      <c r="B194" s="251"/>
      <c r="C194" s="251"/>
      <c r="D194" s="368"/>
      <c r="E194" s="246"/>
      <c r="F194" s="246"/>
      <c r="G194" s="368"/>
      <c r="H194" s="369"/>
      <c r="I194" s="242"/>
      <c r="J194" s="369"/>
      <c r="K194" s="242"/>
      <c r="L194" s="368"/>
      <c r="M194" s="368"/>
      <c r="N194" s="368"/>
      <c r="O194" s="370"/>
      <c r="P194" s="242"/>
      <c r="Q194" s="245"/>
      <c r="R194" s="245"/>
      <c r="S194" s="246" t="s">
        <v>417</v>
      </c>
      <c r="T194" s="247"/>
      <c r="U194" s="247"/>
      <c r="V194" s="247">
        <f>SUM(V182:V191)</f>
        <v>42004.793300000005</v>
      </c>
      <c r="W194" s="247">
        <f>SUM(W182:W191)</f>
        <v>76283.630300000004</v>
      </c>
      <c r="X194" s="286"/>
      <c r="Y194" s="286"/>
      <c r="Z194" s="371">
        <f>SUM(Z182:Z193)</f>
        <v>114624.70473999999</v>
      </c>
      <c r="AA194" s="371">
        <f>SUM(AA182:AA193)</f>
        <v>134248.8205</v>
      </c>
      <c r="AB194" s="371">
        <f t="shared" ref="AB194:AH194" si="19">SUM(AB182:AB193)</f>
        <v>189557.68625999999</v>
      </c>
      <c r="AC194" s="371">
        <f t="shared" si="19"/>
        <v>183649.55281999998</v>
      </c>
      <c r="AD194" s="371">
        <f t="shared" si="19"/>
        <v>180926.50154</v>
      </c>
      <c r="AE194" s="371">
        <f t="shared" si="19"/>
        <v>164028.45025999998</v>
      </c>
      <c r="AF194" s="371">
        <f t="shared" si="19"/>
        <v>151180.39898</v>
      </c>
      <c r="AG194" s="371">
        <f t="shared" si="19"/>
        <v>3126836.5736600002</v>
      </c>
      <c r="AH194" s="371">
        <f t="shared" si="19"/>
        <v>4130427.9840199999</v>
      </c>
      <c r="AI194" s="251"/>
      <c r="AJ194" s="238"/>
    </row>
    <row r="195" spans="1:36" s="76" customFormat="1" ht="13.5" collapsed="1" thickBot="1" x14ac:dyDescent="0.3">
      <c r="A195" s="237"/>
      <c r="B195" s="238"/>
      <c r="C195" s="238"/>
      <c r="D195" s="238"/>
      <c r="E195" s="284"/>
      <c r="F195" s="240"/>
      <c r="G195" s="238"/>
      <c r="H195" s="372"/>
      <c r="I195" s="373"/>
      <c r="J195" s="372"/>
      <c r="K195" s="373"/>
      <c r="L195" s="238"/>
      <c r="M195" s="238"/>
      <c r="N195" s="238"/>
      <c r="O195" s="374"/>
      <c r="P195" s="375"/>
      <c r="Q195" s="75"/>
      <c r="R195" s="75"/>
      <c r="S195" s="238"/>
      <c r="T195" s="376"/>
      <c r="U195" s="251"/>
      <c r="V195" s="251"/>
      <c r="W195" s="251"/>
      <c r="X195" s="377"/>
      <c r="Y195" s="377"/>
      <c r="Z195" s="251"/>
      <c r="AA195" s="251"/>
      <c r="AB195" s="251"/>
      <c r="AC195" s="251"/>
      <c r="AD195" s="251"/>
      <c r="AE195" s="251"/>
      <c r="AF195" s="378"/>
      <c r="AG195" s="378"/>
      <c r="AH195" s="378"/>
      <c r="AI195" s="238"/>
      <c r="AJ195" s="238"/>
    </row>
    <row r="196" spans="1:36" s="76" customFormat="1" ht="13.5" thickBot="1" x14ac:dyDescent="0.3">
      <c r="A196" s="379"/>
      <c r="B196" s="380" t="s">
        <v>418</v>
      </c>
      <c r="C196" s="380"/>
      <c r="D196" s="381"/>
      <c r="E196" s="382"/>
      <c r="F196" s="383"/>
      <c r="G196" s="384" t="s">
        <v>419</v>
      </c>
      <c r="H196" s="385"/>
      <c r="I196" s="386"/>
      <c r="J196" s="385"/>
      <c r="K196" s="386"/>
      <c r="L196" s="381"/>
      <c r="M196" s="381"/>
      <c r="N196" s="381"/>
      <c r="O196" s="387"/>
      <c r="P196" s="388"/>
      <c r="Q196" s="389"/>
      <c r="R196" s="389"/>
      <c r="S196" s="390"/>
      <c r="T196" s="391"/>
      <c r="U196" s="392">
        <v>1229923.9651100899</v>
      </c>
      <c r="V196" s="392">
        <f>SUM(V164,V194)</f>
        <v>4476126.7854058705</v>
      </c>
      <c r="W196" s="392">
        <f>SUM(W164,W194)</f>
        <v>4238250.9977100929</v>
      </c>
      <c r="X196" s="393"/>
      <c r="Y196" s="393"/>
      <c r="Z196" s="392">
        <f>SUM(Z164,Z194)</f>
        <v>4803854.4126618113</v>
      </c>
      <c r="AA196" s="392">
        <f>SUM(AA164,AA194)</f>
        <v>5892227.500843985</v>
      </c>
      <c r="AB196" s="392">
        <f t="shared" ref="AB196:AH196" si="20">SUM(AB164,AB194)</f>
        <v>5766467.5155902645</v>
      </c>
      <c r="AC196" s="392">
        <f>SUM(AC164,AC194)</f>
        <v>5564013.4878765438</v>
      </c>
      <c r="AD196" s="392">
        <f t="shared" si="20"/>
        <v>5215752.1338461554</v>
      </c>
      <c r="AE196" s="392">
        <f t="shared" si="20"/>
        <v>5019587.8386191055</v>
      </c>
      <c r="AF196" s="392">
        <f t="shared" si="20"/>
        <v>4776494.3514220491</v>
      </c>
      <c r="AG196" s="392">
        <f t="shared" si="20"/>
        <v>56103159.038110256</v>
      </c>
      <c r="AH196" s="392">
        <f t="shared" si="20"/>
        <v>88337701.866308346</v>
      </c>
      <c r="AI196" s="238"/>
      <c r="AJ196" s="238"/>
    </row>
    <row r="197" spans="1:36" s="23" customFormat="1" ht="24" x14ac:dyDescent="0.2">
      <c r="A197" s="1"/>
      <c r="B197" s="394" t="s">
        <v>420</v>
      </c>
      <c r="S197" s="283" t="s">
        <v>439</v>
      </c>
      <c r="T197" s="395"/>
      <c r="U197" s="396">
        <v>9.6378458592987326E-2</v>
      </c>
      <c r="V197" s="396">
        <f>V196/$I$190</f>
        <v>2.0256918815347169</v>
      </c>
      <c r="W197" s="397">
        <f>W196/$I$190</f>
        <v>1.9180400934933022</v>
      </c>
      <c r="X197" s="398"/>
      <c r="Y197" s="398"/>
      <c r="Z197" s="471">
        <f>Z196/$I$203</f>
        <v>0.14889108924173836</v>
      </c>
      <c r="AA197" s="471">
        <f>AA196/$I$203</f>
        <v>0.18262422115633506</v>
      </c>
      <c r="AB197" s="471">
        <f t="shared" ref="AB197:AF197" si="21">AB196/$I$203</f>
        <v>0.1787264050322456</v>
      </c>
      <c r="AC197" s="471">
        <f t="shared" si="21"/>
        <v>0.17245152696179</v>
      </c>
      <c r="AD197" s="471">
        <f t="shared" si="21"/>
        <v>0.16165748370233671</v>
      </c>
      <c r="AE197" s="471">
        <f t="shared" si="21"/>
        <v>0.15557755015778332</v>
      </c>
      <c r="AF197" s="471">
        <f t="shared" si="21"/>
        <v>0.1480430890798326</v>
      </c>
      <c r="AG197" s="396"/>
      <c r="AH197" s="399"/>
    </row>
    <row r="198" spans="1:36" x14ac:dyDescent="0.2">
      <c r="H198" s="400"/>
      <c r="J198" s="400"/>
      <c r="K198" s="401"/>
      <c r="O198" s="402"/>
      <c r="P198" s="403"/>
      <c r="S198" s="283" t="s">
        <v>440</v>
      </c>
      <c r="Z198" s="23">
        <v>14.85</v>
      </c>
      <c r="AA198" s="23">
        <v>17.670000000000002</v>
      </c>
      <c r="AB198" s="23">
        <v>17.12</v>
      </c>
      <c r="AC198" s="23">
        <v>16.52</v>
      </c>
      <c r="AD198" s="23">
        <v>15.53</v>
      </c>
      <c r="AE198" s="23">
        <v>14.98</v>
      </c>
      <c r="AF198" s="23">
        <v>14.4</v>
      </c>
    </row>
    <row r="199" spans="1:36" s="76" customFormat="1" ht="13.5" hidden="1" customHeight="1" outlineLevel="2" x14ac:dyDescent="0.2">
      <c r="A199" s="237"/>
      <c r="B199" s="251" t="s">
        <v>421</v>
      </c>
      <c r="C199" s="251"/>
      <c r="D199" s="368"/>
      <c r="E199" s="404"/>
      <c r="F199" s="246"/>
      <c r="G199" s="368" t="s">
        <v>419</v>
      </c>
      <c r="H199" s="405"/>
      <c r="I199" s="401">
        <f>'[3]2023.gada budzeta plans_apvieno'!T108-'[3]2023.gada budzeta plans_apvieno'!T44-'[3]2023.gada budzeta plans_apvieno'!T141</f>
        <v>32264217</v>
      </c>
      <c r="J199" s="405"/>
      <c r="K199" s="242"/>
      <c r="L199" s="368"/>
      <c r="M199" s="368"/>
      <c r="N199" s="368"/>
      <c r="O199" s="406"/>
      <c r="P199" s="407"/>
      <c r="Q199" s="245"/>
      <c r="R199" s="245"/>
      <c r="S199" s="368"/>
      <c r="T199" s="408"/>
      <c r="U199" s="245">
        <v>1322355.8348899104</v>
      </c>
      <c r="V199" s="245" t="e">
        <f>V200-V196</f>
        <v>#REF!</v>
      </c>
      <c r="W199" s="245" t="e">
        <f>W200-W196</f>
        <v>#REF!</v>
      </c>
      <c r="X199" s="409"/>
      <c r="Y199" s="409"/>
      <c r="Z199" s="245"/>
      <c r="AA199" s="245"/>
      <c r="AB199" s="245"/>
      <c r="AC199" s="245"/>
      <c r="AD199" s="245"/>
      <c r="AE199" s="245"/>
      <c r="AF199" s="245"/>
      <c r="AG199" s="245"/>
      <c r="AH199" s="245"/>
      <c r="AI199" s="238"/>
      <c r="AJ199" s="238"/>
    </row>
    <row r="200" spans="1:36" s="76" customFormat="1" ht="13.5" hidden="1" customHeight="1" outlineLevel="2" x14ac:dyDescent="0.25">
      <c r="A200" s="237"/>
      <c r="B200" s="251" t="s">
        <v>422</v>
      </c>
      <c r="C200" s="251"/>
      <c r="D200" s="368"/>
      <c r="E200" s="404"/>
      <c r="F200" s="246"/>
      <c r="G200" s="368" t="s">
        <v>419</v>
      </c>
      <c r="H200" s="405"/>
      <c r="I200" s="242"/>
      <c r="J200" s="405"/>
      <c r="K200" s="242"/>
      <c r="L200" s="368"/>
      <c r="M200" s="368"/>
      <c r="N200" s="368"/>
      <c r="O200" s="406"/>
      <c r="P200" s="407"/>
      <c r="Q200" s="245"/>
      <c r="R200" s="245"/>
      <c r="S200" s="368"/>
      <c r="T200" s="408"/>
      <c r="U200" s="245">
        <v>2552279.8000000003</v>
      </c>
      <c r="V200" s="245" t="e">
        <f>#REF!*0.2</f>
        <v>#REF!</v>
      </c>
      <c r="W200" s="245" t="e">
        <f>#REF!*0.2</f>
        <v>#REF!</v>
      </c>
      <c r="X200" s="409"/>
      <c r="Y200" s="409"/>
      <c r="Z200" s="245"/>
      <c r="AA200" s="245"/>
      <c r="AB200" s="245"/>
      <c r="AC200" s="245"/>
      <c r="AD200" s="245"/>
      <c r="AE200" s="245"/>
      <c r="AF200" s="245"/>
      <c r="AG200" s="245"/>
      <c r="AH200" s="245"/>
      <c r="AI200" s="238"/>
      <c r="AJ200" s="238"/>
    </row>
    <row r="201" spans="1:36" s="23" customFormat="1" ht="24" hidden="1" outlineLevel="2" x14ac:dyDescent="0.2">
      <c r="A201" s="1"/>
      <c r="B201" s="410" t="s">
        <v>420</v>
      </c>
      <c r="E201" s="411"/>
      <c r="F201" s="283"/>
      <c r="H201" s="412"/>
      <c r="I201" s="413"/>
      <c r="J201" s="412"/>
      <c r="K201" s="413"/>
      <c r="O201" s="414"/>
      <c r="P201" s="415"/>
      <c r="Q201" s="416"/>
      <c r="R201" s="416"/>
      <c r="T201" s="417"/>
      <c r="U201" s="416">
        <v>0.2</v>
      </c>
      <c r="V201" s="416" t="e">
        <f>(V196+V199)/#REF!</f>
        <v>#REF!</v>
      </c>
      <c r="W201" s="416" t="e">
        <f>(W196+W199)/#REF!</f>
        <v>#REF!</v>
      </c>
      <c r="X201" s="418"/>
      <c r="Y201" s="418"/>
      <c r="Z201" s="416"/>
      <c r="AA201" s="416"/>
      <c r="AB201" s="416"/>
      <c r="AC201" s="416"/>
      <c r="AD201" s="416"/>
      <c r="AE201" s="416"/>
      <c r="AF201" s="416"/>
      <c r="AG201" s="416"/>
      <c r="AH201" s="416"/>
      <c r="AI201" s="419"/>
      <c r="AJ201" s="15"/>
    </row>
    <row r="202" spans="1:36" outlineLevel="1" collapsed="1" x14ac:dyDescent="0.2">
      <c r="E202" s="4"/>
      <c r="F202" s="2"/>
      <c r="G202" s="3" t="s">
        <v>423</v>
      </c>
      <c r="H202" s="7"/>
      <c r="I202" s="420"/>
      <c r="J202" s="7"/>
      <c r="K202" s="2"/>
      <c r="L202" s="421"/>
      <c r="O202" s="402"/>
      <c r="P202" s="10"/>
      <c r="T202" s="11"/>
      <c r="U202" s="2"/>
      <c r="V202" s="2"/>
      <c r="W202" s="422"/>
      <c r="X202" s="423"/>
      <c r="Y202" s="423"/>
      <c r="Z202" s="422"/>
      <c r="AA202" s="424"/>
      <c r="AB202" s="424"/>
      <c r="AC202" s="424"/>
      <c r="AD202" s="2"/>
      <c r="AE202" s="2"/>
      <c r="AF202" s="2"/>
      <c r="AG202" s="2"/>
      <c r="AH202" s="2"/>
    </row>
    <row r="203" spans="1:36" outlineLevel="1" x14ac:dyDescent="0.2">
      <c r="G203" s="3" t="s">
        <v>424</v>
      </c>
      <c r="H203" s="3"/>
      <c r="I203" s="425">
        <f>I199</f>
        <v>32264217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12"/>
      <c r="Y203" s="12"/>
      <c r="Z203" s="2"/>
      <c r="AA203" s="424"/>
      <c r="AB203" s="2"/>
      <c r="AC203" s="2"/>
      <c r="AD203" s="2"/>
      <c r="AE203" s="2"/>
      <c r="AF203" s="2"/>
      <c r="AG203" s="2"/>
      <c r="AH203" s="2"/>
    </row>
    <row r="204" spans="1:36" outlineLevel="1" x14ac:dyDescent="0.2">
      <c r="G204" s="3"/>
      <c r="H204" s="3"/>
      <c r="I204" s="426"/>
      <c r="J204" s="426"/>
      <c r="K204" s="426"/>
      <c r="L204" s="426"/>
      <c r="M204" s="426"/>
      <c r="N204" s="426"/>
      <c r="O204" s="426"/>
      <c r="P204" s="426"/>
      <c r="Q204" s="426"/>
      <c r="R204" s="426"/>
      <c r="S204" s="426"/>
      <c r="T204" s="426"/>
      <c r="U204" s="426"/>
      <c r="V204" s="426"/>
      <c r="W204" s="15"/>
      <c r="X204" s="427"/>
      <c r="Y204" s="427"/>
      <c r="Z204" s="15"/>
      <c r="AA204" s="428"/>
      <c r="AB204" s="428"/>
      <c r="AC204" s="428"/>
      <c r="AD204" s="428"/>
      <c r="AE204" s="428"/>
      <c r="AF204" s="428"/>
      <c r="AG204" s="428"/>
      <c r="AH204" s="428"/>
    </row>
    <row r="205" spans="1:36" ht="27.75" customHeight="1" outlineLevel="1" thickBot="1" x14ac:dyDescent="0.25">
      <c r="H205" s="429"/>
      <c r="I205" s="430"/>
      <c r="J205" s="431"/>
      <c r="K205" s="432"/>
      <c r="L205" s="430"/>
      <c r="M205" s="430"/>
      <c r="N205" s="430"/>
      <c r="O205" s="433"/>
      <c r="P205" s="434"/>
      <c r="Q205" s="430"/>
      <c r="R205" s="430"/>
      <c r="S205" s="435"/>
      <c r="T205" s="436"/>
      <c r="U205" s="15"/>
      <c r="V205" s="15"/>
      <c r="W205" s="15"/>
      <c r="X205" s="427"/>
      <c r="Y205" s="427"/>
      <c r="Z205" s="437" t="s">
        <v>425</v>
      </c>
      <c r="AA205" s="438" t="s">
        <v>426</v>
      </c>
      <c r="AB205" s="438" t="s">
        <v>427</v>
      </c>
      <c r="AC205" s="438" t="s">
        <v>428</v>
      </c>
      <c r="AD205" s="438" t="s">
        <v>429</v>
      </c>
      <c r="AE205" s="438" t="s">
        <v>430</v>
      </c>
      <c r="AF205" s="438" t="s">
        <v>431</v>
      </c>
      <c r="AG205" s="438" t="s">
        <v>36</v>
      </c>
      <c r="AH205" s="437" t="s">
        <v>37</v>
      </c>
    </row>
    <row r="206" spans="1:36" outlineLevel="1" x14ac:dyDescent="0.2">
      <c r="H206" s="400"/>
      <c r="I206" s="439"/>
      <c r="J206" s="440"/>
      <c r="K206" s="439"/>
      <c r="O206" s="402"/>
      <c r="P206" s="403"/>
      <c r="Q206" s="441"/>
      <c r="R206" s="441"/>
      <c r="S206" s="283" t="s">
        <v>432</v>
      </c>
      <c r="T206" s="426" t="s">
        <v>44</v>
      </c>
      <c r="U206" s="442">
        <v>1077375.7431783541</v>
      </c>
      <c r="V206" s="442">
        <f>V10+V12+V14+V16+V24+V18+V20+V22+V26+V28+V30+V32+V34+V36+V38+V40+V42+V44+V46+V48+V52+V54+V56+V58+V60+V64+V70+V72+V74+V76+V78+V80+V82+V84+V86+V88+V90+V92+V94+V96+V98+V100+V102+V104+V106+V108+V110+V112+V114+V116+V118+V120+V122+V124+V126+V128</f>
        <v>3547054.7031783541</v>
      </c>
      <c r="W206" s="442">
        <f>W10+W12+W14+W16+W24+W18+W20+W22+W26+W28+W30+W32+W34+W36+W38+W40+W42+W44+W46+W48+W52+W54+W56+W58+W60+W62+W64+W66+W68+W70+W72+W74+W76+W78+W80+W82+W84+W86+W88+W90+W92+W94+W96+W98+W100+W102+W104+W106+W108+W110+W112+W114+W116+W118+W120+W122+W124+W126+W128+W130+W132+W134</f>
        <v>3124493.5999999996</v>
      </c>
      <c r="X206" s="443"/>
      <c r="Y206" s="443"/>
      <c r="Z206" s="444">
        <f ca="1">SUMIF($S$10:$W$161,$T$206,Z$10:Z$161)</f>
        <v>3601890.1379218102</v>
      </c>
      <c r="AA206" s="444">
        <f>SUMIF($S$10:$S$163,$T$206,AA$10:AA$163)</f>
        <v>3686737.6712551434</v>
      </c>
      <c r="AB206" s="444">
        <f t="shared" ref="AB206:AH206" si="22">SUMIF($S$10:$S$163,$T$206,AB$10:AB$163)</f>
        <v>3638519.0012551434</v>
      </c>
      <c r="AC206" s="444">
        <f t="shared" si="22"/>
        <v>3573889.6712551434</v>
      </c>
      <c r="AD206" s="444">
        <f t="shared" si="22"/>
        <v>3358871.0045884768</v>
      </c>
      <c r="AE206" s="444">
        <f t="shared" si="22"/>
        <v>3303756.0045884768</v>
      </c>
      <c r="AF206" s="444">
        <f t="shared" si="22"/>
        <v>3195836.204588477</v>
      </c>
      <c r="AG206" s="444">
        <f t="shared" si="22"/>
        <v>32203951.518703707</v>
      </c>
      <c r="AH206" s="444">
        <f t="shared" si="22"/>
        <v>52961561.076234564</v>
      </c>
    </row>
    <row r="207" spans="1:36" outlineLevel="1" x14ac:dyDescent="0.2">
      <c r="B207" s="445"/>
      <c r="C207" s="446"/>
      <c r="E207" s="4"/>
      <c r="F207" s="2"/>
      <c r="H207" s="400"/>
      <c r="I207" s="439"/>
      <c r="J207" s="440"/>
      <c r="K207" s="439"/>
      <c r="O207" s="402"/>
      <c r="P207" s="403"/>
      <c r="Q207" s="441"/>
      <c r="R207" s="441"/>
      <c r="S207" s="283" t="s">
        <v>433</v>
      </c>
      <c r="T207" s="426" t="s">
        <v>46</v>
      </c>
      <c r="U207" s="442">
        <v>94356.197211735242</v>
      </c>
      <c r="V207" s="442">
        <f>V11+V13+V15+V17+V25+V19+V21+V23+V27+V29+V31+V33+V35+V37+V39+V41+V43+V45+V47+V49+V53+V55+V57+V59+V61+V65+V71+V73+V75+V77+V79+V81+V83+V85+V87+V89+V91+V93+V95+V97+V99+V101+V103+V105+V107+V109+V111+V113+V115+V117+V119+V121+V123+V125+V127+V129</f>
        <v>887067.28892751597</v>
      </c>
      <c r="W207" s="442">
        <f>W11+W13+W15+W17+W25+W19+W21+W23+W27+W29+W31+W33+W35+W37+W39+W41+W43+W45+W47+W49+W53+W55+W57+W59+W61+W63+W65+W67+W69+W71+W73+W75+W77+W79+W81+W83+W85+W87+W89+W91+W93+W95+W97+W99+W101+W103+W105+W107+W109+W111+W113+W115+W117+W119+W121+W123+W125+W127+W129+W131+W133+W135</f>
        <v>1037473.7674100929</v>
      </c>
      <c r="X207" s="443"/>
      <c r="Y207" s="443"/>
      <c r="Z207" s="444">
        <f>SUMIF($S$10:$S$161,$T$207,Z$10:Z$161)</f>
        <v>1087339.57</v>
      </c>
      <c r="AA207" s="444">
        <f>SUMIF($S$10:$S$163,$T$207,AA$10:AA$163)</f>
        <v>2071241.0090888399</v>
      </c>
      <c r="AB207" s="444">
        <f t="shared" ref="AB207:AH207" si="23">SUMIF($S$10:$S$163,$T$207,AB$10:AB$163)</f>
        <v>1938390.8280751184</v>
      </c>
      <c r="AC207" s="444">
        <f t="shared" si="23"/>
        <v>1806474.2638013989</v>
      </c>
      <c r="AD207" s="444">
        <f t="shared" si="23"/>
        <v>1675954.6277176791</v>
      </c>
      <c r="AE207" s="444">
        <f t="shared" si="23"/>
        <v>1551803.3837706251</v>
      </c>
      <c r="AF207" s="444">
        <f t="shared" si="23"/>
        <v>1429477.7478535725</v>
      </c>
      <c r="AG207" s="444">
        <f t="shared" si="23"/>
        <v>20772370.945746526</v>
      </c>
      <c r="AH207" s="444">
        <f t="shared" si="23"/>
        <v>31245712.806053765</v>
      </c>
    </row>
    <row r="208" spans="1:36" ht="13.5" customHeight="1" outlineLevel="1" thickBot="1" x14ac:dyDescent="0.25">
      <c r="H208" s="400"/>
      <c r="I208" s="447"/>
      <c r="J208" s="448"/>
      <c r="K208" s="447"/>
      <c r="L208" s="449"/>
      <c r="M208" s="449"/>
      <c r="N208" s="449"/>
      <c r="O208" s="450"/>
      <c r="P208" s="451"/>
      <c r="Q208" s="452"/>
      <c r="R208" s="452"/>
      <c r="S208" s="452" t="s">
        <v>434</v>
      </c>
      <c r="T208" s="442"/>
      <c r="U208" s="442">
        <v>30726.948659999998</v>
      </c>
      <c r="V208" s="442">
        <f>V13+V15+V17+V19+V27+V21+V23+V25+V29+V31+V33+V35+V37+V39+V41+V43+V45+V47+V49+V53+V55+V57+V59+V61+V65+V71+V73+V75+V77+V79+V81+V83+V85+V87+V89+V91+V93+V95+V97+V99+V101+V103+V105+V107+V109+V111+V113+V115+V117+V119+V121+V123+V125+V127+V165</f>
        <v>825299.0529853534</v>
      </c>
      <c r="W208" s="442">
        <f>W194</f>
        <v>76283.630300000004</v>
      </c>
      <c r="X208" s="443"/>
      <c r="Y208" s="443"/>
      <c r="Z208" s="453">
        <f>Z194</f>
        <v>114624.70473999999</v>
      </c>
      <c r="AA208" s="453">
        <f t="shared" ref="AA208:AG208" si="24">AA194</f>
        <v>134248.8205</v>
      </c>
      <c r="AB208" s="453">
        <f t="shared" si="24"/>
        <v>189557.68625999999</v>
      </c>
      <c r="AC208" s="453">
        <f t="shared" si="24"/>
        <v>183649.55281999998</v>
      </c>
      <c r="AD208" s="453">
        <f t="shared" si="24"/>
        <v>180926.50154</v>
      </c>
      <c r="AE208" s="453">
        <f t="shared" si="24"/>
        <v>164028.45025999998</v>
      </c>
      <c r="AF208" s="453">
        <f t="shared" si="24"/>
        <v>151180.39898</v>
      </c>
      <c r="AG208" s="453">
        <f t="shared" si="24"/>
        <v>3126836.5736600002</v>
      </c>
      <c r="AH208" s="453">
        <f>AH194</f>
        <v>4130427.9840199999</v>
      </c>
    </row>
    <row r="209" spans="1:37" outlineLevel="1" x14ac:dyDescent="0.2">
      <c r="B209" s="454"/>
      <c r="D209" s="401"/>
      <c r="H209" s="7"/>
      <c r="I209" s="15"/>
      <c r="J209" s="440"/>
      <c r="K209" s="15"/>
      <c r="O209" s="402"/>
      <c r="P209" s="403"/>
      <c r="Q209" s="255"/>
      <c r="R209" s="255"/>
      <c r="S209" s="283" t="s">
        <v>393</v>
      </c>
      <c r="T209" s="455"/>
      <c r="U209" s="442">
        <v>1202458.8890500893</v>
      </c>
      <c r="V209" s="442">
        <f t="shared" ref="V209:AG209" si="25">SUM(V206:V208)</f>
        <v>5259421.045091223</v>
      </c>
      <c r="W209" s="442">
        <f t="shared" si="25"/>
        <v>4238250.9977100929</v>
      </c>
      <c r="X209" s="443"/>
      <c r="Y209" s="443"/>
      <c r="Z209" s="444">
        <f ca="1">SUM(Z206:Z208)</f>
        <v>4803854.4126618104</v>
      </c>
      <c r="AA209" s="442">
        <f t="shared" si="25"/>
        <v>5892227.5008439841</v>
      </c>
      <c r="AB209" s="442">
        <f t="shared" si="25"/>
        <v>5766467.5155902617</v>
      </c>
      <c r="AC209" s="442">
        <f t="shared" si="25"/>
        <v>5564013.4878765419</v>
      </c>
      <c r="AD209" s="442">
        <f t="shared" si="25"/>
        <v>5215752.1338461554</v>
      </c>
      <c r="AE209" s="442">
        <f t="shared" si="25"/>
        <v>5019587.8386191018</v>
      </c>
      <c r="AF209" s="442">
        <f t="shared" si="25"/>
        <v>4776494.35142205</v>
      </c>
      <c r="AG209" s="442">
        <f t="shared" si="25"/>
        <v>56103159.038110234</v>
      </c>
      <c r="AH209" s="444">
        <f>SUM(AH206:AH208)</f>
        <v>88337701.866308331</v>
      </c>
    </row>
    <row r="210" spans="1:37" outlineLevel="1" x14ac:dyDescent="0.2">
      <c r="B210" s="456"/>
      <c r="S210" s="283"/>
      <c r="AA210" s="255"/>
      <c r="AB210" s="255"/>
      <c r="AC210" s="255"/>
      <c r="AD210" s="255"/>
      <c r="AE210" s="255"/>
      <c r="AF210" s="255"/>
      <c r="AG210" s="255"/>
      <c r="AH210" s="255"/>
    </row>
    <row r="211" spans="1:37" s="462" customFormat="1" ht="18.75" outlineLevel="1" x14ac:dyDescent="0.3">
      <c r="A211" s="461"/>
      <c r="C211" s="2"/>
      <c r="E211" s="463"/>
      <c r="F211" s="464"/>
      <c r="H211" s="18"/>
      <c r="I211" s="19"/>
      <c r="J211" s="18"/>
      <c r="K211" s="465"/>
      <c r="O211" s="20"/>
      <c r="P211" s="21"/>
      <c r="Q211" s="2"/>
      <c r="S211" s="457"/>
      <c r="T211" s="458"/>
      <c r="U211" s="459"/>
      <c r="V211" s="255"/>
      <c r="W211" s="255"/>
      <c r="X211" s="460"/>
      <c r="Y211" s="460"/>
      <c r="Z211" s="255"/>
      <c r="AA211" s="255"/>
      <c r="AB211" s="255"/>
      <c r="AC211" s="255"/>
      <c r="AD211" s="255"/>
      <c r="AE211" s="255"/>
      <c r="AF211" s="255"/>
      <c r="AG211" s="255"/>
      <c r="AH211" s="255"/>
      <c r="AI211" s="467"/>
      <c r="AJ211" s="467"/>
    </row>
    <row r="212" spans="1:37" s="462" customFormat="1" x14ac:dyDescent="0.2">
      <c r="A212" s="461"/>
      <c r="B212" s="466" t="s">
        <v>437</v>
      </c>
      <c r="C212" s="2"/>
      <c r="E212" s="463"/>
      <c r="F212" s="464"/>
      <c r="H212" s="18"/>
      <c r="I212" s="19"/>
      <c r="J212" s="18"/>
      <c r="K212" s="465"/>
      <c r="O212" s="20"/>
      <c r="P212" s="21"/>
      <c r="Q212" s="2"/>
      <c r="S212" s="283"/>
      <c r="T212" s="22"/>
      <c r="U212" s="23"/>
      <c r="V212" s="23"/>
      <c r="W212" s="23"/>
      <c r="X212" s="24"/>
      <c r="Y212" s="24"/>
      <c r="Z212" s="23"/>
      <c r="AA212" s="255"/>
      <c r="AB212" s="255"/>
      <c r="AC212" s="255"/>
      <c r="AD212" s="255"/>
      <c r="AE212" s="255"/>
      <c r="AF212" s="255"/>
      <c r="AG212" s="255"/>
      <c r="AH212" s="255"/>
      <c r="AI212" s="467"/>
      <c r="AJ212" s="467"/>
    </row>
    <row r="213" spans="1:37" s="95" customFormat="1" ht="12" hidden="1" customHeight="1" outlineLevel="1" x14ac:dyDescent="0.25">
      <c r="A213" s="237"/>
      <c r="B213" s="256" t="s">
        <v>390</v>
      </c>
      <c r="C213" s="257"/>
      <c r="D213" s="258"/>
      <c r="E213" s="259"/>
      <c r="F213" s="256" t="s">
        <v>391</v>
      </c>
      <c r="G213" s="256"/>
      <c r="H213" s="260"/>
      <c r="I213" s="261"/>
      <c r="J213" s="262"/>
      <c r="K213" s="263"/>
      <c r="L213" s="261"/>
      <c r="M213" s="261"/>
      <c r="N213" s="261"/>
      <c r="O213" s="261"/>
      <c r="P213" s="261"/>
      <c r="Q213" s="261">
        <v>9816171</v>
      </c>
      <c r="R213" s="261">
        <v>9638788</v>
      </c>
      <c r="S213" s="264" t="s">
        <v>44</v>
      </c>
      <c r="T213" s="265"/>
      <c r="U213" s="266">
        <v>1100521.7431783541</v>
      </c>
      <c r="V213" s="266">
        <v>2313981.0731783542</v>
      </c>
      <c r="W213" s="266">
        <v>1761953.5999999999</v>
      </c>
      <c r="X213" s="267"/>
      <c r="Y213" s="267"/>
      <c r="Z213" s="266"/>
      <c r="AA213" s="266">
        <v>1879709.8379218103</v>
      </c>
      <c r="AB213" s="266">
        <v>1804908.1679218104</v>
      </c>
      <c r="AC213" s="266">
        <v>1782158.8379218101</v>
      </c>
      <c r="AD213" s="266">
        <v>1736214.8379218103</v>
      </c>
      <c r="AE213" s="266">
        <v>1692649.8379218103</v>
      </c>
      <c r="AF213" s="266">
        <v>1663423.8379218103</v>
      </c>
      <c r="AG213" s="266">
        <v>13042132.718703706</v>
      </c>
      <c r="AH213" s="266">
        <v>23601198.076234568</v>
      </c>
      <c r="AJ213" s="266"/>
      <c r="AK213" s="268"/>
    </row>
    <row r="214" spans="1:37" s="95" customFormat="1" ht="12" hidden="1" customHeight="1" outlineLevel="1" thickBot="1" x14ac:dyDescent="0.25">
      <c r="A214" s="237"/>
      <c r="B214" s="269"/>
      <c r="C214" s="270"/>
      <c r="D214" s="271"/>
      <c r="E214" s="272"/>
      <c r="F214" s="273" t="s">
        <v>392</v>
      </c>
      <c r="G214" s="274"/>
      <c r="H214" s="275"/>
      <c r="I214" s="276"/>
      <c r="J214" s="277"/>
      <c r="K214" s="278"/>
      <c r="L214" s="276"/>
      <c r="M214" s="276"/>
      <c r="N214" s="276"/>
      <c r="O214" s="276"/>
      <c r="P214" s="276"/>
      <c r="Q214" s="276"/>
      <c r="R214" s="276"/>
      <c r="S214" s="276" t="s">
        <v>46</v>
      </c>
      <c r="T214" s="279"/>
      <c r="U214" s="280">
        <v>436055.01832203905</v>
      </c>
      <c r="V214" s="280">
        <v>847288.51392751595</v>
      </c>
      <c r="W214" s="280">
        <v>961573.49410509295</v>
      </c>
      <c r="X214" s="281"/>
      <c r="Y214" s="281"/>
      <c r="Z214" s="280"/>
      <c r="AA214" s="280">
        <v>905339.28700883954</v>
      </c>
      <c r="AB214" s="280">
        <v>817778.55807778577</v>
      </c>
      <c r="AC214" s="280">
        <v>757377.8662967321</v>
      </c>
      <c r="AD214" s="280">
        <v>696902.19490567886</v>
      </c>
      <c r="AE214" s="280">
        <v>637093.30314462539</v>
      </c>
      <c r="AF214" s="280">
        <v>578707.12623357214</v>
      </c>
      <c r="AG214" s="280">
        <v>7454141.108466533</v>
      </c>
      <c r="AH214" s="280">
        <v>11847339.444133766</v>
      </c>
      <c r="AJ214" s="280"/>
      <c r="AK214" s="268"/>
    </row>
    <row r="215" spans="1:37" s="95" customFormat="1" ht="12" hidden="1" customHeight="1" outlineLevel="1" thickTop="1" x14ac:dyDescent="0.2">
      <c r="A215" s="237"/>
      <c r="B215" s="282"/>
      <c r="C215" s="257"/>
      <c r="D215" s="258"/>
      <c r="E215" s="259"/>
      <c r="F215" s="256" t="s">
        <v>393</v>
      </c>
      <c r="G215" s="256"/>
      <c r="H215" s="260"/>
      <c r="I215" s="261"/>
      <c r="J215" s="262"/>
      <c r="K215" s="263"/>
      <c r="L215" s="261"/>
      <c r="M215" s="261"/>
      <c r="N215" s="261"/>
      <c r="O215" s="261"/>
      <c r="P215" s="261"/>
      <c r="Q215" s="261"/>
      <c r="R215" s="261"/>
      <c r="S215" s="261"/>
      <c r="T215" s="265"/>
      <c r="U215" s="266">
        <v>1536576.761500393</v>
      </c>
      <c r="V215" s="266">
        <v>3161269.5871058702</v>
      </c>
      <c r="W215" s="266">
        <v>2723527.0941050928</v>
      </c>
      <c r="X215" s="267"/>
      <c r="Y215" s="267"/>
      <c r="Z215" s="266"/>
      <c r="AA215" s="266">
        <v>2785049.12493065</v>
      </c>
      <c r="AB215" s="266">
        <v>2622686.7259995961</v>
      </c>
      <c r="AC215" s="266">
        <v>2539536.7042185422</v>
      </c>
      <c r="AD215" s="266">
        <v>2433117.0328274891</v>
      </c>
      <c r="AE215" s="266">
        <v>2329743.1410664357</v>
      </c>
      <c r="AF215" s="266">
        <v>2242130.9641553825</v>
      </c>
      <c r="AG215" s="266">
        <v>20496273.827170238</v>
      </c>
      <c r="AH215" s="266">
        <v>35448537.520368338</v>
      </c>
      <c r="AJ215" s="266"/>
      <c r="AK215" s="268"/>
    </row>
    <row r="216" spans="1:37" s="95" customFormat="1" ht="12" hidden="1" customHeight="1" outlineLevel="1" x14ac:dyDescent="0.2">
      <c r="A216" s="237"/>
      <c r="B216" s="283"/>
      <c r="C216" s="238"/>
      <c r="D216" s="239"/>
      <c r="E216" s="284"/>
      <c r="F216" s="251"/>
      <c r="G216" s="251"/>
      <c r="H216" s="285"/>
      <c r="I216" s="121"/>
      <c r="J216" s="285"/>
      <c r="K216" s="121"/>
      <c r="L216" s="121"/>
      <c r="M216" s="121"/>
      <c r="N216" s="121"/>
      <c r="O216" s="121"/>
      <c r="P216" s="121"/>
      <c r="Q216" s="121"/>
      <c r="R216" s="121"/>
      <c r="S216" s="121"/>
      <c r="T216" s="265"/>
      <c r="U216" s="247"/>
      <c r="V216" s="247"/>
      <c r="W216" s="247"/>
      <c r="X216" s="286"/>
      <c r="Y216" s="286"/>
      <c r="Z216" s="247"/>
      <c r="AA216" s="287"/>
      <c r="AB216" s="287"/>
      <c r="AC216" s="287"/>
      <c r="AD216" s="287"/>
      <c r="AE216" s="287"/>
      <c r="AF216" s="287"/>
      <c r="AG216" s="287"/>
      <c r="AH216" s="287"/>
      <c r="AJ216" s="287"/>
      <c r="AK216" s="268"/>
    </row>
    <row r="217" spans="1:37" s="95" customFormat="1" ht="12" hidden="1" customHeight="1" outlineLevel="1" x14ac:dyDescent="0.25">
      <c r="A217" s="237"/>
      <c r="B217" s="288" t="s">
        <v>394</v>
      </c>
      <c r="C217" s="289"/>
      <c r="D217" s="290"/>
      <c r="E217" s="291"/>
      <c r="F217" s="288" t="s">
        <v>391</v>
      </c>
      <c r="G217" s="288"/>
      <c r="H217" s="292"/>
      <c r="I217" s="293"/>
      <c r="J217" s="262"/>
      <c r="K217" s="263"/>
      <c r="L217" s="293"/>
      <c r="M217" s="293"/>
      <c r="N217" s="293"/>
      <c r="O217" s="293"/>
      <c r="P217" s="293"/>
      <c r="Q217" s="293">
        <v>17549429</v>
      </c>
      <c r="R217" s="293">
        <v>17211737</v>
      </c>
      <c r="S217" s="293" t="s">
        <v>44</v>
      </c>
      <c r="T217" s="265"/>
      <c r="U217" s="294"/>
      <c r="V217" s="294">
        <v>1233073.6299999999</v>
      </c>
      <c r="W217" s="294">
        <v>1362540</v>
      </c>
      <c r="X217" s="295"/>
      <c r="Y217" s="295"/>
      <c r="Z217" s="294"/>
      <c r="AA217" s="294">
        <v>1774221.4333333331</v>
      </c>
      <c r="AB217" s="294">
        <v>1514716</v>
      </c>
      <c r="AC217" s="294">
        <v>1489608</v>
      </c>
      <c r="AD217" s="294">
        <v>1393504</v>
      </c>
      <c r="AE217" s="294">
        <v>1381954</v>
      </c>
      <c r="AF217" s="294">
        <v>1348051</v>
      </c>
      <c r="AG217" s="294">
        <v>18008215</v>
      </c>
      <c r="AH217" s="294">
        <v>26910269.433333334</v>
      </c>
      <c r="AJ217" s="294"/>
      <c r="AK217" s="268"/>
    </row>
    <row r="218" spans="1:37" s="95" customFormat="1" ht="12" hidden="1" customHeight="1" outlineLevel="1" thickBot="1" x14ac:dyDescent="0.25">
      <c r="A218" s="237"/>
      <c r="B218" s="296"/>
      <c r="C218" s="297"/>
      <c r="D218" s="298"/>
      <c r="E218" s="299"/>
      <c r="F218" s="300" t="s">
        <v>392</v>
      </c>
      <c r="G218" s="301"/>
      <c r="H218" s="302"/>
      <c r="I218" s="303"/>
      <c r="J218" s="277"/>
      <c r="K218" s="278"/>
      <c r="L218" s="303"/>
      <c r="M218" s="303"/>
      <c r="N218" s="303"/>
      <c r="O218" s="303"/>
      <c r="P218" s="303"/>
      <c r="Q218" s="303"/>
      <c r="R218" s="303"/>
      <c r="S218" s="303" t="s">
        <v>46</v>
      </c>
      <c r="T218" s="279"/>
      <c r="U218" s="304"/>
      <c r="V218" s="304">
        <v>39778.774999999994</v>
      </c>
      <c r="W218" s="304">
        <v>75900.273305000024</v>
      </c>
      <c r="X218" s="305"/>
      <c r="Y218" s="305"/>
      <c r="Z218" s="304"/>
      <c r="AA218" s="304">
        <v>1090446.6298400001</v>
      </c>
      <c r="AB218" s="304">
        <v>1028191.98912</v>
      </c>
      <c r="AC218" s="304">
        <v>967614.88643999991</v>
      </c>
      <c r="AD218" s="304">
        <v>908021.96179999993</v>
      </c>
      <c r="AE218" s="304">
        <v>852008.66267999995</v>
      </c>
      <c r="AF218" s="304">
        <v>796398.25673999998</v>
      </c>
      <c r="AG218" s="304">
        <v>13125577.111443998</v>
      </c>
      <c r="AH218" s="304">
        <v>18768259.498063996</v>
      </c>
      <c r="AJ218" s="304"/>
      <c r="AK218" s="268"/>
    </row>
    <row r="219" spans="1:37" s="95" customFormat="1" ht="12" hidden="1" customHeight="1" outlineLevel="1" thickTop="1" x14ac:dyDescent="0.2">
      <c r="A219" s="237"/>
      <c r="B219" s="306"/>
      <c r="C219" s="289"/>
      <c r="D219" s="290"/>
      <c r="E219" s="291"/>
      <c r="F219" s="288" t="s">
        <v>393</v>
      </c>
      <c r="G219" s="288"/>
      <c r="H219" s="292"/>
      <c r="I219" s="293"/>
      <c r="J219" s="262"/>
      <c r="K219" s="263"/>
      <c r="L219" s="293"/>
      <c r="M219" s="293"/>
      <c r="N219" s="293"/>
      <c r="O219" s="293"/>
      <c r="P219" s="293"/>
      <c r="Q219" s="293"/>
      <c r="R219" s="293"/>
      <c r="S219" s="293"/>
      <c r="T219" s="265"/>
      <c r="U219" s="294"/>
      <c r="V219" s="294">
        <v>1272852.4049999998</v>
      </c>
      <c r="W219" s="294">
        <v>1438440.273305</v>
      </c>
      <c r="X219" s="295"/>
      <c r="Y219" s="295"/>
      <c r="Z219" s="294"/>
      <c r="AA219" s="294">
        <v>2864668.0631733332</v>
      </c>
      <c r="AB219" s="294">
        <v>2542907.98912</v>
      </c>
      <c r="AC219" s="294">
        <v>2457222.88644</v>
      </c>
      <c r="AD219" s="294">
        <v>2301525.9617999997</v>
      </c>
      <c r="AE219" s="294">
        <v>2233962.6626800001</v>
      </c>
      <c r="AF219" s="294">
        <v>2144449.2567400001</v>
      </c>
      <c r="AG219" s="294">
        <v>31133792.111443996</v>
      </c>
      <c r="AH219" s="294">
        <v>45678528.931397334</v>
      </c>
      <c r="AJ219" s="294"/>
      <c r="AK219" s="268"/>
    </row>
    <row r="220" spans="1:37" s="95" customFormat="1" ht="12" customHeight="1" collapsed="1" x14ac:dyDescent="0.2">
      <c r="A220" s="237"/>
      <c r="B220" s="283"/>
      <c r="C220" s="238"/>
      <c r="D220" s="239"/>
      <c r="E220" s="284"/>
      <c r="F220" s="251"/>
      <c r="G220" s="251"/>
      <c r="H220" s="285"/>
      <c r="I220" s="121"/>
      <c r="J220" s="285"/>
      <c r="K220" s="121"/>
      <c r="L220" s="121"/>
      <c r="M220" s="121"/>
      <c r="N220" s="121"/>
      <c r="O220" s="121"/>
      <c r="P220" s="121"/>
      <c r="Q220" s="121"/>
      <c r="R220" s="121"/>
      <c r="S220" s="121"/>
      <c r="T220" s="265"/>
      <c r="U220" s="247"/>
      <c r="V220" s="247"/>
      <c r="W220" s="247"/>
      <c r="X220" s="286"/>
      <c r="Y220" s="286"/>
      <c r="Z220" s="247"/>
      <c r="AA220" s="287"/>
      <c r="AB220" s="287"/>
      <c r="AC220" s="287"/>
      <c r="AD220" s="287"/>
      <c r="AE220" s="287"/>
      <c r="AF220" s="287"/>
      <c r="AG220" s="287"/>
      <c r="AH220" s="287"/>
      <c r="AJ220" s="287"/>
      <c r="AK220" s="268"/>
    </row>
    <row r="221" spans="1:37" s="95" customFormat="1" ht="12" customHeight="1" x14ac:dyDescent="0.25">
      <c r="A221" s="237"/>
      <c r="B221" s="307" t="s">
        <v>395</v>
      </c>
      <c r="C221" s="308"/>
      <c r="D221" s="309"/>
      <c r="E221" s="310"/>
      <c r="F221" s="307" t="s">
        <v>391</v>
      </c>
      <c r="G221" s="307"/>
      <c r="H221" s="311"/>
      <c r="I221" s="312"/>
      <c r="J221" s="262"/>
      <c r="K221" s="263"/>
      <c r="L221" s="312"/>
      <c r="M221" s="312"/>
      <c r="N221" s="312"/>
      <c r="O221" s="312"/>
      <c r="P221" s="312"/>
      <c r="Q221" s="312"/>
      <c r="R221" s="312"/>
      <c r="S221" s="312" t="s">
        <v>44</v>
      </c>
      <c r="T221" s="265"/>
      <c r="U221" s="313">
        <v>1100521.7431783541</v>
      </c>
      <c r="V221" s="313">
        <v>3547054.7031783541</v>
      </c>
      <c r="W221" s="313">
        <v>3124493.5999999996</v>
      </c>
      <c r="X221" s="314"/>
      <c r="Y221" s="314"/>
      <c r="Z221" s="313"/>
      <c r="AA221" s="313">
        <v>3653931.2712551435</v>
      </c>
      <c r="AB221" s="313">
        <v>3319624.1679218104</v>
      </c>
      <c r="AC221" s="313">
        <v>3271766.8379218103</v>
      </c>
      <c r="AD221" s="313">
        <v>3129718.8379218103</v>
      </c>
      <c r="AE221" s="313">
        <v>3074603.8379218103</v>
      </c>
      <c r="AF221" s="313">
        <v>3011474.8379218103</v>
      </c>
      <c r="AG221" s="313">
        <v>31050347.718703706</v>
      </c>
      <c r="AH221" s="313">
        <v>50511467.509567901</v>
      </c>
      <c r="AJ221" s="313"/>
      <c r="AK221" s="268"/>
    </row>
    <row r="222" spans="1:37" s="95" customFormat="1" ht="12" customHeight="1" thickBot="1" x14ac:dyDescent="0.25">
      <c r="A222" s="237"/>
      <c r="B222" s="315"/>
      <c r="C222" s="316"/>
      <c r="D222" s="317"/>
      <c r="E222" s="318"/>
      <c r="F222" s="319" t="s">
        <v>392</v>
      </c>
      <c r="G222" s="320"/>
      <c r="H222" s="321"/>
      <c r="I222" s="322"/>
      <c r="J222" s="277"/>
      <c r="K222" s="278"/>
      <c r="L222" s="322"/>
      <c r="M222" s="322"/>
      <c r="N222" s="322"/>
      <c r="O222" s="322"/>
      <c r="P222" s="322"/>
      <c r="Q222" s="322">
        <v>35098858</v>
      </c>
      <c r="R222" s="322">
        <v>34423474</v>
      </c>
      <c r="S222" s="322" t="s">
        <v>46</v>
      </c>
      <c r="T222" s="279"/>
      <c r="U222" s="323">
        <v>436055.01832203905</v>
      </c>
      <c r="V222" s="323">
        <v>887067.28892751597</v>
      </c>
      <c r="W222" s="323">
        <v>1037473.767410093</v>
      </c>
      <c r="X222" s="324"/>
      <c r="Y222" s="324"/>
      <c r="Z222" s="323"/>
      <c r="AA222" s="323">
        <v>1995785.9168488397</v>
      </c>
      <c r="AB222" s="323">
        <v>1845970.5471977857</v>
      </c>
      <c r="AC222" s="323">
        <v>1724992.7527367319</v>
      </c>
      <c r="AD222" s="323">
        <v>1604924.1567056789</v>
      </c>
      <c r="AE222" s="323">
        <v>1489101.9658246255</v>
      </c>
      <c r="AF222" s="323">
        <v>1375105.3829735722</v>
      </c>
      <c r="AG222" s="323">
        <v>20579718.219910532</v>
      </c>
      <c r="AH222" s="323">
        <v>30615598.942197762</v>
      </c>
      <c r="AJ222" s="323"/>
      <c r="AK222" s="268"/>
    </row>
    <row r="223" spans="1:37" s="95" customFormat="1" ht="12" customHeight="1" thickTop="1" x14ac:dyDescent="0.2">
      <c r="A223" s="237"/>
      <c r="B223" s="325"/>
      <c r="C223" s="308"/>
      <c r="D223" s="309"/>
      <c r="E223" s="310"/>
      <c r="F223" s="307" t="s">
        <v>393</v>
      </c>
      <c r="G223" s="307"/>
      <c r="H223" s="311"/>
      <c r="I223" s="312"/>
      <c r="J223" s="262"/>
      <c r="K223" s="263"/>
      <c r="L223" s="312"/>
      <c r="M223" s="312"/>
      <c r="N223" s="312"/>
      <c r="O223" s="312"/>
      <c r="P223" s="312"/>
      <c r="Q223" s="312"/>
      <c r="R223" s="312"/>
      <c r="S223" s="312"/>
      <c r="T223" s="265"/>
      <c r="U223" s="313">
        <v>1536576.761500393</v>
      </c>
      <c r="V223" s="313">
        <v>4434121.9921058696</v>
      </c>
      <c r="W223" s="313">
        <v>4161967.3674100926</v>
      </c>
      <c r="X223" s="314"/>
      <c r="Y223" s="314"/>
      <c r="Z223" s="313"/>
      <c r="AA223" s="313">
        <v>5649717.1881039832</v>
      </c>
      <c r="AB223" s="313">
        <v>5165594.7151195966</v>
      </c>
      <c r="AC223" s="313">
        <v>4996759.5906585418</v>
      </c>
      <c r="AD223" s="313">
        <v>4734642.9946274888</v>
      </c>
      <c r="AE223" s="313">
        <v>4563705.8037464358</v>
      </c>
      <c r="AF223" s="313">
        <v>4386580.2208953826</v>
      </c>
      <c r="AG223" s="313">
        <v>51630065.938614234</v>
      </c>
      <c r="AH223" s="313">
        <v>81127066.451765656</v>
      </c>
      <c r="AJ223" s="313"/>
      <c r="AK223" s="268"/>
    </row>
    <row r="224" spans="1:37" s="462" customFormat="1" x14ac:dyDescent="0.2">
      <c r="A224" s="461"/>
      <c r="C224" s="2"/>
      <c r="E224" s="463"/>
      <c r="F224" s="464"/>
      <c r="H224" s="18"/>
      <c r="I224" s="19"/>
      <c r="J224" s="18"/>
      <c r="K224" s="465"/>
      <c r="O224" s="20"/>
      <c r="P224" s="21"/>
      <c r="Q224" s="2"/>
      <c r="T224" s="22"/>
      <c r="U224" s="23"/>
      <c r="V224" s="23"/>
      <c r="W224" s="23"/>
      <c r="X224" s="24"/>
      <c r="Y224" s="24"/>
      <c r="Z224" s="23"/>
      <c r="AA224" s="466"/>
      <c r="AB224" s="466"/>
      <c r="AC224" s="466"/>
      <c r="AD224" s="466"/>
      <c r="AE224" s="466"/>
      <c r="AF224" s="466"/>
      <c r="AG224" s="23"/>
      <c r="AH224" s="23"/>
      <c r="AI224" s="467"/>
      <c r="AJ224" s="467"/>
    </row>
    <row r="225" spans="1:37" s="462" customFormat="1" x14ac:dyDescent="0.2">
      <c r="A225" s="461"/>
      <c r="B225" s="10" t="s">
        <v>438</v>
      </c>
      <c r="C225" s="2"/>
      <c r="E225" s="463"/>
      <c r="F225" s="464"/>
      <c r="H225" s="18"/>
      <c r="I225" s="19"/>
      <c r="J225" s="18"/>
      <c r="K225" s="465"/>
      <c r="O225" s="20"/>
      <c r="P225" s="21"/>
      <c r="Q225" s="2"/>
      <c r="T225" s="22"/>
      <c r="U225" s="23"/>
      <c r="V225" s="23"/>
      <c r="W225" s="23"/>
      <c r="X225" s="24"/>
      <c r="Y225" s="24"/>
      <c r="Z225" s="23"/>
      <c r="AA225" s="466"/>
      <c r="AB225" s="466"/>
      <c r="AC225" s="466"/>
      <c r="AD225" s="466"/>
      <c r="AE225" s="466"/>
      <c r="AF225" s="466"/>
      <c r="AG225" s="23"/>
      <c r="AH225" s="23"/>
      <c r="AI225" s="467"/>
      <c r="AJ225" s="467"/>
    </row>
    <row r="226" spans="1:37" s="95" customFormat="1" ht="13.9" hidden="1" customHeight="1" outlineLevel="1" x14ac:dyDescent="0.25">
      <c r="A226" s="237"/>
      <c r="B226" s="256" t="s">
        <v>390</v>
      </c>
      <c r="C226" s="257"/>
      <c r="D226" s="258"/>
      <c r="E226" s="259"/>
      <c r="F226" s="256" t="s">
        <v>391</v>
      </c>
      <c r="G226" s="256"/>
      <c r="H226" s="260"/>
      <c r="I226" s="261"/>
      <c r="J226" s="262"/>
      <c r="K226" s="263"/>
      <c r="L226" s="261"/>
      <c r="M226" s="261"/>
      <c r="N226" s="261"/>
      <c r="O226" s="261"/>
      <c r="P226" s="261"/>
      <c r="Q226" s="261">
        <f>SUM(Q76:Q225)</f>
        <v>124928916</v>
      </c>
      <c r="R226" s="261">
        <f>SUM(R76:R225)</f>
        <v>122547998</v>
      </c>
      <c r="S226" s="264" t="s">
        <v>44</v>
      </c>
      <c r="T226" s="265"/>
      <c r="U226" s="266">
        <f t="shared" ref="U226:W227" si="26">SUMIF($S$10:$S$69,$S226,U$10:U$69)</f>
        <v>1100521.7431783541</v>
      </c>
      <c r="V226" s="266">
        <f t="shared" si="26"/>
        <v>2313981.0731783542</v>
      </c>
      <c r="W226" s="266">
        <f t="shared" si="26"/>
        <v>1761953.5999999999</v>
      </c>
      <c r="X226" s="267"/>
      <c r="Y226" s="267"/>
      <c r="Z226" s="266"/>
      <c r="AA226" s="266">
        <f t="shared" ref="AA226:AH236" si="27">AA166</f>
        <v>1879709.8379218103</v>
      </c>
      <c r="AB226" s="266">
        <f t="shared" si="27"/>
        <v>1804908.1679218104</v>
      </c>
      <c r="AC226" s="266">
        <f t="shared" si="27"/>
        <v>1782158.8379218101</v>
      </c>
      <c r="AD226" s="266">
        <f t="shared" si="27"/>
        <v>1736214.8379218103</v>
      </c>
      <c r="AE226" s="266">
        <f t="shared" si="27"/>
        <v>1692649.8379218103</v>
      </c>
      <c r="AF226" s="266">
        <f t="shared" si="27"/>
        <v>1663423.8379218103</v>
      </c>
      <c r="AG226" s="266">
        <f t="shared" si="27"/>
        <v>13042132.718703706</v>
      </c>
      <c r="AH226" s="266">
        <f t="shared" si="27"/>
        <v>23601198.076234568</v>
      </c>
      <c r="AJ226" s="266"/>
      <c r="AK226" s="268"/>
    </row>
    <row r="227" spans="1:37" s="95" customFormat="1" ht="13.9" hidden="1" customHeight="1" outlineLevel="1" thickBot="1" x14ac:dyDescent="0.25">
      <c r="A227" s="237"/>
      <c r="B227" s="269"/>
      <c r="C227" s="270"/>
      <c r="D227" s="271"/>
      <c r="E227" s="272"/>
      <c r="F227" s="273" t="s">
        <v>392</v>
      </c>
      <c r="G227" s="274"/>
      <c r="H227" s="275"/>
      <c r="I227" s="276"/>
      <c r="J227" s="277"/>
      <c r="K227" s="278"/>
      <c r="L227" s="276"/>
      <c r="M227" s="276"/>
      <c r="N227" s="276"/>
      <c r="O227" s="276"/>
      <c r="P227" s="276"/>
      <c r="Q227" s="276"/>
      <c r="R227" s="276"/>
      <c r="S227" s="276" t="s">
        <v>46</v>
      </c>
      <c r="T227" s="279"/>
      <c r="U227" s="280">
        <f t="shared" si="26"/>
        <v>436055.01832203905</v>
      </c>
      <c r="V227" s="280">
        <f t="shared" si="26"/>
        <v>847288.51392751595</v>
      </c>
      <c r="W227" s="280">
        <f t="shared" si="26"/>
        <v>961573.49410509295</v>
      </c>
      <c r="X227" s="281"/>
      <c r="Y227" s="281"/>
      <c r="Z227" s="280"/>
      <c r="AA227" s="280">
        <f t="shared" si="27"/>
        <v>905339.28700883954</v>
      </c>
      <c r="AB227" s="280">
        <f t="shared" si="27"/>
        <v>817778.55807778577</v>
      </c>
      <c r="AC227" s="280">
        <f t="shared" si="27"/>
        <v>757377.8662967321</v>
      </c>
      <c r="AD227" s="280">
        <f t="shared" si="27"/>
        <v>696902.19490567886</v>
      </c>
      <c r="AE227" s="280">
        <f t="shared" si="27"/>
        <v>637093.30314462539</v>
      </c>
      <c r="AF227" s="280">
        <f t="shared" si="27"/>
        <v>578707.12623357214</v>
      </c>
      <c r="AG227" s="280">
        <f t="shared" si="27"/>
        <v>7454141.108466533</v>
      </c>
      <c r="AH227" s="280">
        <f t="shared" si="27"/>
        <v>11847339.444133766</v>
      </c>
      <c r="AJ227" s="280"/>
      <c r="AK227" s="268"/>
    </row>
    <row r="228" spans="1:37" s="95" customFormat="1" ht="13.9" hidden="1" customHeight="1" outlineLevel="1" thickTop="1" x14ac:dyDescent="0.2">
      <c r="A228" s="237"/>
      <c r="B228" s="282"/>
      <c r="C228" s="257"/>
      <c r="D228" s="258"/>
      <c r="E228" s="259"/>
      <c r="F228" s="256" t="s">
        <v>393</v>
      </c>
      <c r="G228" s="256"/>
      <c r="H228" s="260"/>
      <c r="I228" s="261"/>
      <c r="J228" s="262"/>
      <c r="K228" s="263"/>
      <c r="L228" s="261"/>
      <c r="M228" s="261"/>
      <c r="N228" s="261"/>
      <c r="O228" s="261"/>
      <c r="P228" s="261"/>
      <c r="Q228" s="261"/>
      <c r="R228" s="261"/>
      <c r="S228" s="261"/>
      <c r="T228" s="265"/>
      <c r="U228" s="266">
        <f>SUM(U226:U227)</f>
        <v>1536576.761500393</v>
      </c>
      <c r="V228" s="266">
        <f t="shared" ref="V228:W228" si="28">SUM(V226:V227)</f>
        <v>3161269.5871058702</v>
      </c>
      <c r="W228" s="266">
        <f t="shared" si="28"/>
        <v>2723527.0941050928</v>
      </c>
      <c r="X228" s="267"/>
      <c r="Y228" s="267"/>
      <c r="Z228" s="266"/>
      <c r="AA228" s="266">
        <f t="shared" si="27"/>
        <v>2785049.12493065</v>
      </c>
      <c r="AB228" s="266">
        <f t="shared" si="27"/>
        <v>2622686.7259995961</v>
      </c>
      <c r="AC228" s="266">
        <f t="shared" si="27"/>
        <v>2539536.7042185422</v>
      </c>
      <c r="AD228" s="266">
        <f t="shared" si="27"/>
        <v>2433117.0328274891</v>
      </c>
      <c r="AE228" s="266">
        <f t="shared" si="27"/>
        <v>2329743.1410664357</v>
      </c>
      <c r="AF228" s="266">
        <f t="shared" si="27"/>
        <v>2242130.9641553825</v>
      </c>
      <c r="AG228" s="266">
        <f t="shared" si="27"/>
        <v>20496273.827170238</v>
      </c>
      <c r="AH228" s="266">
        <f t="shared" si="27"/>
        <v>35448537.520368338</v>
      </c>
      <c r="AJ228" s="266"/>
      <c r="AK228" s="268"/>
    </row>
    <row r="229" spans="1:37" s="95" customFormat="1" ht="5.25" hidden="1" customHeight="1" outlineLevel="1" x14ac:dyDescent="0.2">
      <c r="A229" s="237"/>
      <c r="B229" s="283"/>
      <c r="C229" s="238"/>
      <c r="D229" s="239"/>
      <c r="E229" s="284"/>
      <c r="F229" s="251"/>
      <c r="G229" s="251"/>
      <c r="H229" s="285"/>
      <c r="I229" s="121"/>
      <c r="J229" s="285"/>
      <c r="K229" s="121"/>
      <c r="L229" s="121"/>
      <c r="M229" s="121"/>
      <c r="N229" s="121"/>
      <c r="O229" s="121"/>
      <c r="P229" s="121"/>
      <c r="Q229" s="121"/>
      <c r="R229" s="121"/>
      <c r="S229" s="121"/>
      <c r="T229" s="265"/>
      <c r="U229" s="247"/>
      <c r="V229" s="247"/>
      <c r="W229" s="247"/>
      <c r="X229" s="286"/>
      <c r="Y229" s="286"/>
      <c r="Z229" s="247"/>
      <c r="AA229" s="287">
        <f t="shared" si="27"/>
        <v>0</v>
      </c>
      <c r="AB229" s="287">
        <f t="shared" si="27"/>
        <v>0</v>
      </c>
      <c r="AC229" s="287">
        <f t="shared" si="27"/>
        <v>0</v>
      </c>
      <c r="AD229" s="287">
        <f t="shared" si="27"/>
        <v>0</v>
      </c>
      <c r="AE229" s="287">
        <f t="shared" si="27"/>
        <v>0</v>
      </c>
      <c r="AF229" s="287">
        <f t="shared" si="27"/>
        <v>0</v>
      </c>
      <c r="AG229" s="287">
        <f t="shared" si="27"/>
        <v>0</v>
      </c>
      <c r="AH229" s="287">
        <f t="shared" si="27"/>
        <v>0</v>
      </c>
      <c r="AJ229" s="287"/>
      <c r="AK229" s="268"/>
    </row>
    <row r="230" spans="1:37" s="95" customFormat="1" ht="13.9" hidden="1" customHeight="1" outlineLevel="1" x14ac:dyDescent="0.25">
      <c r="A230" s="237"/>
      <c r="B230" s="288" t="s">
        <v>394</v>
      </c>
      <c r="C230" s="289"/>
      <c r="D230" s="290"/>
      <c r="E230" s="291"/>
      <c r="F230" s="288" t="s">
        <v>391</v>
      </c>
      <c r="G230" s="288"/>
      <c r="H230" s="292"/>
      <c r="I230" s="293"/>
      <c r="J230" s="262"/>
      <c r="K230" s="263"/>
      <c r="L230" s="293"/>
      <c r="M230" s="293"/>
      <c r="N230" s="293"/>
      <c r="O230" s="293"/>
      <c r="P230" s="293"/>
      <c r="Q230" s="293">
        <f>SUM(Q77:Q226)</f>
        <v>249857832</v>
      </c>
      <c r="R230" s="293">
        <f>SUM(R77:R226)</f>
        <v>245095996</v>
      </c>
      <c r="S230" s="293" t="s">
        <v>44</v>
      </c>
      <c r="T230" s="265"/>
      <c r="U230" s="294"/>
      <c r="V230" s="294">
        <f>SUMIF($S$70:$S$139,$S230,V$70:V$139)</f>
        <v>1233073.6299999999</v>
      </c>
      <c r="W230" s="294">
        <f t="shared" ref="W230:W231" si="29">SUMIF($S$70:$S$139,$S230,W$70:W$139)</f>
        <v>1362540</v>
      </c>
      <c r="X230" s="295"/>
      <c r="Y230" s="295"/>
      <c r="Z230" s="294"/>
      <c r="AA230" s="294">
        <f t="shared" si="27"/>
        <v>1774221.4333333331</v>
      </c>
      <c r="AB230" s="294">
        <f t="shared" si="27"/>
        <v>1514716</v>
      </c>
      <c r="AC230" s="294">
        <f t="shared" si="27"/>
        <v>1489608</v>
      </c>
      <c r="AD230" s="294">
        <f t="shared" si="27"/>
        <v>1393504</v>
      </c>
      <c r="AE230" s="294">
        <f t="shared" si="27"/>
        <v>1381954</v>
      </c>
      <c r="AF230" s="294">
        <f t="shared" si="27"/>
        <v>1348051</v>
      </c>
      <c r="AG230" s="294">
        <f t="shared" si="27"/>
        <v>18008215</v>
      </c>
      <c r="AH230" s="294">
        <f t="shared" si="27"/>
        <v>26910269.433333334</v>
      </c>
      <c r="AJ230" s="294"/>
      <c r="AK230" s="268"/>
    </row>
    <row r="231" spans="1:37" s="95" customFormat="1" ht="13.9" hidden="1" customHeight="1" outlineLevel="1" thickBot="1" x14ac:dyDescent="0.25">
      <c r="A231" s="237"/>
      <c r="B231" s="296"/>
      <c r="C231" s="297"/>
      <c r="D231" s="298"/>
      <c r="E231" s="299"/>
      <c r="F231" s="300" t="s">
        <v>392</v>
      </c>
      <c r="G231" s="301"/>
      <c r="H231" s="302"/>
      <c r="I231" s="303"/>
      <c r="J231" s="277"/>
      <c r="K231" s="278"/>
      <c r="L231" s="303"/>
      <c r="M231" s="303"/>
      <c r="N231" s="303"/>
      <c r="O231" s="303"/>
      <c r="P231" s="303"/>
      <c r="Q231" s="303"/>
      <c r="R231" s="303"/>
      <c r="S231" s="303" t="s">
        <v>46</v>
      </c>
      <c r="T231" s="279"/>
      <c r="U231" s="304"/>
      <c r="V231" s="304">
        <f>SUMIF($S$70:$S$139,$S231,V$70:V$139)</f>
        <v>39778.774999999994</v>
      </c>
      <c r="W231" s="304">
        <f t="shared" si="29"/>
        <v>75900.273305000024</v>
      </c>
      <c r="X231" s="305"/>
      <c r="Y231" s="305"/>
      <c r="Z231" s="304"/>
      <c r="AA231" s="304">
        <f t="shared" si="27"/>
        <v>1090446.6298400001</v>
      </c>
      <c r="AB231" s="304">
        <f t="shared" si="27"/>
        <v>1028191.98912</v>
      </c>
      <c r="AC231" s="304">
        <f t="shared" si="27"/>
        <v>967614.88643999991</v>
      </c>
      <c r="AD231" s="304">
        <f t="shared" si="27"/>
        <v>908021.96179999993</v>
      </c>
      <c r="AE231" s="304">
        <f t="shared" si="27"/>
        <v>852008.66267999995</v>
      </c>
      <c r="AF231" s="304">
        <f t="shared" si="27"/>
        <v>796398.25673999998</v>
      </c>
      <c r="AG231" s="304">
        <f t="shared" si="27"/>
        <v>13125577.111443998</v>
      </c>
      <c r="AH231" s="304">
        <f t="shared" si="27"/>
        <v>18768259.498063996</v>
      </c>
      <c r="AJ231" s="304"/>
      <c r="AK231" s="268"/>
    </row>
    <row r="232" spans="1:37" s="95" customFormat="1" ht="13.9" hidden="1" customHeight="1" outlineLevel="1" thickTop="1" x14ac:dyDescent="0.2">
      <c r="A232" s="237"/>
      <c r="B232" s="306"/>
      <c r="C232" s="289"/>
      <c r="D232" s="290"/>
      <c r="E232" s="291"/>
      <c r="F232" s="288" t="s">
        <v>393</v>
      </c>
      <c r="G232" s="288"/>
      <c r="H232" s="292"/>
      <c r="I232" s="293"/>
      <c r="J232" s="262"/>
      <c r="K232" s="263"/>
      <c r="L232" s="293"/>
      <c r="M232" s="293"/>
      <c r="N232" s="293"/>
      <c r="O232" s="293"/>
      <c r="P232" s="293"/>
      <c r="Q232" s="293"/>
      <c r="R232" s="293"/>
      <c r="S232" s="293"/>
      <c r="T232" s="265"/>
      <c r="U232" s="294"/>
      <c r="V232" s="294">
        <f>SUM(V230:V231)</f>
        <v>1272852.4049999998</v>
      </c>
      <c r="W232" s="294">
        <f t="shared" ref="W232" si="30">SUM(W230:W231)</f>
        <v>1438440.273305</v>
      </c>
      <c r="X232" s="295"/>
      <c r="Y232" s="295"/>
      <c r="Z232" s="294"/>
      <c r="AA232" s="294">
        <f t="shared" si="27"/>
        <v>2864668.0631733332</v>
      </c>
      <c r="AB232" s="294">
        <f t="shared" si="27"/>
        <v>2542907.98912</v>
      </c>
      <c r="AC232" s="294">
        <f t="shared" si="27"/>
        <v>2457222.88644</v>
      </c>
      <c r="AD232" s="294">
        <f t="shared" si="27"/>
        <v>2301525.9617999997</v>
      </c>
      <c r="AE232" s="294">
        <f t="shared" si="27"/>
        <v>2233962.6626800001</v>
      </c>
      <c r="AF232" s="294">
        <f t="shared" si="27"/>
        <v>2144449.2567400001</v>
      </c>
      <c r="AG232" s="294">
        <f t="shared" si="27"/>
        <v>31133792.111443996</v>
      </c>
      <c r="AH232" s="294">
        <f t="shared" si="27"/>
        <v>45678528.931397334</v>
      </c>
      <c r="AJ232" s="294"/>
      <c r="AK232" s="268"/>
    </row>
    <row r="233" spans="1:37" s="95" customFormat="1" ht="11.45" customHeight="1" collapsed="1" x14ac:dyDescent="0.2">
      <c r="A233" s="237"/>
      <c r="B233" s="283"/>
      <c r="C233" s="238"/>
      <c r="D233" s="239"/>
      <c r="E233" s="284"/>
      <c r="F233" s="251"/>
      <c r="G233" s="251"/>
      <c r="H233" s="285"/>
      <c r="I233" s="121"/>
      <c r="J233" s="285"/>
      <c r="K233" s="121"/>
      <c r="L233" s="121"/>
      <c r="M233" s="121"/>
      <c r="N233" s="121"/>
      <c r="O233" s="121"/>
      <c r="P233" s="121"/>
      <c r="Q233" s="121"/>
      <c r="R233" s="121"/>
      <c r="S233" s="121"/>
      <c r="T233" s="265"/>
      <c r="U233" s="247"/>
      <c r="V233" s="247"/>
      <c r="W233" s="247"/>
      <c r="X233" s="286"/>
      <c r="Y233" s="286"/>
      <c r="Z233" s="247"/>
      <c r="AA233" s="287">
        <f t="shared" si="27"/>
        <v>0</v>
      </c>
      <c r="AB233" s="287">
        <f t="shared" si="27"/>
        <v>0</v>
      </c>
      <c r="AC233" s="287">
        <f t="shared" si="27"/>
        <v>0</v>
      </c>
      <c r="AD233" s="287">
        <f t="shared" si="27"/>
        <v>0</v>
      </c>
      <c r="AE233" s="287">
        <f t="shared" si="27"/>
        <v>0</v>
      </c>
      <c r="AF233" s="287">
        <f t="shared" si="27"/>
        <v>0</v>
      </c>
      <c r="AG233" s="287">
        <f t="shared" si="27"/>
        <v>0</v>
      </c>
      <c r="AH233" s="287">
        <f t="shared" si="27"/>
        <v>0</v>
      </c>
      <c r="AJ233" s="287"/>
      <c r="AK233" s="268"/>
    </row>
    <row r="234" spans="1:37" s="95" customFormat="1" ht="13.9" customHeight="1" x14ac:dyDescent="0.25">
      <c r="A234" s="237"/>
      <c r="B234" s="307" t="s">
        <v>395</v>
      </c>
      <c r="C234" s="308"/>
      <c r="D234" s="309"/>
      <c r="E234" s="310"/>
      <c r="F234" s="307" t="s">
        <v>391</v>
      </c>
      <c r="G234" s="307"/>
      <c r="H234" s="311"/>
      <c r="I234" s="312"/>
      <c r="J234" s="262"/>
      <c r="K234" s="263"/>
      <c r="L234" s="312"/>
      <c r="M234" s="312"/>
      <c r="N234" s="312"/>
      <c r="O234" s="312"/>
      <c r="P234" s="312"/>
      <c r="Q234" s="312"/>
      <c r="R234" s="312"/>
      <c r="S234" s="312" t="s">
        <v>44</v>
      </c>
      <c r="T234" s="265"/>
      <c r="U234" s="313">
        <f>SUM(U226,U230)</f>
        <v>1100521.7431783541</v>
      </c>
      <c r="V234" s="313">
        <f t="shared" ref="V234:W234" si="31">SUM(V226,V230)</f>
        <v>3547054.7031783541</v>
      </c>
      <c r="W234" s="313">
        <f t="shared" si="31"/>
        <v>3124493.5999999996</v>
      </c>
      <c r="X234" s="314"/>
      <c r="Y234" s="314"/>
      <c r="Z234" s="313"/>
      <c r="AA234" s="313">
        <f t="shared" si="27"/>
        <v>3653931.2712551435</v>
      </c>
      <c r="AB234" s="313">
        <f t="shared" si="27"/>
        <v>3319624.1679218104</v>
      </c>
      <c r="AC234" s="313">
        <f t="shared" si="27"/>
        <v>3271766.8379218103</v>
      </c>
      <c r="AD234" s="313">
        <f t="shared" si="27"/>
        <v>3129718.8379218103</v>
      </c>
      <c r="AE234" s="313">
        <f t="shared" si="27"/>
        <v>3074603.8379218103</v>
      </c>
      <c r="AF234" s="313">
        <f t="shared" si="27"/>
        <v>3011474.8379218103</v>
      </c>
      <c r="AG234" s="313">
        <f t="shared" si="27"/>
        <v>31050347.718703706</v>
      </c>
      <c r="AH234" s="313">
        <f t="shared" si="27"/>
        <v>50511467.509567901</v>
      </c>
      <c r="AJ234" s="313"/>
      <c r="AK234" s="268"/>
    </row>
    <row r="235" spans="1:37" s="95" customFormat="1" ht="13.9" customHeight="1" thickBot="1" x14ac:dyDescent="0.25">
      <c r="A235" s="237"/>
      <c r="B235" s="315"/>
      <c r="C235" s="316"/>
      <c r="D235" s="317"/>
      <c r="E235" s="318"/>
      <c r="F235" s="319" t="s">
        <v>392</v>
      </c>
      <c r="G235" s="320"/>
      <c r="H235" s="321"/>
      <c r="I235" s="322"/>
      <c r="J235" s="277"/>
      <c r="K235" s="278"/>
      <c r="L235" s="322"/>
      <c r="M235" s="322"/>
      <c r="N235" s="322"/>
      <c r="O235" s="322"/>
      <c r="P235" s="322"/>
      <c r="Q235" s="322">
        <f>SUM(Q78:Q230)</f>
        <v>499715664</v>
      </c>
      <c r="R235" s="322">
        <f>SUM(R78:R230)</f>
        <v>490191992</v>
      </c>
      <c r="S235" s="322" t="s">
        <v>46</v>
      </c>
      <c r="T235" s="279"/>
      <c r="U235" s="323">
        <f>SUM(U227,U231)</f>
        <v>436055.01832203905</v>
      </c>
      <c r="V235" s="323">
        <f t="shared" ref="V235:W235" si="32">SUM(V227,V231)</f>
        <v>887067.28892751597</v>
      </c>
      <c r="W235" s="323">
        <f t="shared" si="32"/>
        <v>1037473.767410093</v>
      </c>
      <c r="X235" s="324"/>
      <c r="Y235" s="324"/>
      <c r="Z235" s="323"/>
      <c r="AA235" s="323">
        <f t="shared" si="27"/>
        <v>1995785.9168488397</v>
      </c>
      <c r="AB235" s="323">
        <f t="shared" si="27"/>
        <v>1845970.5471977857</v>
      </c>
      <c r="AC235" s="323">
        <f t="shared" si="27"/>
        <v>1724992.7527367319</v>
      </c>
      <c r="AD235" s="323">
        <f t="shared" si="27"/>
        <v>1604924.1567056789</v>
      </c>
      <c r="AE235" s="323">
        <f t="shared" si="27"/>
        <v>1489101.9658246255</v>
      </c>
      <c r="AF235" s="323">
        <f t="shared" si="27"/>
        <v>1375105.3829735722</v>
      </c>
      <c r="AG235" s="323">
        <f t="shared" si="27"/>
        <v>20579718.219910532</v>
      </c>
      <c r="AH235" s="323">
        <f t="shared" si="27"/>
        <v>30615598.942197762</v>
      </c>
      <c r="AJ235" s="323"/>
      <c r="AK235" s="268"/>
    </row>
    <row r="236" spans="1:37" s="95" customFormat="1" ht="13.9" customHeight="1" thickTop="1" x14ac:dyDescent="0.2">
      <c r="A236" s="237"/>
      <c r="B236" s="325"/>
      <c r="C236" s="308"/>
      <c r="D236" s="309"/>
      <c r="E236" s="310"/>
      <c r="F236" s="307" t="s">
        <v>393</v>
      </c>
      <c r="G236" s="307"/>
      <c r="H236" s="311"/>
      <c r="I236" s="312"/>
      <c r="J236" s="262"/>
      <c r="K236" s="263"/>
      <c r="L236" s="312"/>
      <c r="M236" s="312"/>
      <c r="N236" s="312"/>
      <c r="O236" s="312"/>
      <c r="P236" s="312"/>
      <c r="Q236" s="312"/>
      <c r="R236" s="312"/>
      <c r="S236" s="312"/>
      <c r="T236" s="265"/>
      <c r="U236" s="313">
        <f>SUM(U234:U235)</f>
        <v>1536576.761500393</v>
      </c>
      <c r="V236" s="313">
        <f t="shared" ref="V236:W236" si="33">SUM(V234:V235)</f>
        <v>4434121.9921058696</v>
      </c>
      <c r="W236" s="313">
        <f t="shared" si="33"/>
        <v>4161967.3674100926</v>
      </c>
      <c r="X236" s="314"/>
      <c r="Y236" s="314"/>
      <c r="Z236" s="313"/>
      <c r="AA236" s="313">
        <f t="shared" si="27"/>
        <v>5649717.1881039832</v>
      </c>
      <c r="AB236" s="313">
        <f t="shared" si="27"/>
        <v>5165594.7151195966</v>
      </c>
      <c r="AC236" s="313">
        <f t="shared" si="27"/>
        <v>4996759.5906585418</v>
      </c>
      <c r="AD236" s="313">
        <f t="shared" si="27"/>
        <v>4734642.9946274888</v>
      </c>
      <c r="AE236" s="313">
        <f t="shared" si="27"/>
        <v>4563705.8037464358</v>
      </c>
      <c r="AF236" s="313">
        <f t="shared" si="27"/>
        <v>4386580.2208953826</v>
      </c>
      <c r="AG236" s="313">
        <f t="shared" si="27"/>
        <v>51630065.938614234</v>
      </c>
      <c r="AH236" s="313">
        <f t="shared" si="27"/>
        <v>81127066.451765656</v>
      </c>
      <c r="AJ236" s="313"/>
      <c r="AK236" s="268"/>
    </row>
    <row r="237" spans="1:37" s="462" customFormat="1" x14ac:dyDescent="0.2">
      <c r="A237" s="461"/>
      <c r="C237" s="2"/>
      <c r="E237" s="463"/>
      <c r="F237" s="464"/>
      <c r="H237" s="18"/>
      <c r="I237" s="19"/>
      <c r="J237" s="18"/>
      <c r="K237" s="465"/>
      <c r="O237" s="20"/>
      <c r="P237" s="21"/>
      <c r="Q237" s="2"/>
      <c r="T237" s="22"/>
      <c r="U237" s="23"/>
      <c r="V237" s="23"/>
      <c r="W237" s="23"/>
      <c r="X237" s="24"/>
      <c r="Y237" s="24"/>
      <c r="Z237" s="23"/>
      <c r="AA237" s="466"/>
      <c r="AB237" s="466"/>
      <c r="AC237" s="466"/>
      <c r="AD237" s="466"/>
      <c r="AE237" s="466"/>
      <c r="AF237" s="466"/>
      <c r="AG237" s="23"/>
      <c r="AH237" s="23"/>
      <c r="AI237" s="467"/>
      <c r="AJ237" s="467"/>
    </row>
    <row r="238" spans="1:37" s="462" customFormat="1" x14ac:dyDescent="0.2">
      <c r="A238" s="461"/>
      <c r="C238" s="2"/>
      <c r="E238" s="472"/>
      <c r="F238" s="464"/>
      <c r="H238" s="18"/>
      <c r="I238" s="19"/>
      <c r="J238" s="18"/>
      <c r="K238" s="465"/>
      <c r="M238" s="473" t="s">
        <v>435</v>
      </c>
      <c r="O238" s="20"/>
      <c r="P238" s="21"/>
      <c r="Q238" s="2"/>
      <c r="T238" s="22"/>
      <c r="U238" s="23"/>
      <c r="V238" s="23"/>
      <c r="W238" s="23"/>
      <c r="X238" s="24"/>
      <c r="Y238" s="24"/>
      <c r="Z238" s="23"/>
      <c r="AA238" s="466"/>
      <c r="AB238" s="466"/>
      <c r="AC238" s="466"/>
      <c r="AD238" s="466"/>
      <c r="AE238" s="466"/>
      <c r="AF238" s="466"/>
      <c r="AG238" s="23"/>
      <c r="AH238" s="23"/>
      <c r="AI238" s="467"/>
      <c r="AJ238" s="467"/>
    </row>
    <row r="239" spans="1:37" s="462" customFormat="1" ht="15" hidden="1" outlineLevel="1" x14ac:dyDescent="0.25">
      <c r="A239" s="461"/>
      <c r="C239" s="2"/>
      <c r="E239" s="472"/>
      <c r="F239" s="464"/>
      <c r="H239" s="18"/>
      <c r="I239" s="19"/>
      <c r="J239" s="18"/>
      <c r="K239" s="465"/>
      <c r="M239" s="474" t="s">
        <v>390</v>
      </c>
      <c r="O239" s="20"/>
      <c r="P239" s="21"/>
      <c r="Q239" s="2"/>
      <c r="T239" s="22"/>
      <c r="U239" s="23"/>
      <c r="V239" s="23"/>
      <c r="W239" s="23"/>
      <c r="X239" s="24"/>
      <c r="Y239" s="24"/>
      <c r="Z239" s="23"/>
      <c r="AA239" s="470">
        <f>AA227-AA214</f>
        <v>0</v>
      </c>
      <c r="AB239" s="470">
        <f t="shared" ref="AB239:AH239" si="34">AB227-AB214</f>
        <v>0</v>
      </c>
      <c r="AC239" s="470">
        <f t="shared" si="34"/>
        <v>0</v>
      </c>
      <c r="AD239" s="470">
        <f t="shared" si="34"/>
        <v>0</v>
      </c>
      <c r="AE239" s="470">
        <f t="shared" si="34"/>
        <v>0</v>
      </c>
      <c r="AF239" s="470">
        <f t="shared" si="34"/>
        <v>0</v>
      </c>
      <c r="AG239" s="470">
        <f t="shared" si="34"/>
        <v>0</v>
      </c>
      <c r="AH239" s="470">
        <f t="shared" si="34"/>
        <v>0</v>
      </c>
      <c r="AI239" s="467"/>
      <c r="AJ239" s="467"/>
    </row>
    <row r="240" spans="1:37" s="462" customFormat="1" ht="15" hidden="1" outlineLevel="1" x14ac:dyDescent="0.25">
      <c r="A240" s="461"/>
      <c r="C240" s="2"/>
      <c r="E240" s="472"/>
      <c r="F240" s="464"/>
      <c r="H240" s="18"/>
      <c r="I240" s="19"/>
      <c r="J240" s="18"/>
      <c r="K240" s="465"/>
      <c r="M240" s="474" t="s">
        <v>394</v>
      </c>
      <c r="O240" s="20"/>
      <c r="P240" s="21"/>
      <c r="Q240" s="2"/>
      <c r="T240" s="22"/>
      <c r="U240" s="23"/>
      <c r="V240" s="23"/>
      <c r="W240" s="23"/>
      <c r="X240" s="24"/>
      <c r="Y240" s="24"/>
      <c r="Z240" s="23"/>
      <c r="AA240" s="470">
        <f>AA231-AA218</f>
        <v>0</v>
      </c>
      <c r="AB240" s="470">
        <f t="shared" ref="AB240:AH240" si="35">AB231-AB218</f>
        <v>0</v>
      </c>
      <c r="AC240" s="470">
        <f t="shared" si="35"/>
        <v>0</v>
      </c>
      <c r="AD240" s="470">
        <f t="shared" si="35"/>
        <v>0</v>
      </c>
      <c r="AE240" s="470">
        <f t="shared" si="35"/>
        <v>0</v>
      </c>
      <c r="AF240" s="470">
        <f t="shared" si="35"/>
        <v>0</v>
      </c>
      <c r="AG240" s="470">
        <f t="shared" si="35"/>
        <v>0</v>
      </c>
      <c r="AH240" s="470">
        <f t="shared" si="35"/>
        <v>0</v>
      </c>
      <c r="AI240" s="467"/>
      <c r="AJ240" s="467"/>
    </row>
    <row r="241" spans="1:36" s="462" customFormat="1" collapsed="1" x14ac:dyDescent="0.2">
      <c r="A241" s="461"/>
      <c r="C241" s="2"/>
      <c r="E241" s="472"/>
      <c r="F241" s="464"/>
      <c r="H241" s="18"/>
      <c r="I241" s="19"/>
      <c r="J241" s="18"/>
      <c r="K241" s="465"/>
      <c r="M241" s="475" t="s">
        <v>436</v>
      </c>
      <c r="O241" s="20"/>
      <c r="P241" s="21"/>
      <c r="Q241" s="2"/>
      <c r="T241" s="22"/>
      <c r="U241" s="23"/>
      <c r="V241" s="23"/>
      <c r="W241" s="23"/>
      <c r="X241" s="24"/>
      <c r="Y241" s="24"/>
      <c r="Z241" s="23"/>
      <c r="AA241" s="469">
        <f>AA235-AA222</f>
        <v>0</v>
      </c>
      <c r="AB241" s="469">
        <f t="shared" ref="AB241:AG241" si="36">AB235-AB222</f>
        <v>0</v>
      </c>
      <c r="AC241" s="469">
        <f t="shared" si="36"/>
        <v>0</v>
      </c>
      <c r="AD241" s="469">
        <f t="shared" si="36"/>
        <v>0</v>
      </c>
      <c r="AE241" s="469">
        <f t="shared" si="36"/>
        <v>0</v>
      </c>
      <c r="AF241" s="469">
        <f t="shared" si="36"/>
        <v>0</v>
      </c>
      <c r="AG241" s="469">
        <f t="shared" si="36"/>
        <v>0</v>
      </c>
      <c r="AH241" s="469"/>
      <c r="AI241" s="467"/>
      <c r="AJ241" s="467"/>
    </row>
    <row r="242" spans="1:36" s="462" customFormat="1" x14ac:dyDescent="0.2">
      <c r="A242" s="461"/>
      <c r="C242" s="2"/>
      <c r="E242" s="472"/>
      <c r="F242" s="464"/>
      <c r="H242" s="18"/>
      <c r="I242" s="19"/>
      <c r="J242" s="18"/>
      <c r="K242" s="465"/>
      <c r="O242" s="20"/>
      <c r="P242" s="21"/>
      <c r="Q242" s="2"/>
      <c r="T242" s="22"/>
      <c r="U242" s="23"/>
      <c r="V242" s="23"/>
      <c r="W242" s="23"/>
      <c r="X242" s="24"/>
      <c r="Y242" s="24"/>
      <c r="Z242" s="23"/>
      <c r="AA242" s="466"/>
      <c r="AB242" s="466"/>
      <c r="AC242" s="466"/>
      <c r="AD242" s="466"/>
      <c r="AE242" s="466"/>
      <c r="AF242" s="466"/>
      <c r="AG242" s="23"/>
      <c r="AH242" s="23"/>
      <c r="AI242" s="467"/>
      <c r="AJ242" s="467"/>
    </row>
    <row r="243" spans="1:36" s="462" customFormat="1" x14ac:dyDescent="0.2">
      <c r="A243" s="461"/>
      <c r="C243" s="2"/>
      <c r="E243" s="463"/>
      <c r="F243" s="464"/>
      <c r="H243" s="18"/>
      <c r="I243" s="19"/>
      <c r="J243" s="18"/>
      <c r="K243" s="465"/>
      <c r="O243" s="20"/>
      <c r="P243" s="21"/>
      <c r="Q243" s="2"/>
      <c r="T243" s="22"/>
      <c r="U243" s="23"/>
      <c r="V243" s="23"/>
      <c r="W243" s="23"/>
      <c r="X243" s="24"/>
      <c r="Y243" s="24"/>
      <c r="Z243" s="23"/>
      <c r="AA243" s="466"/>
      <c r="AB243" s="466"/>
      <c r="AC243" s="466"/>
      <c r="AD243" s="466"/>
      <c r="AE243" s="466"/>
      <c r="AF243" s="466"/>
      <c r="AG243" s="23"/>
      <c r="AH243" s="23"/>
      <c r="AI243" s="467"/>
      <c r="AJ243" s="467"/>
    </row>
    <row r="244" spans="1:36" s="462" customFormat="1" x14ac:dyDescent="0.2">
      <c r="A244" s="461"/>
      <c r="C244" s="2"/>
      <c r="E244" s="463"/>
      <c r="F244" s="464"/>
      <c r="H244" s="18"/>
      <c r="I244" s="19"/>
      <c r="J244" s="18"/>
      <c r="K244" s="465"/>
      <c r="O244" s="20"/>
      <c r="P244" s="21"/>
      <c r="Q244" s="2"/>
      <c r="T244" s="22"/>
      <c r="U244" s="23"/>
      <c r="V244" s="23"/>
      <c r="W244" s="23"/>
      <c r="X244" s="24"/>
      <c r="Y244" s="24"/>
      <c r="Z244" s="23"/>
      <c r="AA244" s="466"/>
      <c r="AB244" s="466"/>
      <c r="AC244" s="466"/>
      <c r="AD244" s="466"/>
      <c r="AE244" s="466"/>
      <c r="AF244" s="466"/>
      <c r="AG244" s="23"/>
      <c r="AH244" s="23"/>
      <c r="AI244" s="467"/>
      <c r="AJ244" s="467"/>
    </row>
    <row r="245" spans="1:36" s="462" customFormat="1" x14ac:dyDescent="0.2">
      <c r="A245" s="461"/>
      <c r="C245" s="2"/>
      <c r="E245" s="463"/>
      <c r="F245" s="464"/>
      <c r="H245" s="18"/>
      <c r="I245" s="19"/>
      <c r="J245" s="18"/>
      <c r="K245" s="465"/>
      <c r="O245" s="20"/>
      <c r="P245" s="21"/>
      <c r="Q245" s="2"/>
      <c r="T245" s="22"/>
      <c r="U245" s="23"/>
      <c r="V245" s="23"/>
      <c r="W245" s="23"/>
      <c r="X245" s="24"/>
      <c r="Y245" s="24"/>
      <c r="Z245" s="23"/>
      <c r="AA245" s="466"/>
      <c r="AB245" s="466"/>
      <c r="AC245" s="466"/>
      <c r="AD245" s="466"/>
      <c r="AE245" s="466"/>
      <c r="AF245" s="466"/>
      <c r="AG245" s="23"/>
      <c r="AH245" s="23"/>
      <c r="AI245" s="467"/>
      <c r="AJ245" s="467"/>
    </row>
    <row r="246" spans="1:36" s="462" customFormat="1" x14ac:dyDescent="0.2">
      <c r="A246" s="461"/>
      <c r="C246" s="2"/>
      <c r="E246" s="463"/>
      <c r="F246" s="464"/>
      <c r="H246" s="18"/>
      <c r="I246" s="19"/>
      <c r="J246" s="18"/>
      <c r="K246" s="465"/>
      <c r="O246" s="20"/>
      <c r="P246" s="21"/>
      <c r="Q246" s="2"/>
      <c r="T246" s="22"/>
      <c r="U246" s="23"/>
      <c r="V246" s="23"/>
      <c r="W246" s="23"/>
      <c r="X246" s="24"/>
      <c r="Y246" s="24"/>
      <c r="Z246" s="23"/>
      <c r="AA246" s="466"/>
      <c r="AB246" s="466"/>
      <c r="AC246" s="466"/>
      <c r="AD246" s="466"/>
      <c r="AE246" s="466"/>
      <c r="AF246" s="466"/>
      <c r="AG246" s="23"/>
      <c r="AH246" s="23"/>
      <c r="AI246" s="467"/>
      <c r="AJ246" s="467"/>
    </row>
  </sheetData>
  <mergeCells count="284">
    <mergeCell ref="A180:B180"/>
    <mergeCell ref="B162:B163"/>
    <mergeCell ref="C162:C163"/>
    <mergeCell ref="D162:D163"/>
    <mergeCell ref="F162:F163"/>
    <mergeCell ref="G162:G163"/>
    <mergeCell ref="I162:I163"/>
    <mergeCell ref="B160:B161"/>
    <mergeCell ref="C160:C161"/>
    <mergeCell ref="D160:D161"/>
    <mergeCell ref="F160:F161"/>
    <mergeCell ref="G160:G161"/>
    <mergeCell ref="I160:I161"/>
    <mergeCell ref="B158:B159"/>
    <mergeCell ref="C158:C159"/>
    <mergeCell ref="D158:D159"/>
    <mergeCell ref="F158:F159"/>
    <mergeCell ref="G158:G159"/>
    <mergeCell ref="I158:I159"/>
    <mergeCell ref="B156:B157"/>
    <mergeCell ref="C156:C157"/>
    <mergeCell ref="D156:D157"/>
    <mergeCell ref="F156:F157"/>
    <mergeCell ref="G156:G157"/>
    <mergeCell ref="I156:I157"/>
    <mergeCell ref="B154:B155"/>
    <mergeCell ref="C154:C155"/>
    <mergeCell ref="D154:D155"/>
    <mergeCell ref="F154:F155"/>
    <mergeCell ref="G154:G155"/>
    <mergeCell ref="I154:I155"/>
    <mergeCell ref="B152:B153"/>
    <mergeCell ref="C152:C153"/>
    <mergeCell ref="D152:D153"/>
    <mergeCell ref="F152:F153"/>
    <mergeCell ref="G152:G153"/>
    <mergeCell ref="I152:I153"/>
    <mergeCell ref="B150:B151"/>
    <mergeCell ref="C150:C151"/>
    <mergeCell ref="D150:D151"/>
    <mergeCell ref="F150:F151"/>
    <mergeCell ref="G150:G151"/>
    <mergeCell ref="I150:I151"/>
    <mergeCell ref="B148:B149"/>
    <mergeCell ref="C148:C149"/>
    <mergeCell ref="D148:D149"/>
    <mergeCell ref="F148:F149"/>
    <mergeCell ref="G148:G149"/>
    <mergeCell ref="I148:I149"/>
    <mergeCell ref="B146:B147"/>
    <mergeCell ref="C146:C147"/>
    <mergeCell ref="D146:D147"/>
    <mergeCell ref="F146:F147"/>
    <mergeCell ref="G146:G147"/>
    <mergeCell ref="I146:I147"/>
    <mergeCell ref="B144:B145"/>
    <mergeCell ref="C144:C145"/>
    <mergeCell ref="D144:D145"/>
    <mergeCell ref="F144:F145"/>
    <mergeCell ref="G144:G145"/>
    <mergeCell ref="I144:I145"/>
    <mergeCell ref="B142:B143"/>
    <mergeCell ref="C142:C143"/>
    <mergeCell ref="D142:D143"/>
    <mergeCell ref="F142:F143"/>
    <mergeCell ref="G142:G143"/>
    <mergeCell ref="I142:I143"/>
    <mergeCell ref="B140:B141"/>
    <mergeCell ref="C140:C141"/>
    <mergeCell ref="D140:D141"/>
    <mergeCell ref="F140:F141"/>
    <mergeCell ref="G140:G141"/>
    <mergeCell ref="I140:I141"/>
    <mergeCell ref="B138:B139"/>
    <mergeCell ref="C138:C139"/>
    <mergeCell ref="D138:D139"/>
    <mergeCell ref="F138:F139"/>
    <mergeCell ref="G138:G139"/>
    <mergeCell ref="I138:I139"/>
    <mergeCell ref="B136:B137"/>
    <mergeCell ref="C136:C137"/>
    <mergeCell ref="D136:D137"/>
    <mergeCell ref="F136:F137"/>
    <mergeCell ref="G136:G137"/>
    <mergeCell ref="I136:I137"/>
    <mergeCell ref="B134:B135"/>
    <mergeCell ref="C134:C135"/>
    <mergeCell ref="D134:D135"/>
    <mergeCell ref="F134:F135"/>
    <mergeCell ref="G134:G135"/>
    <mergeCell ref="I134:I135"/>
    <mergeCell ref="B132:B133"/>
    <mergeCell ref="C132:C133"/>
    <mergeCell ref="D132:D133"/>
    <mergeCell ref="F132:F133"/>
    <mergeCell ref="G132:G133"/>
    <mergeCell ref="I132:I133"/>
    <mergeCell ref="B130:B131"/>
    <mergeCell ref="C130:C131"/>
    <mergeCell ref="D130:D131"/>
    <mergeCell ref="F130:F131"/>
    <mergeCell ref="G130:G131"/>
    <mergeCell ref="I130:I131"/>
    <mergeCell ref="B128:B129"/>
    <mergeCell ref="C128:C129"/>
    <mergeCell ref="D128:D129"/>
    <mergeCell ref="F128:F129"/>
    <mergeCell ref="G128:G129"/>
    <mergeCell ref="I128:I129"/>
    <mergeCell ref="B126:B127"/>
    <mergeCell ref="C126:C127"/>
    <mergeCell ref="D126:D127"/>
    <mergeCell ref="F126:F127"/>
    <mergeCell ref="G126:G127"/>
    <mergeCell ref="I126:I127"/>
    <mergeCell ref="B124:B125"/>
    <mergeCell ref="C124:C125"/>
    <mergeCell ref="D124:D125"/>
    <mergeCell ref="F124:F125"/>
    <mergeCell ref="G124:G125"/>
    <mergeCell ref="I124:I125"/>
    <mergeCell ref="B122:B123"/>
    <mergeCell ref="C122:C123"/>
    <mergeCell ref="D122:D123"/>
    <mergeCell ref="F122:F123"/>
    <mergeCell ref="G122:G123"/>
    <mergeCell ref="I122:I123"/>
    <mergeCell ref="B120:B121"/>
    <mergeCell ref="C120:C121"/>
    <mergeCell ref="D120:D121"/>
    <mergeCell ref="F120:F121"/>
    <mergeCell ref="G120:G121"/>
    <mergeCell ref="I120:I121"/>
    <mergeCell ref="B118:B119"/>
    <mergeCell ref="C118:C119"/>
    <mergeCell ref="D118:D119"/>
    <mergeCell ref="F118:F119"/>
    <mergeCell ref="G118:G119"/>
    <mergeCell ref="I118:I119"/>
    <mergeCell ref="B116:B117"/>
    <mergeCell ref="C116:C117"/>
    <mergeCell ref="D116:D117"/>
    <mergeCell ref="F116:F117"/>
    <mergeCell ref="G116:G117"/>
    <mergeCell ref="I116:I117"/>
    <mergeCell ref="B114:B115"/>
    <mergeCell ref="C114:C115"/>
    <mergeCell ref="D114:D115"/>
    <mergeCell ref="F114:F115"/>
    <mergeCell ref="G114:G115"/>
    <mergeCell ref="I114:I115"/>
    <mergeCell ref="B112:B113"/>
    <mergeCell ref="C112:C113"/>
    <mergeCell ref="D112:D113"/>
    <mergeCell ref="F112:F113"/>
    <mergeCell ref="G112:G113"/>
    <mergeCell ref="I112:I113"/>
    <mergeCell ref="B110:B111"/>
    <mergeCell ref="C110:C111"/>
    <mergeCell ref="D110:D111"/>
    <mergeCell ref="F110:F111"/>
    <mergeCell ref="G110:G111"/>
    <mergeCell ref="I110:I111"/>
    <mergeCell ref="B108:B109"/>
    <mergeCell ref="C108:C109"/>
    <mergeCell ref="D108:D109"/>
    <mergeCell ref="F108:F109"/>
    <mergeCell ref="G108:G109"/>
    <mergeCell ref="I108:I109"/>
    <mergeCell ref="B106:B107"/>
    <mergeCell ref="C106:C107"/>
    <mergeCell ref="D106:D107"/>
    <mergeCell ref="F106:F107"/>
    <mergeCell ref="G106:G107"/>
    <mergeCell ref="I106:I107"/>
    <mergeCell ref="B104:B105"/>
    <mergeCell ref="C104:C105"/>
    <mergeCell ref="D104:D105"/>
    <mergeCell ref="F104:F105"/>
    <mergeCell ref="G104:G105"/>
    <mergeCell ref="I104:I105"/>
    <mergeCell ref="B102:B103"/>
    <mergeCell ref="C102:C103"/>
    <mergeCell ref="D102:D103"/>
    <mergeCell ref="F102:F103"/>
    <mergeCell ref="G102:G103"/>
    <mergeCell ref="I102:I103"/>
    <mergeCell ref="B100:B101"/>
    <mergeCell ref="C100:C101"/>
    <mergeCell ref="D100:D101"/>
    <mergeCell ref="F100:F101"/>
    <mergeCell ref="G100:G101"/>
    <mergeCell ref="I100:I101"/>
    <mergeCell ref="B98:B99"/>
    <mergeCell ref="C98:C99"/>
    <mergeCell ref="D98:D99"/>
    <mergeCell ref="F98:F99"/>
    <mergeCell ref="G98:G99"/>
    <mergeCell ref="I98:I99"/>
    <mergeCell ref="B96:B97"/>
    <mergeCell ref="C96:C97"/>
    <mergeCell ref="D96:D97"/>
    <mergeCell ref="F96:F97"/>
    <mergeCell ref="G96:G97"/>
    <mergeCell ref="I96:I97"/>
    <mergeCell ref="B94:B95"/>
    <mergeCell ref="C94:C95"/>
    <mergeCell ref="D94:D95"/>
    <mergeCell ref="F94:F95"/>
    <mergeCell ref="G94:G95"/>
    <mergeCell ref="I94:I95"/>
    <mergeCell ref="B92:B93"/>
    <mergeCell ref="C92:C93"/>
    <mergeCell ref="D92:D93"/>
    <mergeCell ref="F92:F93"/>
    <mergeCell ref="G92:G93"/>
    <mergeCell ref="I92:I93"/>
    <mergeCell ref="B90:B91"/>
    <mergeCell ref="C90:C91"/>
    <mergeCell ref="D90:D91"/>
    <mergeCell ref="F90:F91"/>
    <mergeCell ref="G90:G91"/>
    <mergeCell ref="I90:I91"/>
    <mergeCell ref="B88:B89"/>
    <mergeCell ref="C88:C89"/>
    <mergeCell ref="D88:D89"/>
    <mergeCell ref="F88:F89"/>
    <mergeCell ref="G88:G89"/>
    <mergeCell ref="I88:I89"/>
    <mergeCell ref="B86:B87"/>
    <mergeCell ref="C86:C87"/>
    <mergeCell ref="D86:D87"/>
    <mergeCell ref="F86:F87"/>
    <mergeCell ref="G86:G87"/>
    <mergeCell ref="I86:I87"/>
    <mergeCell ref="B84:B85"/>
    <mergeCell ref="C84:C85"/>
    <mergeCell ref="D84:D85"/>
    <mergeCell ref="F84:F85"/>
    <mergeCell ref="G84:G85"/>
    <mergeCell ref="I84:I85"/>
    <mergeCell ref="B82:B83"/>
    <mergeCell ref="C82:C83"/>
    <mergeCell ref="D82:D83"/>
    <mergeCell ref="F82:F83"/>
    <mergeCell ref="G82:G83"/>
    <mergeCell ref="I82:I83"/>
    <mergeCell ref="B80:B81"/>
    <mergeCell ref="C80:C81"/>
    <mergeCell ref="D80:D81"/>
    <mergeCell ref="F80:F81"/>
    <mergeCell ref="G80:G81"/>
    <mergeCell ref="I80:I81"/>
    <mergeCell ref="I74:I75"/>
    <mergeCell ref="I70:I71"/>
    <mergeCell ref="B72:B73"/>
    <mergeCell ref="C72:C73"/>
    <mergeCell ref="D72:D73"/>
    <mergeCell ref="F72:F73"/>
    <mergeCell ref="G72:G73"/>
    <mergeCell ref="I72:I73"/>
    <mergeCell ref="B78:B79"/>
    <mergeCell ref="C78:C79"/>
    <mergeCell ref="D78:D79"/>
    <mergeCell ref="F78:F79"/>
    <mergeCell ref="G78:G79"/>
    <mergeCell ref="I78:I79"/>
    <mergeCell ref="B76:B77"/>
    <mergeCell ref="C76:C77"/>
    <mergeCell ref="D76:D77"/>
    <mergeCell ref="F76:F77"/>
    <mergeCell ref="G76:G77"/>
    <mergeCell ref="I76:I77"/>
    <mergeCell ref="A9:B9"/>
    <mergeCell ref="B70:B71"/>
    <mergeCell ref="C70:C71"/>
    <mergeCell ref="D70:D71"/>
    <mergeCell ref="F70:F71"/>
    <mergeCell ref="G70:G71"/>
    <mergeCell ref="B74:B75"/>
    <mergeCell ref="C74:C75"/>
    <mergeCell ref="D74:D75"/>
    <mergeCell ref="F74:F75"/>
    <mergeCell ref="G74:G75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alignWithMargins="0"/>
  <rowBreaks count="1" manualBreakCount="1">
    <brk id="37" max="10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4.piel_Saistibas (%likmes)</vt:lpstr>
      <vt:lpstr>'4.piel_Saistibas (%likmes)'!Print_Area</vt:lpstr>
      <vt:lpstr>'4.piel_Saistibas (%likmes)'!Print_Titles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Linda Pavlovska</cp:lastModifiedBy>
  <dcterms:created xsi:type="dcterms:W3CDTF">2023-09-18T12:48:24Z</dcterms:created>
  <dcterms:modified xsi:type="dcterms:W3CDTF">2023-09-26T13:25:55Z</dcterms:modified>
</cp:coreProperties>
</file>