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inda Povlovska\Desktop\"/>
    </mc:Choice>
  </mc:AlternateContent>
  <xr:revisionPtr revIDLastSave="0" documentId="8_{DBBDF450-DB64-430B-952E-304F33BE3967}" xr6:coauthVersionLast="47" xr6:coauthVersionMax="47" xr10:uidLastSave="{00000000-0000-0000-0000-000000000000}"/>
  <bookViews>
    <workbookView xWindow="-120" yWindow="-120" windowWidth="29040" windowHeight="17520" xr2:uid="{30855B98-DA29-43AD-9C7E-A9FE6C1AF910}"/>
  </bookViews>
  <sheets>
    <sheet name="2023.gada budzeta plans_apvieno" sheetId="1" r:id="rId1"/>
    <sheet name="4.piel_Saistibas" sheetId="3" r:id="rId2"/>
  </sheets>
  <externalReferences>
    <externalReference r:id="rId3"/>
    <externalReference r:id="rId4"/>
    <externalReference r:id="rId5"/>
    <externalReference r:id="rId6"/>
  </externalReferences>
  <definedNames>
    <definedName name="_0812">[1]Groz_NIN_12_2014!#REF!</definedName>
    <definedName name="_xlnm._FilterDatabase" localSheetId="0" hidden="1">'2023.gada budzeta plans_apvieno'!#REF!</definedName>
    <definedName name="Apmaksa" localSheetId="0">[2]Apmaksa!$A:$A</definedName>
    <definedName name="Apmaksa" localSheetId="1">[3]Apmaksa!$A$1:$A$65536</definedName>
    <definedName name="Apmaksa">[3]Apmaksa!$A$1:$A$65536</definedName>
    <definedName name="Darijums" localSheetId="0">[2]Darijums!$A:$A</definedName>
    <definedName name="Darijums" localSheetId="1">[3]Darijums!$A$1:$A$65536</definedName>
    <definedName name="Darijums">[3]Darijums!$A$1:$A$65536</definedName>
    <definedName name="Excel_BuiltIn__FilterDatabase" localSheetId="0">[1]Groz_NIN_12_2014!#REF!</definedName>
    <definedName name="Excel_BuiltIn__FilterDatabase" localSheetId="1">[1]Groz_NIN_12_2014!#REF!</definedName>
    <definedName name="Excel_BuiltIn__FilterDatabase">[1]Groz_NIN_12_2014!#REF!</definedName>
    <definedName name="Firmas" localSheetId="0">[2]Firma!$A:$A</definedName>
    <definedName name="Firmas" localSheetId="1">[3]Firma!$A$1:$A$65536</definedName>
    <definedName name="Firmas">[3]Firma!$A$1:$A$65536</definedName>
    <definedName name="KolonnasNosaukums1" localSheetId="1">[4]!Piedāvājums[[#Headers],[Apraksts]]</definedName>
    <definedName name="KolonnasNosaukums1">[4]!Piedāvājums[[#Headers],[Apraksts]]</definedName>
    <definedName name="Parvadataji" localSheetId="0">[2]Ligumi!$A:$A</definedName>
    <definedName name="Parvadataji" localSheetId="1">[3]Ligumi!$A$1:$A$65536</definedName>
    <definedName name="Parvadataji">[3]Ligumi!$A$1:$A$65536</definedName>
    <definedName name="_xlnm.Print_Area" localSheetId="0">'2023.gada budzeta plans_apvieno'!$C$1:$K$279</definedName>
    <definedName name="_xlnm.Print_Area" localSheetId="1">'4.piel_Saistibas'!$A$1:$O$179</definedName>
    <definedName name="_xlnm.Print_Titles" localSheetId="0">'2023.gada budzeta plans_apvieno'!$5:$5</definedName>
    <definedName name="_xlnm.Print_Titles" localSheetId="1">'4.piel_Saistibas'!$5:$5</definedName>
    <definedName name="Saist_apmers_ar_galvojumu">[3]Ligumi!$A$1:$A$65536</definedName>
    <definedName name="Z_1893421C_DBAA_4C10_AA6C_4D0F39122205_.wvu.FilterData" localSheetId="0">[1]Groz_NIN_12_2014!#REF!</definedName>
    <definedName name="Z_1893421C_DBAA_4C10_AA6C_4D0F39122205_.wvu.FilterData" localSheetId="1">[1]Groz_NIN_12_2014!#REF!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 localSheetId="1">[1]Groz_NIN_12_2014!#REF!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 localSheetId="1">[1]Groz_NIN_12_2014!#REF!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 localSheetId="1">[1]Groz_NIN_12_2014!#REF!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 localSheetId="1">[1]Groz_NIN_12_2014!#REF!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 localSheetId="1">[1]Groz_NIN_12_2014!#REF!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 localSheetId="1">[1]Groz_NIN_12_2014!#REF!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 localSheetId="1">[1]Groz_NIN_12_2014!#REF!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 localSheetId="1">[1]Groz_NIN_12_2014!#REF!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 localSheetId="1">[1]Groz_NIN_12_2014!#REF!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 localSheetId="1">[1]Groz_NIN_12_2014!#REF!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 localSheetId="1">[1]Groz_NIN_12_2014!#REF!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 localSheetId="1">[1]Groz_NIN_12_2014!#REF!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 localSheetId="1">[1]Groz_NIN_12_2014!#REF!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 localSheetId="1">[1]Groz_NIN_12_2014!#REF!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 localSheetId="1">[1]Groz_NIN_12_2014!#REF!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 localSheetId="1">[1]Groz_NIN_12_2014!#REF!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5" i="1" l="1"/>
  <c r="O64" i="1"/>
  <c r="O243" i="1"/>
  <c r="O175" i="1"/>
  <c r="O178" i="3"/>
  <c r="O177" i="3"/>
  <c r="O176" i="3"/>
  <c r="O175" i="3"/>
  <c r="O165" i="3"/>
  <c r="O164" i="3"/>
  <c r="O163" i="3"/>
  <c r="O162" i="3"/>
  <c r="O161" i="3"/>
  <c r="O160" i="3"/>
  <c r="O159" i="3"/>
  <c r="O158" i="3"/>
  <c r="O157" i="3"/>
  <c r="O156" i="3"/>
  <c r="O155" i="3"/>
  <c r="O154" i="3"/>
  <c r="O153" i="3"/>
  <c r="O152" i="3"/>
  <c r="O151"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F277" i="1"/>
  <c r="G277" i="1" s="1"/>
  <c r="P275" i="1"/>
  <c r="M275" i="1"/>
  <c r="J275" i="1"/>
  <c r="G275" i="1"/>
  <c r="P274" i="1"/>
  <c r="M274" i="1"/>
  <c r="J274" i="1"/>
  <c r="G274" i="1"/>
  <c r="O273" i="1"/>
  <c r="L273" i="1"/>
  <c r="I273" i="1"/>
  <c r="M273" i="1" s="1"/>
  <c r="F273" i="1"/>
  <c r="G273" i="1" s="1"/>
  <c r="F272" i="1"/>
  <c r="I272" i="1" s="1"/>
  <c r="F271" i="1"/>
  <c r="I271" i="1" s="1"/>
  <c r="L271" i="1" s="1"/>
  <c r="F269" i="1"/>
  <c r="I269" i="1" s="1"/>
  <c r="F268" i="1"/>
  <c r="I268" i="1" s="1"/>
  <c r="F267" i="1"/>
  <c r="G267" i="1" s="1"/>
  <c r="F266" i="1"/>
  <c r="I266" i="1" s="1"/>
  <c r="L266" i="1" s="1"/>
  <c r="F265" i="1"/>
  <c r="G265" i="1" s="1"/>
  <c r="F264" i="1"/>
  <c r="I264" i="1" s="1"/>
  <c r="J264" i="1" s="1"/>
  <c r="F263" i="1"/>
  <c r="I263" i="1" s="1"/>
  <c r="F261" i="1"/>
  <c r="F260" i="1"/>
  <c r="G260" i="1" s="1"/>
  <c r="F258" i="1"/>
  <c r="F257" i="1"/>
  <c r="F255" i="1"/>
  <c r="G255" i="1" s="1"/>
  <c r="F254" i="1"/>
  <c r="G254" i="1" s="1"/>
  <c r="F253" i="1"/>
  <c r="I253" i="1" s="1"/>
  <c r="F252" i="1"/>
  <c r="G252" i="1" s="1"/>
  <c r="F251" i="1"/>
  <c r="I251" i="1" s="1"/>
  <c r="F250" i="1"/>
  <c r="G250" i="1" s="1"/>
  <c r="F249" i="1"/>
  <c r="I249" i="1" s="1"/>
  <c r="F247" i="1"/>
  <c r="G247" i="1" s="1"/>
  <c r="F246" i="1"/>
  <c r="G246" i="1" s="1"/>
  <c r="F245" i="1"/>
  <c r="I245" i="1" s="1"/>
  <c r="F244" i="1"/>
  <c r="G244" i="1" s="1"/>
  <c r="F243" i="1"/>
  <c r="F242" i="1"/>
  <c r="F241" i="1"/>
  <c r="I241" i="1" s="1"/>
  <c r="F240" i="1"/>
  <c r="G240" i="1" s="1"/>
  <c r="F238" i="1"/>
  <c r="G238" i="1" s="1"/>
  <c r="F237" i="1"/>
  <c r="I237" i="1" s="1"/>
  <c r="L237" i="1" s="1"/>
  <c r="F236" i="1"/>
  <c r="I236" i="1" s="1"/>
  <c r="L236" i="1" s="1"/>
  <c r="F234" i="1"/>
  <c r="I234" i="1" s="1"/>
  <c r="F233" i="1"/>
  <c r="G233" i="1" s="1"/>
  <c r="F232" i="1"/>
  <c r="G232" i="1" s="1"/>
  <c r="F230" i="1"/>
  <c r="I230" i="1" s="1"/>
  <c r="J230" i="1" s="1"/>
  <c r="F229" i="1"/>
  <c r="I229" i="1" s="1"/>
  <c r="J229" i="1" s="1"/>
  <c r="F228" i="1"/>
  <c r="G228" i="1" s="1"/>
  <c r="F226" i="1"/>
  <c r="G226" i="1" s="1"/>
  <c r="F225" i="1"/>
  <c r="F224" i="1" s="1"/>
  <c r="G224" i="1" s="1"/>
  <c r="F223" i="1"/>
  <c r="F222" i="1"/>
  <c r="G222" i="1" s="1"/>
  <c r="F220" i="1"/>
  <c r="F218" i="1"/>
  <c r="I218" i="1" s="1"/>
  <c r="F217" i="1"/>
  <c r="I217" i="1" s="1"/>
  <c r="F216" i="1"/>
  <c r="G216" i="1" s="1"/>
  <c r="F215" i="1"/>
  <c r="F214" i="1"/>
  <c r="F213" i="1"/>
  <c r="F212" i="1"/>
  <c r="I212" i="1" s="1"/>
  <c r="J212" i="1" s="1"/>
  <c r="F211" i="1"/>
  <c r="G211" i="1" s="1"/>
  <c r="F209" i="1"/>
  <c r="I209" i="1" s="1"/>
  <c r="F208" i="1"/>
  <c r="G208" i="1" s="1"/>
  <c r="I206" i="1"/>
  <c r="F206" i="1"/>
  <c r="G206" i="1" s="1"/>
  <c r="F205" i="1"/>
  <c r="I205" i="1" s="1"/>
  <c r="F204" i="1"/>
  <c r="G204" i="1" s="1"/>
  <c r="F203" i="1"/>
  <c r="I203" i="1" s="1"/>
  <c r="F202" i="1"/>
  <c r="F199" i="1"/>
  <c r="G199" i="1" s="1"/>
  <c r="F198" i="1"/>
  <c r="I198" i="1" s="1"/>
  <c r="L198" i="1" s="1"/>
  <c r="F197" i="1"/>
  <c r="I197" i="1" s="1"/>
  <c r="L197" i="1" s="1"/>
  <c r="F196" i="1"/>
  <c r="G196" i="1" s="1"/>
  <c r="F195" i="1"/>
  <c r="G195" i="1" s="1"/>
  <c r="F194" i="1"/>
  <c r="G194" i="1" s="1"/>
  <c r="F193" i="1"/>
  <c r="F192" i="1"/>
  <c r="I192" i="1" s="1"/>
  <c r="F191" i="1"/>
  <c r="I191" i="1" s="1"/>
  <c r="F190" i="1"/>
  <c r="I190" i="1" s="1"/>
  <c r="F189" i="1"/>
  <c r="G189" i="1" s="1"/>
  <c r="F186" i="1"/>
  <c r="I186" i="1" s="1"/>
  <c r="L186" i="1" s="1"/>
  <c r="F185" i="1"/>
  <c r="G185" i="1" s="1"/>
  <c r="F184" i="1"/>
  <c r="F183" i="1"/>
  <c r="F182" i="1"/>
  <c r="I182" i="1" s="1"/>
  <c r="F181" i="1"/>
  <c r="G181" i="1" s="1"/>
  <c r="F180" i="1"/>
  <c r="I180" i="1" s="1"/>
  <c r="J180" i="1" s="1"/>
  <c r="F179" i="1"/>
  <c r="I179" i="1" s="1"/>
  <c r="L179" i="1" s="1"/>
  <c r="F178" i="1"/>
  <c r="I178" i="1" s="1"/>
  <c r="F177" i="1"/>
  <c r="I177" i="1" s="1"/>
  <c r="F176" i="1"/>
  <c r="G176" i="1" s="1"/>
  <c r="F175" i="1"/>
  <c r="F173" i="1"/>
  <c r="I173" i="1" s="1"/>
  <c r="F172" i="1"/>
  <c r="I172" i="1" s="1"/>
  <c r="L172" i="1" s="1"/>
  <c r="F171" i="1"/>
  <c r="G171" i="1" s="1"/>
  <c r="F170" i="1"/>
  <c r="I170" i="1" s="1"/>
  <c r="F169" i="1"/>
  <c r="I169" i="1" s="1"/>
  <c r="O167" i="1"/>
  <c r="L167" i="1"/>
  <c r="I167" i="1"/>
  <c r="G167" i="1"/>
  <c r="O166" i="1"/>
  <c r="L166" i="1"/>
  <c r="M166" i="1" s="1"/>
  <c r="I166" i="1"/>
  <c r="J166" i="1" s="1"/>
  <c r="G166" i="1"/>
  <c r="O165" i="1"/>
  <c r="L165" i="1"/>
  <c r="I165" i="1"/>
  <c r="F165" i="1"/>
  <c r="G165" i="1" s="1"/>
  <c r="F164" i="1"/>
  <c r="G164" i="1" s="1"/>
  <c r="F163" i="1"/>
  <c r="I163" i="1" s="1"/>
  <c r="I162" i="1"/>
  <c r="F162" i="1"/>
  <c r="G162" i="1" s="1"/>
  <c r="F161" i="1"/>
  <c r="I161" i="1" s="1"/>
  <c r="F160" i="1"/>
  <c r="F159" i="1"/>
  <c r="F158" i="1"/>
  <c r="F156" i="1"/>
  <c r="G156" i="1" s="1"/>
  <c r="F155" i="1"/>
  <c r="I155" i="1" s="1"/>
  <c r="F154" i="1"/>
  <c r="G154" i="1" s="1"/>
  <c r="F152" i="1"/>
  <c r="I152" i="1" s="1"/>
  <c r="L152" i="1" s="1"/>
  <c r="F150" i="1"/>
  <c r="I150" i="1" s="1"/>
  <c r="F149" i="1"/>
  <c r="I149" i="1" s="1"/>
  <c r="L149" i="1" s="1"/>
  <c r="O149" i="1" s="1"/>
  <c r="P149" i="1" s="1"/>
  <c r="F148" i="1"/>
  <c r="F145" i="1"/>
  <c r="G145" i="1" s="1"/>
  <c r="F144" i="1"/>
  <c r="F143" i="1"/>
  <c r="I143" i="1" s="1"/>
  <c r="J143" i="1" s="1"/>
  <c r="F142" i="1"/>
  <c r="F141" i="1"/>
  <c r="F140" i="1"/>
  <c r="F139" i="1"/>
  <c r="I139" i="1" s="1"/>
  <c r="J139" i="1" s="1"/>
  <c r="F138" i="1"/>
  <c r="I138" i="1" s="1"/>
  <c r="J138" i="1" s="1"/>
  <c r="F137" i="1"/>
  <c r="I137" i="1" s="1"/>
  <c r="F136" i="1"/>
  <c r="I136" i="1" s="1"/>
  <c r="J136" i="1" s="1"/>
  <c r="F135" i="1"/>
  <c r="I135" i="1" s="1"/>
  <c r="J135" i="1" s="1"/>
  <c r="F134" i="1"/>
  <c r="I134" i="1" s="1"/>
  <c r="P126" i="1"/>
  <c r="F125" i="1"/>
  <c r="G125" i="1" s="1"/>
  <c r="F124" i="1"/>
  <c r="G124" i="1" s="1"/>
  <c r="F123" i="1"/>
  <c r="G123" i="1" s="1"/>
  <c r="F122" i="1"/>
  <c r="G122" i="1" s="1"/>
  <c r="F121" i="1"/>
  <c r="G121" i="1" s="1"/>
  <c r="F120" i="1"/>
  <c r="G120" i="1" s="1"/>
  <c r="F119" i="1"/>
  <c r="F118" i="1"/>
  <c r="F117" i="1"/>
  <c r="I117" i="1" s="1"/>
  <c r="J117" i="1" s="1"/>
  <c r="F116" i="1"/>
  <c r="I116" i="1" s="1"/>
  <c r="F115" i="1"/>
  <c r="G115" i="1" s="1"/>
  <c r="F114" i="1"/>
  <c r="I114" i="1" s="1"/>
  <c r="J114" i="1" s="1"/>
  <c r="F113" i="1"/>
  <c r="I113" i="1" s="1"/>
  <c r="F111" i="1"/>
  <c r="F110" i="1"/>
  <c r="F107" i="1"/>
  <c r="I107" i="1" s="1"/>
  <c r="F106" i="1"/>
  <c r="I106" i="1" s="1"/>
  <c r="L106" i="1" s="1"/>
  <c r="F105" i="1"/>
  <c r="I105" i="1" s="1"/>
  <c r="L105" i="1" s="1"/>
  <c r="F104" i="1"/>
  <c r="I104" i="1" s="1"/>
  <c r="J104" i="1" s="1"/>
  <c r="F102" i="1"/>
  <c r="I102" i="1" s="1"/>
  <c r="F101" i="1"/>
  <c r="I101" i="1" s="1"/>
  <c r="F100" i="1"/>
  <c r="F98" i="1"/>
  <c r="G98" i="1" s="1"/>
  <c r="P97" i="1"/>
  <c r="M97" i="1"/>
  <c r="J97" i="1"/>
  <c r="G97" i="1"/>
  <c r="F95" i="1"/>
  <c r="I95" i="1" s="1"/>
  <c r="J95" i="1" s="1"/>
  <c r="F94" i="1"/>
  <c r="G94" i="1" s="1"/>
  <c r="F91" i="1"/>
  <c r="I91" i="1" s="1"/>
  <c r="L91" i="1" s="1"/>
  <c r="F90" i="1"/>
  <c r="I90" i="1" s="1"/>
  <c r="F88" i="1"/>
  <c r="F87" i="1"/>
  <c r="F86" i="1"/>
  <c r="F85" i="1"/>
  <c r="F84" i="1"/>
  <c r="F83" i="1"/>
  <c r="F82" i="1"/>
  <c r="G82" i="1" s="1"/>
  <c r="F81" i="1"/>
  <c r="F80" i="1"/>
  <c r="F79" i="1"/>
  <c r="G79" i="1" s="1"/>
  <c r="F78" i="1"/>
  <c r="G78" i="1" s="1"/>
  <c r="F77" i="1"/>
  <c r="G77" i="1" s="1"/>
  <c r="F76" i="1"/>
  <c r="I76" i="1" s="1"/>
  <c r="F75" i="1"/>
  <c r="I75" i="1" s="1"/>
  <c r="F74" i="1"/>
  <c r="I74" i="1" s="1"/>
  <c r="F73" i="1"/>
  <c r="I73" i="1" s="1"/>
  <c r="F72" i="1"/>
  <c r="G72" i="1" s="1"/>
  <c r="F71" i="1"/>
  <c r="G71" i="1" s="1"/>
  <c r="F70" i="1"/>
  <c r="I70" i="1" s="1"/>
  <c r="F69" i="1"/>
  <c r="F68" i="1"/>
  <c r="I68" i="1" s="1"/>
  <c r="L68" i="1" s="1"/>
  <c r="M68" i="1" s="1"/>
  <c r="F66" i="1"/>
  <c r="I66" i="1" s="1"/>
  <c r="L66" i="1" s="1"/>
  <c r="M66" i="1" s="1"/>
  <c r="F65" i="1"/>
  <c r="G65" i="1" s="1"/>
  <c r="F64" i="1"/>
  <c r="G64" i="1" s="1"/>
  <c r="F63" i="1"/>
  <c r="G63" i="1" s="1"/>
  <c r="F62" i="1"/>
  <c r="I62" i="1" s="1"/>
  <c r="J62" i="1" s="1"/>
  <c r="P61" i="1"/>
  <c r="M61" i="1"/>
  <c r="J61" i="1"/>
  <c r="F60" i="1"/>
  <c r="G60" i="1" s="1"/>
  <c r="F59" i="1"/>
  <c r="G59" i="1" s="1"/>
  <c r="F58" i="1"/>
  <c r="F57" i="1"/>
  <c r="I57" i="1" s="1"/>
  <c r="J57" i="1" s="1"/>
  <c r="F56" i="1"/>
  <c r="F55" i="1"/>
  <c r="I55" i="1" s="1"/>
  <c r="L55" i="1" s="1"/>
  <c r="M55" i="1" s="1"/>
  <c r="F54" i="1"/>
  <c r="I54" i="1" s="1"/>
  <c r="F53" i="1"/>
  <c r="G53" i="1" s="1"/>
  <c r="P51" i="1"/>
  <c r="M51" i="1"/>
  <c r="J51" i="1"/>
  <c r="G51" i="1"/>
  <c r="O50" i="1"/>
  <c r="O49" i="1" s="1"/>
  <c r="L50" i="1"/>
  <c r="M50" i="1" s="1"/>
  <c r="J50" i="1"/>
  <c r="G50" i="1"/>
  <c r="I49" i="1"/>
  <c r="F49" i="1"/>
  <c r="G49" i="1" s="1"/>
  <c r="F48" i="1"/>
  <c r="I48" i="1" s="1"/>
  <c r="F47" i="1"/>
  <c r="G47" i="1" s="1"/>
  <c r="F46" i="1"/>
  <c r="I46" i="1" s="1"/>
  <c r="J46" i="1" s="1"/>
  <c r="F43" i="1"/>
  <c r="I43" i="1" s="1"/>
  <c r="L43" i="1" s="1"/>
  <c r="F42" i="1"/>
  <c r="F41" i="1"/>
  <c r="G41" i="1" s="1"/>
  <c r="F40" i="1"/>
  <c r="I40" i="1" s="1"/>
  <c r="L40" i="1" s="1"/>
  <c r="F38" i="1"/>
  <c r="F37" i="1"/>
  <c r="I37" i="1" s="1"/>
  <c r="L37" i="1" s="1"/>
  <c r="F35" i="1"/>
  <c r="I35" i="1" s="1"/>
  <c r="F34" i="1"/>
  <c r="I34" i="1" s="1"/>
  <c r="F33" i="1"/>
  <c r="G33" i="1" s="1"/>
  <c r="F32" i="1"/>
  <c r="G32" i="1" s="1"/>
  <c r="F31" i="1"/>
  <c r="I31" i="1" s="1"/>
  <c r="F30" i="1"/>
  <c r="I30" i="1" s="1"/>
  <c r="J30" i="1" s="1"/>
  <c r="F29" i="1"/>
  <c r="F27" i="1"/>
  <c r="G27" i="1" s="1"/>
  <c r="F26" i="1"/>
  <c r="I26" i="1" s="1"/>
  <c r="J26" i="1" s="1"/>
  <c r="F25" i="1"/>
  <c r="F22" i="1"/>
  <c r="F21" i="1"/>
  <c r="F19" i="1"/>
  <c r="I19" i="1" s="1"/>
  <c r="L19" i="1" s="1"/>
  <c r="O19" i="1" s="1"/>
  <c r="P19" i="1" s="1"/>
  <c r="F18" i="1"/>
  <c r="F17" i="1" s="1"/>
  <c r="G17" i="1" s="1"/>
  <c r="F16" i="1"/>
  <c r="F15" i="1"/>
  <c r="F13" i="1"/>
  <c r="I13" i="1" s="1"/>
  <c r="F12" i="1"/>
  <c r="I12" i="1" s="1"/>
  <c r="O9" i="1"/>
  <c r="P9" i="1" s="1"/>
  <c r="L9" i="1"/>
  <c r="I9" i="1"/>
  <c r="F9" i="1"/>
  <c r="F8" i="1"/>
  <c r="G8" i="1" s="1"/>
  <c r="F256" i="1" l="1"/>
  <c r="I11" i="1"/>
  <c r="F24" i="1"/>
  <c r="G24" i="1" s="1"/>
  <c r="L62" i="1"/>
  <c r="O62" i="1" s="1"/>
  <c r="P62" i="1" s="1"/>
  <c r="J9" i="1"/>
  <c r="J165" i="1"/>
  <c r="F221" i="1"/>
  <c r="G221" i="1" s="1"/>
  <c r="P273" i="1"/>
  <c r="I59" i="1"/>
  <c r="G197" i="1"/>
  <c r="F270" i="1"/>
  <c r="G270" i="1" s="1"/>
  <c r="I145" i="1"/>
  <c r="G271" i="1"/>
  <c r="F147" i="1"/>
  <c r="F146" i="1" s="1"/>
  <c r="P166" i="1"/>
  <c r="I232" i="1"/>
  <c r="L232" i="1" s="1"/>
  <c r="M232" i="1" s="1"/>
  <c r="I260" i="1"/>
  <c r="J260" i="1" s="1"/>
  <c r="G55" i="1"/>
  <c r="I25" i="1"/>
  <c r="I98" i="1"/>
  <c r="I96" i="1" s="1"/>
  <c r="J96" i="1" s="1"/>
  <c r="L136" i="1"/>
  <c r="M165" i="1"/>
  <c r="L180" i="1"/>
  <c r="M180" i="1" s="1"/>
  <c r="I204" i="1"/>
  <c r="L204" i="1" s="1"/>
  <c r="I226" i="1"/>
  <c r="J226" i="1" s="1"/>
  <c r="I233" i="1"/>
  <c r="J271" i="1"/>
  <c r="J49" i="1"/>
  <c r="F96" i="1"/>
  <c r="G96" i="1" s="1"/>
  <c r="O105" i="1"/>
  <c r="P105" i="1" s="1"/>
  <c r="P165" i="1"/>
  <c r="F259" i="1"/>
  <c r="G259" i="1" s="1"/>
  <c r="L49" i="1"/>
  <c r="M49" i="1" s="1"/>
  <c r="G57" i="1"/>
  <c r="L114" i="1"/>
  <c r="G218" i="1"/>
  <c r="I254" i="1"/>
  <c r="L254" i="1" s="1"/>
  <c r="L57" i="1"/>
  <c r="O57" i="1" s="1"/>
  <c r="P57" i="1" s="1"/>
  <c r="G205" i="1"/>
  <c r="G234" i="1"/>
  <c r="I247" i="1"/>
  <c r="J247" i="1" s="1"/>
  <c r="G268" i="1"/>
  <c r="G155" i="1"/>
  <c r="F201" i="1"/>
  <c r="P167" i="1"/>
  <c r="I8" i="1"/>
  <c r="I7" i="1" s="1"/>
  <c r="I27" i="1"/>
  <c r="O66" i="1"/>
  <c r="P66" i="1" s="1"/>
  <c r="G150" i="1"/>
  <c r="I79" i="1"/>
  <c r="J79" i="1" s="1"/>
  <c r="G40" i="1"/>
  <c r="I78" i="1"/>
  <c r="L78" i="1" s="1"/>
  <c r="O78" i="1" s="1"/>
  <c r="P78" i="1" s="1"/>
  <c r="J91" i="1"/>
  <c r="G172" i="1"/>
  <c r="I196" i="1"/>
  <c r="I222" i="1"/>
  <c r="J222" i="1" s="1"/>
  <c r="J273" i="1"/>
  <c r="G136" i="1"/>
  <c r="G135" i="1"/>
  <c r="F151" i="1"/>
  <c r="G151" i="1" s="1"/>
  <c r="G25" i="1"/>
  <c r="M9" i="1"/>
  <c r="P49" i="1"/>
  <c r="L135" i="1"/>
  <c r="M135" i="1" s="1"/>
  <c r="G203" i="1"/>
  <c r="I265" i="1"/>
  <c r="L265" i="1" s="1"/>
  <c r="F103" i="1"/>
  <c r="G103" i="1" s="1"/>
  <c r="G152" i="1"/>
  <c r="I216" i="1"/>
  <c r="L216" i="1" s="1"/>
  <c r="M216" i="1" s="1"/>
  <c r="J35" i="1"/>
  <c r="L35" i="1"/>
  <c r="M186" i="1"/>
  <c r="J163" i="1"/>
  <c r="L163" i="1"/>
  <c r="L218" i="1"/>
  <c r="O218" i="1" s="1"/>
  <c r="P218" i="1" s="1"/>
  <c r="J218" i="1"/>
  <c r="L70" i="1"/>
  <c r="M70" i="1" s="1"/>
  <c r="J70" i="1"/>
  <c r="L73" i="1"/>
  <c r="O73" i="1" s="1"/>
  <c r="P73" i="1" s="1"/>
  <c r="J73" i="1"/>
  <c r="J107" i="1"/>
  <c r="L107" i="1"/>
  <c r="O107" i="1" s="1"/>
  <c r="P107" i="1" s="1"/>
  <c r="L76" i="1"/>
  <c r="O76" i="1" s="1"/>
  <c r="P76" i="1" s="1"/>
  <c r="J76" i="1"/>
  <c r="L34" i="1"/>
  <c r="O34" i="1" s="1"/>
  <c r="P34" i="1" s="1"/>
  <c r="J34" i="1"/>
  <c r="M179" i="1"/>
  <c r="L217" i="1"/>
  <c r="M217" i="1" s="1"/>
  <c r="J217" i="1"/>
  <c r="G43" i="1"/>
  <c r="G9" i="1"/>
  <c r="G18" i="1"/>
  <c r="I33" i="1"/>
  <c r="L33" i="1" s="1"/>
  <c r="O33" i="1" s="1"/>
  <c r="P33" i="1" s="1"/>
  <c r="G35" i="1"/>
  <c r="I41" i="1"/>
  <c r="I60" i="1"/>
  <c r="L60" i="1" s="1"/>
  <c r="O60" i="1" s="1"/>
  <c r="P60" i="1" s="1"/>
  <c r="G74" i="1"/>
  <c r="I82" i="1"/>
  <c r="L82" i="1" s="1"/>
  <c r="O82" i="1" s="1"/>
  <c r="P82" i="1" s="1"/>
  <c r="I125" i="1"/>
  <c r="J125" i="1" s="1"/>
  <c r="G138" i="1"/>
  <c r="G143" i="1"/>
  <c r="I148" i="1"/>
  <c r="I147" i="1" s="1"/>
  <c r="J147" i="1" s="1"/>
  <c r="O172" i="1"/>
  <c r="P172" i="1" s="1"/>
  <c r="G179" i="1"/>
  <c r="I181" i="1"/>
  <c r="G186" i="1"/>
  <c r="I199" i="1"/>
  <c r="G202" i="1"/>
  <c r="F210" i="1"/>
  <c r="I223" i="1"/>
  <c r="I246" i="1"/>
  <c r="I255" i="1"/>
  <c r="J255" i="1" s="1"/>
  <c r="G54" i="1"/>
  <c r="G148" i="1"/>
  <c r="G147" i="1" s="1"/>
  <c r="G223" i="1"/>
  <c r="I64" i="1"/>
  <c r="L64" i="1" s="1"/>
  <c r="M64" i="1" s="1"/>
  <c r="G70" i="1"/>
  <c r="L138" i="1"/>
  <c r="L143" i="1"/>
  <c r="M143" i="1" s="1"/>
  <c r="I156" i="1"/>
  <c r="L156" i="1" s="1"/>
  <c r="G163" i="1"/>
  <c r="G170" i="1"/>
  <c r="G191" i="1"/>
  <c r="I194" i="1"/>
  <c r="I202" i="1"/>
  <c r="L202" i="1" s="1"/>
  <c r="M202" i="1" s="1"/>
  <c r="I238" i="1"/>
  <c r="I252" i="1"/>
  <c r="L252" i="1" s="1"/>
  <c r="M252" i="1" s="1"/>
  <c r="I24" i="1"/>
  <c r="J24" i="1" s="1"/>
  <c r="I176" i="1"/>
  <c r="L176" i="1" s="1"/>
  <c r="L212" i="1"/>
  <c r="O212" i="1" s="1"/>
  <c r="P212" i="1" s="1"/>
  <c r="F7" i="1"/>
  <c r="G7" i="1" s="1"/>
  <c r="G48" i="1"/>
  <c r="G95" i="1"/>
  <c r="G101" i="1"/>
  <c r="J106" i="1"/>
  <c r="I123" i="1"/>
  <c r="L123" i="1" s="1"/>
  <c r="I228" i="1"/>
  <c r="I227" i="1" s="1"/>
  <c r="I235" i="1"/>
  <c r="I277" i="1"/>
  <c r="I120" i="1"/>
  <c r="M172" i="1"/>
  <c r="F11" i="1"/>
  <c r="G26" i="1"/>
  <c r="L95" i="1"/>
  <c r="O95" i="1" s="1"/>
  <c r="P95" i="1" s="1"/>
  <c r="G113" i="1"/>
  <c r="I115" i="1"/>
  <c r="G19" i="1"/>
  <c r="G37" i="1"/>
  <c r="I121" i="1"/>
  <c r="L121" i="1" s="1"/>
  <c r="J149" i="1"/>
  <c r="I171" i="1"/>
  <c r="G182" i="1"/>
  <c r="I185" i="1"/>
  <c r="L185" i="1" s="1"/>
  <c r="I211" i="1"/>
  <c r="I244" i="1"/>
  <c r="L244" i="1" s="1"/>
  <c r="O244" i="1" s="1"/>
  <c r="P244" i="1" s="1"/>
  <c r="G253" i="1"/>
  <c r="G225" i="1"/>
  <c r="G31" i="1"/>
  <c r="G34" i="1"/>
  <c r="G73" i="1"/>
  <c r="G107" i="1"/>
  <c r="G134" i="1"/>
  <c r="G139" i="1"/>
  <c r="I154" i="1"/>
  <c r="J154" i="1" s="1"/>
  <c r="G192" i="1"/>
  <c r="I195" i="1"/>
  <c r="L195" i="1" s="1"/>
  <c r="G229" i="1"/>
  <c r="F231" i="1"/>
  <c r="G231" i="1" s="1"/>
  <c r="G241" i="1"/>
  <c r="I250" i="1"/>
  <c r="F39" i="1"/>
  <c r="G39" i="1" s="1"/>
  <c r="G46" i="1"/>
  <c r="G62" i="1"/>
  <c r="G68" i="1"/>
  <c r="G90" i="1"/>
  <c r="L139" i="1"/>
  <c r="M139" i="1" s="1"/>
  <c r="G12" i="1"/>
  <c r="G42" i="1"/>
  <c r="L46" i="1"/>
  <c r="O46" i="1" s="1"/>
  <c r="P46" i="1" s="1"/>
  <c r="G76" i="1"/>
  <c r="G102" i="1"/>
  <c r="I124" i="1"/>
  <c r="G198" i="1"/>
  <c r="G209" i="1"/>
  <c r="G217" i="1"/>
  <c r="G261" i="1"/>
  <c r="G272" i="1"/>
  <c r="G66" i="1"/>
  <c r="I71" i="1"/>
  <c r="L71" i="1" s="1"/>
  <c r="G114" i="1"/>
  <c r="G116" i="1"/>
  <c r="G137" i="1"/>
  <c r="I164" i="1"/>
  <c r="G190" i="1"/>
  <c r="G230" i="1"/>
  <c r="G245" i="1"/>
  <c r="I261" i="1"/>
  <c r="L261" i="1" s="1"/>
  <c r="J66" i="1"/>
  <c r="G91" i="1"/>
  <c r="I122" i="1"/>
  <c r="F227" i="1"/>
  <c r="G227" i="1" s="1"/>
  <c r="L230" i="1"/>
  <c r="M230" i="1" s="1"/>
  <c r="I267" i="1"/>
  <c r="O40" i="1"/>
  <c r="M40" i="1"/>
  <c r="L75" i="1"/>
  <c r="J75" i="1"/>
  <c r="O43" i="1"/>
  <c r="P43" i="1" s="1"/>
  <c r="M43" i="1"/>
  <c r="L101" i="1"/>
  <c r="J101" i="1"/>
  <c r="I111" i="1"/>
  <c r="G111" i="1"/>
  <c r="I22" i="1"/>
  <c r="G22" i="1"/>
  <c r="L26" i="1"/>
  <c r="L30" i="1"/>
  <c r="I32" i="1"/>
  <c r="J43" i="1"/>
  <c r="I47" i="1"/>
  <c r="I63" i="1"/>
  <c r="I65" i="1"/>
  <c r="I72" i="1"/>
  <c r="G80" i="1"/>
  <c r="I80" i="1"/>
  <c r="I89" i="1"/>
  <c r="L90" i="1"/>
  <c r="J90" i="1"/>
  <c r="J113" i="1"/>
  <c r="L113" i="1"/>
  <c r="L115" i="1"/>
  <c r="J115" i="1"/>
  <c r="I118" i="1"/>
  <c r="G118" i="1"/>
  <c r="M19" i="1"/>
  <c r="I58" i="1"/>
  <c r="I53" i="1"/>
  <c r="F52" i="1"/>
  <c r="I16" i="1"/>
  <c r="G16" i="1"/>
  <c r="I18" i="1"/>
  <c r="J25" i="1"/>
  <c r="O37" i="1"/>
  <c r="M37" i="1"/>
  <c r="I42" i="1"/>
  <c r="I140" i="1"/>
  <c r="G140" i="1"/>
  <c r="J19" i="1"/>
  <c r="P50" i="1"/>
  <c r="M82" i="1"/>
  <c r="L25" i="1"/>
  <c r="J37" i="1"/>
  <c r="I21" i="1"/>
  <c r="G21" i="1"/>
  <c r="I29" i="1"/>
  <c r="G29" i="1"/>
  <c r="L74" i="1"/>
  <c r="J74" i="1"/>
  <c r="G100" i="1"/>
  <c r="F99" i="1"/>
  <c r="G99" i="1" s="1"/>
  <c r="I100" i="1"/>
  <c r="L145" i="1"/>
  <c r="J145" i="1"/>
  <c r="I160" i="1"/>
  <c r="G160" i="1"/>
  <c r="G30" i="1"/>
  <c r="I88" i="1"/>
  <c r="G88" i="1"/>
  <c r="L59" i="1"/>
  <c r="J59" i="1"/>
  <c r="I84" i="1"/>
  <c r="G84" i="1"/>
  <c r="L104" i="1"/>
  <c r="I103" i="1"/>
  <c r="L13" i="1"/>
  <c r="J13" i="1"/>
  <c r="L31" i="1"/>
  <c r="J31" i="1"/>
  <c r="F67" i="1"/>
  <c r="G67" i="1" s="1"/>
  <c r="I69" i="1"/>
  <c r="G81" i="1"/>
  <c r="I81" i="1"/>
  <c r="I87" i="1"/>
  <c r="G87" i="1"/>
  <c r="L116" i="1"/>
  <c r="J116" i="1"/>
  <c r="J121" i="1"/>
  <c r="I56" i="1"/>
  <c r="G56" i="1"/>
  <c r="L48" i="1"/>
  <c r="J48" i="1"/>
  <c r="O55" i="1"/>
  <c r="P55" i="1" s="1"/>
  <c r="G69" i="1"/>
  <c r="I15" i="1"/>
  <c r="G15" i="1"/>
  <c r="M46" i="1"/>
  <c r="M34" i="1"/>
  <c r="I38" i="1"/>
  <c r="G38" i="1"/>
  <c r="F36" i="1"/>
  <c r="G36" i="1" s="1"/>
  <c r="J40" i="1"/>
  <c r="L54" i="1"/>
  <c r="J54" i="1"/>
  <c r="G75" i="1"/>
  <c r="I77" i="1"/>
  <c r="G58" i="1"/>
  <c r="G13" i="1"/>
  <c r="L12" i="1"/>
  <c r="J12" i="1"/>
  <c r="F14" i="1"/>
  <c r="G14" i="1" s="1"/>
  <c r="F20" i="1"/>
  <c r="G20" i="1" s="1"/>
  <c r="F28" i="1"/>
  <c r="F109" i="1"/>
  <c r="G109" i="1" s="1"/>
  <c r="F174" i="1"/>
  <c r="G174" i="1" s="1"/>
  <c r="I175" i="1"/>
  <c r="G175" i="1"/>
  <c r="L191" i="1"/>
  <c r="J191" i="1"/>
  <c r="I86" i="1"/>
  <c r="G86" i="1"/>
  <c r="M106" i="1"/>
  <c r="O106" i="1"/>
  <c r="P106" i="1" s="1"/>
  <c r="G144" i="1"/>
  <c r="I144" i="1"/>
  <c r="G146" i="1"/>
  <c r="I83" i="1"/>
  <c r="G83" i="1"/>
  <c r="L134" i="1"/>
  <c r="J134" i="1"/>
  <c r="O136" i="1"/>
  <c r="P136" i="1" s="1"/>
  <c r="I141" i="1"/>
  <c r="G141" i="1"/>
  <c r="F157" i="1"/>
  <c r="I158" i="1"/>
  <c r="G158" i="1"/>
  <c r="J167" i="1"/>
  <c r="M167" i="1"/>
  <c r="J55" i="1"/>
  <c r="J68" i="1"/>
  <c r="M95" i="1"/>
  <c r="L102" i="1"/>
  <c r="J102" i="1"/>
  <c r="M136" i="1"/>
  <c r="L150" i="1"/>
  <c r="J150" i="1"/>
  <c r="L161" i="1"/>
  <c r="J161" i="1"/>
  <c r="I183" i="1"/>
  <c r="G183" i="1"/>
  <c r="O266" i="1"/>
  <c r="P266" i="1" s="1"/>
  <c r="M266" i="1"/>
  <c r="O68" i="1"/>
  <c r="M76" i="1"/>
  <c r="I85" i="1"/>
  <c r="G85" i="1"/>
  <c r="J105" i="1"/>
  <c r="G117" i="1"/>
  <c r="I119" i="1"/>
  <c r="G119" i="1"/>
  <c r="F133" i="1"/>
  <c r="O152" i="1"/>
  <c r="L151" i="1"/>
  <c r="M105" i="1"/>
  <c r="L117" i="1"/>
  <c r="M152" i="1"/>
  <c r="I159" i="1"/>
  <c r="G159" i="1"/>
  <c r="J249" i="1"/>
  <c r="L249" i="1"/>
  <c r="I243" i="1"/>
  <c r="G243" i="1"/>
  <c r="O91" i="1"/>
  <c r="P91" i="1" s="1"/>
  <c r="M91" i="1"/>
  <c r="I94" i="1"/>
  <c r="F93" i="1"/>
  <c r="O114" i="1"/>
  <c r="P114" i="1" s="1"/>
  <c r="J137" i="1"/>
  <c r="L137" i="1"/>
  <c r="L155" i="1"/>
  <c r="J155" i="1"/>
  <c r="L162" i="1"/>
  <c r="J162" i="1"/>
  <c r="M198" i="1"/>
  <c r="O198" i="1"/>
  <c r="P198" i="1" s="1"/>
  <c r="I110" i="1"/>
  <c r="G110" i="1"/>
  <c r="J173" i="1"/>
  <c r="L173" i="1"/>
  <c r="I184" i="1"/>
  <c r="G184" i="1"/>
  <c r="F188" i="1"/>
  <c r="F187" i="1" s="1"/>
  <c r="I189" i="1"/>
  <c r="J263" i="1"/>
  <c r="I262" i="1"/>
  <c r="L263" i="1"/>
  <c r="F112" i="1"/>
  <c r="G112" i="1" s="1"/>
  <c r="O236" i="1"/>
  <c r="M236" i="1"/>
  <c r="F89" i="1"/>
  <c r="G89" i="1" s="1"/>
  <c r="G104" i="1"/>
  <c r="G105" i="1"/>
  <c r="G106" i="1"/>
  <c r="M149" i="1"/>
  <c r="L170" i="1"/>
  <c r="J170" i="1"/>
  <c r="L177" i="1"/>
  <c r="J177" i="1"/>
  <c r="O179" i="1"/>
  <c r="P179" i="1" s="1"/>
  <c r="J253" i="1"/>
  <c r="L253" i="1"/>
  <c r="O237" i="1"/>
  <c r="P237" i="1" s="1"/>
  <c r="M237" i="1"/>
  <c r="L182" i="1"/>
  <c r="J182" i="1"/>
  <c r="O186" i="1"/>
  <c r="P186" i="1" s="1"/>
  <c r="M197" i="1"/>
  <c r="O197" i="1"/>
  <c r="P197" i="1" s="1"/>
  <c r="L178" i="1"/>
  <c r="J178" i="1"/>
  <c r="L190" i="1"/>
  <c r="J190" i="1"/>
  <c r="J251" i="1"/>
  <c r="L251" i="1"/>
  <c r="I142" i="1"/>
  <c r="G142" i="1"/>
  <c r="J148" i="1"/>
  <c r="J152" i="1"/>
  <c r="I151" i="1"/>
  <c r="O216" i="1"/>
  <c r="P216" i="1" s="1"/>
  <c r="G251" i="1"/>
  <c r="L169" i="1"/>
  <c r="J169" i="1"/>
  <c r="L209" i="1"/>
  <c r="J209" i="1"/>
  <c r="L260" i="1"/>
  <c r="I259" i="1"/>
  <c r="J259" i="1" s="1"/>
  <c r="G161" i="1"/>
  <c r="G169" i="1"/>
  <c r="I213" i="1"/>
  <c r="G213" i="1"/>
  <c r="L203" i="1"/>
  <c r="J203" i="1"/>
  <c r="I208" i="1"/>
  <c r="I220" i="1"/>
  <c r="G220" i="1"/>
  <c r="L233" i="1"/>
  <c r="J233" i="1"/>
  <c r="J237" i="1"/>
  <c r="I240" i="1"/>
  <c r="F239" i="1"/>
  <c r="G239" i="1" s="1"/>
  <c r="L245" i="1"/>
  <c r="J245" i="1"/>
  <c r="G177" i="1"/>
  <c r="G178" i="1"/>
  <c r="I193" i="1"/>
  <c r="G193" i="1"/>
  <c r="L229" i="1"/>
  <c r="L277" i="1"/>
  <c r="J277" i="1"/>
  <c r="J198" i="1"/>
  <c r="L206" i="1"/>
  <c r="J206" i="1"/>
  <c r="I225" i="1"/>
  <c r="L268" i="1"/>
  <c r="J268" i="1"/>
  <c r="L272" i="1"/>
  <c r="L270" i="1" s="1"/>
  <c r="J272" i="1"/>
  <c r="I270" i="1"/>
  <c r="J270" i="1" s="1"/>
  <c r="F207" i="1"/>
  <c r="G207" i="1" s="1"/>
  <c r="G212" i="1"/>
  <c r="I215" i="1"/>
  <c r="G215" i="1"/>
  <c r="I242" i="1"/>
  <c r="G242" i="1"/>
  <c r="I257" i="1"/>
  <c r="G257" i="1"/>
  <c r="L264" i="1"/>
  <c r="J266" i="1"/>
  <c r="L223" i="1"/>
  <c r="J223" i="1"/>
  <c r="O252" i="1"/>
  <c r="P252" i="1" s="1"/>
  <c r="G173" i="1"/>
  <c r="G180" i="1"/>
  <c r="L192" i="1"/>
  <c r="J192" i="1"/>
  <c r="J197" i="1"/>
  <c r="J261" i="1"/>
  <c r="J269" i="1"/>
  <c r="L269" i="1"/>
  <c r="J172" i="1"/>
  <c r="J179" i="1"/>
  <c r="J186" i="1"/>
  <c r="L205" i="1"/>
  <c r="J205" i="1"/>
  <c r="J236" i="1"/>
  <c r="J254" i="1"/>
  <c r="G269" i="1"/>
  <c r="I214" i="1"/>
  <c r="G214" i="1"/>
  <c r="L234" i="1"/>
  <c r="J234" i="1"/>
  <c r="L241" i="1"/>
  <c r="J241" i="1"/>
  <c r="I258" i="1"/>
  <c r="G258" i="1"/>
  <c r="M271" i="1"/>
  <c r="O271" i="1"/>
  <c r="F235" i="1"/>
  <c r="F248" i="1"/>
  <c r="G248" i="1" s="1"/>
  <c r="F262" i="1"/>
  <c r="G262" i="1" s="1"/>
  <c r="G249" i="1"/>
  <c r="G263" i="1"/>
  <c r="G264" i="1"/>
  <c r="G236" i="1"/>
  <c r="G237" i="1"/>
  <c r="J252" i="1" l="1"/>
  <c r="J232" i="1"/>
  <c r="I221" i="1"/>
  <c r="J221" i="1" s="1"/>
  <c r="J228" i="1"/>
  <c r="L228" i="1"/>
  <c r="L227" i="1" s="1"/>
  <c r="L226" i="1"/>
  <c r="M226" i="1" s="1"/>
  <c r="I146" i="1"/>
  <c r="J146" i="1" s="1"/>
  <c r="M62" i="1"/>
  <c r="J156" i="1"/>
  <c r="J103" i="1"/>
  <c r="J265" i="1"/>
  <c r="J202" i="1"/>
  <c r="J11" i="1"/>
  <c r="J7" i="1"/>
  <c r="J151" i="1"/>
  <c r="L125" i="1"/>
  <c r="M125" i="1" s="1"/>
  <c r="O70" i="1"/>
  <c r="P70" i="1" s="1"/>
  <c r="M73" i="1"/>
  <c r="J98" i="1"/>
  <c r="G188" i="1"/>
  <c r="G187" i="1" s="1"/>
  <c r="J33" i="1"/>
  <c r="O232" i="1"/>
  <c r="M107" i="1"/>
  <c r="L222" i="1"/>
  <c r="L221" i="1" s="1"/>
  <c r="J71" i="1"/>
  <c r="I231" i="1"/>
  <c r="J231" i="1" s="1"/>
  <c r="J123" i="1"/>
  <c r="J195" i="1"/>
  <c r="L255" i="1"/>
  <c r="O255" i="1" s="1"/>
  <c r="P255" i="1" s="1"/>
  <c r="O217" i="1"/>
  <c r="P217" i="1" s="1"/>
  <c r="J244" i="1"/>
  <c r="M244" i="1"/>
  <c r="O230" i="1"/>
  <c r="P230" i="1" s="1"/>
  <c r="L148" i="1"/>
  <c r="L147" i="1" s="1"/>
  <c r="L247" i="1"/>
  <c r="O247" i="1" s="1"/>
  <c r="P247" i="1" s="1"/>
  <c r="L201" i="1"/>
  <c r="M201" i="1" s="1"/>
  <c r="O139" i="1"/>
  <c r="P139" i="1" s="1"/>
  <c r="P64" i="1"/>
  <c r="O135" i="1"/>
  <c r="P135" i="1" s="1"/>
  <c r="M78" i="1"/>
  <c r="J216" i="1"/>
  <c r="F168" i="1"/>
  <c r="G168" i="1" s="1"/>
  <c r="O180" i="1"/>
  <c r="P180" i="1" s="1"/>
  <c r="J78" i="1"/>
  <c r="J27" i="1"/>
  <c r="L27" i="1"/>
  <c r="L24" i="1" s="1"/>
  <c r="J204" i="1"/>
  <c r="L98" i="1"/>
  <c r="L96" i="1" s="1"/>
  <c r="M96" i="1" s="1"/>
  <c r="J64" i="1"/>
  <c r="M114" i="1"/>
  <c r="M57" i="1"/>
  <c r="L8" i="1"/>
  <c r="M8" i="1" s="1"/>
  <c r="L79" i="1"/>
  <c r="L196" i="1"/>
  <c r="J196" i="1"/>
  <c r="M33" i="1"/>
  <c r="I201" i="1"/>
  <c r="J201" i="1" s="1"/>
  <c r="J8" i="1"/>
  <c r="G201" i="1"/>
  <c r="M60" i="1"/>
  <c r="F6" i="1"/>
  <c r="G6" i="1" s="1"/>
  <c r="L246" i="1"/>
  <c r="J246" i="1"/>
  <c r="M176" i="1"/>
  <c r="O143" i="1"/>
  <c r="P143" i="1" s="1"/>
  <c r="O176" i="1"/>
  <c r="P176" i="1" s="1"/>
  <c r="G157" i="1"/>
  <c r="I67" i="1"/>
  <c r="J67" i="1" s="1"/>
  <c r="J211" i="1"/>
  <c r="L211" i="1"/>
  <c r="G256" i="1"/>
  <c r="L164" i="1"/>
  <c r="J164" i="1"/>
  <c r="L267" i="1"/>
  <c r="J267" i="1"/>
  <c r="J171" i="1"/>
  <c r="L171" i="1"/>
  <c r="L41" i="1"/>
  <c r="J41" i="1"/>
  <c r="J185" i="1"/>
  <c r="I133" i="1"/>
  <c r="J133" i="1" s="1"/>
  <c r="L124" i="1"/>
  <c r="J124" i="1"/>
  <c r="L181" i="1"/>
  <c r="J181" i="1"/>
  <c r="O163" i="1"/>
  <c r="P163" i="1" s="1"/>
  <c r="M163" i="1"/>
  <c r="M218" i="1"/>
  <c r="M138" i="1"/>
  <c r="O138" i="1"/>
  <c r="P138" i="1" s="1"/>
  <c r="J227" i="1"/>
  <c r="L238" i="1"/>
  <c r="J238" i="1"/>
  <c r="L120" i="1"/>
  <c r="J120" i="1"/>
  <c r="L231" i="1"/>
  <c r="M212" i="1"/>
  <c r="J176" i="1"/>
  <c r="L154" i="1"/>
  <c r="O154" i="1" s="1"/>
  <c r="G11" i="1"/>
  <c r="J60" i="1"/>
  <c r="L122" i="1"/>
  <c r="J122" i="1"/>
  <c r="O202" i="1"/>
  <c r="P202" i="1" s="1"/>
  <c r="M185" i="1"/>
  <c r="J89" i="1"/>
  <c r="L250" i="1"/>
  <c r="J250" i="1"/>
  <c r="L194" i="1"/>
  <c r="J194" i="1"/>
  <c r="O35" i="1"/>
  <c r="P35" i="1" s="1"/>
  <c r="M35" i="1"/>
  <c r="L199" i="1"/>
  <c r="J199" i="1"/>
  <c r="G210" i="1"/>
  <c r="O185" i="1"/>
  <c r="P185" i="1" s="1"/>
  <c r="J82" i="1"/>
  <c r="J243" i="1"/>
  <c r="L243" i="1"/>
  <c r="P152" i="1"/>
  <c r="O151" i="1"/>
  <c r="P151" i="1" s="1"/>
  <c r="O123" i="1"/>
  <c r="P123" i="1" s="1"/>
  <c r="M123" i="1"/>
  <c r="O25" i="1"/>
  <c r="M25" i="1"/>
  <c r="O272" i="1"/>
  <c r="P272" i="1" s="1"/>
  <c r="M272" i="1"/>
  <c r="L240" i="1"/>
  <c r="J240" i="1"/>
  <c r="I239" i="1"/>
  <c r="J239" i="1" s="1"/>
  <c r="O170" i="1"/>
  <c r="P170" i="1" s="1"/>
  <c r="M170" i="1"/>
  <c r="G133" i="1"/>
  <c r="L83" i="1"/>
  <c r="J83" i="1"/>
  <c r="O54" i="1"/>
  <c r="P54" i="1" s="1"/>
  <c r="M54" i="1"/>
  <c r="O116" i="1"/>
  <c r="P116" i="1" s="1"/>
  <c r="M116" i="1"/>
  <c r="L84" i="1"/>
  <c r="J84" i="1"/>
  <c r="L32" i="1"/>
  <c r="J32" i="1"/>
  <c r="I28" i="1"/>
  <c r="L29" i="1"/>
  <c r="J29" i="1"/>
  <c r="L213" i="1"/>
  <c r="J213" i="1"/>
  <c r="I210" i="1"/>
  <c r="J210" i="1" s="1"/>
  <c r="O195" i="1"/>
  <c r="P195" i="1" s="1"/>
  <c r="M195" i="1"/>
  <c r="M155" i="1"/>
  <c r="O155" i="1"/>
  <c r="P155" i="1" s="1"/>
  <c r="O204" i="1"/>
  <c r="P204" i="1" s="1"/>
  <c r="M204" i="1"/>
  <c r="O48" i="1"/>
  <c r="P48" i="1" s="1"/>
  <c r="M48" i="1"/>
  <c r="J80" i="1"/>
  <c r="L80" i="1"/>
  <c r="O30" i="1"/>
  <c r="P30" i="1" s="1"/>
  <c r="M30" i="1"/>
  <c r="O101" i="1"/>
  <c r="P101" i="1" s="1"/>
  <c r="M101" i="1"/>
  <c r="O169" i="1"/>
  <c r="M169" i="1"/>
  <c r="O161" i="1"/>
  <c r="P161" i="1" s="1"/>
  <c r="M161" i="1"/>
  <c r="P271" i="1"/>
  <c r="P232" i="1"/>
  <c r="O241" i="1"/>
  <c r="P241" i="1" s="1"/>
  <c r="M241" i="1"/>
  <c r="O269" i="1"/>
  <c r="P269" i="1" s="1"/>
  <c r="M269" i="1"/>
  <c r="O268" i="1"/>
  <c r="P268" i="1" s="1"/>
  <c r="M268" i="1"/>
  <c r="M265" i="1"/>
  <c r="O265" i="1"/>
  <c r="P265" i="1" s="1"/>
  <c r="M190" i="1"/>
  <c r="O190" i="1"/>
  <c r="P190" i="1" s="1"/>
  <c r="O263" i="1"/>
  <c r="L262" i="1"/>
  <c r="M263" i="1"/>
  <c r="O249" i="1"/>
  <c r="M249" i="1"/>
  <c r="O117" i="1"/>
  <c r="P117" i="1" s="1"/>
  <c r="M117" i="1"/>
  <c r="J119" i="1"/>
  <c r="L119" i="1"/>
  <c r="O150" i="1"/>
  <c r="P150" i="1" s="1"/>
  <c r="M150" i="1"/>
  <c r="J86" i="1"/>
  <c r="L86" i="1"/>
  <c r="G28" i="1"/>
  <c r="F23" i="1"/>
  <c r="L15" i="1"/>
  <c r="J15" i="1"/>
  <c r="I14" i="1"/>
  <c r="J87" i="1"/>
  <c r="L87" i="1"/>
  <c r="O59" i="1"/>
  <c r="P59" i="1" s="1"/>
  <c r="M59" i="1"/>
  <c r="L100" i="1"/>
  <c r="I99" i="1"/>
  <c r="J99" i="1" s="1"/>
  <c r="J100" i="1"/>
  <c r="O26" i="1"/>
  <c r="P26" i="1" s="1"/>
  <c r="M26" i="1"/>
  <c r="F10" i="1"/>
  <c r="G10" i="1" s="1"/>
  <c r="M162" i="1"/>
  <c r="O162" i="1"/>
  <c r="P162" i="1" s="1"/>
  <c r="P68" i="1"/>
  <c r="M270" i="1"/>
  <c r="L215" i="1"/>
  <c r="J215" i="1"/>
  <c r="L193" i="1"/>
  <c r="J193" i="1"/>
  <c r="O233" i="1"/>
  <c r="P233" i="1" s="1"/>
  <c r="M233" i="1"/>
  <c r="J262" i="1"/>
  <c r="F92" i="1"/>
  <c r="G92" i="1" s="1"/>
  <c r="G93" i="1"/>
  <c r="O134" i="1"/>
  <c r="M134" i="1"/>
  <c r="L81" i="1"/>
  <c r="J81" i="1"/>
  <c r="O31" i="1"/>
  <c r="P31" i="1" s="1"/>
  <c r="M31" i="1"/>
  <c r="J21" i="1"/>
  <c r="I20" i="1"/>
  <c r="J20" i="1" s="1"/>
  <c r="L21" i="1"/>
  <c r="L42" i="1"/>
  <c r="J42" i="1"/>
  <c r="I39" i="1"/>
  <c r="J39" i="1" s="1"/>
  <c r="J118" i="1"/>
  <c r="L118" i="1"/>
  <c r="P236" i="1"/>
  <c r="O191" i="1"/>
  <c r="P191" i="1" s="1"/>
  <c r="M191" i="1"/>
  <c r="L56" i="1"/>
  <c r="J56" i="1"/>
  <c r="J72" i="1"/>
  <c r="L72" i="1"/>
  <c r="J22" i="1"/>
  <c r="L22" i="1"/>
  <c r="L258" i="1"/>
  <c r="J258" i="1"/>
  <c r="O229" i="1"/>
  <c r="P229" i="1" s="1"/>
  <c r="M229" i="1"/>
  <c r="M222" i="1"/>
  <c r="O192" i="1"/>
  <c r="P192" i="1" s="1"/>
  <c r="M192" i="1"/>
  <c r="O264" i="1"/>
  <c r="P264" i="1" s="1"/>
  <c r="M264" i="1"/>
  <c r="L225" i="1"/>
  <c r="J225" i="1"/>
  <c r="I224" i="1"/>
  <c r="J224" i="1" s="1"/>
  <c r="J142" i="1"/>
  <c r="L142" i="1"/>
  <c r="L189" i="1"/>
  <c r="J189" i="1"/>
  <c r="I188" i="1"/>
  <c r="J158" i="1"/>
  <c r="L158" i="1"/>
  <c r="I157" i="1"/>
  <c r="L77" i="1"/>
  <c r="J77" i="1"/>
  <c r="L69" i="1"/>
  <c r="J69" i="1"/>
  <c r="O13" i="1"/>
  <c r="P13" i="1" s="1"/>
  <c r="M13" i="1"/>
  <c r="J160" i="1"/>
  <c r="L160" i="1"/>
  <c r="M115" i="1"/>
  <c r="O115" i="1"/>
  <c r="P115" i="1" s="1"/>
  <c r="I109" i="1"/>
  <c r="J109" i="1" s="1"/>
  <c r="L110" i="1"/>
  <c r="J110" i="1"/>
  <c r="J214" i="1"/>
  <c r="L214" i="1"/>
  <c r="O277" i="1"/>
  <c r="P277" i="1" s="1"/>
  <c r="M277" i="1"/>
  <c r="L220" i="1"/>
  <c r="J220" i="1"/>
  <c r="O178" i="1"/>
  <c r="P178" i="1" s="1"/>
  <c r="M178" i="1"/>
  <c r="O182" i="1"/>
  <c r="P182" i="1" s="1"/>
  <c r="M182" i="1"/>
  <c r="O253" i="1"/>
  <c r="P253" i="1" s="1"/>
  <c r="M253" i="1"/>
  <c r="J85" i="1"/>
  <c r="L85" i="1"/>
  <c r="L144" i="1"/>
  <c r="J144" i="1"/>
  <c r="L175" i="1"/>
  <c r="J175" i="1"/>
  <c r="I174" i="1"/>
  <c r="O71" i="1"/>
  <c r="P71" i="1" s="1"/>
  <c r="M71" i="1"/>
  <c r="O74" i="1"/>
  <c r="P74" i="1" s="1"/>
  <c r="M74" i="1"/>
  <c r="P37" i="1"/>
  <c r="O113" i="1"/>
  <c r="M113" i="1"/>
  <c r="O209" i="1"/>
  <c r="P209" i="1" s="1"/>
  <c r="M209" i="1"/>
  <c r="J94" i="1"/>
  <c r="I93" i="1"/>
  <c r="L94" i="1"/>
  <c r="J38" i="1"/>
  <c r="I36" i="1"/>
  <c r="J36" i="1" s="1"/>
  <c r="L38" i="1"/>
  <c r="G235" i="1"/>
  <c r="G219" i="1" s="1"/>
  <c r="F219" i="1"/>
  <c r="O251" i="1"/>
  <c r="P251" i="1" s="1"/>
  <c r="M251" i="1"/>
  <c r="O173" i="1"/>
  <c r="P173" i="1" s="1"/>
  <c r="M173" i="1"/>
  <c r="M137" i="1"/>
  <c r="O137" i="1"/>
  <c r="P137" i="1" s="1"/>
  <c r="O102" i="1"/>
  <c r="P102" i="1" s="1"/>
  <c r="M102" i="1"/>
  <c r="L11" i="1"/>
  <c r="M12" i="1"/>
  <c r="O12" i="1"/>
  <c r="L88" i="1"/>
  <c r="J88" i="1"/>
  <c r="I112" i="1"/>
  <c r="J112" i="1" s="1"/>
  <c r="J65" i="1"/>
  <c r="L65" i="1"/>
  <c r="M75" i="1"/>
  <c r="O75" i="1"/>
  <c r="P75" i="1" s="1"/>
  <c r="O234" i="1"/>
  <c r="P234" i="1" s="1"/>
  <c r="M234" i="1"/>
  <c r="M205" i="1"/>
  <c r="O205" i="1"/>
  <c r="P205" i="1" s="1"/>
  <c r="L184" i="1"/>
  <c r="J184" i="1"/>
  <c r="L183" i="1"/>
  <c r="J183" i="1"/>
  <c r="J141" i="1"/>
  <c r="L141" i="1"/>
  <c r="L18" i="1"/>
  <c r="I17" i="1"/>
  <c r="J17" i="1" s="1"/>
  <c r="J18" i="1"/>
  <c r="G52" i="1"/>
  <c r="F45" i="1"/>
  <c r="L63" i="1"/>
  <c r="J63" i="1"/>
  <c r="O156" i="1"/>
  <c r="P156" i="1" s="1"/>
  <c r="M156" i="1"/>
  <c r="O261" i="1"/>
  <c r="P261" i="1" s="1"/>
  <c r="M261" i="1"/>
  <c r="I256" i="1"/>
  <c r="L257" i="1"/>
  <c r="J257" i="1"/>
  <c r="L208" i="1"/>
  <c r="I207" i="1"/>
  <c r="J207" i="1" s="1"/>
  <c r="J208" i="1"/>
  <c r="J235" i="1"/>
  <c r="O177" i="1"/>
  <c r="P177" i="1" s="1"/>
  <c r="M177" i="1"/>
  <c r="J159" i="1"/>
  <c r="L159" i="1"/>
  <c r="O145" i="1"/>
  <c r="P145" i="1" s="1"/>
  <c r="M145" i="1"/>
  <c r="J140" i="1"/>
  <c r="L140" i="1"/>
  <c r="L53" i="1"/>
  <c r="J53" i="1"/>
  <c r="I52" i="1"/>
  <c r="L47" i="1"/>
  <c r="J47" i="1"/>
  <c r="M260" i="1"/>
  <c r="O260" i="1"/>
  <c r="L259" i="1"/>
  <c r="O254" i="1"/>
  <c r="P254" i="1" s="1"/>
  <c r="M254" i="1"/>
  <c r="O223" i="1"/>
  <c r="P223" i="1" s="1"/>
  <c r="M223" i="1"/>
  <c r="J242" i="1"/>
  <c r="L242" i="1"/>
  <c r="O206" i="1"/>
  <c r="P206" i="1" s="1"/>
  <c r="M206" i="1"/>
  <c r="O245" i="1"/>
  <c r="P245" i="1" s="1"/>
  <c r="M245" i="1"/>
  <c r="O203" i="1"/>
  <c r="M203" i="1"/>
  <c r="F200" i="1"/>
  <c r="M151" i="1"/>
  <c r="O121" i="1"/>
  <c r="P121" i="1" s="1"/>
  <c r="M121" i="1"/>
  <c r="L103" i="1"/>
  <c r="O104" i="1"/>
  <c r="M104" i="1"/>
  <c r="L16" i="1"/>
  <c r="J16" i="1"/>
  <c r="J58" i="1"/>
  <c r="L58" i="1"/>
  <c r="O90" i="1"/>
  <c r="M90" i="1"/>
  <c r="L89" i="1"/>
  <c r="J111" i="1"/>
  <c r="L111" i="1"/>
  <c r="P40" i="1"/>
  <c r="M255" i="1" l="1"/>
  <c r="O125" i="1"/>
  <c r="P125" i="1" s="1"/>
  <c r="O226" i="1"/>
  <c r="P226" i="1" s="1"/>
  <c r="M228" i="1"/>
  <c r="O228" i="1"/>
  <c r="O227" i="1" s="1"/>
  <c r="P227" i="1" s="1"/>
  <c r="F153" i="1"/>
  <c r="G200" i="1"/>
  <c r="M231" i="1"/>
  <c r="O148" i="1"/>
  <c r="O147" i="1" s="1"/>
  <c r="M148" i="1"/>
  <c r="O222" i="1"/>
  <c r="O221" i="1" s="1"/>
  <c r="P221" i="1" s="1"/>
  <c r="M247" i="1"/>
  <c r="L112" i="1"/>
  <c r="G153" i="1"/>
  <c r="O79" i="1"/>
  <c r="P79" i="1" s="1"/>
  <c r="M79" i="1"/>
  <c r="O8" i="1"/>
  <c r="L7" i="1"/>
  <c r="M98" i="1"/>
  <c r="M27" i="1"/>
  <c r="O27" i="1"/>
  <c r="P27" i="1" s="1"/>
  <c r="O98" i="1"/>
  <c r="O96" i="1" s="1"/>
  <c r="P96" i="1" s="1"/>
  <c r="O196" i="1"/>
  <c r="P196" i="1" s="1"/>
  <c r="M196" i="1"/>
  <c r="M211" i="1"/>
  <c r="O211" i="1"/>
  <c r="P211" i="1" s="1"/>
  <c r="O122" i="1"/>
  <c r="P122" i="1" s="1"/>
  <c r="M122" i="1"/>
  <c r="O250" i="1"/>
  <c r="P250" i="1" s="1"/>
  <c r="M250" i="1"/>
  <c r="O231" i="1"/>
  <c r="P231" i="1" s="1"/>
  <c r="O194" i="1"/>
  <c r="P194" i="1" s="1"/>
  <c r="M194" i="1"/>
  <c r="M154" i="1"/>
  <c r="O181" i="1"/>
  <c r="P181" i="1" s="1"/>
  <c r="M181" i="1"/>
  <c r="O267" i="1"/>
  <c r="P267" i="1" s="1"/>
  <c r="M267" i="1"/>
  <c r="O270" i="1"/>
  <c r="P270" i="1" s="1"/>
  <c r="O120" i="1"/>
  <c r="P120" i="1" s="1"/>
  <c r="M120" i="1"/>
  <c r="M246" i="1"/>
  <c r="O246" i="1"/>
  <c r="P246" i="1" s="1"/>
  <c r="F276" i="1"/>
  <c r="F278" i="1" s="1"/>
  <c r="G278" i="1" s="1"/>
  <c r="O124" i="1"/>
  <c r="P124" i="1" s="1"/>
  <c r="M124" i="1"/>
  <c r="M164" i="1"/>
  <c r="O164" i="1"/>
  <c r="P164" i="1" s="1"/>
  <c r="O41" i="1"/>
  <c r="P41" i="1" s="1"/>
  <c r="M41" i="1"/>
  <c r="O171" i="1"/>
  <c r="P171" i="1" s="1"/>
  <c r="M171" i="1"/>
  <c r="O199" i="1"/>
  <c r="P199" i="1" s="1"/>
  <c r="M199" i="1"/>
  <c r="M238" i="1"/>
  <c r="O238" i="1"/>
  <c r="L235" i="1"/>
  <c r="O21" i="1"/>
  <c r="M21" i="1"/>
  <c r="L20" i="1"/>
  <c r="O72" i="1"/>
  <c r="P72" i="1" s="1"/>
  <c r="M72" i="1"/>
  <c r="M262" i="1"/>
  <c r="O83" i="1"/>
  <c r="P83" i="1" s="1"/>
  <c r="M83" i="1"/>
  <c r="O201" i="1"/>
  <c r="P203" i="1"/>
  <c r="O77" i="1"/>
  <c r="P77" i="1" s="1"/>
  <c r="M77" i="1"/>
  <c r="P215" i="1"/>
  <c r="M215" i="1"/>
  <c r="O87" i="1"/>
  <c r="P87" i="1" s="1"/>
  <c r="M87" i="1"/>
  <c r="O119" i="1"/>
  <c r="P119" i="1" s="1"/>
  <c r="M119" i="1"/>
  <c r="P263" i="1"/>
  <c r="O262" i="1"/>
  <c r="P262" i="1" s="1"/>
  <c r="M32" i="1"/>
  <c r="O32" i="1"/>
  <c r="P32" i="1" s="1"/>
  <c r="J174" i="1"/>
  <c r="I168" i="1"/>
  <c r="J168" i="1" s="1"/>
  <c r="P148" i="1"/>
  <c r="O16" i="1"/>
  <c r="P16" i="1" s="1"/>
  <c r="M16" i="1"/>
  <c r="I45" i="1"/>
  <c r="J52" i="1"/>
  <c r="O183" i="1"/>
  <c r="P183" i="1" s="1"/>
  <c r="M183" i="1"/>
  <c r="M112" i="1"/>
  <c r="M220" i="1"/>
  <c r="O220" i="1"/>
  <c r="J157" i="1"/>
  <c r="J14" i="1"/>
  <c r="I6" i="1"/>
  <c r="J6" i="1" s="1"/>
  <c r="I10" i="1"/>
  <c r="J10" i="1" s="1"/>
  <c r="M227" i="1"/>
  <c r="M18" i="1"/>
  <c r="L17" i="1"/>
  <c r="O18" i="1"/>
  <c r="O193" i="1"/>
  <c r="P193" i="1" s="1"/>
  <c r="M193" i="1"/>
  <c r="P154" i="1"/>
  <c r="M257" i="1"/>
  <c r="L256" i="1"/>
  <c r="O257" i="1"/>
  <c r="P113" i="1"/>
  <c r="M175" i="1"/>
  <c r="L174" i="1"/>
  <c r="O158" i="1"/>
  <c r="M158" i="1"/>
  <c r="L157" i="1"/>
  <c r="L224" i="1"/>
  <c r="O225" i="1"/>
  <c r="M225" i="1"/>
  <c r="M24" i="1"/>
  <c r="O84" i="1"/>
  <c r="P84" i="1" s="1"/>
  <c r="M84" i="1"/>
  <c r="P25" i="1"/>
  <c r="O110" i="1"/>
  <c r="M110" i="1"/>
  <c r="L109" i="1"/>
  <c r="O88" i="1"/>
  <c r="P88" i="1" s="1"/>
  <c r="M88" i="1"/>
  <c r="M221" i="1"/>
  <c r="O11" i="1"/>
  <c r="P12" i="1"/>
  <c r="L93" i="1"/>
  <c r="O94" i="1"/>
  <c r="M94" i="1"/>
  <c r="O160" i="1"/>
  <c r="P160" i="1" s="1"/>
  <c r="M160" i="1"/>
  <c r="M147" i="1"/>
  <c r="L146" i="1"/>
  <c r="O15" i="1"/>
  <c r="M15" i="1"/>
  <c r="L14" i="1"/>
  <c r="O111" i="1"/>
  <c r="P111" i="1" s="1"/>
  <c r="M111" i="1"/>
  <c r="M103" i="1"/>
  <c r="M259" i="1"/>
  <c r="O140" i="1"/>
  <c r="P140" i="1" s="1"/>
  <c r="M140" i="1"/>
  <c r="O63" i="1"/>
  <c r="P63" i="1" s="1"/>
  <c r="M63" i="1"/>
  <c r="J93" i="1"/>
  <c r="I92" i="1"/>
  <c r="J92" i="1" s="1"/>
  <c r="O144" i="1"/>
  <c r="P144" i="1" s="1"/>
  <c r="M144" i="1"/>
  <c r="O118" i="1"/>
  <c r="P118" i="1" s="1"/>
  <c r="M118" i="1"/>
  <c r="O81" i="1"/>
  <c r="P81" i="1" s="1"/>
  <c r="M81" i="1"/>
  <c r="G23" i="1"/>
  <c r="O80" i="1"/>
  <c r="P80" i="1" s="1"/>
  <c r="M80" i="1"/>
  <c r="O213" i="1"/>
  <c r="M213" i="1"/>
  <c r="L210" i="1"/>
  <c r="O47" i="1"/>
  <c r="P47" i="1" s="1"/>
  <c r="M47" i="1"/>
  <c r="M208" i="1"/>
  <c r="L207" i="1"/>
  <c r="O208" i="1"/>
  <c r="O38" i="1"/>
  <c r="M38" i="1"/>
  <c r="L36" i="1"/>
  <c r="P104" i="1"/>
  <c r="O103" i="1"/>
  <c r="P103" i="1" s="1"/>
  <c r="O259" i="1"/>
  <c r="P259" i="1" s="1"/>
  <c r="P260" i="1"/>
  <c r="F44" i="1"/>
  <c r="G44" i="1" s="1"/>
  <c r="G45" i="1"/>
  <c r="O89" i="1"/>
  <c r="P89" i="1" s="1"/>
  <c r="P90" i="1"/>
  <c r="M69" i="1"/>
  <c r="O69" i="1"/>
  <c r="L67" i="1"/>
  <c r="O58" i="1"/>
  <c r="P58" i="1" s="1"/>
  <c r="M58" i="1"/>
  <c r="O159" i="1"/>
  <c r="M159" i="1"/>
  <c r="L52" i="1"/>
  <c r="M53" i="1"/>
  <c r="O53" i="1"/>
  <c r="J256" i="1"/>
  <c r="I248" i="1"/>
  <c r="J248" i="1" s="1"/>
  <c r="O184" i="1"/>
  <c r="P184" i="1" s="1"/>
  <c r="M184" i="1"/>
  <c r="M11" i="1"/>
  <c r="O85" i="1"/>
  <c r="P85" i="1" s="1"/>
  <c r="M85" i="1"/>
  <c r="I187" i="1"/>
  <c r="J187" i="1" s="1"/>
  <c r="J188" i="1"/>
  <c r="M100" i="1"/>
  <c r="L99" i="1"/>
  <c r="O100" i="1"/>
  <c r="O86" i="1"/>
  <c r="P86" i="1" s="1"/>
  <c r="M86" i="1"/>
  <c r="P249" i="1"/>
  <c r="O29" i="1"/>
  <c r="M29" i="1"/>
  <c r="L28" i="1"/>
  <c r="L23" i="1" s="1"/>
  <c r="O214" i="1"/>
  <c r="P214" i="1" s="1"/>
  <c r="M214" i="1"/>
  <c r="M258" i="1"/>
  <c r="O258" i="1"/>
  <c r="P258" i="1" s="1"/>
  <c r="P134" i="1"/>
  <c r="P169" i="1"/>
  <c r="J28" i="1"/>
  <c r="I23" i="1"/>
  <c r="J23" i="1" s="1"/>
  <c r="M142" i="1"/>
  <c r="O142" i="1"/>
  <c r="P142" i="1" s="1"/>
  <c r="O141" i="1"/>
  <c r="P141" i="1" s="1"/>
  <c r="M141" i="1"/>
  <c r="M89" i="1"/>
  <c r="O242" i="1"/>
  <c r="P242" i="1" s="1"/>
  <c r="M242" i="1"/>
  <c r="O65" i="1"/>
  <c r="P65" i="1" s="1"/>
  <c r="M65" i="1"/>
  <c r="O189" i="1"/>
  <c r="M189" i="1"/>
  <c r="L188" i="1"/>
  <c r="O22" i="1"/>
  <c r="P22" i="1" s="1"/>
  <c r="M22" i="1"/>
  <c r="O56" i="1"/>
  <c r="P56" i="1" s="1"/>
  <c r="M56" i="1"/>
  <c r="O42" i="1"/>
  <c r="M42" i="1"/>
  <c r="L39" i="1"/>
  <c r="L133" i="1"/>
  <c r="I200" i="1"/>
  <c r="J200" i="1" s="1"/>
  <c r="L239" i="1"/>
  <c r="O240" i="1"/>
  <c r="M240" i="1"/>
  <c r="P243" i="1"/>
  <c r="M243" i="1"/>
  <c r="P228" i="1" l="1"/>
  <c r="P222" i="1"/>
  <c r="O24" i="1"/>
  <c r="P98" i="1"/>
  <c r="M7" i="1"/>
  <c r="P8" i="1"/>
  <c r="O7" i="1"/>
  <c r="L10" i="1"/>
  <c r="M10" i="1" s="1"/>
  <c r="G276" i="1"/>
  <c r="M235" i="1"/>
  <c r="P238" i="1"/>
  <c r="O235" i="1"/>
  <c r="P235" i="1" s="1"/>
  <c r="I219" i="1"/>
  <c r="J219" i="1" s="1"/>
  <c r="O146" i="1"/>
  <c r="P146" i="1" s="1"/>
  <c r="P147" i="1"/>
  <c r="M52" i="1"/>
  <c r="L45" i="1"/>
  <c r="M36" i="1"/>
  <c r="M210" i="1"/>
  <c r="P110" i="1"/>
  <c r="O109" i="1"/>
  <c r="P109" i="1" s="1"/>
  <c r="P240" i="1"/>
  <c r="O239" i="1"/>
  <c r="P239" i="1" s="1"/>
  <c r="P94" i="1"/>
  <c r="O93" i="1"/>
  <c r="M174" i="1"/>
  <c r="L168" i="1"/>
  <c r="M23" i="1"/>
  <c r="P42" i="1"/>
  <c r="O39" i="1"/>
  <c r="P39" i="1" s="1"/>
  <c r="L92" i="1"/>
  <c r="M93" i="1"/>
  <c r="P175" i="1"/>
  <c r="O174" i="1"/>
  <c r="M99" i="1"/>
  <c r="O207" i="1"/>
  <c r="P207" i="1" s="1"/>
  <c r="P208" i="1"/>
  <c r="M14" i="1"/>
  <c r="L6" i="1"/>
  <c r="O112" i="1"/>
  <c r="P112" i="1" s="1"/>
  <c r="I44" i="1"/>
  <c r="J44" i="1" s="1"/>
  <c r="J45" i="1"/>
  <c r="P159" i="1"/>
  <c r="P225" i="1"/>
  <c r="O224" i="1"/>
  <c r="P224" i="1" s="1"/>
  <c r="P213" i="1"/>
  <c r="O210" i="1"/>
  <c r="P210" i="1" s="1"/>
  <c r="M224" i="1"/>
  <c r="M20" i="1"/>
  <c r="M28" i="1"/>
  <c r="M207" i="1"/>
  <c r="L200" i="1"/>
  <c r="P11" i="1"/>
  <c r="P24" i="1"/>
  <c r="O17" i="1"/>
  <c r="P17" i="1" s="1"/>
  <c r="P18" i="1"/>
  <c r="I153" i="1"/>
  <c r="P201" i="1"/>
  <c r="P21" i="1"/>
  <c r="O20" i="1"/>
  <c r="P20" i="1" s="1"/>
  <c r="M157" i="1"/>
  <c r="M17" i="1"/>
  <c r="M239" i="1"/>
  <c r="O99" i="1"/>
  <c r="P99" i="1" s="1"/>
  <c r="P100" i="1"/>
  <c r="P38" i="1"/>
  <c r="O36" i="1"/>
  <c r="P36" i="1" s="1"/>
  <c r="L187" i="1"/>
  <c r="M188" i="1"/>
  <c r="P15" i="1"/>
  <c r="O14" i="1"/>
  <c r="M133" i="1"/>
  <c r="M67" i="1"/>
  <c r="F108" i="1"/>
  <c r="P220" i="1"/>
  <c r="P29" i="1"/>
  <c r="O28" i="1"/>
  <c r="P28" i="1" s="1"/>
  <c r="O157" i="1"/>
  <c r="P158" i="1"/>
  <c r="M109" i="1"/>
  <c r="M39" i="1"/>
  <c r="O52" i="1"/>
  <c r="P53" i="1"/>
  <c r="M146" i="1"/>
  <c r="P257" i="1"/>
  <c r="O256" i="1"/>
  <c r="P189" i="1"/>
  <c r="O188" i="1"/>
  <c r="O133" i="1"/>
  <c r="P69" i="1"/>
  <c r="O67" i="1"/>
  <c r="P67" i="1" s="1"/>
  <c r="M256" i="1"/>
  <c r="L248" i="1"/>
  <c r="L219" i="1" s="1"/>
  <c r="P7" i="1" l="1"/>
  <c r="I108" i="1"/>
  <c r="I127" i="1" s="1"/>
  <c r="J153" i="1"/>
  <c r="I276" i="1"/>
  <c r="P14" i="1"/>
  <c r="O6" i="1"/>
  <c r="P6" i="1" s="1"/>
  <c r="M168" i="1"/>
  <c r="M187" i="1"/>
  <c r="O23" i="1"/>
  <c r="P23" i="1" s="1"/>
  <c r="O92" i="1"/>
  <c r="P92" i="1" s="1"/>
  <c r="P93" i="1"/>
  <c r="M248" i="1"/>
  <c r="P174" i="1"/>
  <c r="O168" i="1"/>
  <c r="P168" i="1" s="1"/>
  <c r="L153" i="1"/>
  <c r="O10" i="1"/>
  <c r="P10" i="1" s="1"/>
  <c r="M6" i="1"/>
  <c r="L44" i="1"/>
  <c r="M45" i="1"/>
  <c r="M219" i="1"/>
  <c r="P256" i="1"/>
  <c r="O248" i="1"/>
  <c r="F127" i="1"/>
  <c r="G108" i="1"/>
  <c r="M200" i="1"/>
  <c r="M92" i="1"/>
  <c r="O45" i="1"/>
  <c r="P52" i="1"/>
  <c r="O187" i="1"/>
  <c r="P187" i="1" s="1"/>
  <c r="P188" i="1"/>
  <c r="P157" i="1"/>
  <c r="P133" i="1"/>
  <c r="O200" i="1"/>
  <c r="P200" i="1" s="1"/>
  <c r="J108" i="1" l="1"/>
  <c r="M153" i="1"/>
  <c r="L276" i="1"/>
  <c r="M44" i="1"/>
  <c r="L108" i="1"/>
  <c r="I278" i="1"/>
  <c r="J278" i="1" s="1"/>
  <c r="J276" i="1"/>
  <c r="P45" i="1"/>
  <c r="O44" i="1"/>
  <c r="F279" i="1"/>
  <c r="G279" i="1" s="1"/>
  <c r="G127" i="1"/>
  <c r="O153" i="1"/>
  <c r="P248" i="1"/>
  <c r="O219" i="1"/>
  <c r="P219" i="1" s="1"/>
  <c r="J127" i="1"/>
  <c r="P153" i="1" l="1"/>
  <c r="O276" i="1"/>
  <c r="I279" i="1"/>
  <c r="L127" i="1"/>
  <c r="M108" i="1"/>
  <c r="M276" i="1"/>
  <c r="L278" i="1"/>
  <c r="P44" i="1"/>
  <c r="O108" i="1"/>
  <c r="L279" i="1" l="1"/>
  <c r="M127" i="1"/>
  <c r="J279" i="1"/>
  <c r="M278" i="1"/>
  <c r="P276" i="1"/>
  <c r="O278" i="1"/>
  <c r="P278" i="1" s="1"/>
  <c r="P108" i="1"/>
  <c r="O127" i="1"/>
  <c r="O279" i="1" l="1"/>
  <c r="P127" i="1"/>
  <c r="M279" i="1"/>
  <c r="P2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9E73A8E9-DD7F-447B-85B2-F7788EC45BA6}">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5BAC29CE-383B-40AC-B884-296224B51F4C}">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8F62D7FD-53D6-40CC-9C32-422B8F788E59}">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CAD5380C-4BAA-4446-9D3F-349861BFBCA1}">
      <text>
        <r>
          <rPr>
            <b/>
            <sz val="9"/>
            <color indexed="81"/>
            <rFont val="Tahoma"/>
            <family val="2"/>
            <charset val="186"/>
          </rPr>
          <t>Sarmīte Mūze:</t>
        </r>
        <r>
          <rPr>
            <sz val="9"/>
            <color indexed="81"/>
            <rFont val="Tahoma"/>
            <family val="2"/>
            <charset val="186"/>
          </rPr>
          <t xml:space="preserve">
76'000 mežaudze vai koki; 46'000+73'000 Kadaga.</t>
        </r>
      </text>
    </comment>
    <comment ref="D266" authorId="1" shapeId="0" xr:uid="{6E83F74E-DC91-4EFA-9A60-BB404A703AB1}">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69" authorId="0" shapeId="0" xr:uid="{C6415BCF-E7FC-42CA-AD59-75C283EA5DF1}">
      <text>
        <r>
          <rPr>
            <b/>
            <sz val="9"/>
            <color indexed="81"/>
            <rFont val="Tahoma"/>
            <family val="2"/>
            <charset val="186"/>
          </rPr>
          <t>Sarmīte Mūze:</t>
        </r>
        <r>
          <rPr>
            <sz val="9"/>
            <color indexed="81"/>
            <rFont val="Tahoma"/>
            <family val="2"/>
            <charset val="186"/>
          </rPr>
          <t xml:space="preserve">
Šis ir jāizņem no 0930 un jāliek 0982 algā.
</t>
        </r>
      </text>
    </comment>
    <comment ref="F269" authorId="0" shapeId="0" xr:uid="{946C1B3D-020D-4DF5-B71D-7B4D81AFFD24}">
      <text>
        <r>
          <rPr>
            <b/>
            <sz val="9"/>
            <color indexed="81"/>
            <rFont val="Tahoma"/>
            <family val="2"/>
            <charset val="186"/>
          </rPr>
          <t>Sarmīte Mūze:</t>
        </r>
        <r>
          <rPr>
            <sz val="9"/>
            <color indexed="81"/>
            <rFont val="Tahoma"/>
            <family val="2"/>
            <charset val="186"/>
          </rPr>
          <t xml:space="preserve">
Šis ir jāizņem no 0930 un jāliek 0982 algā.
</t>
        </r>
      </text>
    </comment>
    <comment ref="I269" authorId="0" shapeId="0" xr:uid="{8E156B36-9280-4A7C-B3CA-4623E2D9042F}">
      <text>
        <r>
          <rPr>
            <b/>
            <sz val="9"/>
            <color indexed="81"/>
            <rFont val="Tahoma"/>
            <family val="2"/>
            <charset val="186"/>
          </rPr>
          <t>Sarmīte Mūze:</t>
        </r>
        <r>
          <rPr>
            <sz val="9"/>
            <color indexed="81"/>
            <rFont val="Tahoma"/>
            <family val="2"/>
            <charset val="186"/>
          </rPr>
          <t xml:space="preserve">
Šis ir jāizņem no 0930 un jāliek 0982 algā.
</t>
        </r>
      </text>
    </comment>
    <comment ref="L269" authorId="0" shapeId="0" xr:uid="{1317EBA7-5FB4-4EA8-9C1A-BAE2B97F9351}">
      <text>
        <r>
          <rPr>
            <b/>
            <sz val="9"/>
            <color indexed="81"/>
            <rFont val="Tahoma"/>
            <family val="2"/>
            <charset val="186"/>
          </rPr>
          <t>Sarmīte Mūze:</t>
        </r>
        <r>
          <rPr>
            <sz val="9"/>
            <color indexed="81"/>
            <rFont val="Tahoma"/>
            <family val="2"/>
            <charset val="186"/>
          </rPr>
          <t xml:space="preserve">
Šis ir jāizņem no 0930 un jāliek 0982 algā.
</t>
        </r>
      </text>
    </comment>
    <comment ref="O269" authorId="0" shapeId="0" xr:uid="{761C8A54-C38E-4FAE-BB6E-18D97AC2B4BC}">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E26" authorId="0" shapeId="0" xr:uid="{CE98532C-7EBD-498A-AC2F-3A21F193B2A8}">
      <text>
        <r>
          <rPr>
            <b/>
            <sz val="9"/>
            <color indexed="81"/>
            <rFont val="Tahoma"/>
            <family val="2"/>
            <charset val="186"/>
          </rPr>
          <t>Sarmīte Mūze:</t>
        </r>
        <r>
          <rPr>
            <sz val="9"/>
            <color indexed="81"/>
            <rFont val="Tahoma"/>
            <family val="2"/>
            <charset val="186"/>
          </rPr>
          <t xml:space="preserve">
EUR 236'297 ĀND daļa
</t>
        </r>
      </text>
    </comment>
    <comment ref="N55" authorId="1" shapeId="0" xr:uid="{3A3908FF-BD7E-4721-9F79-C9388A307D3E}">
      <text>
        <r>
          <rPr>
            <b/>
            <sz val="9"/>
            <color indexed="81"/>
            <rFont val="Tahoma"/>
            <family val="2"/>
            <charset val="186"/>
          </rPr>
          <t>Baiba Kanča:</t>
        </r>
        <r>
          <rPr>
            <sz val="9"/>
            <color indexed="81"/>
            <rFont val="Tahoma"/>
            <family val="2"/>
            <charset val="186"/>
          </rPr>
          <t xml:space="preserve">
samazinās uz pusi</t>
        </r>
      </text>
    </comment>
    <comment ref="N57" authorId="1" shapeId="0" xr:uid="{B3BFEF98-93C2-4CDD-858E-0414441F1383}">
      <text>
        <r>
          <rPr>
            <b/>
            <sz val="9"/>
            <color indexed="81"/>
            <rFont val="Tahoma"/>
            <family val="2"/>
            <charset val="186"/>
          </rPr>
          <t>Baiba Kanča:</t>
        </r>
        <r>
          <rPr>
            <sz val="9"/>
            <color indexed="81"/>
            <rFont val="Tahoma"/>
            <family val="2"/>
            <charset val="186"/>
          </rPr>
          <t xml:space="preserve">
samazinās uz pusi
</t>
        </r>
      </text>
    </comment>
  </commentList>
</comments>
</file>

<file path=xl/sharedStrings.xml><?xml version="1.0" encoding="utf-8"?>
<sst xmlns="http://schemas.openxmlformats.org/spreadsheetml/2006/main" count="1254" uniqueCount="891">
  <si>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</si>
  <si>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</si>
  <si>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</si>
  <si>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</si>
  <si>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</si>
  <si>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</si>
  <si>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</si>
  <si>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</si>
  <si>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</si>
  <si>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</si>
  <si>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</si>
  <si>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</si>
  <si>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</si>
  <si>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</si>
  <si>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</si>
  <si>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</si>
  <si>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1., 2., 3., 4., 5.1.</t>
  </si>
  <si>
    <t>Nodokļu ieņēmumi</t>
  </si>
  <si>
    <t>1.1.1.0.</t>
  </si>
  <si>
    <t>1.</t>
  </si>
  <si>
    <t>Iedzīvotāju ienākuma nodoklis</t>
  </si>
  <si>
    <t>PB</t>
  </si>
  <si>
    <t>01.1.1.2.</t>
  </si>
  <si>
    <t>1.1.</t>
  </si>
  <si>
    <t>pārskata gada</t>
  </si>
  <si>
    <t>Precizēta summa apstiprinātajos MK Nr.191 11.04.2023</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</si>
  <si>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</si>
  <si>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</si>
  <si>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</si>
  <si>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</si>
  <si>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</si>
  <si>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</si>
  <si>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</si>
  <si>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</si>
  <si>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</si>
  <si>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</si>
  <si>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</si>
  <si>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</si>
  <si>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</si>
  <si>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</si>
  <si>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</si>
  <si>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</si>
  <si>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</si>
  <si>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</si>
  <si>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</si>
  <si>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</si>
  <si>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</si>
  <si>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</si>
  <si>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</si>
  <si>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</si>
  <si>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</si>
  <si>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</si>
  <si>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</si>
  <si>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</si>
  <si>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</si>
  <si>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</si>
  <si>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</si>
  <si>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</si>
  <si>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</si>
  <si>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</si>
  <si>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</si>
  <si>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</si>
  <si>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</si>
  <si>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</si>
  <si>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</si>
  <si>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</si>
  <si>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</si>
  <si>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</si>
  <si>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</si>
  <si>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</si>
  <si>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</si>
  <si>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</si>
  <si>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</si>
  <si>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</si>
  <si>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</si>
  <si>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</si>
  <si>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</si>
  <si>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</si>
  <si>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</si>
  <si>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</si>
  <si>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</si>
  <si>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</si>
  <si>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</si>
  <si>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</si>
  <si>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</si>
  <si>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</si>
  <si>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</si>
  <si>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</si>
  <si>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</si>
  <si>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</si>
  <si>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</si>
  <si>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</si>
  <si>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</si>
  <si>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</si>
  <si>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</si>
  <si>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</si>
  <si>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</si>
  <si>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</si>
  <si>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</si>
  <si>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</si>
  <si>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</si>
  <si>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</si>
  <si>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</si>
  <si>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</si>
  <si>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</si>
  <si>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</si>
  <si>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</si>
  <si>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</si>
  <si>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</si>
  <si>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</si>
  <si>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</si>
  <si>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</si>
  <si>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</si>
  <si>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</si>
  <si>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</si>
  <si>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</si>
  <si>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</si>
  <si>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</si>
  <si>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</si>
  <si>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</si>
  <si>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</si>
  <si>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</si>
  <si>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</si>
  <si>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</si>
  <si>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</si>
  <si>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</si>
  <si>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</si>
  <si>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</si>
  <si>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</si>
  <si>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</si>
  <si>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</si>
  <si>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</si>
  <si>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</si>
  <si>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</si>
  <si>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</si>
  <si>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</si>
  <si>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</si>
  <si>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</si>
  <si>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</si>
  <si>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</si>
  <si>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</si>
  <si>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</si>
  <si>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</si>
  <si>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</si>
  <si>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</si>
  <si>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</si>
  <si>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</si>
  <si>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</si>
  <si>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</si>
  <si>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</si>
  <si>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</si>
  <si>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</si>
  <si>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</si>
  <si>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</si>
  <si>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</si>
  <si>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</si>
  <si>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</si>
  <si>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</si>
  <si>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</si>
  <si>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</si>
  <si>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</si>
  <si>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</si>
  <si>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</si>
  <si>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</si>
  <si>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</si>
  <si>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</si>
  <si>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</si>
  <si>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</si>
  <si>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</si>
  <si>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</si>
  <si>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</si>
  <si>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</si>
  <si>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</si>
  <si>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</si>
  <si>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</si>
  <si>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</si>
  <si>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</si>
  <si>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</si>
  <si>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</si>
  <si>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</si>
  <si>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</si>
  <si>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</si>
  <si>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</si>
  <si>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0630</t>
  </si>
  <si>
    <t>18.6.2.9.;</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</si>
  <si>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</si>
  <si>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</si>
  <si>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</si>
  <si>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</si>
  <si>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</si>
  <si>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</si>
  <si>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</si>
  <si>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</si>
  <si>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</si>
  <si>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</si>
  <si>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</si>
  <si>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</si>
  <si>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</si>
  <si>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</si>
  <si>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18.6.3.4</t>
  </si>
  <si>
    <t>10.2.4.</t>
  </si>
  <si>
    <t>Auto stāvlaukuma Lilastē paplašināšanas un atpūtas vietu labiekārtojuma projektēšana un izbūve ©</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</si>
  <si>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</si>
  <si>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</si>
  <si>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</si>
  <si>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</si>
  <si>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</si>
  <si>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</si>
  <si>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</si>
  <si>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</si>
  <si>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</si>
  <si>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</si>
  <si>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</si>
  <si>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</si>
  <si>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</si>
  <si>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</si>
  <si>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</si>
  <si>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</si>
  <si>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</si>
  <si>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</si>
  <si>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</si>
  <si>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</si>
  <si>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</si>
  <si>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</si>
  <si>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</si>
  <si>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10.2.15.</t>
  </si>
  <si>
    <t>ES projekts Eiropa pilsoņiem (diskriminētām personām) ©</t>
  </si>
  <si>
    <t>10.2.16.</t>
  </si>
  <si>
    <t>ERASMUS + projekti</t>
  </si>
  <si>
    <t>Precizēta projekta NP</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</si>
  <si>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</si>
  <si>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</si>
  <si>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</si>
  <si>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</si>
  <si>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</si>
  <si>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</si>
  <si>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10.2.20.</t>
  </si>
  <si>
    <t>EKII projekts</t>
  </si>
  <si>
    <t>10.2.21.</t>
  </si>
  <si>
    <t>Katlu mājas pārbūve Carnikavā, Tulpju iela 5</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</si>
  <si>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</si>
  <si>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</si>
  <si>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</si>
  <si>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</si>
  <si>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</si>
  <si>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</si>
  <si>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</si>
  <si>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</si>
  <si>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</si>
  <si>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</si>
  <si>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</si>
  <si>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</si>
  <si>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</si>
  <si>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</si>
  <si>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</si>
  <si>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</si>
  <si>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</si>
  <si>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</si>
  <si>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</si>
  <si>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</si>
  <si>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</si>
  <si>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</si>
  <si>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</si>
  <si>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</si>
  <si>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</si>
  <si>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</si>
  <si>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</si>
  <si>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</si>
  <si>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</si>
  <si>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</si>
  <si>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</si>
  <si>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</si>
  <si>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</si>
  <si>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</si>
  <si>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</si>
  <si>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</si>
  <si>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</si>
  <si>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</si>
  <si>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</si>
  <si>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</si>
  <si>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</si>
  <si>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</si>
  <si>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</si>
  <si>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</si>
  <si>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</si>
  <si>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12.4.2.</t>
  </si>
  <si>
    <t>ieņēmumi no biļešu realizācijas</t>
  </si>
  <si>
    <t>12.4.3.</t>
  </si>
  <si>
    <t>ieņēmumi no dzīvokļu un komunālajiem pakalpojumiem ©</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</si>
  <si>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</si>
  <si>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</si>
  <si>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</si>
  <si>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</si>
  <si>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</si>
  <si>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</si>
  <si>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</si>
  <si>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</si>
  <si>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</si>
  <si>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</si>
  <si>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</si>
  <si>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</si>
  <si>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</si>
  <si>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</si>
  <si>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</si>
  <si>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 xml:space="preserve"> "Auto stāvlaukuma Lilastē paplašināšana, atpūtas vietu, labiekārtojuma, labierīcību, kempinga iespēju projektēšana un izbūve" ©</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</si>
  <si>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</si>
  <si>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</si>
  <si>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</si>
  <si>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</si>
  <si>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</si>
  <si>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</si>
  <si>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</si>
  <si>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</si>
  <si>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</si>
  <si>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</si>
  <si>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</si>
  <si>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</si>
  <si>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</si>
  <si>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</si>
  <si>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</si>
  <si>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</si>
  <si>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</si>
  <si>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14.13.</t>
  </si>
  <si>
    <t>Liepu aleja</t>
  </si>
  <si>
    <t>Atbalstīta projekta realizācija</t>
  </si>
  <si>
    <t>14.14.</t>
  </si>
  <si>
    <t>Atpūtas ielas pārbūve</t>
  </si>
  <si>
    <t>Sākotnēji plānots no pašvaldības līdzekļiem, bet saskaņā ar likumu ir iespējams izmantot aizņēmuma līdzekļus.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</si>
  <si>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</si>
  <si>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</si>
  <si>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</si>
  <si>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</si>
  <si>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</si>
  <si>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</si>
  <si>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</si>
  <si>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</si>
  <si>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</si>
  <si>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</si>
  <si>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</si>
  <si>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</si>
  <si>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</si>
  <si>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</si>
  <si>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</si>
  <si>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</si>
  <si>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</si>
  <si>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</si>
  <si>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</si>
  <si>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</si>
  <si>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</si>
  <si>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</si>
  <si>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</si>
  <si>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</si>
  <si>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</si>
  <si>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</si>
  <si>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</si>
  <si>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</si>
  <si>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</si>
  <si>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</si>
  <si>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</si>
  <si>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</si>
  <si>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</si>
  <si>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</si>
  <si>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</si>
  <si>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</si>
  <si>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</si>
  <si>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</si>
  <si>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</si>
  <si>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</si>
  <si>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</si>
  <si>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</si>
  <si>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</si>
  <si>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</si>
  <si>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</si>
  <si>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</si>
  <si>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</si>
  <si>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</si>
  <si>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</si>
  <si>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</si>
  <si>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</si>
  <si>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</si>
  <si>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</si>
  <si>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</si>
  <si>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</si>
  <si>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</si>
  <si>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</si>
  <si>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</si>
  <si>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</si>
  <si>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</si>
  <si>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</si>
  <si>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</si>
  <si>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</si>
  <si>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</si>
  <si>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</si>
  <si>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</si>
  <si>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</si>
  <si>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</si>
  <si>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</si>
  <si>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</si>
  <si>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</si>
  <si>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</si>
  <si>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</si>
  <si>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</si>
  <si>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</si>
  <si>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</si>
  <si>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</si>
  <si>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</si>
  <si>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 xml:space="preserve">  ES Padomes projekts LIFE COHABIT ©</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</si>
  <si>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</si>
  <si>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</si>
  <si>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</si>
  <si>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</si>
  <si>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</si>
  <si>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</si>
  <si>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</si>
  <si>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</si>
  <si>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6.5.</t>
  </si>
  <si>
    <t>Objektu un teritorijas apsaimniekošana un uzturēšana</t>
  </si>
  <si>
    <t>6.5.1.</t>
  </si>
  <si>
    <t>Nekustamo īpašumu uzturēšana (Ā)</t>
  </si>
  <si>
    <t>0670</t>
  </si>
  <si>
    <t xml:space="preserve">Nekustamā īpašumas nodaļa </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</si>
  <si>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</si>
  <si>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</si>
  <si>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</si>
  <si>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</si>
  <si>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</si>
  <si>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</si>
  <si>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</si>
  <si>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</si>
  <si>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</si>
  <si>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</si>
  <si>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</si>
  <si>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</si>
  <si>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</si>
  <si>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6.5.5.2.</t>
  </si>
  <si>
    <t>Dotācija CKS ceļu uzturēšanai</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</si>
  <si>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</si>
  <si>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</si>
  <si>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</si>
  <si>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2) Saskaņā ar līdzfinansējuma vērtēšanas komisijas ierosinājumu palielināt finanšu apjomu par EUR 20'000 daudzdzīvokļu māju siltināšanas līdzfinansējumam.</t>
  </si>
  <si>
    <t>0650_4</t>
  </si>
  <si>
    <t>6.5.6.</t>
  </si>
  <si>
    <t>Ceļu, ielu infrastruktūras attīstības programma  - pašvaldības ieguldījums ©</t>
  </si>
  <si>
    <t>0633.3</t>
  </si>
  <si>
    <t>6.5.7.</t>
  </si>
  <si>
    <t>6.5.8.</t>
  </si>
  <si>
    <t>Rasiņu ielas seguma atjaunošana</t>
  </si>
  <si>
    <t>Realizēs caur Domes līgumu</t>
  </si>
  <si>
    <t>6.5.9.</t>
  </si>
  <si>
    <t>1) EUR 27'000 no Ķiršu ielas būvniecības plānotās summas Krastupes ielas projektēšanai. (Jūnija palielinājums EUR 57'326 no 0645/5240 uz 0645/7230)</t>
  </si>
  <si>
    <t>6.5.10.</t>
  </si>
  <si>
    <r>
      <t xml:space="preserve">1) EUR 8'000 no Draudzības ielas būvniecības plānotās summas Krastupes ielas projektēšanai.
</t>
    </r>
    <r>
      <rPr>
        <sz val="11"/>
        <color rgb="FFFF0000"/>
        <rFont val="Times New Roman"/>
        <family val="1"/>
        <charset val="186"/>
      </rPr>
      <t>2) EUR 7'875 no Draudzības ielas būvniecības plānotās summas Kalngales NAI pārbūvei.</t>
    </r>
  </si>
  <si>
    <t>6.5.11.</t>
  </si>
  <si>
    <t>1) EUR 54'000 no Liepu ielas būvniecības plānotās summas Kalngales NAI pārbūvei.
2) EUR 7'875 no Draudzības ielas būvniecības plānotās summas Kalngales NAI pārbūvei.</t>
  </si>
  <si>
    <t>6.5.12.</t>
  </si>
  <si>
    <t>6.5.13.</t>
  </si>
  <si>
    <t>0633.4</t>
  </si>
  <si>
    <t>6.5.14.</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</si>
  <si>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</si>
  <si>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</si>
  <si>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</si>
  <si>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</si>
  <si>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</si>
  <si>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</si>
  <si>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</si>
  <si>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</si>
  <si>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</si>
  <si>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</si>
  <si>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</si>
  <si>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</si>
  <si>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</si>
  <si>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</si>
  <si>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</si>
  <si>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</si>
  <si>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</si>
  <si>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</si>
  <si>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</si>
  <si>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</si>
  <si>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</si>
  <si>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</si>
  <si>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</si>
  <si>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</si>
  <si>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</si>
  <si>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</si>
  <si>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</si>
  <si>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</si>
  <si>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</si>
  <si>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</si>
  <si>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</si>
  <si>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</si>
  <si>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</si>
  <si>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</si>
  <si>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</si>
  <si>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</si>
  <si>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</si>
  <si>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</si>
  <si>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</si>
  <si>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</si>
  <si>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</si>
  <si>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</si>
  <si>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</si>
  <si>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</si>
  <si>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</si>
  <si>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</si>
  <si>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</si>
  <si>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</si>
  <si>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</si>
  <si>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</si>
  <si>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</si>
  <si>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</si>
  <si>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</si>
  <si>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</si>
  <si>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</si>
  <si>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</si>
  <si>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</si>
  <si>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</si>
  <si>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</si>
  <si>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</si>
  <si>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</si>
  <si>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</si>
  <si>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</si>
  <si>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</si>
  <si>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</si>
  <si>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</si>
  <si>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</si>
  <si>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</si>
  <si>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</si>
  <si>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</si>
  <si>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</si>
  <si>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</si>
  <si>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</si>
  <si>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</si>
  <si>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</si>
  <si>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</si>
  <si>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</si>
  <si>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</si>
  <si>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</si>
  <si>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</si>
  <si>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</si>
  <si>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</si>
  <si>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</si>
  <si>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</si>
  <si>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</si>
  <si>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</si>
  <si>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</si>
  <si>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</si>
  <si>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</si>
  <si>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</si>
  <si>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</si>
  <si>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</si>
  <si>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</si>
  <si>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</si>
  <si>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</si>
  <si>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</si>
  <si>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</si>
  <si>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</si>
  <si>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</si>
  <si>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</si>
  <si>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</si>
  <si>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</si>
  <si>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0902; 650_0902</t>
  </si>
  <si>
    <t>9.5.</t>
  </si>
  <si>
    <t>Pirmsskolas izglītības iestādes "Piejūra"</t>
  </si>
  <si>
    <t>09021</t>
  </si>
  <si>
    <t>9.5.1.</t>
  </si>
  <si>
    <t>9.5.2.</t>
  </si>
  <si>
    <t>EUR 2000 uz PII Piejūra - balva par energotaupības rezultātiem</t>
  </si>
  <si>
    <t>9.5.3.</t>
  </si>
  <si>
    <t>9.6.</t>
  </si>
  <si>
    <t>Privātās izglītības iestādes</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</si>
  <si>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</si>
  <si>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</si>
  <si>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</si>
  <si>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</si>
  <si>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</si>
  <si>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</si>
  <si>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</si>
  <si>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</si>
  <si>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</si>
  <si>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</si>
  <si>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</si>
  <si>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</si>
  <si>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</si>
  <si>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</si>
  <si>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</si>
  <si>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</si>
  <si>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</si>
  <si>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09822</t>
  </si>
  <si>
    <t>9.7.5.</t>
  </si>
  <si>
    <t>projekts "Skolas soma"</t>
  </si>
  <si>
    <t>09825</t>
  </si>
  <si>
    <t>9.7.6.</t>
  </si>
  <si>
    <t>projekts Erasmus+</t>
  </si>
  <si>
    <t>0982</t>
  </si>
  <si>
    <t>9.7.7.</t>
  </si>
  <si>
    <t>mācību vides labiekārtošana</t>
  </si>
  <si>
    <t>09823</t>
  </si>
  <si>
    <t>9.8.</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</si>
  <si>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</si>
  <si>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</si>
  <si>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</si>
  <si>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</si>
  <si>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</si>
  <si>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</si>
  <si>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</si>
  <si>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</si>
  <si>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0957</t>
  </si>
  <si>
    <t>9.9.3.</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</si>
  <si>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</si>
  <si>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</si>
  <si>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</si>
  <si>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</si>
  <si>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</si>
  <si>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</si>
  <si>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</si>
  <si>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</si>
  <si>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</si>
  <si>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</si>
  <si>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</si>
  <si>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</si>
  <si>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</si>
  <si>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</si>
  <si>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</si>
  <si>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</si>
  <si>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</si>
  <si>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</si>
  <si>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</si>
  <si>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</si>
  <si>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</si>
  <si>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</si>
  <si>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</si>
  <si>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</si>
  <si>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</si>
  <si>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</si>
  <si>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</si>
  <si>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</si>
  <si>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</si>
  <si>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</si>
  <si>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</si>
  <si>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</si>
  <si>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</si>
  <si>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9.13.</t>
  </si>
  <si>
    <t>Līdzfinansējums skolēnu dalībai konkursos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</si>
  <si>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</si>
  <si>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</si>
  <si>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</si>
  <si>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</si>
  <si>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</si>
  <si>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</si>
  <si>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</si>
  <si>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</si>
  <si>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</si>
  <si>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</si>
  <si>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</si>
  <si>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</si>
  <si>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</si>
  <si>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</si>
  <si>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</si>
  <si>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</si>
  <si>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</si>
  <si>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</si>
  <si>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</si>
  <si>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</si>
  <si>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</si>
  <si>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</si>
  <si>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</si>
  <si>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</si>
  <si>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Aizdevumu pamatsummu un procentu atmaksa faktiskajiem un plānotajiem aizņēmumiem.</t>
  </si>
  <si>
    <t>Aizdevuma mērķis</t>
  </si>
  <si>
    <t>Līguma dat.</t>
  </si>
  <si>
    <t>Līguma termiņš</t>
  </si>
  <si>
    <t>Līgumsumma EUR</t>
  </si>
  <si>
    <t>Veids</t>
  </si>
  <si>
    <t>Kopā 2023. gadā</t>
  </si>
  <si>
    <t>Kopā 2024. gadā</t>
  </si>
  <si>
    <t>Kopā 2025. gadā</t>
  </si>
  <si>
    <t>Kopā 2026. gadā</t>
  </si>
  <si>
    <t>Kopā 2027. gadā</t>
  </si>
  <si>
    <t>Kopā 2028. gadā</t>
  </si>
  <si>
    <t>Kopā 2029. gadā</t>
  </si>
  <si>
    <t>No 2030. - 2051.</t>
  </si>
  <si>
    <t>Kopsumma no 2023. - 2051.</t>
  </si>
  <si>
    <t>Stabilizācijas aizdevums -</t>
  </si>
  <si>
    <t>11.04.2011.</t>
  </si>
  <si>
    <t>20.04.2036.</t>
  </si>
  <si>
    <t>pamats.</t>
  </si>
  <si>
    <t>1.kārtas 2.posms</t>
  </si>
  <si>
    <t>%</t>
  </si>
  <si>
    <t>20.12.2031.</t>
  </si>
  <si>
    <t xml:space="preserve"> 1.kārtas 3.posms</t>
  </si>
  <si>
    <t>Stabilizācijas aizdevums - 2.k. 1.p.</t>
  </si>
  <si>
    <t>25.03.2032.</t>
  </si>
  <si>
    <t>Kohēzijas projekts</t>
  </si>
  <si>
    <t>Stabilizācijas aizdevums - 2.k. 2.p.</t>
  </si>
  <si>
    <t>25.11.2023.</t>
  </si>
  <si>
    <t>Kohēzijas projekts II kārta</t>
  </si>
  <si>
    <t xml:space="preserve">Gaujas ielas rekonstrukcija </t>
  </si>
  <si>
    <t>19.05.2017.</t>
  </si>
  <si>
    <t>20.05.2032.</t>
  </si>
  <si>
    <t>1.-3.kārta</t>
  </si>
  <si>
    <t>Gaujas ielas rekonstrukcijai</t>
  </si>
  <si>
    <t>21.08.2017.</t>
  </si>
  <si>
    <t>20.08.2032.</t>
  </si>
  <si>
    <t>4.kārta</t>
  </si>
  <si>
    <t>Ādažu vidusskolas remonts</t>
  </si>
  <si>
    <t>04.07.2017.</t>
  </si>
  <si>
    <t>20.06.2023</t>
  </si>
  <si>
    <t>30.08.2017.</t>
  </si>
  <si>
    <t>88'266+46'627</t>
  </si>
  <si>
    <t>Jaunās skolas būvniecībai</t>
  </si>
  <si>
    <t>03.04.2018.</t>
  </si>
  <si>
    <t>20.06.2048.</t>
  </si>
  <si>
    <t>Būvniecība 1.,2.kārta</t>
  </si>
  <si>
    <t>29.04.2020.</t>
  </si>
  <si>
    <t>20.04.2048.</t>
  </si>
  <si>
    <t>Būvniecība 3.kārta izsniegts</t>
  </si>
  <si>
    <t>Gaujas ielas gājēju celiņa izbūve</t>
  </si>
  <si>
    <t>04.07.2022.</t>
  </si>
  <si>
    <t>20.06.2027.</t>
  </si>
  <si>
    <t>Muižas ielas rekonstrukcijai</t>
  </si>
  <si>
    <t>10.10.2018.</t>
  </si>
  <si>
    <t>20.09.2028.</t>
  </si>
  <si>
    <t>Ataru ceļa rekonstrukcija</t>
  </si>
  <si>
    <t>SAM 4.2.2. ĀPII</t>
  </si>
  <si>
    <t>09.10.2019.</t>
  </si>
  <si>
    <t>20.09.2034.</t>
  </si>
  <si>
    <t>Remontdarbi</t>
  </si>
  <si>
    <t xml:space="preserve">SAM 5.1.1. Pretplūdu pasākumi </t>
  </si>
  <si>
    <t xml:space="preserve">Ādažu centra polderī, Ādažu novadā </t>
  </si>
  <si>
    <t>31.05.2022.</t>
  </si>
  <si>
    <t>20.05.2037.</t>
  </si>
  <si>
    <t xml:space="preserve">ERAF projekta (Nr.5.1.1.0/17/I/009) “Novērst plūdu un krasta erozijas </t>
  </si>
  <si>
    <t>23.12.2022.</t>
  </si>
  <si>
    <t>21.12.2037.</t>
  </si>
  <si>
    <t>risku apdraudējumu Ādažu novadā, pirmā daļa” īstenošanai</t>
  </si>
  <si>
    <t>Attekas ielas rekonstrukcija</t>
  </si>
  <si>
    <t>12.09.2018.</t>
  </si>
  <si>
    <t>20.09.2033.</t>
  </si>
  <si>
    <t xml:space="preserve">SAM 9311 Deinstitucionalizācija - </t>
  </si>
  <si>
    <t>02.12.2021.</t>
  </si>
  <si>
    <t>20.11.2040.</t>
  </si>
  <si>
    <t>Dienas centrs</t>
  </si>
  <si>
    <t xml:space="preserve"> Bukultu ielas rekonstrukcija</t>
  </si>
  <si>
    <t>13.10.2020.</t>
  </si>
  <si>
    <t>22.09.2025.</t>
  </si>
  <si>
    <t>03.11.2020.</t>
  </si>
  <si>
    <t>Ķiršu ielas rekonstrukcija</t>
  </si>
  <si>
    <t>20.11.2031.</t>
  </si>
  <si>
    <t>Pirmās ielas stāvlaukums pie ĀPII</t>
  </si>
  <si>
    <t>14.10.2021.</t>
  </si>
  <si>
    <t>21.09.2026.</t>
  </si>
  <si>
    <t>Mežaparka ceļa pārbūve</t>
  </si>
  <si>
    <t>Priežu ielas rekonstrukcija</t>
  </si>
  <si>
    <t xml:space="preserve">Skolas siltināšana un stadiona </t>
  </si>
  <si>
    <t>03.08.2022.</t>
  </si>
  <si>
    <t>20.07.2032.</t>
  </si>
  <si>
    <t>rekonstrukcija</t>
  </si>
  <si>
    <t xml:space="preserve">Skolas ielas projektēšana izbūve - </t>
  </si>
  <si>
    <t>20.07.2022.</t>
  </si>
  <si>
    <t>20.07.2027.</t>
  </si>
  <si>
    <t>3.kārta</t>
  </si>
  <si>
    <t>Pārjaunojuma līgums visiem līgumiem līdz 2015.gadam</t>
  </si>
  <si>
    <t>05.03.2019.</t>
  </si>
  <si>
    <t>20.09.2035.</t>
  </si>
  <si>
    <t>Investīciju projektu īstenošanai (saistību pārjaunojums) Nr.A2/1/21/139 Trančes Nr.PP-14/2021</t>
  </si>
  <si>
    <t>26.04.2021.</t>
  </si>
  <si>
    <t>21.06.2038.</t>
  </si>
  <si>
    <t xml:space="preserve">ELFLA projekts pievadceļu attīstība lauksaimniecības uzņēmumiem </t>
  </si>
  <si>
    <t>05.04.2018.</t>
  </si>
  <si>
    <t>22.03.2038.</t>
  </si>
  <si>
    <t xml:space="preserve">Komunālās saimniecības investīcijas transportam </t>
  </si>
  <si>
    <t>28.05.2018.</t>
  </si>
  <si>
    <t>20.05.2025.</t>
  </si>
  <si>
    <t>Būvprojekta "Kultūras un amatniecības centra pārbūve īpašumā "Blusas"" izstrāde</t>
  </si>
  <si>
    <t>22.05.2023.</t>
  </si>
  <si>
    <t>ERAF projekts Natura 2000 Atpūtas taka Carnikavā</t>
  </si>
  <si>
    <t>20.05.2038.</t>
  </si>
  <si>
    <t>ES Interreg Igaunijas - Latvijas projekts "Hiking Route Along the Baltic Sea Coastline in Latvia-Estonia"</t>
  </si>
  <si>
    <t>20.05.2033.</t>
  </si>
  <si>
    <t>Ceļu, ielu infrastruktūras programma1.kārta</t>
  </si>
  <si>
    <t>Prioritāro projektu īstenošana: bērnu rotaļu laukumi Carnikavas novadā</t>
  </si>
  <si>
    <t>12.07.2018.</t>
  </si>
  <si>
    <t>20.06.2028.</t>
  </si>
  <si>
    <t>Izglītības iestāžu investīciju projekts - Carnikavas izglītības iestādes būvniecība no moduļiem</t>
  </si>
  <si>
    <t>03.08.2018.</t>
  </si>
  <si>
    <t>20.07.2048.</t>
  </si>
  <si>
    <t>Izglītības iestāžu investīciju projekts - Piejūras PII būvniecība</t>
  </si>
  <si>
    <t>Ceļu, ielu infrastruktūras programma 2.kārta</t>
  </si>
  <si>
    <t>04.09.2018.</t>
  </si>
  <si>
    <t>20.08.2038.</t>
  </si>
  <si>
    <t>Ceļu, ielu infrastruktūras programma 3.kārta</t>
  </si>
  <si>
    <t>Ceļu, ielu infrastruktūras programma 4.kārta</t>
  </si>
  <si>
    <t>12.11.2018.</t>
  </si>
  <si>
    <t>20.10.2038.</t>
  </si>
  <si>
    <t xml:space="preserve">Prioritārais projekts Dambja būvniecība Valteru ielā </t>
  </si>
  <si>
    <t>21.11.2018.</t>
  </si>
  <si>
    <t>22.11.2038.</t>
  </si>
  <si>
    <t>ELFLA Eimuru - Mangaļu poldera meliorācijas grāvju atjaunošana Carnikavas novadā</t>
  </si>
  <si>
    <t>06.03.2019.</t>
  </si>
  <si>
    <t>20.02.2029.</t>
  </si>
  <si>
    <t>ERAF projekta SAM 3.3.1. Uzņēmējdarbības attīstībai nepieciešamās infrastruktūras attīstībai Carnikavas novada Garciemā" īstenošanai</t>
  </si>
  <si>
    <t>13.06.2019.</t>
  </si>
  <si>
    <t>20.05.2049.</t>
  </si>
  <si>
    <t>SAM 5.5.1. Kultūras objektu būvniecība</t>
  </si>
  <si>
    <t>11.12.2019.</t>
  </si>
  <si>
    <t>21.11.2039.</t>
  </si>
  <si>
    <t>Carnikavas novada pašvaldības transporta infrstruktūras attīstība</t>
  </si>
  <si>
    <t>01.10.2020.</t>
  </si>
  <si>
    <t>20.09.2040.</t>
  </si>
  <si>
    <t>KF projekts "Ūdenssaimniecības pakalpojumu attīstība Carnikavā III kārta"</t>
  </si>
  <si>
    <t>20.09.2050.</t>
  </si>
  <si>
    <t>ERAF "Carnikavas pamatskolas pārbūve"</t>
  </si>
  <si>
    <t>26.01.2021.</t>
  </si>
  <si>
    <t>20.01.2051.</t>
  </si>
  <si>
    <t>LAD  projekts koka laipu taka uz jūru</t>
  </si>
  <si>
    <t>20.01.2031.</t>
  </si>
  <si>
    <t>Budžeta un finanšu vadībai (Aprīkojums PII Piejūra)</t>
  </si>
  <si>
    <t>25.03.2021.</t>
  </si>
  <si>
    <t>20.03.2024.</t>
  </si>
  <si>
    <t>Stacijas ielas pārbūve</t>
  </si>
  <si>
    <t>30.04.2021.</t>
  </si>
  <si>
    <t>20.04.2051.</t>
  </si>
  <si>
    <t>Autostāvvietas izbūve Karlsona parkā, Garciemā, Carnikavas novadā</t>
  </si>
  <si>
    <t>27.05.2021.</t>
  </si>
  <si>
    <t>20.05.2041.</t>
  </si>
  <si>
    <t>Lielās ielas pārbūve</t>
  </si>
  <si>
    <t>PII Piejūra būvniecības pabeigšana</t>
  </si>
  <si>
    <t>08.04.2021.</t>
  </si>
  <si>
    <t>20.03.2051.</t>
  </si>
  <si>
    <t>Prioritārais projekts "PII "Piejūra" būvniecība"</t>
  </si>
  <si>
    <t>24.02.2021.</t>
  </si>
  <si>
    <t>20.02.2051.</t>
  </si>
  <si>
    <t>Carnikavas pamatskolas infrastruktūras uzlabošana un mācību vides labiekārtošana</t>
  </si>
  <si>
    <t>23.12.2021.</t>
  </si>
  <si>
    <t>21.12.2026.</t>
  </si>
  <si>
    <t>Aizvēju ielas Garciemā, dubultā virsmas apstrāde</t>
  </si>
  <si>
    <t>02.02.2022
08.08.2022</t>
  </si>
  <si>
    <t>22.07.2029.</t>
  </si>
  <si>
    <t>Laivu ielas (no Cēlāju ciema līdz jūrai Carnikavā) un tai piegulošā auto stāvlaukuma projektēšana un būvniecība</t>
  </si>
  <si>
    <t>20.01.2037.</t>
  </si>
  <si>
    <t>20.07.2023.</t>
  </si>
  <si>
    <t>Carnikavas stadiona rekonstrukcija (Prioritārais)</t>
  </si>
  <si>
    <t>20.11.2037.</t>
  </si>
  <si>
    <t>Carnikavas stadiona rekonstrukcija (Covid19)</t>
  </si>
  <si>
    <t>22.11.2032.</t>
  </si>
  <si>
    <t xml:space="preserve"> "Auto stāvlaukuma Lilastē paplašināšana, atpūtas vietu, labiekārtojuma, labierīcību, kempinga iespēju projektēšana un izbūve"</t>
  </si>
  <si>
    <t>09.05.2023.</t>
  </si>
  <si>
    <t>20.04.2024.</t>
  </si>
  <si>
    <t>26.06.2023.</t>
  </si>
  <si>
    <t>20.06.2038.</t>
  </si>
  <si>
    <t>Pamatsumma un % kopā:</t>
  </si>
  <si>
    <t>Aizņēmumu saistības kopā:</t>
  </si>
  <si>
    <t>Citas ilgtermiņa saistības.</t>
  </si>
  <si>
    <t>Saistību mērķis</t>
  </si>
  <si>
    <t>Galvojums SIA "Ādažu ūdens"</t>
  </si>
  <si>
    <t>03.2017.</t>
  </si>
  <si>
    <t>03.2032</t>
  </si>
  <si>
    <t xml:space="preserve">Līzings - jauna automašīna </t>
  </si>
  <si>
    <t>02.01.2020.</t>
  </si>
  <si>
    <t>30.12.2024.</t>
  </si>
  <si>
    <t>Volvo V60</t>
  </si>
  <si>
    <t>Līzings - frontālais iekrāvējs</t>
  </si>
  <si>
    <t>16.11.2020.</t>
  </si>
  <si>
    <t>20.11.2025.</t>
  </si>
  <si>
    <t>Līzings - mikroautobuss</t>
  </si>
  <si>
    <t>27.04.2021.</t>
  </si>
  <si>
    <t>27.04.2025.</t>
  </si>
  <si>
    <t>04.04.2022.</t>
  </si>
  <si>
    <t>20.03.2052.</t>
  </si>
  <si>
    <t>Līzings - skolēnu autobuss</t>
  </si>
  <si>
    <t>2023.</t>
  </si>
  <si>
    <t>Kopā citas ilgtermiņa saistības Ādaži:</t>
  </si>
  <si>
    <t>Aizdevumi un citas ilgtemiņa sistības kopā:</t>
  </si>
  <si>
    <t>x</t>
  </si>
  <si>
    <t>Saistību apmērs % no pamatbudžeta ieņēmumiem</t>
  </si>
  <si>
    <t>Max saistību papildus summa</t>
  </si>
  <si>
    <t>Kopējais saistību  summa</t>
  </si>
  <si>
    <t xml:space="preserve">Pašvaldības pamatbudžeta ieņēmumi bez mērķdotācijām un iemaksām pašvaldību </t>
  </si>
  <si>
    <t>finanšu  izlīdzināšanas fondā saimnieciskajā gadā:</t>
  </si>
  <si>
    <t>2023. gadā</t>
  </si>
  <si>
    <t>2024. gadā</t>
  </si>
  <si>
    <t xml:space="preserve"> 2025. gadā</t>
  </si>
  <si>
    <t>2026. gadā</t>
  </si>
  <si>
    <t>2027. gadā</t>
  </si>
  <si>
    <t xml:space="preserve"> 2028. gadā</t>
  </si>
  <si>
    <t>2029. gadā</t>
  </si>
  <si>
    <t>Aizņēmumu pamatsummas atmaksa - kopā</t>
  </si>
  <si>
    <t>Aizņēmumu procentu maksājumi - kopā</t>
  </si>
  <si>
    <t>Galvojumi un citas ilgtermiņa saistības - kopā:</t>
  </si>
  <si>
    <r>
      <t xml:space="preserve">1) EUR 50'000 no Dadzīšu ielas projektēšanas plānotās summas Krastupes ielas projektēšanai.
2) EUR 25'175 Atpūtas ielas rekonstrukcijai (Indikatīvās būvdarbu izmaksas saskaņā ar lēmumu)
</t>
    </r>
    <r>
      <rPr>
        <sz val="11"/>
        <color rgb="FFFF0000"/>
        <rFont val="Times New Roman"/>
        <family val="1"/>
        <charset val="186"/>
      </rPr>
      <t>3) EUR 54'000 no Liepu ielas būvniecības plānotās summas Kalngales NAI pārbūvei.</t>
    </r>
    <r>
      <rPr>
        <sz val="11"/>
        <rFont val="Times New Roman"/>
        <family val="1"/>
        <charset val="186"/>
      </rPr>
      <t xml:space="preserve">
</t>
    </r>
    <r>
      <rPr>
        <sz val="11"/>
        <color rgb="FFFF0000"/>
        <rFont val="Times New Roman"/>
        <family val="1"/>
        <charset val="186"/>
      </rPr>
      <t>4) CKS grozījumi, kur pārceļam EUR 3700 uz pamatskolas budžetu, lai samaksātu virsstundas ēkas dežurantam, kas veidojas aokalpojot telpu nomniekus.</t>
    </r>
  </si>
  <si>
    <t>CKS grozījumi, kur pārceļam EUR 3700 uz pamatskolas budžetu, lai samaksātu virsstundas ēkas dežurantam, kas veidojas aokalpojot telpu nomniekus.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</si>
</sst>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00%"/>
    <numFmt numFmtId="167" formatCode="#,##0.000"/>
  </numFmts>
  <fonts count="50"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rgb="FFFF0000"/>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0"/>
      <name val="Times New Roman"/>
      <family val="1"/>
      <charset val="186"/>
    </font>
    <font>
      <sz val="9"/>
      <name val="Times New Roman"/>
      <family val="1"/>
      <charset val="186"/>
    </font>
    <font>
      <sz val="8"/>
      <name val="Times New Roman"/>
      <family val="1"/>
    </font>
    <font>
      <sz val="9"/>
      <color rgb="FFFF0000"/>
      <name val="Times New Roman"/>
      <family val="1"/>
      <charset val="186"/>
    </font>
    <font>
      <sz val="11"/>
      <name val="Calibri"/>
      <family val="2"/>
      <charset val="186"/>
      <scheme val="minor"/>
    </font>
    <font>
      <sz val="8"/>
      <name val="Times New Roman"/>
      <family val="1"/>
      <charset val="186"/>
    </font>
    <font>
      <b/>
      <sz val="9"/>
      <name val="Times New Roman"/>
      <family val="1"/>
      <charset val="186"/>
    </font>
    <font>
      <b/>
      <i/>
      <sz val="10"/>
      <name val="Times New Roman"/>
      <family val="1"/>
      <charset val="186"/>
    </font>
    <font>
      <b/>
      <sz val="9"/>
      <color rgb="FFFF0000"/>
      <name val="Times New Roman"/>
      <family val="1"/>
      <charset val="186"/>
    </font>
    <font>
      <b/>
      <sz val="8"/>
      <name val="Times New Roman"/>
      <family val="1"/>
      <charset val="186"/>
    </font>
    <font>
      <b/>
      <sz val="8"/>
      <color rgb="FFC00000"/>
      <name val="Times New Roman"/>
      <family val="1"/>
      <charset val="186"/>
    </font>
    <font>
      <i/>
      <sz val="8"/>
      <name val="Times New Roman"/>
      <family val="1"/>
      <charset val="186"/>
    </font>
    <font>
      <u/>
      <sz val="8"/>
      <color rgb="FFFF0000"/>
      <name val="Times New Roman"/>
      <family val="1"/>
      <charset val="186"/>
    </font>
    <font>
      <i/>
      <sz val="8"/>
      <name val="Times New Roman"/>
      <family val="1"/>
    </font>
    <font>
      <b/>
      <sz val="8"/>
      <color rgb="FFFF0000"/>
      <name val="Times New Roman"/>
      <family val="1"/>
      <charset val="186"/>
    </font>
    <font>
      <b/>
      <sz val="10"/>
      <name val="Times New Roman"/>
      <family val="1"/>
    </font>
    <font>
      <b/>
      <sz val="10"/>
      <name val="Arial"/>
      <family val="2"/>
      <charset val="186"/>
    </font>
    <font>
      <b/>
      <sz val="10"/>
      <color theme="1"/>
      <name val="Calibri"/>
      <family val="2"/>
      <charset val="186"/>
      <scheme val="minor"/>
    </font>
    <font>
      <b/>
      <sz val="9"/>
      <color theme="3"/>
      <name val="Times New Roman"/>
      <family val="1"/>
      <charset val="186"/>
    </font>
    <font>
      <b/>
      <i/>
      <sz val="9"/>
      <color theme="3"/>
      <name val="Times New Roman"/>
      <family val="1"/>
      <charset val="186"/>
    </font>
    <font>
      <i/>
      <sz val="9"/>
      <color indexed="56"/>
      <name val="Times New Roman"/>
      <family val="1"/>
      <charset val="186"/>
    </font>
    <font>
      <b/>
      <sz val="10"/>
      <color indexed="56"/>
      <name val="Times New Roman"/>
      <family val="1"/>
      <charset val="186"/>
    </font>
    <font>
      <sz val="9"/>
      <color indexed="56"/>
      <name val="Times New Roman"/>
      <family val="1"/>
      <charset val="186"/>
    </font>
    <font>
      <b/>
      <sz val="9"/>
      <color indexed="56"/>
      <name val="Times New Roman"/>
      <family val="1"/>
      <charset val="186"/>
    </font>
    <font>
      <sz val="8"/>
      <color indexed="56"/>
      <name val="Times New Roman"/>
      <family val="1"/>
      <charset val="186"/>
    </font>
  </fonts>
  <fills count="16">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55"/>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55"/>
      </bottom>
      <diagonal/>
    </border>
    <border>
      <left style="medium">
        <color indexed="64"/>
      </left>
      <right style="medium">
        <color indexed="64"/>
      </right>
      <top/>
      <bottom/>
      <diagonal/>
    </border>
    <border>
      <left style="medium">
        <color indexed="64"/>
      </left>
      <right/>
      <top/>
      <bottom/>
      <diagonal/>
    </border>
    <border>
      <left style="thin">
        <color auto="1"/>
      </left>
      <right style="thin">
        <color auto="1"/>
      </right>
      <top/>
      <bottom style="thin">
        <color auto="1"/>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55"/>
      </bottom>
      <diagonal/>
    </border>
    <border>
      <left/>
      <right/>
      <top style="medium">
        <color indexed="64"/>
      </top>
      <bottom style="medium">
        <color indexed="64"/>
      </bottom>
      <diagonal/>
    </border>
  </borders>
  <cellStyleXfs count="17">
    <xf numFmtId="0" fontId="0"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43" fontId="6" fillId="0" borderId="0" applyFont="0" applyFill="0" applyBorder="0" applyAlignment="0" applyProtection="0"/>
    <xf numFmtId="0" fontId="11" fillId="0" borderId="0" applyNumberFormat="0" applyFill="0" applyBorder="0" applyAlignment="0" applyProtection="0"/>
    <xf numFmtId="0" fontId="12" fillId="0" borderId="0"/>
    <xf numFmtId="9" fontId="6" fillId="0" borderId="0" applyFont="0" applyFill="0" applyBorder="0" applyAlignment="0" applyProtection="0"/>
    <xf numFmtId="0" fontId="12" fillId="0" borderId="0"/>
    <xf numFmtId="43" fontId="12" fillId="0" borderId="0" applyFont="0" applyFill="0" applyBorder="0" applyAlignment="0" applyProtection="0"/>
    <xf numFmtId="43" fontId="6" fillId="0" borderId="0" applyFont="0" applyFill="0" applyBorder="0" applyAlignment="0" applyProtection="0"/>
    <xf numFmtId="0" fontId="1" fillId="0" borderId="0"/>
    <xf numFmtId="9" fontId="12" fillId="0" borderId="0" applyFont="0" applyFill="0" applyBorder="0" applyAlignment="0" applyProtection="0"/>
    <xf numFmtId="0" fontId="12" fillId="0" borderId="0"/>
    <xf numFmtId="0" fontId="6" fillId="0" borderId="0"/>
  </cellStyleXfs>
  <cellXfs count="389">
    <xf numFmtId="0" fontId="0" fillId="0" borderId="0" xfId="0"/>
    <xf numFmtId="0" fontId="3" fillId="0" borderId="0" xfId="3" applyFont="1"/>
    <xf numFmtId="0" fontId="4" fillId="0" borderId="0" xfId="4" applyFont="1"/>
    <xf numFmtId="0" fontId="3" fillId="0" borderId="0" xfId="3" applyFont="1" applyAlignment="1">
      <alignment wrapText="1"/>
    </xf>
    <xf numFmtId="3" fontId="3" fillId="0" borderId="0" xfId="3" applyNumberFormat="1" applyFont="1"/>
    <xf numFmtId="164" fontId="3" fillId="0" borderId="0" xfId="1" applyNumberFormat="1" applyFont="1" applyAlignment="1">
      <alignment wrapText="1"/>
    </xf>
    <xf numFmtId="9" fontId="3" fillId="0" borderId="0" xfId="5" applyFont="1" applyAlignment="1">
      <alignment wrapText="1"/>
    </xf>
    <xf numFmtId="164" fontId="3" fillId="0" borderId="0" xfId="1" applyNumberFormat="1" applyFont="1"/>
    <xf numFmtId="1" fontId="3" fillId="0" borderId="0" xfId="5" applyNumberFormat="1" applyFont="1" applyFill="1"/>
    <xf numFmtId="164" fontId="9" fillId="0" borderId="0" xfId="6" applyNumberFormat="1" applyFont="1"/>
    <xf numFmtId="164" fontId="9" fillId="0" borderId="0" xfId="1" applyNumberFormat="1" applyFont="1"/>
    <xf numFmtId="9" fontId="3" fillId="0" borderId="0" xfId="5" applyFont="1"/>
    <xf numFmtId="0" fontId="11" fillId="0" borderId="0" xfId="7"/>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9" fillId="0" borderId="3" xfId="5" applyFont="1" applyBorder="1" applyAlignment="1">
      <alignment horizontal="center" vertical="center" wrapText="1"/>
    </xf>
    <xf numFmtId="0" fontId="9" fillId="2" borderId="4" xfId="3" applyFont="1" applyFill="1" applyBorder="1"/>
    <xf numFmtId="0" fontId="9" fillId="2" borderId="5" xfId="3" applyFont="1" applyFill="1" applyBorder="1" applyAlignment="1">
      <alignment wrapText="1"/>
    </xf>
    <xf numFmtId="164" fontId="9" fillId="2" borderId="6" xfId="1" applyNumberFormat="1" applyFont="1" applyFill="1" applyBorder="1"/>
    <xf numFmtId="3" fontId="9" fillId="2" borderId="6" xfId="3" applyNumberFormat="1" applyFont="1" applyFill="1" applyBorder="1"/>
    <xf numFmtId="9" fontId="3" fillId="2" borderId="6" xfId="5" applyFont="1" applyFill="1" applyBorder="1" applyAlignment="1">
      <alignment wrapText="1"/>
    </xf>
    <xf numFmtId="0" fontId="9" fillId="3" borderId="4" xfId="3" quotePrefix="1" applyFont="1" applyFill="1" applyBorder="1"/>
    <xf numFmtId="0" fontId="9" fillId="3" borderId="5" xfId="3" applyFont="1" applyFill="1" applyBorder="1" applyAlignment="1">
      <alignment wrapText="1"/>
    </xf>
    <xf numFmtId="3" fontId="9" fillId="3" borderId="6" xfId="3" applyNumberFormat="1" applyFont="1" applyFill="1" applyBorder="1"/>
    <xf numFmtId="164" fontId="9" fillId="3" borderId="6" xfId="1" applyNumberFormat="1" applyFont="1" applyFill="1" applyBorder="1"/>
    <xf numFmtId="9" fontId="9" fillId="3" borderId="6" xfId="5" applyFont="1" applyFill="1" applyBorder="1"/>
    <xf numFmtId="0" fontId="13" fillId="0" borderId="0" xfId="3" applyFont="1"/>
    <xf numFmtId="0" fontId="3" fillId="0" borderId="7" xfId="3" applyFont="1" applyBorder="1" applyAlignment="1">
      <alignment horizontal="left" indent="1"/>
    </xf>
    <xf numFmtId="0" fontId="3" fillId="0" borderId="8" xfId="3" applyFont="1" applyBorder="1" applyAlignment="1">
      <alignment horizontal="left" wrapText="1" indent="2"/>
    </xf>
    <xf numFmtId="3" fontId="3" fillId="0" borderId="9" xfId="3" applyNumberFormat="1" applyFont="1" applyBorder="1"/>
    <xf numFmtId="164" fontId="3" fillId="0" borderId="9" xfId="1" applyNumberFormat="1" applyFont="1" applyBorder="1"/>
    <xf numFmtId="9" fontId="3" fillId="0" borderId="9" xfId="5" applyFont="1" applyFill="1" applyBorder="1"/>
    <xf numFmtId="3" fontId="7" fillId="0" borderId="9" xfId="3" applyNumberFormat="1" applyFont="1" applyBorder="1"/>
    <xf numFmtId="0" fontId="9" fillId="3" borderId="7" xfId="3" applyFont="1" applyFill="1" applyBorder="1"/>
    <xf numFmtId="0" fontId="9" fillId="3" borderId="8" xfId="3" applyFont="1" applyFill="1" applyBorder="1" applyAlignment="1">
      <alignment wrapText="1"/>
    </xf>
    <xf numFmtId="3" fontId="9" fillId="3" borderId="9" xfId="3" applyNumberFormat="1" applyFont="1" applyFill="1" applyBorder="1"/>
    <xf numFmtId="164" fontId="9" fillId="3" borderId="9" xfId="1" applyNumberFormat="1" applyFont="1" applyFill="1" applyBorder="1"/>
    <xf numFmtId="9" fontId="9" fillId="3" borderId="9" xfId="5" applyFont="1" applyFill="1" applyBorder="1"/>
    <xf numFmtId="9" fontId="3" fillId="0" borderId="9" xfId="5" applyFont="1" applyBorder="1"/>
    <xf numFmtId="9" fontId="3" fillId="0" borderId="10" xfId="5" applyFont="1" applyFill="1" applyBorder="1"/>
    <xf numFmtId="0" fontId="2" fillId="0" borderId="0" xfId="3"/>
    <xf numFmtId="9" fontId="3" fillId="0" borderId="10" xfId="5" applyFont="1" applyFill="1" applyBorder="1" applyAlignment="1">
      <alignment wrapText="1"/>
    </xf>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9" fontId="3" fillId="3" borderId="9" xfId="5" applyFont="1" applyFill="1" applyBorder="1" applyAlignment="1">
      <alignment wrapText="1"/>
    </xf>
    <xf numFmtId="0" fontId="3" fillId="4" borderId="8" xfId="3" applyFont="1" applyFill="1" applyBorder="1" applyAlignment="1">
      <alignment horizontal="left" wrapText="1" indent="2"/>
    </xf>
    <xf numFmtId="9" fontId="3" fillId="0" borderId="9" xfId="5" applyFont="1" applyFill="1" applyBorder="1" applyAlignment="1">
      <alignment wrapText="1"/>
    </xf>
    <xf numFmtId="9" fontId="7" fillId="0" borderId="9" xfId="5" applyFont="1" applyFill="1" applyBorder="1" applyAlignment="1">
      <alignment wrapText="1"/>
    </xf>
    <xf numFmtId="0" fontId="9" fillId="3" borderId="7" xfId="3" quotePrefix="1" applyFont="1" applyFill="1" applyBorder="1"/>
    <xf numFmtId="0" fontId="3" fillId="2" borderId="7" xfId="3" applyFont="1" applyFill="1" applyBorder="1" applyAlignment="1">
      <alignment horizontal="left" indent="1"/>
    </xf>
    <xf numFmtId="0" fontId="3" fillId="2" borderId="8" xfId="3" applyFont="1" applyFill="1" applyBorder="1" applyAlignment="1">
      <alignment horizontal="left" wrapText="1" indent="2"/>
    </xf>
    <xf numFmtId="3" fontId="3" fillId="2" borderId="9" xfId="3" applyNumberFormat="1" applyFont="1" applyFill="1" applyBorder="1"/>
    <xf numFmtId="3" fontId="3" fillId="5" borderId="9" xfId="3" applyNumberFormat="1" applyFont="1" applyFill="1" applyBorder="1"/>
    <xf numFmtId="164" fontId="3" fillId="5" borderId="9" xfId="1" applyNumberFormat="1" applyFont="1" applyFill="1" applyBorder="1"/>
    <xf numFmtId="3" fontId="3" fillId="5" borderId="9" xfId="3" applyNumberFormat="1" applyFont="1" applyFill="1" applyBorder="1" applyAlignment="1">
      <alignment wrapText="1"/>
    </xf>
    <xf numFmtId="3" fontId="14" fillId="6" borderId="9" xfId="3" applyNumberFormat="1" applyFont="1" applyFill="1" applyBorder="1"/>
    <xf numFmtId="164" fontId="14" fillId="6" borderId="9" xfId="1" applyNumberFormat="1" applyFont="1" applyFill="1" applyBorder="1"/>
    <xf numFmtId="9" fontId="14" fillId="6" borderId="9" xfId="5" applyFont="1" applyFill="1" applyBorder="1" applyAlignment="1">
      <alignment wrapText="1"/>
    </xf>
    <xf numFmtId="0" fontId="14" fillId="0" borderId="0" xfId="3" applyFont="1"/>
    <xf numFmtId="3" fontId="14" fillId="7" borderId="9" xfId="3" applyNumberFormat="1" applyFont="1" applyFill="1" applyBorder="1"/>
    <xf numFmtId="9" fontId="14" fillId="7" borderId="9" xfId="5" applyFont="1" applyFill="1" applyBorder="1"/>
    <xf numFmtId="0" fontId="3" fillId="0" borderId="0" xfId="3" quotePrefix="1" applyFont="1"/>
    <xf numFmtId="0" fontId="3" fillId="8" borderId="8" xfId="3" applyFont="1" applyFill="1" applyBorder="1" applyAlignment="1">
      <alignment horizontal="left" wrapText="1" indent="2"/>
    </xf>
    <xf numFmtId="164" fontId="3" fillId="2" borderId="9" xfId="1" applyNumberFormat="1" applyFont="1" applyFill="1" applyBorder="1"/>
    <xf numFmtId="9" fontId="3" fillId="2" borderId="9" xfId="5" applyFont="1" applyFill="1" applyBorder="1" applyAlignment="1">
      <alignment wrapText="1"/>
    </xf>
    <xf numFmtId="0" fontId="3" fillId="0" borderId="8" xfId="3" applyFont="1" applyBorder="1" applyAlignment="1">
      <alignment horizontal="left" wrapText="1" indent="3"/>
    </xf>
    <xf numFmtId="9" fontId="3" fillId="10" borderId="9" xfId="5" applyFont="1" applyFill="1" applyBorder="1" applyAlignment="1">
      <alignment wrapText="1"/>
    </xf>
    <xf numFmtId="0" fontId="16" fillId="0" borderId="0" xfId="3" applyFont="1"/>
    <xf numFmtId="9" fontId="3" fillId="0" borderId="13" xfId="5" applyFont="1" applyFill="1" applyBorder="1"/>
    <xf numFmtId="0" fontId="3" fillId="0" borderId="0" xfId="3" quotePrefix="1" applyFont="1" applyAlignment="1">
      <alignment wrapText="1"/>
    </xf>
    <xf numFmtId="0" fontId="3" fillId="8" borderId="8" xfId="3" applyFont="1" applyFill="1" applyBorder="1" applyAlignment="1">
      <alignment horizontal="left" wrapText="1" indent="3"/>
    </xf>
    <xf numFmtId="0" fontId="2" fillId="9" borderId="0" xfId="3" applyFill="1"/>
    <xf numFmtId="3" fontId="16" fillId="0" borderId="9" xfId="3" applyNumberFormat="1" applyFont="1" applyBorder="1"/>
    <xf numFmtId="0" fontId="3" fillId="0" borderId="5" xfId="3" applyFont="1" applyBorder="1" applyAlignment="1">
      <alignment horizontal="left" wrapText="1" indent="2"/>
    </xf>
    <xf numFmtId="0" fontId="3" fillId="4" borderId="7" xfId="3" applyFont="1" applyFill="1" applyBorder="1" applyAlignment="1">
      <alignment horizontal="left" indent="2"/>
    </xf>
    <xf numFmtId="0" fontId="3" fillId="4" borderId="8" xfId="3" applyFont="1" applyFill="1" applyBorder="1" applyAlignment="1">
      <alignment horizontal="left" wrapText="1" indent="3"/>
    </xf>
    <xf numFmtId="1" fontId="3" fillId="0" borderId="9" xfId="5" applyNumberFormat="1" applyFont="1" applyFill="1" applyBorder="1"/>
    <xf numFmtId="3" fontId="3" fillId="11" borderId="9" xfId="3" applyNumberFormat="1" applyFont="1" applyFill="1" applyBorder="1"/>
    <xf numFmtId="0" fontId="9" fillId="0" borderId="14" xfId="3" applyFont="1" applyBorder="1"/>
    <xf numFmtId="0" fontId="9" fillId="0" borderId="15"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9" fillId="0" borderId="3" xfId="5" applyFont="1" applyBorder="1"/>
    <xf numFmtId="0" fontId="9" fillId="0" borderId="16" xfId="3" quotePrefix="1" applyFont="1" applyBorder="1"/>
    <xf numFmtId="0" fontId="9" fillId="0" borderId="17" xfId="3" applyFont="1" applyBorder="1" applyAlignment="1">
      <alignment wrapText="1"/>
    </xf>
    <xf numFmtId="3" fontId="9" fillId="0" borderId="18" xfId="3" applyNumberFormat="1" applyFont="1" applyBorder="1"/>
    <xf numFmtId="164" fontId="9" fillId="0" borderId="18" xfId="1" applyNumberFormat="1" applyFont="1" applyBorder="1"/>
    <xf numFmtId="9" fontId="9" fillId="0" borderId="18" xfId="5" applyFont="1" applyFill="1" applyBorder="1"/>
    <xf numFmtId="0" fontId="9" fillId="3" borderId="19" xfId="3" applyFont="1" applyFill="1" applyBorder="1" applyAlignment="1">
      <alignment wrapText="1"/>
    </xf>
    <xf numFmtId="3" fontId="9" fillId="3" borderId="13" xfId="3" applyNumberFormat="1" applyFont="1" applyFill="1" applyBorder="1"/>
    <xf numFmtId="164" fontId="9" fillId="3" borderId="13" xfId="1" applyNumberFormat="1" applyFont="1" applyFill="1" applyBorder="1"/>
    <xf numFmtId="49" fontId="3" fillId="0" borderId="19" xfId="3" applyNumberFormat="1" applyFont="1" applyBorder="1" applyAlignment="1">
      <alignment horizontal="left" wrapText="1" indent="4"/>
    </xf>
    <xf numFmtId="3" fontId="3" fillId="0" borderId="13" xfId="3" applyNumberFormat="1" applyFont="1" applyBorder="1"/>
    <xf numFmtId="3" fontId="3" fillId="0" borderId="19" xfId="3" applyNumberFormat="1" applyFont="1" applyBorder="1"/>
    <xf numFmtId="49" fontId="3" fillId="12" borderId="19" xfId="3" applyNumberFormat="1" applyFont="1" applyFill="1" applyBorder="1" applyAlignment="1">
      <alignment horizontal="left" wrapText="1" indent="4"/>
    </xf>
    <xf numFmtId="164" fontId="3" fillId="0" borderId="13" xfId="1" applyNumberFormat="1" applyFont="1" applyBorder="1"/>
    <xf numFmtId="3" fontId="3" fillId="0" borderId="20" xfId="3" applyNumberFormat="1" applyFont="1" applyBorder="1"/>
    <xf numFmtId="9" fontId="3" fillId="0" borderId="21" xfId="5" applyFont="1" applyFill="1" applyBorder="1"/>
    <xf numFmtId="49" fontId="3" fillId="0" borderId="22" xfId="3" applyNumberFormat="1" applyFont="1" applyBorder="1" applyAlignment="1">
      <alignment horizontal="left" wrapText="1" indent="4"/>
    </xf>
    <xf numFmtId="164" fontId="3" fillId="0" borderId="23" xfId="1" applyNumberFormat="1" applyFont="1" applyBorder="1"/>
    <xf numFmtId="49" fontId="3" fillId="0" borderId="8" xfId="3" applyNumberFormat="1" applyFont="1" applyBorder="1" applyAlignment="1">
      <alignment horizontal="left" wrapText="1" indent="4"/>
    </xf>
    <xf numFmtId="164" fontId="3" fillId="0" borderId="8" xfId="1" applyNumberFormat="1" applyFont="1" applyBorder="1"/>
    <xf numFmtId="9" fontId="3" fillId="0" borderId="8" xfId="5" applyFont="1" applyFill="1" applyBorder="1"/>
    <xf numFmtId="0" fontId="3" fillId="4" borderId="24" xfId="3" applyFont="1" applyFill="1" applyBorder="1" applyAlignment="1">
      <alignment horizontal="left" indent="2"/>
    </xf>
    <xf numFmtId="49" fontId="3" fillId="12" borderId="8" xfId="3" applyNumberFormat="1" applyFont="1" applyFill="1" applyBorder="1" applyAlignment="1">
      <alignment horizontal="left" wrapText="1" indent="4"/>
    </xf>
    <xf numFmtId="9" fontId="3" fillId="0" borderId="8" xfId="5" applyFont="1" applyFill="1" applyBorder="1" applyAlignment="1">
      <alignment wrapText="1"/>
    </xf>
    <xf numFmtId="49" fontId="16" fillId="0" borderId="25" xfId="3" applyNumberFormat="1" applyFont="1" applyBorder="1" applyAlignment="1">
      <alignment horizontal="left" wrapText="1" indent="4"/>
    </xf>
    <xf numFmtId="49" fontId="16" fillId="0" borderId="8" xfId="3" applyNumberFormat="1" applyFont="1" applyBorder="1" applyAlignment="1">
      <alignment horizontal="left" wrapText="1" indent="4"/>
    </xf>
    <xf numFmtId="9" fontId="3" fillId="0" borderId="6" xfId="5" applyFont="1" applyFill="1" applyBorder="1"/>
    <xf numFmtId="3" fontId="3" fillId="0" borderId="10" xfId="3" applyNumberFormat="1" applyFont="1" applyBorder="1"/>
    <xf numFmtId="0" fontId="3" fillId="4" borderId="26" xfId="3" applyFont="1" applyFill="1" applyBorder="1" applyAlignment="1">
      <alignment horizontal="left" indent="2"/>
    </xf>
    <xf numFmtId="49" fontId="3" fillId="0" borderId="27" xfId="3" applyNumberFormat="1" applyFont="1" applyBorder="1" applyAlignment="1">
      <alignment horizontal="left" wrapText="1" indent="4"/>
    </xf>
    <xf numFmtId="164" fontId="3" fillId="0" borderId="27" xfId="1" applyNumberFormat="1" applyFont="1" applyBorder="1"/>
    <xf numFmtId="164" fontId="3" fillId="0" borderId="28" xfId="1" applyNumberFormat="1" applyFont="1" applyBorder="1"/>
    <xf numFmtId="3" fontId="3" fillId="0" borderId="21" xfId="3" applyNumberFormat="1" applyFont="1" applyBorder="1"/>
    <xf numFmtId="3" fontId="3" fillId="0" borderId="28" xfId="3" applyNumberFormat="1" applyFont="1" applyBorder="1"/>
    <xf numFmtId="9" fontId="3" fillId="0" borderId="12" xfId="5" applyFont="1" applyFill="1" applyBorder="1" applyAlignment="1">
      <alignment wrapText="1"/>
    </xf>
    <xf numFmtId="9" fontId="3" fillId="0" borderId="27" xfId="5" applyFont="1" applyFill="1" applyBorder="1"/>
    <xf numFmtId="0" fontId="9" fillId="0" borderId="29" xfId="3" applyFont="1" applyBorder="1"/>
    <xf numFmtId="0" fontId="9" fillId="0" borderId="30" xfId="3" applyFont="1" applyBorder="1" applyAlignment="1">
      <alignment horizontal="right" wrapText="1"/>
    </xf>
    <xf numFmtId="9" fontId="9" fillId="0" borderId="18" xfId="5" applyFont="1" applyBorder="1"/>
    <xf numFmtId="0" fontId="9" fillId="0" borderId="0" xfId="3" applyFont="1"/>
    <xf numFmtId="10" fontId="3" fillId="0" borderId="0" xfId="9" applyNumberFormat="1" applyFont="1"/>
    <xf numFmtId="49" fontId="9" fillId="3" borderId="31" xfId="3" applyNumberFormat="1" applyFont="1" applyFill="1" applyBorder="1" applyAlignment="1">
      <alignment horizontal="left" indent="2"/>
    </xf>
    <xf numFmtId="49" fontId="9" fillId="3" borderId="32" xfId="3" applyNumberFormat="1" applyFont="1" applyFill="1" applyBorder="1" applyAlignment="1">
      <alignment wrapText="1"/>
    </xf>
    <xf numFmtId="3" fontId="9" fillId="3" borderId="33" xfId="3" applyNumberFormat="1" applyFont="1" applyFill="1" applyBorder="1"/>
    <xf numFmtId="164" fontId="9" fillId="3" borderId="33" xfId="1" applyNumberFormat="1" applyFont="1" applyFill="1" applyBorder="1"/>
    <xf numFmtId="9" fontId="9" fillId="3" borderId="33" xfId="5" applyFont="1" applyFill="1" applyBorder="1"/>
    <xf numFmtId="49" fontId="3" fillId="2" borderId="7" xfId="3" applyNumberFormat="1" applyFont="1" applyFill="1" applyBorder="1" applyAlignment="1">
      <alignment horizontal="left" indent="1"/>
    </xf>
    <xf numFmtId="49" fontId="3" fillId="2" borderId="8" xfId="3" applyNumberFormat="1" applyFont="1" applyFill="1" applyBorder="1" applyAlignment="1">
      <alignment horizontal="left" wrapText="1" indent="2"/>
    </xf>
    <xf numFmtId="3" fontId="7" fillId="2" borderId="9" xfId="3" applyNumberFormat="1" applyFont="1" applyFill="1" applyBorder="1"/>
    <xf numFmtId="9" fontId="7" fillId="2" borderId="9" xfId="5" applyFont="1" applyFill="1" applyBorder="1" applyAlignment="1">
      <alignment wrapText="1"/>
    </xf>
    <xf numFmtId="9" fontId="3" fillId="2" borderId="9" xfId="5" applyFont="1" applyFill="1" applyBorder="1"/>
    <xf numFmtId="49" fontId="9" fillId="3" borderId="7" xfId="3" applyNumberFormat="1" applyFont="1" applyFill="1" applyBorder="1"/>
    <xf numFmtId="49" fontId="9" fillId="3" borderId="8" xfId="3" applyNumberFormat="1" applyFont="1" applyFill="1" applyBorder="1" applyAlignment="1">
      <alignment wrapText="1"/>
    </xf>
    <xf numFmtId="9" fontId="7" fillId="3" borderId="9" xfId="5" applyFont="1" applyFill="1" applyBorder="1" applyAlignment="1">
      <alignment wrapText="1"/>
    </xf>
    <xf numFmtId="0" fontId="17" fillId="0" borderId="0" xfId="3" applyFont="1"/>
    <xf numFmtId="49" fontId="3" fillId="0" borderId="7" xfId="3" applyNumberFormat="1" applyFont="1" applyBorder="1" applyAlignment="1">
      <alignment horizontal="left" indent="2"/>
    </xf>
    <xf numFmtId="49" fontId="3" fillId="0" borderId="8" xfId="3" applyNumberFormat="1" applyFont="1" applyBorder="1" applyAlignment="1">
      <alignment horizontal="left" wrapText="1" indent="2"/>
    </xf>
    <xf numFmtId="49" fontId="9" fillId="2" borderId="8" xfId="3" applyNumberFormat="1" applyFont="1" applyFill="1" applyBorder="1" applyAlignment="1">
      <alignment horizontal="left" wrapText="1" indent="2"/>
    </xf>
    <xf numFmtId="3" fontId="9" fillId="2" borderId="9" xfId="3" applyNumberFormat="1" applyFont="1" applyFill="1" applyBorder="1"/>
    <xf numFmtId="164" fontId="9" fillId="2" borderId="9" xfId="1" applyNumberFormat="1" applyFont="1" applyFill="1" applyBorder="1"/>
    <xf numFmtId="3" fontId="10" fillId="2" borderId="9" xfId="3" applyNumberFormat="1" applyFont="1" applyFill="1" applyBorder="1"/>
    <xf numFmtId="9" fontId="7" fillId="2" borderId="9" xfId="5" quotePrefix="1" applyFont="1" applyFill="1" applyBorder="1" applyAlignment="1">
      <alignment wrapText="1"/>
    </xf>
    <xf numFmtId="9" fontId="3" fillId="2" borderId="9" xfId="5" quotePrefix="1" applyFont="1" applyFill="1" applyBorder="1" applyAlignment="1">
      <alignment wrapText="1"/>
    </xf>
    <xf numFmtId="9" fontId="3" fillId="0" borderId="9" xfId="5" applyFont="1" applyBorder="1" applyAlignment="1">
      <alignment wrapText="1"/>
    </xf>
    <xf numFmtId="9" fontId="7" fillId="0" borderId="9" xfId="5" applyFont="1" applyBorder="1" applyAlignment="1">
      <alignment wrapText="1"/>
    </xf>
    <xf numFmtId="49" fontId="7" fillId="0" borderId="8" xfId="3" applyNumberFormat="1" applyFont="1" applyBorder="1" applyAlignment="1">
      <alignment horizontal="left" wrapText="1" indent="4"/>
    </xf>
    <xf numFmtId="49" fontId="3" fillId="13" borderId="7" xfId="3" applyNumberFormat="1" applyFont="1" applyFill="1" applyBorder="1" applyAlignment="1">
      <alignment horizontal="left" indent="2"/>
    </xf>
    <xf numFmtId="0" fontId="7" fillId="0" borderId="8" xfId="3" applyFont="1" applyBorder="1" applyAlignment="1">
      <alignment horizontal="left" wrapText="1" indent="3"/>
    </xf>
    <xf numFmtId="0" fontId="7" fillId="10" borderId="8" xfId="3" applyFont="1" applyFill="1" applyBorder="1" applyAlignment="1">
      <alignment horizontal="left" wrapText="1" indent="3"/>
    </xf>
    <xf numFmtId="9" fontId="3" fillId="0" borderId="12" xfId="5" applyFont="1" applyBorder="1" applyAlignment="1">
      <alignment wrapText="1"/>
    </xf>
    <xf numFmtId="9" fontId="9" fillId="2" borderId="9" xfId="5" applyFont="1" applyFill="1" applyBorder="1"/>
    <xf numFmtId="49" fontId="16" fillId="0" borderId="7" xfId="3" applyNumberFormat="1" applyFont="1" applyBorder="1" applyAlignment="1">
      <alignment horizontal="left" indent="2"/>
    </xf>
    <xf numFmtId="0" fontId="16" fillId="10" borderId="8" xfId="3" applyFont="1" applyFill="1" applyBorder="1" applyAlignment="1">
      <alignment horizontal="left" wrapText="1" indent="3"/>
    </xf>
    <xf numFmtId="9" fontId="3" fillId="0" borderId="10" xfId="5" applyFont="1" applyBorder="1" applyAlignment="1">
      <alignment wrapText="1"/>
    </xf>
    <xf numFmtId="0" fontId="3" fillId="10" borderId="8" xfId="3" applyFont="1" applyFill="1" applyBorder="1" applyAlignment="1">
      <alignment horizontal="left" wrapText="1" indent="3"/>
    </xf>
    <xf numFmtId="164" fontId="3" fillId="11" borderId="9" xfId="1" applyNumberFormat="1" applyFont="1" applyFill="1" applyBorder="1"/>
    <xf numFmtId="49" fontId="18" fillId="0" borderId="7" xfId="3" applyNumberFormat="1" applyFont="1" applyBorder="1" applyAlignment="1">
      <alignment horizontal="left" indent="3"/>
    </xf>
    <xf numFmtId="0" fontId="18" fillId="10" borderId="8" xfId="3" applyFont="1" applyFill="1" applyBorder="1" applyAlignment="1">
      <alignment horizontal="left" wrapText="1" indent="6"/>
    </xf>
    <xf numFmtId="3" fontId="3" fillId="10" borderId="9" xfId="3" applyNumberFormat="1" applyFont="1" applyFill="1" applyBorder="1"/>
    <xf numFmtId="0" fontId="3" fillId="14" borderId="8" xfId="3" applyFont="1" applyFill="1" applyBorder="1" applyAlignment="1">
      <alignment horizontal="left" wrapText="1" indent="3"/>
    </xf>
    <xf numFmtId="9" fontId="16" fillId="0" borderId="9" xfId="5" applyFont="1" applyBorder="1" applyAlignment="1">
      <alignment wrapText="1"/>
    </xf>
    <xf numFmtId="9" fontId="7" fillId="0" borderId="9" xfId="5" quotePrefix="1" applyFont="1" applyBorder="1" applyAlignment="1">
      <alignment wrapText="1"/>
    </xf>
    <xf numFmtId="9" fontId="3" fillId="0" borderId="9" xfId="5" quotePrefix="1" applyFont="1" applyBorder="1" applyAlignment="1">
      <alignment wrapText="1"/>
    </xf>
    <xf numFmtId="49" fontId="3" fillId="13" borderId="7" xfId="3" applyNumberFormat="1" applyFont="1" applyFill="1" applyBorder="1" applyAlignment="1">
      <alignment horizontal="left" indent="1"/>
    </xf>
    <xf numFmtId="9" fontId="18" fillId="2" borderId="9" xfId="5" applyFont="1" applyFill="1" applyBorder="1" applyAlignment="1">
      <alignment wrapText="1"/>
    </xf>
    <xf numFmtId="9" fontId="19" fillId="2" borderId="9" xfId="5" applyFont="1" applyFill="1" applyBorder="1" applyAlignment="1">
      <alignment wrapText="1"/>
    </xf>
    <xf numFmtId="0" fontId="13" fillId="10" borderId="0" xfId="3" applyFont="1" applyFill="1"/>
    <xf numFmtId="0" fontId="13" fillId="10" borderId="8" xfId="3" applyFont="1" applyFill="1" applyBorder="1" applyAlignment="1">
      <alignment horizontal="left" indent="2"/>
    </xf>
    <xf numFmtId="0" fontId="3" fillId="10" borderId="34" xfId="3" applyFont="1" applyFill="1" applyBorder="1" applyAlignment="1">
      <alignment horizontal="left" indent="3"/>
    </xf>
    <xf numFmtId="164" fontId="3" fillId="10" borderId="9" xfId="1" applyNumberFormat="1" applyFont="1" applyFill="1" applyBorder="1"/>
    <xf numFmtId="9" fontId="3" fillId="10" borderId="9" xfId="5" applyFont="1" applyFill="1" applyBorder="1"/>
    <xf numFmtId="3" fontId="7" fillId="10" borderId="9" xfId="3" applyNumberFormat="1" applyFont="1" applyFill="1" applyBorder="1"/>
    <xf numFmtId="3" fontId="3" fillId="15" borderId="9" xfId="3" applyNumberFormat="1" applyFont="1" applyFill="1" applyBorder="1"/>
    <xf numFmtId="164" fontId="3" fillId="15" borderId="9" xfId="1" applyNumberFormat="1" applyFont="1" applyFill="1" applyBorder="1"/>
    <xf numFmtId="0" fontId="13" fillId="0" borderId="8" xfId="3" applyFont="1" applyBorder="1" applyAlignment="1">
      <alignment horizontal="left" indent="2"/>
    </xf>
    <xf numFmtId="0" fontId="3" fillId="0" borderId="34" xfId="3" applyFont="1" applyBorder="1" applyAlignment="1">
      <alignment horizontal="left" indent="3"/>
    </xf>
    <xf numFmtId="0" fontId="13" fillId="13" borderId="8" xfId="3" applyFont="1" applyFill="1" applyBorder="1" applyAlignment="1">
      <alignment horizontal="left" indent="2"/>
    </xf>
    <xf numFmtId="0" fontId="3" fillId="0" borderId="0" xfId="3" applyFont="1" applyAlignment="1">
      <alignment horizontal="right"/>
    </xf>
    <xf numFmtId="3" fontId="3" fillId="4" borderId="9" xfId="3" applyNumberFormat="1" applyFont="1" applyFill="1" applyBorder="1"/>
    <xf numFmtId="164" fontId="3" fillId="4" borderId="9" xfId="1" applyNumberFormat="1" applyFont="1" applyFill="1" applyBorder="1"/>
    <xf numFmtId="3" fontId="7" fillId="4" borderId="9" xfId="3" applyNumberFormat="1" applyFont="1" applyFill="1" applyBorder="1"/>
    <xf numFmtId="9" fontId="3" fillId="4" borderId="9" xfId="5" applyFont="1" applyFill="1" applyBorder="1" applyAlignment="1">
      <alignment wrapText="1"/>
    </xf>
    <xf numFmtId="49" fontId="9" fillId="2" borderId="7" xfId="3" applyNumberFormat="1" applyFont="1" applyFill="1" applyBorder="1" applyAlignment="1">
      <alignment horizontal="left" indent="1"/>
    </xf>
    <xf numFmtId="0" fontId="3" fillId="4" borderId="0" xfId="3" quotePrefix="1" applyFont="1" applyFill="1"/>
    <xf numFmtId="0" fontId="3" fillId="4" borderId="0" xfId="3" applyFont="1" applyFill="1"/>
    <xf numFmtId="49" fontId="3" fillId="4" borderId="7" xfId="3" applyNumberFormat="1" applyFont="1" applyFill="1" applyBorder="1" applyAlignment="1">
      <alignment horizontal="left" indent="2"/>
    </xf>
    <xf numFmtId="49" fontId="3" fillId="4" borderId="8" xfId="3" applyNumberFormat="1" applyFont="1" applyFill="1" applyBorder="1" applyAlignment="1">
      <alignment horizontal="left" wrapText="1" indent="4"/>
    </xf>
    <xf numFmtId="0" fontId="20" fillId="0" borderId="0" xfId="3" applyFont="1"/>
    <xf numFmtId="0" fontId="20"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0" fontId="21" fillId="0" borderId="0" xfId="3" applyFont="1"/>
    <xf numFmtId="49" fontId="3" fillId="0" borderId="7" xfId="3" applyNumberFormat="1" applyFont="1" applyBorder="1" applyAlignment="1">
      <alignment horizontal="left" indent="3"/>
    </xf>
    <xf numFmtId="9" fontId="14" fillId="0" borderId="9" xfId="5" applyFont="1" applyFill="1" applyBorder="1" applyAlignment="1">
      <alignment wrapText="1"/>
    </xf>
    <xf numFmtId="49" fontId="22" fillId="2" borderId="7" xfId="3" applyNumberFormat="1" applyFont="1" applyFill="1" applyBorder="1" applyAlignment="1">
      <alignment horizontal="left" indent="1"/>
    </xf>
    <xf numFmtId="49" fontId="9" fillId="0" borderId="14" xfId="3" applyNumberFormat="1" applyFont="1" applyBorder="1"/>
    <xf numFmtId="49" fontId="9" fillId="0" borderId="15" xfId="3" applyNumberFormat="1" applyFont="1" applyBorder="1" applyAlignment="1">
      <alignment horizontal="right" wrapText="1"/>
    </xf>
    <xf numFmtId="3" fontId="9" fillId="0" borderId="35" xfId="3" applyNumberFormat="1" applyFont="1" applyBorder="1"/>
    <xf numFmtId="164" fontId="9" fillId="0" borderId="35" xfId="1" applyNumberFormat="1" applyFont="1" applyBorder="1"/>
    <xf numFmtId="9" fontId="9" fillId="0" borderId="35" xfId="5" applyFont="1" applyBorder="1"/>
    <xf numFmtId="3" fontId="9" fillId="0" borderId="36" xfId="3" applyNumberFormat="1" applyFont="1" applyBorder="1"/>
    <xf numFmtId="164" fontId="9" fillId="0" borderId="36" xfId="1" applyNumberFormat="1" applyFont="1" applyBorder="1"/>
    <xf numFmtId="9" fontId="3" fillId="0" borderId="36" xfId="5" applyFont="1" applyBorder="1"/>
    <xf numFmtId="49" fontId="9" fillId="3" borderId="37" xfId="3" applyNumberFormat="1" applyFont="1" applyFill="1" applyBorder="1" applyAlignment="1">
      <alignment horizontal="center"/>
    </xf>
    <xf numFmtId="49" fontId="9" fillId="3" borderId="38" xfId="3" applyNumberFormat="1" applyFont="1" applyFill="1" applyBorder="1" applyAlignment="1">
      <alignment wrapText="1"/>
    </xf>
    <xf numFmtId="3" fontId="9" fillId="3" borderId="39" xfId="3" applyNumberFormat="1" applyFont="1" applyFill="1" applyBorder="1"/>
    <xf numFmtId="164" fontId="9" fillId="3" borderId="39" xfId="1" applyNumberFormat="1" applyFont="1" applyFill="1" applyBorder="1"/>
    <xf numFmtId="9" fontId="9" fillId="3" borderId="39" xfId="5" applyFont="1" applyFill="1" applyBorder="1"/>
    <xf numFmtId="164" fontId="26" fillId="0" borderId="0" xfId="11" applyNumberFormat="1" applyFont="1" applyFill="1"/>
    <xf numFmtId="164" fontId="34" fillId="0" borderId="45" xfId="11" applyNumberFormat="1" applyFont="1" applyFill="1" applyBorder="1" applyAlignment="1">
      <alignment horizontal="center" vertical="center"/>
    </xf>
    <xf numFmtId="164" fontId="34" fillId="0" borderId="49" xfId="11" applyNumberFormat="1" applyFont="1" applyFill="1" applyBorder="1" applyAlignment="1">
      <alignment horizontal="center" vertical="center"/>
    </xf>
    <xf numFmtId="164" fontId="30" fillId="0" borderId="49" xfId="11" applyNumberFormat="1" applyFont="1" applyFill="1" applyBorder="1" applyAlignment="1">
      <alignment horizontal="center" vertical="center"/>
    </xf>
    <xf numFmtId="164" fontId="34" fillId="0" borderId="47" xfId="12" applyNumberFormat="1" applyFont="1" applyFill="1" applyBorder="1" applyAlignment="1">
      <alignment horizontal="right" vertical="center"/>
    </xf>
    <xf numFmtId="164" fontId="34" fillId="0" borderId="27" xfId="11" applyNumberFormat="1" applyFont="1" applyFill="1" applyBorder="1" applyAlignment="1">
      <alignment horizontal="center" vertical="center"/>
    </xf>
    <xf numFmtId="164" fontId="30" fillId="0" borderId="0" xfId="11" applyNumberFormat="1" applyFont="1" applyFill="1" applyBorder="1" applyAlignment="1">
      <alignment horizontal="center" vertical="center"/>
    </xf>
    <xf numFmtId="164" fontId="36" fillId="0" borderId="50" xfId="12" applyNumberFormat="1" applyFont="1" applyFill="1" applyBorder="1" applyAlignment="1">
      <alignment horizontal="right" vertical="center"/>
    </xf>
    <xf numFmtId="164" fontId="34" fillId="0" borderId="53" xfId="11" applyNumberFormat="1" applyFont="1" applyFill="1" applyBorder="1" applyAlignment="1">
      <alignment horizontal="center" vertical="center"/>
    </xf>
    <xf numFmtId="164" fontId="30" fillId="0" borderId="41" xfId="11" applyNumberFormat="1" applyFont="1" applyFill="1" applyBorder="1" applyAlignment="1">
      <alignment horizontal="center" vertical="center"/>
    </xf>
    <xf numFmtId="164" fontId="34" fillId="0" borderId="44" xfId="11" applyNumberFormat="1" applyFont="1" applyFill="1" applyBorder="1" applyAlignment="1">
      <alignment horizontal="center" vertical="center"/>
    </xf>
    <xf numFmtId="164" fontId="34" fillId="0" borderId="52" xfId="11" applyNumberFormat="1" applyFont="1" applyFill="1" applyBorder="1" applyAlignment="1">
      <alignment horizontal="center" vertical="center"/>
    </xf>
    <xf numFmtId="164" fontId="39" fillId="0" borderId="27" xfId="11" applyNumberFormat="1" applyFont="1" applyFill="1" applyBorder="1" applyAlignment="1">
      <alignment horizontal="center" vertical="center"/>
    </xf>
    <xf numFmtId="164" fontId="39" fillId="0" borderId="53" xfId="11" applyNumberFormat="1" applyFont="1" applyFill="1" applyBorder="1" applyAlignment="1">
      <alignment horizontal="center" vertical="center"/>
    </xf>
    <xf numFmtId="164" fontId="35" fillId="0" borderId="27" xfId="11" applyNumberFormat="1" applyFont="1" applyFill="1" applyBorder="1" applyAlignment="1">
      <alignment horizontal="center" vertical="center"/>
    </xf>
    <xf numFmtId="164" fontId="34" fillId="0" borderId="0" xfId="11" applyNumberFormat="1" applyFont="1" applyFill="1" applyBorder="1" applyAlignment="1">
      <alignment horizontal="center" vertical="center"/>
    </xf>
    <xf numFmtId="164" fontId="25" fillId="0" borderId="60" xfId="11" applyNumberFormat="1" applyFont="1" applyFill="1" applyBorder="1" applyAlignment="1">
      <alignment horizontal="center" vertical="center"/>
    </xf>
    <xf numFmtId="164" fontId="30" fillId="0" borderId="60" xfId="11" applyNumberFormat="1" applyFont="1" applyFill="1" applyBorder="1" applyAlignment="1">
      <alignment horizontal="center" vertical="center"/>
    </xf>
    <xf numFmtId="164" fontId="26" fillId="0" borderId="0" xfId="11" applyNumberFormat="1" applyFont="1" applyFill="1" applyBorder="1"/>
    <xf numFmtId="164" fontId="31" fillId="0" borderId="0" xfId="11" applyNumberFormat="1" applyFont="1" applyFill="1" applyBorder="1"/>
    <xf numFmtId="165" fontId="31" fillId="0" borderId="0" xfId="14" applyNumberFormat="1" applyFont="1" applyFill="1" applyBorder="1"/>
    <xf numFmtId="43" fontId="26" fillId="0" borderId="0" xfId="1" applyFont="1" applyFill="1" applyBorder="1"/>
    <xf numFmtId="164" fontId="26" fillId="0" borderId="0" xfId="1" applyNumberFormat="1" applyFont="1" applyFill="1" applyBorder="1"/>
    <xf numFmtId="164" fontId="30" fillId="0" borderId="0" xfId="11" applyNumberFormat="1" applyFont="1" applyFill="1" applyBorder="1"/>
    <xf numFmtId="164" fontId="30" fillId="0" borderId="41" xfId="11" applyNumberFormat="1" applyFont="1" applyFill="1" applyBorder="1"/>
    <xf numFmtId="164" fontId="26" fillId="0" borderId="0" xfId="11" applyNumberFormat="1" applyFont="1" applyFill="1" applyBorder="1" applyAlignment="1">
      <alignment horizontal="left"/>
    </xf>
    <xf numFmtId="0" fontId="32" fillId="0" borderId="0" xfId="10" applyFont="1"/>
    <xf numFmtId="0" fontId="26" fillId="0" borderId="0" xfId="10" applyFont="1" applyAlignment="1">
      <alignment horizontal="right"/>
    </xf>
    <xf numFmtId="0" fontId="26" fillId="0" borderId="0" xfId="10" applyFont="1"/>
    <xf numFmtId="0" fontId="29" fillId="0" borderId="0" xfId="13" applyFont="1"/>
    <xf numFmtId="0" fontId="1" fillId="0" borderId="0" xfId="13"/>
    <xf numFmtId="0" fontId="31" fillId="0" borderId="0" xfId="10" applyFont="1"/>
    <xf numFmtId="0" fontId="33" fillId="0" borderId="0" xfId="10" applyFont="1"/>
    <xf numFmtId="0" fontId="30" fillId="0" borderId="0" xfId="10" applyFont="1"/>
    <xf numFmtId="0" fontId="25" fillId="0" borderId="0" xfId="10" applyFont="1"/>
    <xf numFmtId="0" fontId="34" fillId="0" borderId="2" xfId="10" applyFont="1" applyBorder="1" applyAlignment="1">
      <alignment horizontal="center" vertical="center" wrapText="1"/>
    </xf>
    <xf numFmtId="164" fontId="34" fillId="0" borderId="42" xfId="11" applyNumberFormat="1" applyFont="1" applyFill="1" applyBorder="1" applyAlignment="1">
      <alignment horizontal="center" vertical="center" wrapText="1"/>
    </xf>
    <xf numFmtId="0" fontId="34" fillId="0" borderId="3" xfId="10" applyFont="1" applyBorder="1" applyAlignment="1">
      <alignment horizontal="center" vertical="center" wrapText="1"/>
    </xf>
    <xf numFmtId="0" fontId="34" fillId="0" borderId="35" xfId="10" applyFont="1" applyBorder="1" applyAlignment="1">
      <alignment horizontal="center" vertical="center" wrapText="1"/>
    </xf>
    <xf numFmtId="0" fontId="30" fillId="0" borderId="0" xfId="10" applyFont="1" applyAlignment="1">
      <alignment wrapText="1"/>
    </xf>
    <xf numFmtId="0" fontId="26" fillId="0" borderId="0" xfId="10" applyFont="1" applyAlignment="1">
      <alignment wrapText="1"/>
    </xf>
    <xf numFmtId="0" fontId="25" fillId="0" borderId="43" xfId="10" applyFont="1" applyBorder="1" applyAlignment="1">
      <alignment vertical="center"/>
    </xf>
    <xf numFmtId="0" fontId="27" fillId="0" borderId="44" xfId="10" applyFont="1" applyBorder="1" applyAlignment="1">
      <alignment vertical="center"/>
    </xf>
    <xf numFmtId="14" fontId="30" fillId="0" borderId="44" xfId="10" applyNumberFormat="1" applyFont="1" applyBorder="1" applyAlignment="1">
      <alignment horizontal="right" vertical="center"/>
    </xf>
    <xf numFmtId="0" fontId="30" fillId="0" borderId="48" xfId="10" applyFont="1" applyBorder="1" applyAlignment="1">
      <alignment horizontal="center" vertical="center"/>
    </xf>
    <xf numFmtId="3" fontId="34" fillId="0" borderId="47" xfId="10" applyNumberFormat="1" applyFont="1" applyBorder="1" applyAlignment="1">
      <alignment horizontal="right" vertical="center"/>
    </xf>
    <xf numFmtId="3" fontId="30" fillId="0" borderId="0" xfId="10" applyNumberFormat="1" applyFont="1" applyAlignment="1">
      <alignment vertical="center"/>
    </xf>
    <xf numFmtId="0" fontId="26" fillId="0" borderId="0" xfId="10" applyFont="1" applyAlignment="1">
      <alignment vertical="center"/>
    </xf>
    <xf numFmtId="0" fontId="25" fillId="0" borderId="26" xfId="10" applyFont="1" applyBorder="1" applyAlignment="1">
      <alignment vertical="center"/>
    </xf>
    <xf numFmtId="0" fontId="27" fillId="0" borderId="27" xfId="10" applyFont="1" applyBorder="1" applyAlignment="1">
      <alignment vertical="center"/>
    </xf>
    <xf numFmtId="0" fontId="30" fillId="0" borderId="27" xfId="10" applyFont="1" applyBorder="1" applyAlignment="1">
      <alignment horizontal="right" vertical="center"/>
    </xf>
    <xf numFmtId="0" fontId="30" fillId="0" borderId="27" xfId="10" applyFont="1" applyBorder="1" applyAlignment="1">
      <alignment horizontal="center" vertical="center"/>
    </xf>
    <xf numFmtId="0" fontId="30" fillId="0" borderId="18" xfId="10" applyFont="1" applyBorder="1" applyAlignment="1">
      <alignment horizontal="center" vertical="center"/>
    </xf>
    <xf numFmtId="3" fontId="36" fillId="0" borderId="50" xfId="10" applyNumberFormat="1" applyFont="1" applyBorder="1" applyAlignment="1">
      <alignment horizontal="right" vertical="center"/>
    </xf>
    <xf numFmtId="0" fontId="31" fillId="0" borderId="0" xfId="10" applyFont="1" applyAlignment="1">
      <alignment vertical="center"/>
    </xf>
    <xf numFmtId="0" fontId="25" fillId="0" borderId="51" xfId="10" applyFont="1" applyBorder="1" applyAlignment="1">
      <alignment vertical="center"/>
    </xf>
    <xf numFmtId="0" fontId="27" fillId="0" borderId="52" xfId="10" applyFont="1" applyBorder="1" applyAlignment="1">
      <alignment vertical="center"/>
    </xf>
    <xf numFmtId="14" fontId="30" fillId="0" borderId="52" xfId="10" applyNumberFormat="1" applyFont="1" applyBorder="1" applyAlignment="1">
      <alignment horizontal="center" vertical="center"/>
    </xf>
    <xf numFmtId="0" fontId="30" fillId="0" borderId="21" xfId="10" applyFont="1" applyBorder="1" applyAlignment="1">
      <alignment horizontal="center" vertical="center"/>
    </xf>
    <xf numFmtId="3" fontId="34" fillId="0" borderId="54" xfId="10" applyNumberFormat="1" applyFont="1" applyBorder="1" applyAlignment="1">
      <alignment horizontal="right" vertical="center"/>
    </xf>
    <xf numFmtId="14" fontId="30" fillId="0" borderId="44" xfId="10" applyNumberFormat="1" applyFont="1" applyBorder="1" applyAlignment="1">
      <alignment horizontal="center" vertical="center"/>
    </xf>
    <xf numFmtId="0" fontId="37" fillId="0" borderId="0" xfId="10" applyFont="1" applyAlignment="1">
      <alignment horizontal="center" wrapText="1"/>
    </xf>
    <xf numFmtId="0" fontId="30" fillId="0" borderId="52" xfId="10" applyFont="1" applyBorder="1" applyAlignment="1">
      <alignment horizontal="right" vertical="center"/>
    </xf>
    <xf numFmtId="0" fontId="30" fillId="0" borderId="52" xfId="10" applyFont="1" applyBorder="1" applyAlignment="1">
      <alignment horizontal="center" vertical="center"/>
    </xf>
    <xf numFmtId="1" fontId="30" fillId="0" borderId="44" xfId="10" applyNumberFormat="1" applyFont="1" applyBorder="1" applyAlignment="1">
      <alignment horizontal="right" vertical="center"/>
    </xf>
    <xf numFmtId="3" fontId="34" fillId="0" borderId="55" xfId="10" applyNumberFormat="1" applyFont="1" applyBorder="1" applyAlignment="1">
      <alignment horizontal="right" vertical="center"/>
    </xf>
    <xf numFmtId="0" fontId="38" fillId="0" borderId="27" xfId="10" applyFont="1" applyBorder="1" applyAlignment="1">
      <alignment vertical="center"/>
    </xf>
    <xf numFmtId="0" fontId="30" fillId="0" borderId="44" xfId="10" applyFont="1" applyBorder="1" applyAlignment="1">
      <alignment horizontal="right" vertical="center"/>
    </xf>
    <xf numFmtId="0" fontId="30" fillId="0" borderId="44" xfId="10" applyFont="1" applyBorder="1" applyAlignment="1">
      <alignment horizontal="center" vertical="center"/>
    </xf>
    <xf numFmtId="0" fontId="30" fillId="0" borderId="46" xfId="10" applyFont="1" applyBorder="1" applyAlignment="1">
      <alignment horizontal="center" vertical="center"/>
    </xf>
    <xf numFmtId="0" fontId="30" fillId="0" borderId="49" xfId="10" applyFont="1" applyBorder="1" applyAlignment="1">
      <alignment horizontal="center" vertical="center"/>
    </xf>
    <xf numFmtId="3" fontId="34" fillId="0" borderId="50" xfId="10" applyNumberFormat="1" applyFont="1" applyBorder="1" applyAlignment="1">
      <alignment horizontal="right" vertical="center"/>
    </xf>
    <xf numFmtId="14" fontId="30" fillId="0" borderId="52" xfId="10" applyNumberFormat="1" applyFont="1" applyBorder="1" applyAlignment="1">
      <alignment horizontal="right" vertical="center"/>
    </xf>
    <xf numFmtId="166" fontId="30" fillId="0" borderId="0" xfId="2" applyNumberFormat="1" applyFont="1" applyFill="1" applyAlignment="1">
      <alignment vertical="center"/>
    </xf>
    <xf numFmtId="0" fontId="40" fillId="0" borderId="43" xfId="10" applyFont="1" applyBorder="1" applyAlignment="1">
      <alignment vertical="center"/>
    </xf>
    <xf numFmtId="0" fontId="27" fillId="0" borderId="44" xfId="10" applyFont="1" applyBorder="1" applyAlignment="1">
      <alignment vertical="center" wrapText="1"/>
    </xf>
    <xf numFmtId="0" fontId="27" fillId="0" borderId="52" xfId="10" applyFont="1" applyBorder="1" applyAlignment="1">
      <alignment vertical="center" wrapText="1"/>
    </xf>
    <xf numFmtId="0" fontId="30" fillId="0" borderId="44" xfId="10" applyFont="1" applyBorder="1" applyAlignment="1">
      <alignment vertical="center"/>
    </xf>
    <xf numFmtId="0" fontId="33" fillId="0" borderId="0" xfId="10" applyFont="1" applyAlignment="1">
      <alignment vertical="center"/>
    </xf>
    <xf numFmtId="0" fontId="30" fillId="0" borderId="27" xfId="10" applyFont="1" applyBorder="1" applyAlignment="1">
      <alignment vertical="center"/>
    </xf>
    <xf numFmtId="0" fontId="25" fillId="0" borderId="0" xfId="10" applyFont="1" applyAlignment="1">
      <alignment vertical="center"/>
    </xf>
    <xf numFmtId="0" fontId="30" fillId="0" borderId="0" xfId="10" applyFont="1" applyAlignment="1">
      <alignment vertical="center"/>
    </xf>
    <xf numFmtId="0" fontId="30" fillId="0" borderId="0" xfId="10" applyFont="1" applyAlignment="1">
      <alignment horizontal="right" vertical="center"/>
    </xf>
    <xf numFmtId="0" fontId="30" fillId="0" borderId="0" xfId="10" applyFont="1" applyAlignment="1">
      <alignment horizontal="center" vertical="center"/>
    </xf>
    <xf numFmtId="0" fontId="34" fillId="0" borderId="0" xfId="10" applyFont="1" applyAlignment="1">
      <alignment horizontal="right" vertical="center"/>
    </xf>
    <xf numFmtId="3" fontId="34" fillId="0" borderId="59" xfId="10" applyNumberFormat="1" applyFont="1" applyBorder="1" applyAlignment="1">
      <alignment horizontal="right" vertical="center"/>
    </xf>
    <xf numFmtId="0" fontId="34" fillId="0" borderId="0" xfId="10" applyFont="1" applyAlignment="1">
      <alignment vertical="center"/>
    </xf>
    <xf numFmtId="3" fontId="31" fillId="0" borderId="0" xfId="10" applyNumberFormat="1" applyFont="1"/>
    <xf numFmtId="3" fontId="34" fillId="0" borderId="0" xfId="10" applyNumberFormat="1" applyFont="1" applyAlignment="1">
      <alignment horizontal="right" vertical="center"/>
    </xf>
    <xf numFmtId="0" fontId="31" fillId="0" borderId="0" xfId="10" applyFont="1" applyAlignment="1">
      <alignment horizontal="right"/>
    </xf>
    <xf numFmtId="167" fontId="34" fillId="0" borderId="0" xfId="10" applyNumberFormat="1" applyFont="1" applyAlignment="1">
      <alignment horizontal="right" vertical="center"/>
    </xf>
    <xf numFmtId="0" fontId="42" fillId="0" borderId="41" xfId="13" applyFont="1" applyBorder="1"/>
    <xf numFmtId="0" fontId="30" fillId="0" borderId="41" xfId="10" applyFont="1" applyBorder="1" applyAlignment="1">
      <alignment vertical="center"/>
    </xf>
    <xf numFmtId="0" fontId="30" fillId="0" borderId="41" xfId="10" applyFont="1" applyBorder="1" applyAlignment="1">
      <alignment horizontal="right" vertical="center"/>
    </xf>
    <xf numFmtId="0" fontId="30" fillId="0" borderId="41" xfId="10" applyFont="1" applyBorder="1" applyAlignment="1">
      <alignment horizontal="center" vertical="center"/>
    </xf>
    <xf numFmtId="3" fontId="34" fillId="0" borderId="41" xfId="10" applyNumberFormat="1" applyFont="1" applyBorder="1" applyAlignment="1">
      <alignment horizontal="right" vertical="center"/>
    </xf>
    <xf numFmtId="0" fontId="30" fillId="0" borderId="53" xfId="10" applyFont="1" applyBorder="1" applyAlignment="1">
      <alignment vertical="center"/>
    </xf>
    <xf numFmtId="0" fontId="30" fillId="0" borderId="49" xfId="10" applyFont="1" applyBorder="1" applyAlignment="1">
      <alignment vertical="center"/>
    </xf>
    <xf numFmtId="164" fontId="34" fillId="0" borderId="55" xfId="12" applyNumberFormat="1" applyFont="1" applyFill="1" applyBorder="1" applyAlignment="1">
      <alignment horizontal="right" vertical="center"/>
    </xf>
    <xf numFmtId="0" fontId="30" fillId="0" borderId="56" xfId="10" applyFont="1" applyBorder="1" applyAlignment="1">
      <alignment vertical="center"/>
    </xf>
    <xf numFmtId="0" fontId="34" fillId="0" borderId="56" xfId="10" applyFont="1" applyBorder="1" applyAlignment="1">
      <alignment vertical="center"/>
    </xf>
    <xf numFmtId="0" fontId="34" fillId="0" borderId="0" xfId="10" applyFont="1" applyAlignment="1">
      <alignment horizontal="center" vertical="center"/>
    </xf>
    <xf numFmtId="164" fontId="30" fillId="0" borderId="0" xfId="11" applyNumberFormat="1" applyFont="1" applyFill="1" applyAlignment="1">
      <alignment vertical="center"/>
    </xf>
    <xf numFmtId="164" fontId="34" fillId="0" borderId="0" xfId="1" applyNumberFormat="1" applyFont="1" applyFill="1" applyAlignment="1">
      <alignment vertical="center"/>
    </xf>
    <xf numFmtId="0" fontId="25" fillId="0" borderId="14" xfId="10" applyFont="1" applyBorder="1" applyAlignment="1">
      <alignment vertical="center"/>
    </xf>
    <xf numFmtId="0" fontId="34" fillId="0" borderId="61" xfId="10" applyFont="1" applyBorder="1" applyAlignment="1">
      <alignment vertical="center"/>
    </xf>
    <xf numFmtId="0" fontId="34" fillId="0" borderId="61" xfId="10" applyFont="1" applyBorder="1" applyAlignment="1">
      <alignment horizontal="right" vertical="center"/>
    </xf>
    <xf numFmtId="0" fontId="34" fillId="0" borderId="1" xfId="10" applyFont="1" applyBorder="1" applyAlignment="1">
      <alignment horizontal="center" vertical="center"/>
    </xf>
    <xf numFmtId="164" fontId="34" fillId="0" borderId="15" xfId="11" applyNumberFormat="1" applyFont="1" applyFill="1" applyBorder="1" applyAlignment="1">
      <alignment horizontal="center" vertical="center"/>
    </xf>
    <xf numFmtId="0" fontId="34" fillId="0" borderId="2" xfId="10" applyFont="1" applyBorder="1" applyAlignment="1">
      <alignment horizontal="center" vertical="center"/>
    </xf>
    <xf numFmtId="3" fontId="34" fillId="0" borderId="2" xfId="10" applyNumberFormat="1" applyFont="1" applyBorder="1" applyAlignment="1">
      <alignment vertical="center"/>
    </xf>
    <xf numFmtId="0" fontId="31" fillId="0" borderId="59" xfId="10" applyFont="1" applyBorder="1" applyAlignment="1">
      <alignment wrapText="1"/>
    </xf>
    <xf numFmtId="165" fontId="31" fillId="0" borderId="0" xfId="14" applyNumberFormat="1" applyFont="1" applyFill="1"/>
    <xf numFmtId="165" fontId="43" fillId="0" borderId="0" xfId="14" applyNumberFormat="1" applyFont="1" applyFill="1"/>
    <xf numFmtId="0" fontId="43" fillId="0" borderId="0" xfId="10" applyFont="1"/>
    <xf numFmtId="3" fontId="34" fillId="0" borderId="0" xfId="10" applyNumberFormat="1" applyFont="1" applyAlignment="1">
      <alignment vertical="center"/>
    </xf>
    <xf numFmtId="0" fontId="31" fillId="0" borderId="0" xfId="10" applyFont="1" applyAlignment="1">
      <alignment wrapText="1"/>
    </xf>
    <xf numFmtId="0" fontId="34" fillId="0" borderId="0" xfId="10" applyFont="1"/>
    <xf numFmtId="3" fontId="28" fillId="0" borderId="0" xfId="10" applyNumberFormat="1" applyFont="1"/>
    <xf numFmtId="3" fontId="44" fillId="0" borderId="0" xfId="10" applyNumberFormat="1" applyFont="1"/>
    <xf numFmtId="0" fontId="30" fillId="0" borderId="0" xfId="10" applyFont="1" applyAlignment="1">
      <alignment horizontal="right"/>
    </xf>
    <xf numFmtId="3" fontId="30" fillId="0" borderId="0" xfId="10" applyNumberFormat="1" applyFont="1"/>
    <xf numFmtId="0" fontId="30" fillId="0" borderId="41" xfId="10" applyFont="1" applyBorder="1"/>
    <xf numFmtId="0" fontId="30" fillId="0" borderId="41" xfId="10" applyFont="1" applyBorder="1" applyAlignment="1">
      <alignment horizontal="right"/>
    </xf>
    <xf numFmtId="0" fontId="34" fillId="0" borderId="49" xfId="10" applyFont="1" applyBorder="1" applyAlignment="1">
      <alignment horizontal="right" wrapText="1"/>
    </xf>
    <xf numFmtId="0" fontId="34" fillId="0" borderId="41" xfId="10" applyFont="1" applyBorder="1" applyAlignment="1">
      <alignment horizontal="right" wrapText="1"/>
    </xf>
    <xf numFmtId="3" fontId="34" fillId="0" borderId="0" xfId="10" applyNumberFormat="1" applyFont="1"/>
    <xf numFmtId="3" fontId="34" fillId="0" borderId="53" xfId="10" applyNumberFormat="1" applyFont="1" applyBorder="1"/>
    <xf numFmtId="0" fontId="45" fillId="0" borderId="0" xfId="10" applyFont="1" applyAlignment="1">
      <alignment vertical="center"/>
    </xf>
    <xf numFmtId="0" fontId="31" fillId="0" borderId="41" xfId="10" applyFont="1" applyBorder="1" applyAlignment="1">
      <alignment horizontal="right"/>
    </xf>
    <xf numFmtId="3" fontId="34" fillId="0" borderId="49" xfId="10" applyNumberFormat="1" applyFont="1" applyBorder="1"/>
    <xf numFmtId="164" fontId="26" fillId="0" borderId="0" xfId="11" applyNumberFormat="1" applyFont="1" applyFill="1" applyAlignment="1">
      <alignment horizontal="left"/>
    </xf>
    <xf numFmtId="0" fontId="46" fillId="0" borderId="0" xfId="10" applyFont="1"/>
    <xf numFmtId="0" fontId="47" fillId="0" borderId="0" xfId="10" applyFont="1"/>
    <xf numFmtId="0" fontId="47" fillId="0" borderId="0" xfId="10" applyFont="1" applyAlignment="1">
      <alignment horizontal="right"/>
    </xf>
    <xf numFmtId="0" fontId="49" fillId="0" borderId="0" xfId="10" applyFont="1"/>
    <xf numFmtId="0" fontId="48" fillId="0" borderId="0" xfId="10" applyFont="1"/>
    <xf numFmtId="9" fontId="16" fillId="0" borderId="9" xfId="5" applyFont="1" applyFill="1" applyBorder="1" applyAlignment="1">
      <alignment wrapText="1"/>
    </xf>
    <xf numFmtId="9" fontId="16" fillId="2" borderId="9" xfId="5" applyFont="1" applyFill="1" applyBorder="1"/>
    <xf numFmtId="0" fontId="8" fillId="0" borderId="0" xfId="4" applyFont="1"/>
    <xf numFmtId="0" fontId="2" fillId="0" borderId="0" xfId="3"/>
    <xf numFmtId="9" fontId="3" fillId="0" borderId="11" xfId="5" applyFont="1" applyBorder="1" applyAlignment="1">
      <alignment horizontal="left" wrapText="1"/>
    </xf>
    <xf numFmtId="9" fontId="3" fillId="0" borderId="12" xfId="5" applyFont="1" applyBorder="1" applyAlignment="1">
      <alignment horizontal="left" wrapText="1"/>
    </xf>
    <xf numFmtId="0" fontId="4" fillId="0" borderId="0" xfId="4" applyFont="1"/>
    <xf numFmtId="0" fontId="34" fillId="0" borderId="42" xfId="10" applyFont="1" applyBorder="1" applyAlignment="1">
      <alignment horizontal="center" vertical="center" wrapText="1"/>
    </xf>
    <xf numFmtId="0" fontId="34" fillId="0" borderId="15" xfId="10" applyFont="1" applyBorder="1" applyAlignment="1">
      <alignment horizontal="center" vertical="center" wrapText="1"/>
    </xf>
    <xf numFmtId="0" fontId="30" fillId="0" borderId="44" xfId="8" applyFont="1" applyBorder="1" applyAlignment="1">
      <alignment horizontal="left" vertical="center" wrapText="1"/>
    </xf>
    <xf numFmtId="0" fontId="30" fillId="0" borderId="27" xfId="8" applyFont="1" applyBorder="1" applyAlignment="1">
      <alignment horizontal="left" vertical="center" wrapText="1"/>
    </xf>
    <xf numFmtId="0" fontId="30" fillId="0" borderId="44" xfId="15" applyFont="1" applyBorder="1" applyAlignment="1">
      <alignment horizontal="center" vertical="center" wrapText="1"/>
    </xf>
    <xf numFmtId="0" fontId="30" fillId="0" borderId="27" xfId="15" applyFont="1" applyBorder="1" applyAlignment="1">
      <alignment horizontal="center" vertical="center" wrapText="1"/>
    </xf>
    <xf numFmtId="164" fontId="34" fillId="0" borderId="44" xfId="1" applyNumberFormat="1" applyFont="1" applyFill="1" applyBorder="1" applyAlignment="1">
      <alignment horizontal="center" vertical="center" wrapText="1"/>
    </xf>
    <xf numFmtId="164" fontId="34" fillId="0" borderId="27" xfId="1" applyNumberFormat="1" applyFont="1" applyFill="1" applyBorder="1" applyAlignment="1">
      <alignment horizontal="center" vertical="center" wrapText="1"/>
    </xf>
    <xf numFmtId="14" fontId="30" fillId="0" borderId="44" xfId="15" applyNumberFormat="1" applyFont="1" applyBorder="1" applyAlignment="1">
      <alignment horizontal="center" vertical="center" wrapText="1"/>
    </xf>
    <xf numFmtId="14" fontId="30" fillId="0" borderId="27" xfId="15" applyNumberFormat="1" applyFont="1" applyBorder="1" applyAlignment="1">
      <alignment horizontal="center" vertical="center" wrapText="1"/>
    </xf>
    <xf numFmtId="0" fontId="12" fillId="0" borderId="27" xfId="15" applyBorder="1" applyAlignment="1">
      <alignment horizontal="center" vertical="center" wrapText="1"/>
    </xf>
    <xf numFmtId="0" fontId="30" fillId="0" borderId="58" xfId="8" applyFont="1" applyBorder="1" applyAlignment="1">
      <alignment horizontal="left" vertical="center" wrapText="1"/>
    </xf>
    <xf numFmtId="0" fontId="30" fillId="0" borderId="30" xfId="8" applyFont="1" applyBorder="1" applyAlignment="1">
      <alignment horizontal="left" vertical="center" wrapText="1"/>
    </xf>
    <xf numFmtId="0" fontId="30" fillId="0" borderId="44" xfId="15" applyFont="1" applyBorder="1" applyAlignment="1">
      <alignment horizontal="left" vertical="center" wrapText="1"/>
    </xf>
    <xf numFmtId="0" fontId="30" fillId="0" borderId="27" xfId="15" applyFont="1" applyBorder="1" applyAlignment="1">
      <alignment horizontal="left" vertical="center" wrapText="1"/>
    </xf>
    <xf numFmtId="14" fontId="30" fillId="0" borderId="32" xfId="15" applyNumberFormat="1" applyFont="1" applyBorder="1" applyAlignment="1">
      <alignment horizontal="center" vertical="center" wrapText="1"/>
    </xf>
    <xf numFmtId="0" fontId="3" fillId="0" borderId="17" xfId="15" applyFont="1" applyBorder="1" applyAlignment="1">
      <alignment horizontal="center" vertical="center" wrapText="1"/>
    </xf>
    <xf numFmtId="164" fontId="41" fillId="0" borderId="27" xfId="1" applyNumberFormat="1" applyFont="1" applyFill="1" applyBorder="1" applyAlignment="1">
      <alignment horizontal="center" vertical="center" wrapText="1"/>
    </xf>
    <xf numFmtId="0" fontId="14" fillId="0" borderId="27" xfId="15" applyFont="1" applyBorder="1" applyAlignment="1">
      <alignment horizontal="left" vertical="center" wrapText="1"/>
    </xf>
    <xf numFmtId="0" fontId="30" fillId="0" borderId="17" xfId="15" applyFont="1" applyBorder="1" applyAlignment="1">
      <alignment horizontal="center" vertical="center" wrapText="1"/>
    </xf>
    <xf numFmtId="0" fontId="14" fillId="0" borderId="27" xfId="8" applyFont="1" applyBorder="1" applyAlignment="1">
      <alignment horizontal="left" vertical="center" wrapText="1"/>
    </xf>
    <xf numFmtId="164" fontId="25" fillId="0" borderId="27" xfId="1" applyNumberFormat="1" applyFont="1" applyFill="1" applyBorder="1" applyAlignment="1">
      <alignment horizontal="center" vertical="center" wrapText="1"/>
    </xf>
    <xf numFmtId="0" fontId="30" fillId="0" borderId="40" xfId="15" applyFont="1" applyBorder="1" applyAlignment="1">
      <alignment horizontal="center" vertical="center" wrapText="1"/>
    </xf>
    <xf numFmtId="14" fontId="30" fillId="0" borderId="57" xfId="15" applyNumberFormat="1" applyFont="1" applyBorder="1" applyAlignment="1">
      <alignment horizontal="center" vertical="center" wrapText="1"/>
    </xf>
    <xf numFmtId="0" fontId="30" fillId="0" borderId="52" xfId="15" applyFont="1" applyBorder="1" applyAlignment="1">
      <alignment horizontal="left" vertical="center" wrapText="1"/>
    </xf>
    <xf numFmtId="0" fontId="3" fillId="0" borderId="27" xfId="15" applyFont="1" applyBorder="1" applyAlignment="1">
      <alignment horizontal="left" vertical="center" wrapText="1"/>
    </xf>
    <xf numFmtId="0" fontId="30" fillId="0" borderId="52" xfId="15" applyFont="1" applyBorder="1" applyAlignment="1">
      <alignment horizontal="center" vertical="center" wrapText="1"/>
    </xf>
    <xf numFmtId="0" fontId="14" fillId="0" borderId="27" xfId="15" applyFont="1" applyBorder="1" applyAlignment="1">
      <alignment horizontal="center" vertical="center" wrapText="1"/>
    </xf>
    <xf numFmtId="0" fontId="12" fillId="0" borderId="27" xfId="15" applyBorder="1" applyAlignment="1">
      <alignment horizontal="left" vertical="center" wrapText="1"/>
    </xf>
    <xf numFmtId="14" fontId="30" fillId="0" borderId="40" xfId="15" applyNumberFormat="1" applyFont="1" applyBorder="1" applyAlignment="1">
      <alignment horizontal="center" vertical="center" wrapText="1"/>
    </xf>
  </cellXfs>
  <cellStyles count="17">
    <cellStyle name="Comma" xfId="1" builtinId="3"/>
    <cellStyle name="Comma 3 3" xfId="12" xr:uid="{5F610A00-B65C-4BEA-B563-0EFC26B4A670}"/>
    <cellStyle name="Comma 4 2" xfId="11" xr:uid="{E0D70C17-EFD8-4838-B2E7-423CC294F59B}"/>
    <cellStyle name="Hyperlink" xfId="7" builtinId="8"/>
    <cellStyle name="Komats 10" xfId="6" xr:uid="{3DD2D5AD-C936-4D16-AECB-A8C2D4F26E12}"/>
    <cellStyle name="Normal" xfId="0" builtinId="0"/>
    <cellStyle name="Normal 2 2" xfId="8" xr:uid="{6CDF35FD-B387-47D4-8C38-78E505DD2116}"/>
    <cellStyle name="Normal 2 2 2 2" xfId="16" xr:uid="{FEB1480F-9779-41D9-9B1C-5A15710603D8}"/>
    <cellStyle name="Normal 4" xfId="10" xr:uid="{93272117-6D5A-4FB9-BF09-81D305EA4021}"/>
    <cellStyle name="Parasts 2" xfId="15" xr:uid="{A540613A-4BA1-4EC7-A827-9378F5483D78}"/>
    <cellStyle name="Parasts 2 2 2 2" xfId="13" xr:uid="{21E8C4E0-170B-436F-B54F-CCC296799BFD}"/>
    <cellStyle name="Parasts 2 2 5" xfId="3" xr:uid="{EFCBBB9C-4965-4D9D-B299-2187E865CA3C}"/>
    <cellStyle name="Parasts 2 2 5 2" xfId="4" xr:uid="{F1C396ED-700B-4460-93EB-BD6374B2DC2D}"/>
    <cellStyle name="Percent" xfId="2" builtinId="5"/>
    <cellStyle name="Percent 3 2" xfId="14" xr:uid="{470F87B6-EA29-4687-B28C-32E768B39CFD}"/>
    <cellStyle name="Percent 4" xfId="9" xr:uid="{F5187F92-BB13-4B82-A176-46A20842A30F}"/>
    <cellStyle name="Procenti 2 3" xfId="5" xr:uid="{40F79C41-BFDD-4987-936D-21794553BFFD}"/>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08_2023\1_Budzets_2023_actual_08_2023.xlsx" TargetMode="External"/><Relationship Id="rId1" Type="http://schemas.openxmlformats.org/officeDocument/2006/relationships/externalLinkPath" Target="https://dvs-adazi.namejs.lv/webdav/d516da64-dcfe-4e57-a4b0-fd3996f339a4/1_Budzets_2023_actual_08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08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633C-5AA2-490D-B369-6399050C7496}">
  <sheetPr>
    <tabColor rgb="FF92D050"/>
    <pageSetUpPr fitToPage="1"/>
  </sheetPr>
  <dimension ref="A1:Q279"/>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O2" sqref="O2"/>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24" customWidth="1" collapsed="1"/>
    <col min="4" max="4" width="48.5703125" style="3" customWidth="1"/>
    <col min="5" max="5" width="14.85546875" style="7" customWidth="1"/>
    <col min="6" max="6" width="14.85546875" style="7" customWidth="1" collapsed="1"/>
    <col min="7" max="7" width="14.85546875" style="1" hidden="1" customWidth="1" outlineLevel="1"/>
    <col min="8" max="8" width="54" style="11" hidden="1" customWidth="1" outlineLevel="1" collapsed="1"/>
    <col min="9" max="9" width="14.85546875" style="1" customWidth="1" collapsed="1"/>
    <col min="10" max="10" width="14.85546875" style="1" hidden="1" customWidth="1" outlineLevel="1"/>
    <col min="11" max="11" width="56.42578125" style="11" hidden="1" customWidth="1" outlineLevel="1" collapsed="1"/>
    <col min="12" max="12" width="14.85546875" style="1" customWidth="1" collapsed="1"/>
    <col min="13" max="13" width="14.85546875" style="1" hidden="1" customWidth="1" outlineLevel="1"/>
    <col min="14" max="14" width="56.42578125" style="11" hidden="1" customWidth="1" outlineLevel="1" collapsed="1"/>
    <col min="15" max="15" width="14.85546875" style="1" customWidth="1" collapsed="1"/>
    <col min="16" max="16" width="14.85546875" style="1" customWidth="1"/>
    <col min="17" max="17" width="56.42578125" style="11" customWidth="1" collapsed="1"/>
    <col min="18" max="162" width="9" style="1"/>
    <col min="163" max="164" width="0" style="1" hidden="1" customWidth="1"/>
    <col min="165" max="165" width="13.7109375" style="1" customWidth="1"/>
    <col min="166" max="166" width="52.85546875" style="1" customWidth="1"/>
    <col min="167" max="206" width="0" style="1" hidden="1" customWidth="1"/>
    <col min="207" max="208" width="14.85546875" style="1" customWidth="1"/>
    <col min="209" max="210" width="0" style="1" hidden="1" customWidth="1"/>
    <col min="211" max="211" width="14.85546875" style="1" customWidth="1"/>
    <col min="212" max="213" width="0" style="1" hidden="1" customWidth="1"/>
    <col min="214" max="214" width="14.85546875" style="1" customWidth="1"/>
    <col min="215" max="216" width="0" style="1" hidden="1" customWidth="1"/>
    <col min="217" max="217" width="14.85546875" style="1" customWidth="1"/>
    <col min="218" max="219" width="0" style="1" hidden="1" customWidth="1"/>
    <col min="220" max="220" width="14.85546875" style="1" customWidth="1"/>
    <col min="221" max="222" width="0" style="1" hidden="1" customWidth="1"/>
    <col min="223" max="224" width="14.85546875" style="1" customWidth="1"/>
    <col min="225" max="225" width="44.42578125" style="1" customWidth="1"/>
    <col min="226" max="230" width="14.85546875" style="1" customWidth="1"/>
    <col min="231" max="231" width="63.85546875" style="1" customWidth="1"/>
    <col min="232" max="232" width="13.28515625" style="1" customWidth="1"/>
    <col min="233" max="418" width="9" style="1"/>
    <col min="419" max="420" width="0" style="1" hidden="1" customWidth="1"/>
    <col min="421" max="421" width="13.7109375" style="1" customWidth="1"/>
    <col min="422" max="422" width="52.85546875" style="1" customWidth="1"/>
    <col min="423" max="462" width="0" style="1" hidden="1" customWidth="1"/>
    <col min="463" max="464" width="14.85546875" style="1" customWidth="1"/>
    <col min="465" max="466" width="0" style="1" hidden="1" customWidth="1"/>
    <col min="467" max="467" width="14.85546875" style="1" customWidth="1"/>
    <col min="468" max="469" width="0" style="1" hidden="1" customWidth="1"/>
    <col min="470" max="470" width="14.85546875" style="1" customWidth="1"/>
    <col min="471" max="472" width="0" style="1" hidden="1" customWidth="1"/>
    <col min="473" max="473" width="14.85546875" style="1" customWidth="1"/>
    <col min="474" max="475" width="0" style="1" hidden="1" customWidth="1"/>
    <col min="476" max="476" width="14.85546875" style="1" customWidth="1"/>
    <col min="477" max="478" width="0" style="1" hidden="1" customWidth="1"/>
    <col min="479" max="480" width="14.85546875" style="1" customWidth="1"/>
    <col min="481" max="481" width="44.42578125" style="1" customWidth="1"/>
    <col min="482" max="486" width="14.85546875" style="1" customWidth="1"/>
    <col min="487" max="487" width="63.85546875" style="1" customWidth="1"/>
    <col min="488" max="488" width="13.28515625" style="1" customWidth="1"/>
    <col min="489" max="674" width="9" style="1"/>
    <col min="675" max="676" width="0" style="1" hidden="1" customWidth="1"/>
    <col min="677" max="677" width="13.7109375" style="1" customWidth="1"/>
    <col min="678" max="678" width="52.85546875" style="1" customWidth="1"/>
    <col min="679" max="718" width="0" style="1" hidden="1" customWidth="1"/>
    <col min="719" max="720" width="14.85546875" style="1" customWidth="1"/>
    <col min="721" max="722" width="0" style="1" hidden="1" customWidth="1"/>
    <col min="723" max="723" width="14.85546875" style="1" customWidth="1"/>
    <col min="724" max="725" width="0" style="1" hidden="1" customWidth="1"/>
    <col min="726" max="726" width="14.85546875" style="1" customWidth="1"/>
    <col min="727" max="728" width="0" style="1" hidden="1" customWidth="1"/>
    <col min="729" max="729" width="14.85546875" style="1" customWidth="1"/>
    <col min="730" max="731" width="0" style="1" hidden="1" customWidth="1"/>
    <col min="732" max="732" width="14.85546875" style="1" customWidth="1"/>
    <col min="733" max="734" width="0" style="1" hidden="1" customWidth="1"/>
    <col min="735" max="736" width="14.85546875" style="1" customWidth="1"/>
    <col min="737" max="737" width="44.42578125" style="1" customWidth="1"/>
    <col min="738" max="742" width="14.85546875" style="1" customWidth="1"/>
    <col min="743" max="743" width="63.85546875" style="1" customWidth="1"/>
    <col min="744" max="744" width="13.28515625" style="1" customWidth="1"/>
    <col min="745" max="930" width="9" style="1"/>
    <col min="931" max="932" width="0" style="1" hidden="1" customWidth="1"/>
    <col min="933" max="933" width="13.7109375" style="1" customWidth="1"/>
    <col min="934" max="934" width="52.85546875" style="1" customWidth="1"/>
    <col min="935" max="974" width="0" style="1" hidden="1" customWidth="1"/>
    <col min="975" max="976" width="14.85546875" style="1" customWidth="1"/>
    <col min="977" max="978" width="0" style="1" hidden="1" customWidth="1"/>
    <col min="979" max="979" width="14.85546875" style="1" customWidth="1"/>
    <col min="980" max="981" width="0" style="1" hidden="1" customWidth="1"/>
    <col min="982" max="982" width="14.85546875" style="1" customWidth="1"/>
    <col min="983" max="984" width="0" style="1" hidden="1" customWidth="1"/>
    <col min="985" max="985" width="14.85546875" style="1" customWidth="1"/>
    <col min="986" max="987" width="0" style="1" hidden="1" customWidth="1"/>
    <col min="988" max="988" width="14.85546875" style="1" customWidth="1"/>
    <col min="989" max="990" width="0" style="1" hidden="1" customWidth="1"/>
    <col min="991" max="992" width="14.85546875" style="1" customWidth="1"/>
    <col min="993" max="993" width="44.42578125" style="1" customWidth="1"/>
    <col min="994" max="998" width="14.85546875" style="1" customWidth="1"/>
    <col min="999" max="999" width="63.85546875" style="1" customWidth="1"/>
    <col min="1000" max="1000" width="13.28515625" style="1" customWidth="1"/>
    <col min="1001" max="1186" width="9" style="1"/>
    <col min="1187" max="1188" width="0" style="1" hidden="1" customWidth="1"/>
    <col min="1189" max="1189" width="13.7109375" style="1" customWidth="1"/>
    <col min="1190" max="1190" width="52.85546875" style="1" customWidth="1"/>
    <col min="1191" max="1230" width="0" style="1" hidden="1" customWidth="1"/>
    <col min="1231" max="1232" width="14.85546875" style="1" customWidth="1"/>
    <col min="1233" max="1234" width="0" style="1" hidden="1" customWidth="1"/>
    <col min="1235" max="1235" width="14.85546875" style="1" customWidth="1"/>
    <col min="1236" max="1237" width="0" style="1" hidden="1" customWidth="1"/>
    <col min="1238" max="1238" width="14.85546875" style="1" customWidth="1"/>
    <col min="1239" max="1240" width="0" style="1" hidden="1" customWidth="1"/>
    <col min="1241" max="1241" width="14.85546875" style="1" customWidth="1"/>
    <col min="1242" max="1243" width="0" style="1" hidden="1" customWidth="1"/>
    <col min="1244" max="1244" width="14.85546875" style="1" customWidth="1"/>
    <col min="1245" max="1246" width="0" style="1" hidden="1" customWidth="1"/>
    <col min="1247" max="1248" width="14.85546875" style="1" customWidth="1"/>
    <col min="1249" max="1249" width="44.42578125" style="1" customWidth="1"/>
    <col min="1250" max="1254" width="14.85546875" style="1" customWidth="1"/>
    <col min="1255" max="1255" width="63.85546875" style="1" customWidth="1"/>
    <col min="1256" max="1256" width="13.28515625" style="1" customWidth="1"/>
    <col min="1257" max="1442" width="9" style="1"/>
    <col min="1443" max="1444" width="0" style="1" hidden="1" customWidth="1"/>
    <col min="1445" max="1445" width="13.7109375" style="1" customWidth="1"/>
    <col min="1446" max="1446" width="52.85546875" style="1" customWidth="1"/>
    <col min="1447" max="1486" width="0" style="1" hidden="1" customWidth="1"/>
    <col min="1487" max="1488" width="14.85546875" style="1" customWidth="1"/>
    <col min="1489" max="1490" width="0" style="1" hidden="1" customWidth="1"/>
    <col min="1491" max="1491" width="14.85546875" style="1" customWidth="1"/>
    <col min="1492" max="1493" width="0" style="1" hidden="1" customWidth="1"/>
    <col min="1494" max="1494" width="14.85546875" style="1" customWidth="1"/>
    <col min="1495" max="1496" width="0" style="1" hidden="1" customWidth="1"/>
    <col min="1497" max="1497" width="14.85546875" style="1" customWidth="1"/>
    <col min="1498" max="1499" width="0" style="1" hidden="1" customWidth="1"/>
    <col min="1500" max="1500" width="14.85546875" style="1" customWidth="1"/>
    <col min="1501" max="1502" width="0" style="1" hidden="1" customWidth="1"/>
    <col min="1503" max="1504" width="14.85546875" style="1" customWidth="1"/>
    <col min="1505" max="1505" width="44.42578125" style="1" customWidth="1"/>
    <col min="1506" max="1510" width="14.85546875" style="1" customWidth="1"/>
    <col min="1511" max="1511" width="63.85546875" style="1" customWidth="1"/>
    <col min="1512" max="1512" width="13.28515625" style="1" customWidth="1"/>
    <col min="1513" max="1698" width="9" style="1"/>
    <col min="1699" max="1700" width="0" style="1" hidden="1" customWidth="1"/>
    <col min="1701" max="1701" width="13.7109375" style="1" customWidth="1"/>
    <col min="1702" max="1702" width="52.85546875" style="1" customWidth="1"/>
    <col min="1703" max="1742" width="0" style="1" hidden="1" customWidth="1"/>
    <col min="1743" max="1744" width="14.85546875" style="1" customWidth="1"/>
    <col min="1745" max="1746" width="0" style="1" hidden="1" customWidth="1"/>
    <col min="1747" max="1747" width="14.85546875" style="1" customWidth="1"/>
    <col min="1748" max="1749" width="0" style="1" hidden="1" customWidth="1"/>
    <col min="1750" max="1750" width="14.85546875" style="1" customWidth="1"/>
    <col min="1751" max="1752" width="0" style="1" hidden="1" customWidth="1"/>
    <col min="1753" max="1753" width="14.85546875" style="1" customWidth="1"/>
    <col min="1754" max="1755" width="0" style="1" hidden="1" customWidth="1"/>
    <col min="1756" max="1756" width="14.85546875" style="1" customWidth="1"/>
    <col min="1757" max="1758" width="0" style="1" hidden="1" customWidth="1"/>
    <col min="1759" max="1760" width="14.85546875" style="1" customWidth="1"/>
    <col min="1761" max="1761" width="44.42578125" style="1" customWidth="1"/>
    <col min="1762" max="1766" width="14.85546875" style="1" customWidth="1"/>
    <col min="1767" max="1767" width="63.85546875" style="1" customWidth="1"/>
    <col min="1768" max="1768" width="13.28515625" style="1" customWidth="1"/>
    <col min="1769" max="1954" width="9" style="1"/>
    <col min="1955" max="1956" width="0" style="1" hidden="1" customWidth="1"/>
    <col min="1957" max="1957" width="13.7109375" style="1" customWidth="1"/>
    <col min="1958" max="1958" width="52.85546875" style="1" customWidth="1"/>
    <col min="1959" max="1998" width="0" style="1" hidden="1" customWidth="1"/>
    <col min="1999" max="2000" width="14.85546875" style="1" customWidth="1"/>
    <col min="2001" max="2002" width="0" style="1" hidden="1" customWidth="1"/>
    <col min="2003" max="2003" width="14.85546875" style="1" customWidth="1"/>
    <col min="2004" max="2005" width="0" style="1" hidden="1" customWidth="1"/>
    <col min="2006" max="2006" width="14.85546875" style="1" customWidth="1"/>
    <col min="2007" max="2008" width="0" style="1" hidden="1" customWidth="1"/>
    <col min="2009" max="2009" width="14.85546875" style="1" customWidth="1"/>
    <col min="2010" max="2011" width="0" style="1" hidden="1" customWidth="1"/>
    <col min="2012" max="2012" width="14.85546875" style="1" customWidth="1"/>
    <col min="2013" max="2014" width="0" style="1" hidden="1" customWidth="1"/>
    <col min="2015" max="2016" width="14.85546875" style="1" customWidth="1"/>
    <col min="2017" max="2017" width="44.42578125" style="1" customWidth="1"/>
    <col min="2018" max="2022" width="14.85546875" style="1" customWidth="1"/>
    <col min="2023" max="2023" width="63.85546875" style="1" customWidth="1"/>
    <col min="2024" max="2024" width="13.28515625" style="1" customWidth="1"/>
    <col min="2025" max="2210" width="9" style="1"/>
    <col min="2211" max="2212" width="0" style="1" hidden="1" customWidth="1"/>
    <col min="2213" max="2213" width="13.7109375" style="1" customWidth="1"/>
    <col min="2214" max="2214" width="52.85546875" style="1" customWidth="1"/>
    <col min="2215" max="2254" width="0" style="1" hidden="1" customWidth="1"/>
    <col min="2255" max="2256" width="14.85546875" style="1" customWidth="1"/>
    <col min="2257" max="2258" width="0" style="1" hidden="1" customWidth="1"/>
    <col min="2259" max="2259" width="14.85546875" style="1" customWidth="1"/>
    <col min="2260" max="2261" width="0" style="1" hidden="1" customWidth="1"/>
    <col min="2262" max="2262" width="14.85546875" style="1" customWidth="1"/>
    <col min="2263" max="2264" width="0" style="1" hidden="1" customWidth="1"/>
    <col min="2265" max="2265" width="14.85546875" style="1" customWidth="1"/>
    <col min="2266" max="2267" width="0" style="1" hidden="1" customWidth="1"/>
    <col min="2268" max="2268" width="14.85546875" style="1" customWidth="1"/>
    <col min="2269" max="2270" width="0" style="1" hidden="1" customWidth="1"/>
    <col min="2271" max="2272" width="14.85546875" style="1" customWidth="1"/>
    <col min="2273" max="2273" width="44.42578125" style="1" customWidth="1"/>
    <col min="2274" max="2278" width="14.85546875" style="1" customWidth="1"/>
    <col min="2279" max="2279" width="63.85546875" style="1" customWidth="1"/>
    <col min="2280" max="2280" width="13.28515625" style="1" customWidth="1"/>
    <col min="2281" max="2466" width="9" style="1"/>
    <col min="2467" max="2468" width="0" style="1" hidden="1" customWidth="1"/>
    <col min="2469" max="2469" width="13.7109375" style="1" customWidth="1"/>
    <col min="2470" max="2470" width="52.85546875" style="1" customWidth="1"/>
    <col min="2471" max="2510" width="0" style="1" hidden="1" customWidth="1"/>
    <col min="2511" max="2512" width="14.85546875" style="1" customWidth="1"/>
    <col min="2513" max="2514" width="0" style="1" hidden="1" customWidth="1"/>
    <col min="2515" max="2515" width="14.85546875" style="1" customWidth="1"/>
    <col min="2516" max="2517" width="0" style="1" hidden="1" customWidth="1"/>
    <col min="2518" max="2518" width="14.85546875" style="1" customWidth="1"/>
    <col min="2519" max="2520" width="0" style="1" hidden="1" customWidth="1"/>
    <col min="2521" max="2521" width="14.85546875" style="1" customWidth="1"/>
    <col min="2522" max="2523" width="0" style="1" hidden="1" customWidth="1"/>
    <col min="2524" max="2524" width="14.85546875" style="1" customWidth="1"/>
    <col min="2525" max="2526" width="0" style="1" hidden="1" customWidth="1"/>
    <col min="2527" max="2528" width="14.85546875" style="1" customWidth="1"/>
    <col min="2529" max="2529" width="44.42578125" style="1" customWidth="1"/>
    <col min="2530" max="2534" width="14.85546875" style="1" customWidth="1"/>
    <col min="2535" max="2535" width="63.85546875" style="1" customWidth="1"/>
    <col min="2536" max="2536" width="13.28515625" style="1" customWidth="1"/>
    <col min="2537" max="2722" width="9" style="1"/>
    <col min="2723" max="2724" width="0" style="1" hidden="1" customWidth="1"/>
    <col min="2725" max="2725" width="13.7109375" style="1" customWidth="1"/>
    <col min="2726" max="2726" width="52.85546875" style="1" customWidth="1"/>
    <col min="2727" max="2766" width="0" style="1" hidden="1" customWidth="1"/>
    <col min="2767" max="2768" width="14.85546875" style="1" customWidth="1"/>
    <col min="2769" max="2770" width="0" style="1" hidden="1" customWidth="1"/>
    <col min="2771" max="2771" width="14.85546875" style="1" customWidth="1"/>
    <col min="2772" max="2773" width="0" style="1" hidden="1" customWidth="1"/>
    <col min="2774" max="2774" width="14.85546875" style="1" customWidth="1"/>
    <col min="2775" max="2776" width="0" style="1" hidden="1" customWidth="1"/>
    <col min="2777" max="2777" width="14.85546875" style="1" customWidth="1"/>
    <col min="2778" max="2779" width="0" style="1" hidden="1" customWidth="1"/>
    <col min="2780" max="2780" width="14.85546875" style="1" customWidth="1"/>
    <col min="2781" max="2782" width="0" style="1" hidden="1" customWidth="1"/>
    <col min="2783" max="2784" width="14.85546875" style="1" customWidth="1"/>
    <col min="2785" max="2785" width="44.42578125" style="1" customWidth="1"/>
    <col min="2786" max="2790" width="14.85546875" style="1" customWidth="1"/>
    <col min="2791" max="2791" width="63.85546875" style="1" customWidth="1"/>
    <col min="2792" max="2792" width="13.28515625" style="1" customWidth="1"/>
    <col min="2793" max="2978" width="9" style="1"/>
    <col min="2979" max="2980" width="0" style="1" hidden="1" customWidth="1"/>
    <col min="2981" max="2981" width="13.7109375" style="1" customWidth="1"/>
    <col min="2982" max="2982" width="52.85546875" style="1" customWidth="1"/>
    <col min="2983" max="3022" width="0" style="1" hidden="1" customWidth="1"/>
    <col min="3023" max="3024" width="14.85546875" style="1" customWidth="1"/>
    <col min="3025" max="3026" width="0" style="1" hidden="1" customWidth="1"/>
    <col min="3027" max="3027" width="14.85546875" style="1" customWidth="1"/>
    <col min="3028" max="3029" width="0" style="1" hidden="1" customWidth="1"/>
    <col min="3030" max="3030" width="14.85546875" style="1" customWidth="1"/>
    <col min="3031" max="3032" width="0" style="1" hidden="1" customWidth="1"/>
    <col min="3033" max="3033" width="14.85546875" style="1" customWidth="1"/>
    <col min="3034" max="3035" width="0" style="1" hidden="1" customWidth="1"/>
    <col min="3036" max="3036" width="14.85546875" style="1" customWidth="1"/>
    <col min="3037" max="3038" width="0" style="1" hidden="1" customWidth="1"/>
    <col min="3039" max="3040" width="14.85546875" style="1" customWidth="1"/>
    <col min="3041" max="3041" width="44.42578125" style="1" customWidth="1"/>
    <col min="3042" max="3046" width="14.85546875" style="1" customWidth="1"/>
    <col min="3047" max="3047" width="63.85546875" style="1" customWidth="1"/>
    <col min="3048" max="3048" width="13.28515625" style="1" customWidth="1"/>
    <col min="3049" max="3234" width="9" style="1"/>
    <col min="3235" max="3236" width="0" style="1" hidden="1" customWidth="1"/>
    <col min="3237" max="3237" width="13.7109375" style="1" customWidth="1"/>
    <col min="3238" max="3238" width="52.85546875" style="1" customWidth="1"/>
    <col min="3239" max="3278" width="0" style="1" hidden="1" customWidth="1"/>
    <col min="3279" max="3280" width="14.85546875" style="1" customWidth="1"/>
    <col min="3281" max="3282" width="0" style="1" hidden="1" customWidth="1"/>
    <col min="3283" max="3283" width="14.85546875" style="1" customWidth="1"/>
    <col min="3284" max="3285" width="0" style="1" hidden="1" customWidth="1"/>
    <col min="3286" max="3286" width="14.85546875" style="1" customWidth="1"/>
    <col min="3287" max="3288" width="0" style="1" hidden="1" customWidth="1"/>
    <col min="3289" max="3289" width="14.85546875" style="1" customWidth="1"/>
    <col min="3290" max="3291" width="0" style="1" hidden="1" customWidth="1"/>
    <col min="3292" max="3292" width="14.85546875" style="1" customWidth="1"/>
    <col min="3293" max="3294" width="0" style="1" hidden="1" customWidth="1"/>
    <col min="3295" max="3296" width="14.85546875" style="1" customWidth="1"/>
    <col min="3297" max="3297" width="44.42578125" style="1" customWidth="1"/>
    <col min="3298" max="3302" width="14.85546875" style="1" customWidth="1"/>
    <col min="3303" max="3303" width="63.85546875" style="1" customWidth="1"/>
    <col min="3304" max="3304" width="13.28515625" style="1" customWidth="1"/>
    <col min="3305" max="3490" width="9" style="1"/>
    <col min="3491" max="3492" width="0" style="1" hidden="1" customWidth="1"/>
    <col min="3493" max="3493" width="13.7109375" style="1" customWidth="1"/>
    <col min="3494" max="3494" width="52.85546875" style="1" customWidth="1"/>
    <col min="3495" max="3534" width="0" style="1" hidden="1" customWidth="1"/>
    <col min="3535" max="3536" width="14.85546875" style="1" customWidth="1"/>
    <col min="3537" max="3538" width="0" style="1" hidden="1" customWidth="1"/>
    <col min="3539" max="3539" width="14.85546875" style="1" customWidth="1"/>
    <col min="3540" max="3541" width="0" style="1" hidden="1" customWidth="1"/>
    <col min="3542" max="3542" width="14.85546875" style="1" customWidth="1"/>
    <col min="3543" max="3544" width="0" style="1" hidden="1" customWidth="1"/>
    <col min="3545" max="3545" width="14.85546875" style="1" customWidth="1"/>
    <col min="3546" max="3547" width="0" style="1" hidden="1" customWidth="1"/>
    <col min="3548" max="3548" width="14.85546875" style="1" customWidth="1"/>
    <col min="3549" max="3550" width="0" style="1" hidden="1" customWidth="1"/>
    <col min="3551" max="3552" width="14.85546875" style="1" customWidth="1"/>
    <col min="3553" max="3553" width="44.42578125" style="1" customWidth="1"/>
    <col min="3554" max="3558" width="14.85546875" style="1" customWidth="1"/>
    <col min="3559" max="3559" width="63.85546875" style="1" customWidth="1"/>
    <col min="3560" max="3560" width="13.28515625" style="1" customWidth="1"/>
    <col min="3561" max="3746" width="9" style="1"/>
    <col min="3747" max="3748" width="0" style="1" hidden="1" customWidth="1"/>
    <col min="3749" max="3749" width="13.7109375" style="1" customWidth="1"/>
    <col min="3750" max="3750" width="52.85546875" style="1" customWidth="1"/>
    <col min="3751" max="3790" width="0" style="1" hidden="1" customWidth="1"/>
    <col min="3791" max="3792" width="14.85546875" style="1" customWidth="1"/>
    <col min="3793" max="3794" width="0" style="1" hidden="1" customWidth="1"/>
    <col min="3795" max="3795" width="14.85546875" style="1" customWidth="1"/>
    <col min="3796" max="3797" width="0" style="1" hidden="1" customWidth="1"/>
    <col min="3798" max="3798" width="14.85546875" style="1" customWidth="1"/>
    <col min="3799" max="3800" width="0" style="1" hidden="1" customWidth="1"/>
    <col min="3801" max="3801" width="14.85546875" style="1" customWidth="1"/>
    <col min="3802" max="3803" width="0" style="1" hidden="1" customWidth="1"/>
    <col min="3804" max="3804" width="14.85546875" style="1" customWidth="1"/>
    <col min="3805" max="3806" width="0" style="1" hidden="1" customWidth="1"/>
    <col min="3807" max="3808" width="14.85546875" style="1" customWidth="1"/>
    <col min="3809" max="3809" width="44.42578125" style="1" customWidth="1"/>
    <col min="3810" max="3814" width="14.85546875" style="1" customWidth="1"/>
    <col min="3815" max="3815" width="63.85546875" style="1" customWidth="1"/>
    <col min="3816" max="3816" width="13.28515625" style="1" customWidth="1"/>
    <col min="3817" max="4002" width="9" style="1"/>
    <col min="4003" max="4004" width="0" style="1" hidden="1" customWidth="1"/>
    <col min="4005" max="4005" width="13.7109375" style="1" customWidth="1"/>
    <col min="4006" max="4006" width="52.85546875" style="1" customWidth="1"/>
    <col min="4007" max="4046" width="0" style="1" hidden="1" customWidth="1"/>
    <col min="4047" max="4048" width="14.85546875" style="1" customWidth="1"/>
    <col min="4049" max="4050" width="0" style="1" hidden="1" customWidth="1"/>
    <col min="4051" max="4051" width="14.85546875" style="1" customWidth="1"/>
    <col min="4052" max="4053" width="0" style="1" hidden="1" customWidth="1"/>
    <col min="4054" max="4054" width="14.85546875" style="1" customWidth="1"/>
    <col min="4055" max="4056" width="0" style="1" hidden="1" customWidth="1"/>
    <col min="4057" max="4057" width="14.85546875" style="1" customWidth="1"/>
    <col min="4058" max="4059" width="0" style="1" hidden="1" customWidth="1"/>
    <col min="4060" max="4060" width="14.85546875" style="1" customWidth="1"/>
    <col min="4061" max="4062" width="0" style="1" hidden="1" customWidth="1"/>
    <col min="4063" max="4064" width="14.85546875" style="1" customWidth="1"/>
    <col min="4065" max="4065" width="44.42578125" style="1" customWidth="1"/>
    <col min="4066" max="4070" width="14.85546875" style="1" customWidth="1"/>
    <col min="4071" max="4071" width="63.85546875" style="1" customWidth="1"/>
    <col min="4072" max="4072" width="13.28515625" style="1" customWidth="1"/>
    <col min="4073" max="4258" width="9" style="1"/>
    <col min="4259" max="4260" width="0" style="1" hidden="1" customWidth="1"/>
    <col min="4261" max="4261" width="13.7109375" style="1" customWidth="1"/>
    <col min="4262" max="4262" width="52.85546875" style="1" customWidth="1"/>
    <col min="4263" max="4302" width="0" style="1" hidden="1" customWidth="1"/>
    <col min="4303" max="4304" width="14.85546875" style="1" customWidth="1"/>
    <col min="4305" max="4306" width="0" style="1" hidden="1" customWidth="1"/>
    <col min="4307" max="4307" width="14.85546875" style="1" customWidth="1"/>
    <col min="4308" max="4309" width="0" style="1" hidden="1" customWidth="1"/>
    <col min="4310" max="4310" width="14.85546875" style="1" customWidth="1"/>
    <col min="4311" max="4312" width="0" style="1" hidden="1" customWidth="1"/>
    <col min="4313" max="4313" width="14.85546875" style="1" customWidth="1"/>
    <col min="4314" max="4315" width="0" style="1" hidden="1" customWidth="1"/>
    <col min="4316" max="4316" width="14.85546875" style="1" customWidth="1"/>
    <col min="4317" max="4318" width="0" style="1" hidden="1" customWidth="1"/>
    <col min="4319" max="4320" width="14.85546875" style="1" customWidth="1"/>
    <col min="4321" max="4321" width="44.42578125" style="1" customWidth="1"/>
    <col min="4322" max="4326" width="14.85546875" style="1" customWidth="1"/>
    <col min="4327" max="4327" width="63.85546875" style="1" customWidth="1"/>
    <col min="4328" max="4328" width="13.28515625" style="1" customWidth="1"/>
    <col min="4329" max="4514" width="9" style="1"/>
    <col min="4515" max="4516" width="0" style="1" hidden="1" customWidth="1"/>
    <col min="4517" max="4517" width="13.7109375" style="1" customWidth="1"/>
    <col min="4518" max="4518" width="52.85546875" style="1" customWidth="1"/>
    <col min="4519" max="4558" width="0" style="1" hidden="1" customWidth="1"/>
    <col min="4559" max="4560" width="14.85546875" style="1" customWidth="1"/>
    <col min="4561" max="4562" width="0" style="1" hidden="1" customWidth="1"/>
    <col min="4563" max="4563" width="14.85546875" style="1" customWidth="1"/>
    <col min="4564" max="4565" width="0" style="1" hidden="1" customWidth="1"/>
    <col min="4566" max="4566" width="14.85546875" style="1" customWidth="1"/>
    <col min="4567" max="4568" width="0" style="1" hidden="1" customWidth="1"/>
    <col min="4569" max="4569" width="14.85546875" style="1" customWidth="1"/>
    <col min="4570" max="4571" width="0" style="1" hidden="1" customWidth="1"/>
    <col min="4572" max="4572" width="14.85546875" style="1" customWidth="1"/>
    <col min="4573" max="4574" width="0" style="1" hidden="1" customWidth="1"/>
    <col min="4575" max="4576" width="14.85546875" style="1" customWidth="1"/>
    <col min="4577" max="4577" width="44.42578125" style="1" customWidth="1"/>
    <col min="4578" max="4582" width="14.85546875" style="1" customWidth="1"/>
    <col min="4583" max="4583" width="63.85546875" style="1" customWidth="1"/>
    <col min="4584" max="4584" width="13.28515625" style="1" customWidth="1"/>
    <col min="4585" max="4770" width="9" style="1"/>
    <col min="4771" max="4772" width="0" style="1" hidden="1" customWidth="1"/>
    <col min="4773" max="4773" width="13.7109375" style="1" customWidth="1"/>
    <col min="4774" max="4774" width="52.85546875" style="1" customWidth="1"/>
    <col min="4775" max="4814" width="0" style="1" hidden="1" customWidth="1"/>
    <col min="4815" max="4816" width="14.85546875" style="1" customWidth="1"/>
    <col min="4817" max="4818" width="0" style="1" hidden="1" customWidth="1"/>
    <col min="4819" max="4819" width="14.85546875" style="1" customWidth="1"/>
    <col min="4820" max="4821" width="0" style="1" hidden="1" customWidth="1"/>
    <col min="4822" max="4822" width="14.85546875" style="1" customWidth="1"/>
    <col min="4823" max="4824" width="0" style="1" hidden="1" customWidth="1"/>
    <col min="4825" max="4825" width="14.85546875" style="1" customWidth="1"/>
    <col min="4826" max="4827" width="0" style="1" hidden="1" customWidth="1"/>
    <col min="4828" max="4828" width="14.85546875" style="1" customWidth="1"/>
    <col min="4829" max="4830" width="0" style="1" hidden="1" customWidth="1"/>
    <col min="4831" max="4832" width="14.85546875" style="1" customWidth="1"/>
    <col min="4833" max="4833" width="44.42578125" style="1" customWidth="1"/>
    <col min="4834" max="4838" width="14.85546875" style="1" customWidth="1"/>
    <col min="4839" max="4839" width="63.85546875" style="1" customWidth="1"/>
    <col min="4840" max="4840" width="13.28515625" style="1" customWidth="1"/>
    <col min="4841" max="5026" width="9" style="1"/>
    <col min="5027" max="5028" width="0" style="1" hidden="1" customWidth="1"/>
    <col min="5029" max="5029" width="13.7109375" style="1" customWidth="1"/>
    <col min="5030" max="5030" width="52.85546875" style="1" customWidth="1"/>
    <col min="5031" max="5070" width="0" style="1" hidden="1" customWidth="1"/>
    <col min="5071" max="5072" width="14.85546875" style="1" customWidth="1"/>
    <col min="5073" max="5074" width="0" style="1" hidden="1" customWidth="1"/>
    <col min="5075" max="5075" width="14.85546875" style="1" customWidth="1"/>
    <col min="5076" max="5077" width="0" style="1" hidden="1" customWidth="1"/>
    <col min="5078" max="5078" width="14.85546875" style="1" customWidth="1"/>
    <col min="5079" max="5080" width="0" style="1" hidden="1" customWidth="1"/>
    <col min="5081" max="5081" width="14.85546875" style="1" customWidth="1"/>
    <col min="5082" max="5083" width="0" style="1" hidden="1" customWidth="1"/>
    <col min="5084" max="5084" width="14.85546875" style="1" customWidth="1"/>
    <col min="5085" max="5086" width="0" style="1" hidden="1" customWidth="1"/>
    <col min="5087" max="5088" width="14.85546875" style="1" customWidth="1"/>
    <col min="5089" max="5089" width="44.42578125" style="1" customWidth="1"/>
    <col min="5090" max="5094" width="14.85546875" style="1" customWidth="1"/>
    <col min="5095" max="5095" width="63.85546875" style="1" customWidth="1"/>
    <col min="5096" max="5096" width="13.28515625" style="1" customWidth="1"/>
    <col min="5097" max="5282" width="9" style="1"/>
    <col min="5283" max="5284" width="0" style="1" hidden="1" customWidth="1"/>
    <col min="5285" max="5285" width="13.7109375" style="1" customWidth="1"/>
    <col min="5286" max="5286" width="52.85546875" style="1" customWidth="1"/>
    <col min="5287" max="5326" width="0" style="1" hidden="1" customWidth="1"/>
    <col min="5327" max="5328" width="14.85546875" style="1" customWidth="1"/>
    <col min="5329" max="5330" width="0" style="1" hidden="1" customWidth="1"/>
    <col min="5331" max="5331" width="14.85546875" style="1" customWidth="1"/>
    <col min="5332" max="5333" width="0" style="1" hidden="1" customWidth="1"/>
    <col min="5334" max="5334" width="14.85546875" style="1" customWidth="1"/>
    <col min="5335" max="5336" width="0" style="1" hidden="1" customWidth="1"/>
    <col min="5337" max="5337" width="14.85546875" style="1" customWidth="1"/>
    <col min="5338" max="5339" width="0" style="1" hidden="1" customWidth="1"/>
    <col min="5340" max="5340" width="14.85546875" style="1" customWidth="1"/>
    <col min="5341" max="5342" width="0" style="1" hidden="1" customWidth="1"/>
    <col min="5343" max="5344" width="14.85546875" style="1" customWidth="1"/>
    <col min="5345" max="5345" width="44.42578125" style="1" customWidth="1"/>
    <col min="5346" max="5350" width="14.85546875" style="1" customWidth="1"/>
    <col min="5351" max="5351" width="63.85546875" style="1" customWidth="1"/>
    <col min="5352" max="5352" width="13.28515625" style="1" customWidth="1"/>
    <col min="5353" max="5538" width="9" style="1"/>
    <col min="5539" max="5540" width="0" style="1" hidden="1" customWidth="1"/>
    <col min="5541" max="5541" width="13.7109375" style="1" customWidth="1"/>
    <col min="5542" max="5542" width="52.85546875" style="1" customWidth="1"/>
    <col min="5543" max="5582" width="0" style="1" hidden="1" customWidth="1"/>
    <col min="5583" max="5584" width="14.85546875" style="1" customWidth="1"/>
    <col min="5585" max="5586" width="0" style="1" hidden="1" customWidth="1"/>
    <col min="5587" max="5587" width="14.85546875" style="1" customWidth="1"/>
    <col min="5588" max="5589" width="0" style="1" hidden="1" customWidth="1"/>
    <col min="5590" max="5590" width="14.85546875" style="1" customWidth="1"/>
    <col min="5591" max="5592" width="0" style="1" hidden="1" customWidth="1"/>
    <col min="5593" max="5593" width="14.85546875" style="1" customWidth="1"/>
    <col min="5594" max="5595" width="0" style="1" hidden="1" customWidth="1"/>
    <col min="5596" max="5596" width="14.85546875" style="1" customWidth="1"/>
    <col min="5597" max="5598" width="0" style="1" hidden="1" customWidth="1"/>
    <col min="5599" max="5600" width="14.85546875" style="1" customWidth="1"/>
    <col min="5601" max="5601" width="44.42578125" style="1" customWidth="1"/>
    <col min="5602" max="5606" width="14.85546875" style="1" customWidth="1"/>
    <col min="5607" max="5607" width="63.85546875" style="1" customWidth="1"/>
    <col min="5608" max="5608" width="13.28515625" style="1" customWidth="1"/>
    <col min="5609" max="5794" width="9" style="1"/>
    <col min="5795" max="5796" width="0" style="1" hidden="1" customWidth="1"/>
    <col min="5797" max="5797" width="13.7109375" style="1" customWidth="1"/>
    <col min="5798" max="5798" width="52.85546875" style="1" customWidth="1"/>
    <col min="5799" max="5838" width="0" style="1" hidden="1" customWidth="1"/>
    <col min="5839" max="5840" width="14.85546875" style="1" customWidth="1"/>
    <col min="5841" max="5842" width="0" style="1" hidden="1" customWidth="1"/>
    <col min="5843" max="5843" width="14.85546875" style="1" customWidth="1"/>
    <col min="5844" max="5845" width="0" style="1" hidden="1" customWidth="1"/>
    <col min="5846" max="5846" width="14.85546875" style="1" customWidth="1"/>
    <col min="5847" max="5848" width="0" style="1" hidden="1" customWidth="1"/>
    <col min="5849" max="5849" width="14.85546875" style="1" customWidth="1"/>
    <col min="5850" max="5851" width="0" style="1" hidden="1" customWidth="1"/>
    <col min="5852" max="5852" width="14.85546875" style="1" customWidth="1"/>
    <col min="5853" max="5854" width="0" style="1" hidden="1" customWidth="1"/>
    <col min="5855" max="5856" width="14.85546875" style="1" customWidth="1"/>
    <col min="5857" max="5857" width="44.42578125" style="1" customWidth="1"/>
    <col min="5858" max="5862" width="14.85546875" style="1" customWidth="1"/>
    <col min="5863" max="5863" width="63.85546875" style="1" customWidth="1"/>
    <col min="5864" max="5864" width="13.28515625" style="1" customWidth="1"/>
    <col min="5865" max="6050" width="9" style="1"/>
    <col min="6051" max="6052" width="0" style="1" hidden="1" customWidth="1"/>
    <col min="6053" max="6053" width="13.7109375" style="1" customWidth="1"/>
    <col min="6054" max="6054" width="52.85546875" style="1" customWidth="1"/>
    <col min="6055" max="6094" width="0" style="1" hidden="1" customWidth="1"/>
    <col min="6095" max="6096" width="14.85546875" style="1" customWidth="1"/>
    <col min="6097" max="6098" width="0" style="1" hidden="1" customWidth="1"/>
    <col min="6099" max="6099" width="14.85546875" style="1" customWidth="1"/>
    <col min="6100" max="6101" width="0" style="1" hidden="1" customWidth="1"/>
    <col min="6102" max="6102" width="14.85546875" style="1" customWidth="1"/>
    <col min="6103" max="6104" width="0" style="1" hidden="1" customWidth="1"/>
    <col min="6105" max="6105" width="14.85546875" style="1" customWidth="1"/>
    <col min="6106" max="6107" width="0" style="1" hidden="1" customWidth="1"/>
    <col min="6108" max="6108" width="14.85546875" style="1" customWidth="1"/>
    <col min="6109" max="6110" width="0" style="1" hidden="1" customWidth="1"/>
    <col min="6111" max="6112" width="14.85546875" style="1" customWidth="1"/>
    <col min="6113" max="6113" width="44.42578125" style="1" customWidth="1"/>
    <col min="6114" max="6118" width="14.85546875" style="1" customWidth="1"/>
    <col min="6119" max="6119" width="63.85546875" style="1" customWidth="1"/>
    <col min="6120" max="6120" width="13.28515625" style="1" customWidth="1"/>
    <col min="6121" max="6306" width="9" style="1"/>
    <col min="6307" max="6308" width="0" style="1" hidden="1" customWidth="1"/>
    <col min="6309" max="6309" width="13.7109375" style="1" customWidth="1"/>
    <col min="6310" max="6310" width="52.85546875" style="1" customWidth="1"/>
    <col min="6311" max="6350" width="0" style="1" hidden="1" customWidth="1"/>
    <col min="6351" max="6352" width="14.85546875" style="1" customWidth="1"/>
    <col min="6353" max="6354" width="0" style="1" hidden="1" customWidth="1"/>
    <col min="6355" max="6355" width="14.85546875" style="1" customWidth="1"/>
    <col min="6356" max="6357" width="0" style="1" hidden="1" customWidth="1"/>
    <col min="6358" max="6358" width="14.85546875" style="1" customWidth="1"/>
    <col min="6359" max="6360" width="0" style="1" hidden="1" customWidth="1"/>
    <col min="6361" max="6361" width="14.85546875" style="1" customWidth="1"/>
    <col min="6362" max="6363" width="0" style="1" hidden="1" customWidth="1"/>
    <col min="6364" max="6364" width="14.85546875" style="1" customWidth="1"/>
    <col min="6365" max="6366" width="0" style="1" hidden="1" customWidth="1"/>
    <col min="6367" max="6368" width="14.85546875" style="1" customWidth="1"/>
    <col min="6369" max="6369" width="44.42578125" style="1" customWidth="1"/>
    <col min="6370" max="6374" width="14.85546875" style="1" customWidth="1"/>
    <col min="6375" max="6375" width="63.85546875" style="1" customWidth="1"/>
    <col min="6376" max="6376" width="13.28515625" style="1" customWidth="1"/>
    <col min="6377" max="6562" width="9" style="1"/>
    <col min="6563" max="6564" width="0" style="1" hidden="1" customWidth="1"/>
    <col min="6565" max="6565" width="13.7109375" style="1" customWidth="1"/>
    <col min="6566" max="6566" width="52.85546875" style="1" customWidth="1"/>
    <col min="6567" max="6606" width="0" style="1" hidden="1" customWidth="1"/>
    <col min="6607" max="6608" width="14.85546875" style="1" customWidth="1"/>
    <col min="6609" max="6610" width="0" style="1" hidden="1" customWidth="1"/>
    <col min="6611" max="6611" width="14.85546875" style="1" customWidth="1"/>
    <col min="6612" max="6613" width="0" style="1" hidden="1" customWidth="1"/>
    <col min="6614" max="6614" width="14.85546875" style="1" customWidth="1"/>
    <col min="6615" max="6616" width="0" style="1" hidden="1" customWidth="1"/>
    <col min="6617" max="6617" width="14.85546875" style="1" customWidth="1"/>
    <col min="6618" max="6619" width="0" style="1" hidden="1" customWidth="1"/>
    <col min="6620" max="6620" width="14.85546875" style="1" customWidth="1"/>
    <col min="6621" max="6622" width="0" style="1" hidden="1" customWidth="1"/>
    <col min="6623" max="6624" width="14.85546875" style="1" customWidth="1"/>
    <col min="6625" max="6625" width="44.42578125" style="1" customWidth="1"/>
    <col min="6626" max="6630" width="14.85546875" style="1" customWidth="1"/>
    <col min="6631" max="6631" width="63.85546875" style="1" customWidth="1"/>
    <col min="6632" max="6632" width="13.28515625" style="1" customWidth="1"/>
    <col min="6633" max="6818" width="9" style="1"/>
    <col min="6819" max="6820" width="0" style="1" hidden="1" customWidth="1"/>
    <col min="6821" max="6821" width="13.7109375" style="1" customWidth="1"/>
    <col min="6822" max="6822" width="52.85546875" style="1" customWidth="1"/>
    <col min="6823" max="6862" width="0" style="1" hidden="1" customWidth="1"/>
    <col min="6863" max="6864" width="14.85546875" style="1" customWidth="1"/>
    <col min="6865" max="6866" width="0" style="1" hidden="1" customWidth="1"/>
    <col min="6867" max="6867" width="14.85546875" style="1" customWidth="1"/>
    <col min="6868" max="6869" width="0" style="1" hidden="1" customWidth="1"/>
    <col min="6870" max="6870" width="14.85546875" style="1" customWidth="1"/>
    <col min="6871" max="6872" width="0" style="1" hidden="1" customWidth="1"/>
    <col min="6873" max="6873" width="14.85546875" style="1" customWidth="1"/>
    <col min="6874" max="6875" width="0" style="1" hidden="1" customWidth="1"/>
    <col min="6876" max="6876" width="14.85546875" style="1" customWidth="1"/>
    <col min="6877" max="6878" width="0" style="1" hidden="1" customWidth="1"/>
    <col min="6879" max="6880" width="14.85546875" style="1" customWidth="1"/>
    <col min="6881" max="6881" width="44.42578125" style="1" customWidth="1"/>
    <col min="6882" max="6886" width="14.85546875" style="1" customWidth="1"/>
    <col min="6887" max="6887" width="63.85546875" style="1" customWidth="1"/>
    <col min="6888" max="6888" width="13.28515625" style="1" customWidth="1"/>
    <col min="6889" max="7074" width="9" style="1"/>
    <col min="7075" max="7076" width="0" style="1" hidden="1" customWidth="1"/>
    <col min="7077" max="7077" width="13.7109375" style="1" customWidth="1"/>
    <col min="7078" max="7078" width="52.85546875" style="1" customWidth="1"/>
    <col min="7079" max="7118" width="0" style="1" hidden="1" customWidth="1"/>
    <col min="7119" max="7120" width="14.85546875" style="1" customWidth="1"/>
    <col min="7121" max="7122" width="0" style="1" hidden="1" customWidth="1"/>
    <col min="7123" max="7123" width="14.85546875" style="1" customWidth="1"/>
    <col min="7124" max="7125" width="0" style="1" hidden="1" customWidth="1"/>
    <col min="7126" max="7126" width="14.85546875" style="1" customWidth="1"/>
    <col min="7127" max="7128" width="0" style="1" hidden="1" customWidth="1"/>
    <col min="7129" max="7129" width="14.85546875" style="1" customWidth="1"/>
    <col min="7130" max="7131" width="0" style="1" hidden="1" customWidth="1"/>
    <col min="7132" max="7132" width="14.85546875" style="1" customWidth="1"/>
    <col min="7133" max="7134" width="0" style="1" hidden="1" customWidth="1"/>
    <col min="7135" max="7136" width="14.85546875" style="1" customWidth="1"/>
    <col min="7137" max="7137" width="44.42578125" style="1" customWidth="1"/>
    <col min="7138" max="7142" width="14.85546875" style="1" customWidth="1"/>
    <col min="7143" max="7143" width="63.85546875" style="1" customWidth="1"/>
    <col min="7144" max="7144" width="13.28515625" style="1" customWidth="1"/>
    <col min="7145" max="7330" width="9" style="1"/>
    <col min="7331" max="7332" width="0" style="1" hidden="1" customWidth="1"/>
    <col min="7333" max="7333" width="13.7109375" style="1" customWidth="1"/>
    <col min="7334" max="7334" width="52.85546875" style="1" customWidth="1"/>
    <col min="7335" max="7374" width="0" style="1" hidden="1" customWidth="1"/>
    <col min="7375" max="7376" width="14.85546875" style="1" customWidth="1"/>
    <col min="7377" max="7378" width="0" style="1" hidden="1" customWidth="1"/>
    <col min="7379" max="7379" width="14.85546875" style="1" customWidth="1"/>
    <col min="7380" max="7381" width="0" style="1" hidden="1" customWidth="1"/>
    <col min="7382" max="7382" width="14.85546875" style="1" customWidth="1"/>
    <col min="7383" max="7384" width="0" style="1" hidden="1" customWidth="1"/>
    <col min="7385" max="7385" width="14.85546875" style="1" customWidth="1"/>
    <col min="7386" max="7387" width="0" style="1" hidden="1" customWidth="1"/>
    <col min="7388" max="7388" width="14.85546875" style="1" customWidth="1"/>
    <col min="7389" max="7390" width="0" style="1" hidden="1" customWidth="1"/>
    <col min="7391" max="7392" width="14.85546875" style="1" customWidth="1"/>
    <col min="7393" max="7393" width="44.42578125" style="1" customWidth="1"/>
    <col min="7394" max="7398" width="14.85546875" style="1" customWidth="1"/>
    <col min="7399" max="7399" width="63.85546875" style="1" customWidth="1"/>
    <col min="7400" max="7400" width="13.28515625" style="1" customWidth="1"/>
    <col min="7401" max="7586" width="9" style="1"/>
    <col min="7587" max="7588" width="0" style="1" hidden="1" customWidth="1"/>
    <col min="7589" max="7589" width="13.7109375" style="1" customWidth="1"/>
    <col min="7590" max="7590" width="52.85546875" style="1" customWidth="1"/>
    <col min="7591" max="7630" width="0" style="1" hidden="1" customWidth="1"/>
    <col min="7631" max="7632" width="14.85546875" style="1" customWidth="1"/>
    <col min="7633" max="7634" width="0" style="1" hidden="1" customWidth="1"/>
    <col min="7635" max="7635" width="14.85546875" style="1" customWidth="1"/>
    <col min="7636" max="7637" width="0" style="1" hidden="1" customWidth="1"/>
    <col min="7638" max="7638" width="14.85546875" style="1" customWidth="1"/>
    <col min="7639" max="7640" width="0" style="1" hidden="1" customWidth="1"/>
    <col min="7641" max="7641" width="14.85546875" style="1" customWidth="1"/>
    <col min="7642" max="7643" width="0" style="1" hidden="1" customWidth="1"/>
    <col min="7644" max="7644" width="14.85546875" style="1" customWidth="1"/>
    <col min="7645" max="7646" width="0" style="1" hidden="1" customWidth="1"/>
    <col min="7647" max="7648" width="14.85546875" style="1" customWidth="1"/>
    <col min="7649" max="7649" width="44.42578125" style="1" customWidth="1"/>
    <col min="7650" max="7654" width="14.85546875" style="1" customWidth="1"/>
    <col min="7655" max="7655" width="63.85546875" style="1" customWidth="1"/>
    <col min="7656" max="7656" width="13.28515625" style="1" customWidth="1"/>
    <col min="7657" max="7842" width="9" style="1"/>
    <col min="7843" max="7844" width="0" style="1" hidden="1" customWidth="1"/>
    <col min="7845" max="7845" width="13.7109375" style="1" customWidth="1"/>
    <col min="7846" max="7846" width="52.85546875" style="1" customWidth="1"/>
    <col min="7847" max="7886" width="0" style="1" hidden="1" customWidth="1"/>
    <col min="7887" max="7888" width="14.85546875" style="1" customWidth="1"/>
    <col min="7889" max="7890" width="0" style="1" hidden="1" customWidth="1"/>
    <col min="7891" max="7891" width="14.85546875" style="1" customWidth="1"/>
    <col min="7892" max="7893" width="0" style="1" hidden="1" customWidth="1"/>
    <col min="7894" max="7894" width="14.85546875" style="1" customWidth="1"/>
    <col min="7895" max="7896" width="0" style="1" hidden="1" customWidth="1"/>
    <col min="7897" max="7897" width="14.85546875" style="1" customWidth="1"/>
    <col min="7898" max="7899" width="0" style="1" hidden="1" customWidth="1"/>
    <col min="7900" max="7900" width="14.85546875" style="1" customWidth="1"/>
    <col min="7901" max="7902" width="0" style="1" hidden="1" customWidth="1"/>
    <col min="7903" max="7904" width="14.85546875" style="1" customWidth="1"/>
    <col min="7905" max="7905" width="44.42578125" style="1" customWidth="1"/>
    <col min="7906" max="7910" width="14.85546875" style="1" customWidth="1"/>
    <col min="7911" max="7911" width="63.85546875" style="1" customWidth="1"/>
    <col min="7912" max="7912" width="13.28515625" style="1" customWidth="1"/>
    <col min="7913" max="8098" width="9" style="1"/>
    <col min="8099" max="8100" width="0" style="1" hidden="1" customWidth="1"/>
    <col min="8101" max="8101" width="13.7109375" style="1" customWidth="1"/>
    <col min="8102" max="8102" width="52.85546875" style="1" customWidth="1"/>
    <col min="8103" max="8142" width="0" style="1" hidden="1" customWidth="1"/>
    <col min="8143" max="8144" width="14.85546875" style="1" customWidth="1"/>
    <col min="8145" max="8146" width="0" style="1" hidden="1" customWidth="1"/>
    <col min="8147" max="8147" width="14.85546875" style="1" customWidth="1"/>
    <col min="8148" max="8149" width="0" style="1" hidden="1" customWidth="1"/>
    <col min="8150" max="8150" width="14.85546875" style="1" customWidth="1"/>
    <col min="8151" max="8152" width="0" style="1" hidden="1" customWidth="1"/>
    <col min="8153" max="8153" width="14.85546875" style="1" customWidth="1"/>
    <col min="8154" max="8155" width="0" style="1" hidden="1" customWidth="1"/>
    <col min="8156" max="8156" width="14.85546875" style="1" customWidth="1"/>
    <col min="8157" max="8158" width="0" style="1" hidden="1" customWidth="1"/>
    <col min="8159" max="8160" width="14.85546875" style="1" customWidth="1"/>
    <col min="8161" max="8161" width="44.42578125" style="1" customWidth="1"/>
    <col min="8162" max="8166" width="14.85546875" style="1" customWidth="1"/>
    <col min="8167" max="8167" width="63.85546875" style="1" customWidth="1"/>
    <col min="8168" max="8168" width="13.28515625" style="1" customWidth="1"/>
    <col min="8169" max="8354" width="9" style="1"/>
    <col min="8355" max="8356" width="0" style="1" hidden="1" customWidth="1"/>
    <col min="8357" max="8357" width="13.7109375" style="1" customWidth="1"/>
    <col min="8358" max="8358" width="52.85546875" style="1" customWidth="1"/>
    <col min="8359" max="8398" width="0" style="1" hidden="1" customWidth="1"/>
    <col min="8399" max="8400" width="14.85546875" style="1" customWidth="1"/>
    <col min="8401" max="8402" width="0" style="1" hidden="1" customWidth="1"/>
    <col min="8403" max="8403" width="14.85546875" style="1" customWidth="1"/>
    <col min="8404" max="8405" width="0" style="1" hidden="1" customWidth="1"/>
    <col min="8406" max="8406" width="14.85546875" style="1" customWidth="1"/>
    <col min="8407" max="8408" width="0" style="1" hidden="1" customWidth="1"/>
    <col min="8409" max="8409" width="14.85546875" style="1" customWidth="1"/>
    <col min="8410" max="8411" width="0" style="1" hidden="1" customWidth="1"/>
    <col min="8412" max="8412" width="14.85546875" style="1" customWidth="1"/>
    <col min="8413" max="8414" width="0" style="1" hidden="1" customWidth="1"/>
    <col min="8415" max="8416" width="14.85546875" style="1" customWidth="1"/>
    <col min="8417" max="8417" width="44.42578125" style="1" customWidth="1"/>
    <col min="8418" max="8422" width="14.85546875" style="1" customWidth="1"/>
    <col min="8423" max="8423" width="63.85546875" style="1" customWidth="1"/>
    <col min="8424" max="8424" width="13.28515625" style="1" customWidth="1"/>
    <col min="8425" max="8610" width="9" style="1"/>
    <col min="8611" max="8612" width="0" style="1" hidden="1" customWidth="1"/>
    <col min="8613" max="8613" width="13.7109375" style="1" customWidth="1"/>
    <col min="8614" max="8614" width="52.85546875" style="1" customWidth="1"/>
    <col min="8615" max="8654" width="0" style="1" hidden="1" customWidth="1"/>
    <col min="8655" max="8656" width="14.85546875" style="1" customWidth="1"/>
    <col min="8657" max="8658" width="0" style="1" hidden="1" customWidth="1"/>
    <col min="8659" max="8659" width="14.85546875" style="1" customWidth="1"/>
    <col min="8660" max="8661" width="0" style="1" hidden="1" customWidth="1"/>
    <col min="8662" max="8662" width="14.85546875" style="1" customWidth="1"/>
    <col min="8663" max="8664" width="0" style="1" hidden="1" customWidth="1"/>
    <col min="8665" max="8665" width="14.85546875" style="1" customWidth="1"/>
    <col min="8666" max="8667" width="0" style="1" hidden="1" customWidth="1"/>
    <col min="8668" max="8668" width="14.85546875" style="1" customWidth="1"/>
    <col min="8669" max="8670" width="0" style="1" hidden="1" customWidth="1"/>
    <col min="8671" max="8672" width="14.85546875" style="1" customWidth="1"/>
    <col min="8673" max="8673" width="44.42578125" style="1" customWidth="1"/>
    <col min="8674" max="8678" width="14.85546875" style="1" customWidth="1"/>
    <col min="8679" max="8679" width="63.85546875" style="1" customWidth="1"/>
    <col min="8680" max="8680" width="13.28515625" style="1" customWidth="1"/>
    <col min="8681" max="8866" width="9" style="1"/>
    <col min="8867" max="8868" width="0" style="1" hidden="1" customWidth="1"/>
    <col min="8869" max="8869" width="13.7109375" style="1" customWidth="1"/>
    <col min="8870" max="8870" width="52.85546875" style="1" customWidth="1"/>
    <col min="8871" max="8910" width="0" style="1" hidden="1" customWidth="1"/>
    <col min="8911" max="8912" width="14.85546875" style="1" customWidth="1"/>
    <col min="8913" max="8914" width="0" style="1" hidden="1" customWidth="1"/>
    <col min="8915" max="8915" width="14.85546875" style="1" customWidth="1"/>
    <col min="8916" max="8917" width="0" style="1" hidden="1" customWidth="1"/>
    <col min="8918" max="8918" width="14.85546875" style="1" customWidth="1"/>
    <col min="8919" max="8920" width="0" style="1" hidden="1" customWidth="1"/>
    <col min="8921" max="8921" width="14.85546875" style="1" customWidth="1"/>
    <col min="8922" max="8923" width="0" style="1" hidden="1" customWidth="1"/>
    <col min="8924" max="8924" width="14.85546875" style="1" customWidth="1"/>
    <col min="8925" max="8926" width="0" style="1" hidden="1" customWidth="1"/>
    <col min="8927" max="8928" width="14.85546875" style="1" customWidth="1"/>
    <col min="8929" max="8929" width="44.42578125" style="1" customWidth="1"/>
    <col min="8930" max="8934" width="14.85546875" style="1" customWidth="1"/>
    <col min="8935" max="8935" width="63.85546875" style="1" customWidth="1"/>
    <col min="8936" max="8936" width="13.28515625" style="1" customWidth="1"/>
    <col min="8937" max="9122" width="9" style="1"/>
    <col min="9123" max="9124" width="0" style="1" hidden="1" customWidth="1"/>
    <col min="9125" max="9125" width="13.7109375" style="1" customWidth="1"/>
    <col min="9126" max="9126" width="52.85546875" style="1" customWidth="1"/>
    <col min="9127" max="9166" width="0" style="1" hidden="1" customWidth="1"/>
    <col min="9167" max="9168" width="14.85546875" style="1" customWidth="1"/>
    <col min="9169" max="9170" width="0" style="1" hidden="1" customWidth="1"/>
    <col min="9171" max="9171" width="14.85546875" style="1" customWidth="1"/>
    <col min="9172" max="9173" width="0" style="1" hidden="1" customWidth="1"/>
    <col min="9174" max="9174" width="14.85546875" style="1" customWidth="1"/>
    <col min="9175" max="9176" width="0" style="1" hidden="1" customWidth="1"/>
    <col min="9177" max="9177" width="14.85546875" style="1" customWidth="1"/>
    <col min="9178" max="9179" width="0" style="1" hidden="1" customWidth="1"/>
    <col min="9180" max="9180" width="14.85546875" style="1" customWidth="1"/>
    <col min="9181" max="9182" width="0" style="1" hidden="1" customWidth="1"/>
    <col min="9183" max="9184" width="14.85546875" style="1" customWidth="1"/>
    <col min="9185" max="9185" width="44.42578125" style="1" customWidth="1"/>
    <col min="9186" max="9190" width="14.85546875" style="1" customWidth="1"/>
    <col min="9191" max="9191" width="63.85546875" style="1" customWidth="1"/>
    <col min="9192" max="9192" width="13.28515625" style="1" customWidth="1"/>
    <col min="9193" max="9378" width="9" style="1"/>
    <col min="9379" max="9380" width="0" style="1" hidden="1" customWidth="1"/>
    <col min="9381" max="9381" width="13.7109375" style="1" customWidth="1"/>
    <col min="9382" max="9382" width="52.85546875" style="1" customWidth="1"/>
    <col min="9383" max="9422" width="0" style="1" hidden="1" customWidth="1"/>
    <col min="9423" max="9424" width="14.85546875" style="1" customWidth="1"/>
    <col min="9425" max="9426" width="0" style="1" hidden="1" customWidth="1"/>
    <col min="9427" max="9427" width="14.85546875" style="1" customWidth="1"/>
    <col min="9428" max="9429" width="0" style="1" hidden="1" customWidth="1"/>
    <col min="9430" max="9430" width="14.85546875" style="1" customWidth="1"/>
    <col min="9431" max="9432" width="0" style="1" hidden="1" customWidth="1"/>
    <col min="9433" max="9433" width="14.85546875" style="1" customWidth="1"/>
    <col min="9434" max="9435" width="0" style="1" hidden="1" customWidth="1"/>
    <col min="9436" max="9436" width="14.85546875" style="1" customWidth="1"/>
    <col min="9437" max="9438" width="0" style="1" hidden="1" customWidth="1"/>
    <col min="9439" max="9440" width="14.85546875" style="1" customWidth="1"/>
    <col min="9441" max="9441" width="44.42578125" style="1" customWidth="1"/>
    <col min="9442" max="9446" width="14.85546875" style="1" customWidth="1"/>
    <col min="9447" max="9447" width="63.85546875" style="1" customWidth="1"/>
    <col min="9448" max="9448" width="13.28515625" style="1" customWidth="1"/>
    <col min="9449" max="9634" width="9" style="1"/>
    <col min="9635" max="9636" width="0" style="1" hidden="1" customWidth="1"/>
    <col min="9637" max="9637" width="13.7109375" style="1" customWidth="1"/>
    <col min="9638" max="9638" width="52.85546875" style="1" customWidth="1"/>
    <col min="9639" max="9678" width="0" style="1" hidden="1" customWidth="1"/>
    <col min="9679" max="9680" width="14.85546875" style="1" customWidth="1"/>
    <col min="9681" max="9682" width="0" style="1" hidden="1" customWidth="1"/>
    <col min="9683" max="9683" width="14.85546875" style="1" customWidth="1"/>
    <col min="9684" max="9685" width="0" style="1" hidden="1" customWidth="1"/>
    <col min="9686" max="9686" width="14.85546875" style="1" customWidth="1"/>
    <col min="9687" max="9688" width="0" style="1" hidden="1" customWidth="1"/>
    <col min="9689" max="9689" width="14.85546875" style="1" customWidth="1"/>
    <col min="9690" max="9691" width="0" style="1" hidden="1" customWidth="1"/>
    <col min="9692" max="9692" width="14.85546875" style="1" customWidth="1"/>
    <col min="9693" max="9694" width="0" style="1" hidden="1" customWidth="1"/>
    <col min="9695" max="9696" width="14.85546875" style="1" customWidth="1"/>
    <col min="9697" max="9697" width="44.42578125" style="1" customWidth="1"/>
    <col min="9698" max="9702" width="14.85546875" style="1" customWidth="1"/>
    <col min="9703" max="9703" width="63.85546875" style="1" customWidth="1"/>
    <col min="9704" max="9704" width="13.28515625" style="1" customWidth="1"/>
    <col min="9705" max="9890" width="9" style="1"/>
    <col min="9891" max="9892" width="0" style="1" hidden="1" customWidth="1"/>
    <col min="9893" max="9893" width="13.7109375" style="1" customWidth="1"/>
    <col min="9894" max="9894" width="52.85546875" style="1" customWidth="1"/>
    <col min="9895" max="9934" width="0" style="1" hidden="1" customWidth="1"/>
    <col min="9935" max="9936" width="14.85546875" style="1" customWidth="1"/>
    <col min="9937" max="9938" width="0" style="1" hidden="1" customWidth="1"/>
    <col min="9939" max="9939" width="14.85546875" style="1" customWidth="1"/>
    <col min="9940" max="9941" width="0" style="1" hidden="1" customWidth="1"/>
    <col min="9942" max="9942" width="14.85546875" style="1" customWidth="1"/>
    <col min="9943" max="9944" width="0" style="1" hidden="1" customWidth="1"/>
    <col min="9945" max="9945" width="14.85546875" style="1" customWidth="1"/>
    <col min="9946" max="9947" width="0" style="1" hidden="1" customWidth="1"/>
    <col min="9948" max="9948" width="14.85546875" style="1" customWidth="1"/>
    <col min="9949" max="9950" width="0" style="1" hidden="1" customWidth="1"/>
    <col min="9951" max="9952" width="14.85546875" style="1" customWidth="1"/>
    <col min="9953" max="9953" width="44.42578125" style="1" customWidth="1"/>
    <col min="9954" max="9958" width="14.85546875" style="1" customWidth="1"/>
    <col min="9959" max="9959" width="63.85546875" style="1" customWidth="1"/>
    <col min="9960" max="9960" width="13.28515625" style="1" customWidth="1"/>
    <col min="9961" max="10146" width="9" style="1"/>
    <col min="10147" max="10148" width="0" style="1" hidden="1" customWidth="1"/>
    <col min="10149" max="10149" width="13.7109375" style="1" customWidth="1"/>
    <col min="10150" max="10150" width="52.85546875" style="1" customWidth="1"/>
    <col min="10151" max="10190" width="0" style="1" hidden="1" customWidth="1"/>
    <col min="10191" max="10192" width="14.85546875" style="1" customWidth="1"/>
    <col min="10193" max="10194" width="0" style="1" hidden="1" customWidth="1"/>
    <col min="10195" max="10195" width="14.85546875" style="1" customWidth="1"/>
    <col min="10196" max="10197" width="0" style="1" hidden="1" customWidth="1"/>
    <col min="10198" max="10198" width="14.85546875" style="1" customWidth="1"/>
    <col min="10199" max="10200" width="0" style="1" hidden="1" customWidth="1"/>
    <col min="10201" max="10201" width="14.85546875" style="1" customWidth="1"/>
    <col min="10202" max="10203" width="0" style="1" hidden="1" customWidth="1"/>
    <col min="10204" max="10204" width="14.85546875" style="1" customWidth="1"/>
    <col min="10205" max="10206" width="0" style="1" hidden="1" customWidth="1"/>
    <col min="10207" max="10208" width="14.85546875" style="1" customWidth="1"/>
    <col min="10209" max="10209" width="44.42578125" style="1" customWidth="1"/>
    <col min="10210" max="10214" width="14.85546875" style="1" customWidth="1"/>
    <col min="10215" max="10215" width="63.85546875" style="1" customWidth="1"/>
    <col min="10216" max="10216" width="13.28515625" style="1" customWidth="1"/>
    <col min="10217" max="10402" width="9" style="1"/>
    <col min="10403" max="10404" width="0" style="1" hidden="1" customWidth="1"/>
    <col min="10405" max="10405" width="13.7109375" style="1" customWidth="1"/>
    <col min="10406" max="10406" width="52.85546875" style="1" customWidth="1"/>
    <col min="10407" max="10446" width="0" style="1" hidden="1" customWidth="1"/>
    <col min="10447" max="10448" width="14.85546875" style="1" customWidth="1"/>
    <col min="10449" max="10450" width="0" style="1" hidden="1" customWidth="1"/>
    <col min="10451" max="10451" width="14.85546875" style="1" customWidth="1"/>
    <col min="10452" max="10453" width="0" style="1" hidden="1" customWidth="1"/>
    <col min="10454" max="10454" width="14.85546875" style="1" customWidth="1"/>
    <col min="10455" max="10456" width="0" style="1" hidden="1" customWidth="1"/>
    <col min="10457" max="10457" width="14.85546875" style="1" customWidth="1"/>
    <col min="10458" max="10459" width="0" style="1" hidden="1" customWidth="1"/>
    <col min="10460" max="10460" width="14.85546875" style="1" customWidth="1"/>
    <col min="10461" max="10462" width="0" style="1" hidden="1" customWidth="1"/>
    <col min="10463" max="10464" width="14.85546875" style="1" customWidth="1"/>
    <col min="10465" max="10465" width="44.42578125" style="1" customWidth="1"/>
    <col min="10466" max="10470" width="14.85546875" style="1" customWidth="1"/>
    <col min="10471" max="10471" width="63.85546875" style="1" customWidth="1"/>
    <col min="10472" max="10472" width="13.28515625" style="1" customWidth="1"/>
    <col min="10473" max="10658" width="9" style="1"/>
    <col min="10659" max="10660" width="0" style="1" hidden="1" customWidth="1"/>
    <col min="10661" max="10661" width="13.7109375" style="1" customWidth="1"/>
    <col min="10662" max="10662" width="52.85546875" style="1" customWidth="1"/>
    <col min="10663" max="10702" width="0" style="1" hidden="1" customWidth="1"/>
    <col min="10703" max="10704" width="14.85546875" style="1" customWidth="1"/>
    <col min="10705" max="10706" width="0" style="1" hidden="1" customWidth="1"/>
    <col min="10707" max="10707" width="14.85546875" style="1" customWidth="1"/>
    <col min="10708" max="10709" width="0" style="1" hidden="1" customWidth="1"/>
    <col min="10710" max="10710" width="14.85546875" style="1" customWidth="1"/>
    <col min="10711" max="10712" width="0" style="1" hidden="1" customWidth="1"/>
    <col min="10713" max="10713" width="14.85546875" style="1" customWidth="1"/>
    <col min="10714" max="10715" width="0" style="1" hidden="1" customWidth="1"/>
    <col min="10716" max="10716" width="14.85546875" style="1" customWidth="1"/>
    <col min="10717" max="10718" width="0" style="1" hidden="1" customWidth="1"/>
    <col min="10719" max="10720" width="14.85546875" style="1" customWidth="1"/>
    <col min="10721" max="10721" width="44.42578125" style="1" customWidth="1"/>
    <col min="10722" max="10726" width="14.85546875" style="1" customWidth="1"/>
    <col min="10727" max="10727" width="63.85546875" style="1" customWidth="1"/>
    <col min="10728" max="10728" width="13.28515625" style="1" customWidth="1"/>
    <col min="10729" max="10914" width="9" style="1"/>
    <col min="10915" max="10916" width="0" style="1" hidden="1" customWidth="1"/>
    <col min="10917" max="10917" width="13.7109375" style="1" customWidth="1"/>
    <col min="10918" max="10918" width="52.85546875" style="1" customWidth="1"/>
    <col min="10919" max="10958" width="0" style="1" hidden="1" customWidth="1"/>
    <col min="10959" max="10960" width="14.85546875" style="1" customWidth="1"/>
    <col min="10961" max="10962" width="0" style="1" hidden="1" customWidth="1"/>
    <col min="10963" max="10963" width="14.85546875" style="1" customWidth="1"/>
    <col min="10964" max="10965" width="0" style="1" hidden="1" customWidth="1"/>
    <col min="10966" max="10966" width="14.85546875" style="1" customWidth="1"/>
    <col min="10967" max="10968" width="0" style="1" hidden="1" customWidth="1"/>
    <col min="10969" max="10969" width="14.85546875" style="1" customWidth="1"/>
    <col min="10970" max="10971" width="0" style="1" hidden="1" customWidth="1"/>
    <col min="10972" max="10972" width="14.85546875" style="1" customWidth="1"/>
    <col min="10973" max="10974" width="0" style="1" hidden="1" customWidth="1"/>
    <col min="10975" max="10976" width="14.85546875" style="1" customWidth="1"/>
    <col min="10977" max="10977" width="44.42578125" style="1" customWidth="1"/>
    <col min="10978" max="10982" width="14.85546875" style="1" customWidth="1"/>
    <col min="10983" max="10983" width="63.85546875" style="1" customWidth="1"/>
    <col min="10984" max="10984" width="13.28515625" style="1" customWidth="1"/>
    <col min="10985" max="11170" width="9" style="1"/>
    <col min="11171" max="11172" width="0" style="1" hidden="1" customWidth="1"/>
    <col min="11173" max="11173" width="13.7109375" style="1" customWidth="1"/>
    <col min="11174" max="11174" width="52.85546875" style="1" customWidth="1"/>
    <col min="11175" max="11214" width="0" style="1" hidden="1" customWidth="1"/>
    <col min="11215" max="11216" width="14.85546875" style="1" customWidth="1"/>
    <col min="11217" max="11218" width="0" style="1" hidden="1" customWidth="1"/>
    <col min="11219" max="11219" width="14.85546875" style="1" customWidth="1"/>
    <col min="11220" max="11221" width="0" style="1" hidden="1" customWidth="1"/>
    <col min="11222" max="11222" width="14.85546875" style="1" customWidth="1"/>
    <col min="11223" max="11224" width="0" style="1" hidden="1" customWidth="1"/>
    <col min="11225" max="11225" width="14.85546875" style="1" customWidth="1"/>
    <col min="11226" max="11227" width="0" style="1" hidden="1" customWidth="1"/>
    <col min="11228" max="11228" width="14.85546875" style="1" customWidth="1"/>
    <col min="11229" max="11230" width="0" style="1" hidden="1" customWidth="1"/>
    <col min="11231" max="11232" width="14.85546875" style="1" customWidth="1"/>
    <col min="11233" max="11233" width="44.42578125" style="1" customWidth="1"/>
    <col min="11234" max="11238" width="14.85546875" style="1" customWidth="1"/>
    <col min="11239" max="11239" width="63.85546875" style="1" customWidth="1"/>
    <col min="11240" max="11240" width="13.28515625" style="1" customWidth="1"/>
    <col min="11241" max="11426" width="9" style="1"/>
    <col min="11427" max="11428" width="0" style="1" hidden="1" customWidth="1"/>
    <col min="11429" max="11429" width="13.7109375" style="1" customWidth="1"/>
    <col min="11430" max="11430" width="52.85546875" style="1" customWidth="1"/>
    <col min="11431" max="11470" width="0" style="1" hidden="1" customWidth="1"/>
    <col min="11471" max="11472" width="14.85546875" style="1" customWidth="1"/>
    <col min="11473" max="11474" width="0" style="1" hidden="1" customWidth="1"/>
    <col min="11475" max="11475" width="14.85546875" style="1" customWidth="1"/>
    <col min="11476" max="11477" width="0" style="1" hidden="1" customWidth="1"/>
    <col min="11478" max="11478" width="14.85546875" style="1" customWidth="1"/>
    <col min="11479" max="11480" width="0" style="1" hidden="1" customWidth="1"/>
    <col min="11481" max="11481" width="14.85546875" style="1" customWidth="1"/>
    <col min="11482" max="11483" width="0" style="1" hidden="1" customWidth="1"/>
    <col min="11484" max="11484" width="14.85546875" style="1" customWidth="1"/>
    <col min="11485" max="11486" width="0" style="1" hidden="1" customWidth="1"/>
    <col min="11487" max="11488" width="14.85546875" style="1" customWidth="1"/>
    <col min="11489" max="11489" width="44.42578125" style="1" customWidth="1"/>
    <col min="11490" max="11494" width="14.85546875" style="1" customWidth="1"/>
    <col min="11495" max="11495" width="63.85546875" style="1" customWidth="1"/>
    <col min="11496" max="11496" width="13.28515625" style="1" customWidth="1"/>
    <col min="11497" max="11682" width="9" style="1"/>
    <col min="11683" max="11684" width="0" style="1" hidden="1" customWidth="1"/>
    <col min="11685" max="11685" width="13.7109375" style="1" customWidth="1"/>
    <col min="11686" max="11686" width="52.85546875" style="1" customWidth="1"/>
    <col min="11687" max="11726" width="0" style="1" hidden="1" customWidth="1"/>
    <col min="11727" max="11728" width="14.85546875" style="1" customWidth="1"/>
    <col min="11729" max="11730" width="0" style="1" hidden="1" customWidth="1"/>
    <col min="11731" max="11731" width="14.85546875" style="1" customWidth="1"/>
    <col min="11732" max="11733" width="0" style="1" hidden="1" customWidth="1"/>
    <col min="11734" max="11734" width="14.85546875" style="1" customWidth="1"/>
    <col min="11735" max="11736" width="0" style="1" hidden="1" customWidth="1"/>
    <col min="11737" max="11737" width="14.85546875" style="1" customWidth="1"/>
    <col min="11738" max="11739" width="0" style="1" hidden="1" customWidth="1"/>
    <col min="11740" max="11740" width="14.85546875" style="1" customWidth="1"/>
    <col min="11741" max="11742" width="0" style="1" hidden="1" customWidth="1"/>
    <col min="11743" max="11744" width="14.85546875" style="1" customWidth="1"/>
    <col min="11745" max="11745" width="44.42578125" style="1" customWidth="1"/>
    <col min="11746" max="11750" width="14.85546875" style="1" customWidth="1"/>
    <col min="11751" max="11751" width="63.85546875" style="1" customWidth="1"/>
    <col min="11752" max="11752" width="13.28515625" style="1" customWidth="1"/>
    <col min="11753" max="11938" width="9" style="1"/>
    <col min="11939" max="11940" width="0" style="1" hidden="1" customWidth="1"/>
    <col min="11941" max="11941" width="13.7109375" style="1" customWidth="1"/>
    <col min="11942" max="11942" width="52.85546875" style="1" customWidth="1"/>
    <col min="11943" max="11982" width="0" style="1" hidden="1" customWidth="1"/>
    <col min="11983" max="11984" width="14.85546875" style="1" customWidth="1"/>
    <col min="11985" max="11986" width="0" style="1" hidden="1" customWidth="1"/>
    <col min="11987" max="11987" width="14.85546875" style="1" customWidth="1"/>
    <col min="11988" max="11989" width="0" style="1" hidden="1" customWidth="1"/>
    <col min="11990" max="11990" width="14.85546875" style="1" customWidth="1"/>
    <col min="11991" max="11992" width="0" style="1" hidden="1" customWidth="1"/>
    <col min="11993" max="11993" width="14.85546875" style="1" customWidth="1"/>
    <col min="11994" max="11995" width="0" style="1" hidden="1" customWidth="1"/>
    <col min="11996" max="11996" width="14.85546875" style="1" customWidth="1"/>
    <col min="11997" max="11998" width="0" style="1" hidden="1" customWidth="1"/>
    <col min="11999" max="12000" width="14.85546875" style="1" customWidth="1"/>
    <col min="12001" max="12001" width="44.42578125" style="1" customWidth="1"/>
    <col min="12002" max="12006" width="14.85546875" style="1" customWidth="1"/>
    <col min="12007" max="12007" width="63.85546875" style="1" customWidth="1"/>
    <col min="12008" max="12008" width="13.28515625" style="1" customWidth="1"/>
    <col min="12009" max="12194" width="9" style="1"/>
    <col min="12195" max="12196" width="0" style="1" hidden="1" customWidth="1"/>
    <col min="12197" max="12197" width="13.7109375" style="1" customWidth="1"/>
    <col min="12198" max="12198" width="52.85546875" style="1" customWidth="1"/>
    <col min="12199" max="12238" width="0" style="1" hidden="1" customWidth="1"/>
    <col min="12239" max="12240" width="14.85546875" style="1" customWidth="1"/>
    <col min="12241" max="12242" width="0" style="1" hidden="1" customWidth="1"/>
    <col min="12243" max="12243" width="14.85546875" style="1" customWidth="1"/>
    <col min="12244" max="12245" width="0" style="1" hidden="1" customWidth="1"/>
    <col min="12246" max="12246" width="14.85546875" style="1" customWidth="1"/>
    <col min="12247" max="12248" width="0" style="1" hidden="1" customWidth="1"/>
    <col min="12249" max="12249" width="14.85546875" style="1" customWidth="1"/>
    <col min="12250" max="12251" width="0" style="1" hidden="1" customWidth="1"/>
    <col min="12252" max="12252" width="14.85546875" style="1" customWidth="1"/>
    <col min="12253" max="12254" width="0" style="1" hidden="1" customWidth="1"/>
    <col min="12255" max="12256" width="14.85546875" style="1" customWidth="1"/>
    <col min="12257" max="12257" width="44.42578125" style="1" customWidth="1"/>
    <col min="12258" max="12262" width="14.85546875" style="1" customWidth="1"/>
    <col min="12263" max="12263" width="63.85546875" style="1" customWidth="1"/>
    <col min="12264" max="12264" width="13.28515625" style="1" customWidth="1"/>
    <col min="12265" max="12450" width="9" style="1"/>
    <col min="12451" max="12452" width="0" style="1" hidden="1" customWidth="1"/>
    <col min="12453" max="12453" width="13.7109375" style="1" customWidth="1"/>
    <col min="12454" max="12454" width="52.85546875" style="1" customWidth="1"/>
    <col min="12455" max="12494" width="0" style="1" hidden="1" customWidth="1"/>
    <col min="12495" max="12496" width="14.85546875" style="1" customWidth="1"/>
    <col min="12497" max="12498" width="0" style="1" hidden="1" customWidth="1"/>
    <col min="12499" max="12499" width="14.85546875" style="1" customWidth="1"/>
    <col min="12500" max="12501" width="0" style="1" hidden="1" customWidth="1"/>
    <col min="12502" max="12502" width="14.85546875" style="1" customWidth="1"/>
    <col min="12503" max="12504" width="0" style="1" hidden="1" customWidth="1"/>
    <col min="12505" max="12505" width="14.85546875" style="1" customWidth="1"/>
    <col min="12506" max="12507" width="0" style="1" hidden="1" customWidth="1"/>
    <col min="12508" max="12508" width="14.85546875" style="1" customWidth="1"/>
    <col min="12509" max="12510" width="0" style="1" hidden="1" customWidth="1"/>
    <col min="12511" max="12512" width="14.85546875" style="1" customWidth="1"/>
    <col min="12513" max="12513" width="44.42578125" style="1" customWidth="1"/>
    <col min="12514" max="12518" width="14.85546875" style="1" customWidth="1"/>
    <col min="12519" max="12519" width="63.85546875" style="1" customWidth="1"/>
    <col min="12520" max="12520" width="13.28515625" style="1" customWidth="1"/>
    <col min="12521" max="12706" width="9" style="1"/>
    <col min="12707" max="12708" width="0" style="1" hidden="1" customWidth="1"/>
    <col min="12709" max="12709" width="13.7109375" style="1" customWidth="1"/>
    <col min="12710" max="12710" width="52.85546875" style="1" customWidth="1"/>
    <col min="12711" max="12750" width="0" style="1" hidden="1" customWidth="1"/>
    <col min="12751" max="12752" width="14.85546875" style="1" customWidth="1"/>
    <col min="12753" max="12754" width="0" style="1" hidden="1" customWidth="1"/>
    <col min="12755" max="12755" width="14.85546875" style="1" customWidth="1"/>
    <col min="12756" max="12757" width="0" style="1" hidden="1" customWidth="1"/>
    <col min="12758" max="12758" width="14.85546875" style="1" customWidth="1"/>
    <col min="12759" max="12760" width="0" style="1" hidden="1" customWidth="1"/>
    <col min="12761" max="12761" width="14.85546875" style="1" customWidth="1"/>
    <col min="12762" max="12763" width="0" style="1" hidden="1" customWidth="1"/>
    <col min="12764" max="12764" width="14.85546875" style="1" customWidth="1"/>
    <col min="12765" max="12766" width="0" style="1" hidden="1" customWidth="1"/>
    <col min="12767" max="12768" width="14.85546875" style="1" customWidth="1"/>
    <col min="12769" max="12769" width="44.42578125" style="1" customWidth="1"/>
    <col min="12770" max="12774" width="14.85546875" style="1" customWidth="1"/>
    <col min="12775" max="12775" width="63.85546875" style="1" customWidth="1"/>
    <col min="12776" max="12776" width="13.28515625" style="1" customWidth="1"/>
    <col min="12777" max="12962" width="9" style="1"/>
    <col min="12963" max="12964" width="0" style="1" hidden="1" customWidth="1"/>
    <col min="12965" max="12965" width="13.7109375" style="1" customWidth="1"/>
    <col min="12966" max="12966" width="52.85546875" style="1" customWidth="1"/>
    <col min="12967" max="13006" width="0" style="1" hidden="1" customWidth="1"/>
    <col min="13007" max="13008" width="14.85546875" style="1" customWidth="1"/>
    <col min="13009" max="13010" width="0" style="1" hidden="1" customWidth="1"/>
    <col min="13011" max="13011" width="14.85546875" style="1" customWidth="1"/>
    <col min="13012" max="13013" width="0" style="1" hidden="1" customWidth="1"/>
    <col min="13014" max="13014" width="14.85546875" style="1" customWidth="1"/>
    <col min="13015" max="13016" width="0" style="1" hidden="1" customWidth="1"/>
    <col min="13017" max="13017" width="14.85546875" style="1" customWidth="1"/>
    <col min="13018" max="13019" width="0" style="1" hidden="1" customWidth="1"/>
    <col min="13020" max="13020" width="14.85546875" style="1" customWidth="1"/>
    <col min="13021" max="13022" width="0" style="1" hidden="1" customWidth="1"/>
    <col min="13023" max="13024" width="14.85546875" style="1" customWidth="1"/>
    <col min="13025" max="13025" width="44.42578125" style="1" customWidth="1"/>
    <col min="13026" max="13030" width="14.85546875" style="1" customWidth="1"/>
    <col min="13031" max="13031" width="63.85546875" style="1" customWidth="1"/>
    <col min="13032" max="13032" width="13.28515625" style="1" customWidth="1"/>
    <col min="13033" max="13218" width="9" style="1"/>
    <col min="13219" max="13220" width="0" style="1" hidden="1" customWidth="1"/>
    <col min="13221" max="13221" width="13.7109375" style="1" customWidth="1"/>
    <col min="13222" max="13222" width="52.85546875" style="1" customWidth="1"/>
    <col min="13223" max="13262" width="0" style="1" hidden="1" customWidth="1"/>
    <col min="13263" max="13264" width="14.85546875" style="1" customWidth="1"/>
    <col min="13265" max="13266" width="0" style="1" hidden="1" customWidth="1"/>
    <col min="13267" max="13267" width="14.85546875" style="1" customWidth="1"/>
    <col min="13268" max="13269" width="0" style="1" hidden="1" customWidth="1"/>
    <col min="13270" max="13270" width="14.85546875" style="1" customWidth="1"/>
    <col min="13271" max="13272" width="0" style="1" hidden="1" customWidth="1"/>
    <col min="13273" max="13273" width="14.85546875" style="1" customWidth="1"/>
    <col min="13274" max="13275" width="0" style="1" hidden="1" customWidth="1"/>
    <col min="13276" max="13276" width="14.85546875" style="1" customWidth="1"/>
    <col min="13277" max="13278" width="0" style="1" hidden="1" customWidth="1"/>
    <col min="13279" max="13280" width="14.85546875" style="1" customWidth="1"/>
    <col min="13281" max="13281" width="44.42578125" style="1" customWidth="1"/>
    <col min="13282" max="13286" width="14.85546875" style="1" customWidth="1"/>
    <col min="13287" max="13287" width="63.85546875" style="1" customWidth="1"/>
    <col min="13288" max="13288" width="13.28515625" style="1" customWidth="1"/>
    <col min="13289" max="13474" width="9" style="1"/>
    <col min="13475" max="13476" width="0" style="1" hidden="1" customWidth="1"/>
    <col min="13477" max="13477" width="13.7109375" style="1" customWidth="1"/>
    <col min="13478" max="13478" width="52.85546875" style="1" customWidth="1"/>
    <col min="13479" max="13518" width="0" style="1" hidden="1" customWidth="1"/>
    <col min="13519" max="13520" width="14.85546875" style="1" customWidth="1"/>
    <col min="13521" max="13522" width="0" style="1" hidden="1" customWidth="1"/>
    <col min="13523" max="13523" width="14.85546875" style="1" customWidth="1"/>
    <col min="13524" max="13525" width="0" style="1" hidden="1" customWidth="1"/>
    <col min="13526" max="13526" width="14.85546875" style="1" customWidth="1"/>
    <col min="13527" max="13528" width="0" style="1" hidden="1" customWidth="1"/>
    <col min="13529" max="13529" width="14.85546875" style="1" customWidth="1"/>
    <col min="13530" max="13531" width="0" style="1" hidden="1" customWidth="1"/>
    <col min="13532" max="13532" width="14.85546875" style="1" customWidth="1"/>
    <col min="13533" max="13534" width="0" style="1" hidden="1" customWidth="1"/>
    <col min="13535" max="13536" width="14.85546875" style="1" customWidth="1"/>
    <col min="13537" max="13537" width="44.42578125" style="1" customWidth="1"/>
    <col min="13538" max="13542" width="14.85546875" style="1" customWidth="1"/>
    <col min="13543" max="13543" width="63.85546875" style="1" customWidth="1"/>
    <col min="13544" max="13544" width="13.28515625" style="1" customWidth="1"/>
    <col min="13545" max="13730" width="9" style="1"/>
    <col min="13731" max="13732" width="0" style="1" hidden="1" customWidth="1"/>
    <col min="13733" max="13733" width="13.7109375" style="1" customWidth="1"/>
    <col min="13734" max="13734" width="52.85546875" style="1" customWidth="1"/>
    <col min="13735" max="13774" width="0" style="1" hidden="1" customWidth="1"/>
    <col min="13775" max="13776" width="14.85546875" style="1" customWidth="1"/>
    <col min="13777" max="13778" width="0" style="1" hidden="1" customWidth="1"/>
    <col min="13779" max="13779" width="14.85546875" style="1" customWidth="1"/>
    <col min="13780" max="13781" width="0" style="1" hidden="1" customWidth="1"/>
    <col min="13782" max="13782" width="14.85546875" style="1" customWidth="1"/>
    <col min="13783" max="13784" width="0" style="1" hidden="1" customWidth="1"/>
    <col min="13785" max="13785" width="14.85546875" style="1" customWidth="1"/>
    <col min="13786" max="13787" width="0" style="1" hidden="1" customWidth="1"/>
    <col min="13788" max="13788" width="14.85546875" style="1" customWidth="1"/>
    <col min="13789" max="13790" width="0" style="1" hidden="1" customWidth="1"/>
    <col min="13791" max="13792" width="14.85546875" style="1" customWidth="1"/>
    <col min="13793" max="13793" width="44.42578125" style="1" customWidth="1"/>
    <col min="13794" max="13798" width="14.85546875" style="1" customWidth="1"/>
    <col min="13799" max="13799" width="63.85546875" style="1" customWidth="1"/>
    <col min="13800" max="13800" width="13.28515625" style="1" customWidth="1"/>
    <col min="13801" max="13986" width="9" style="1"/>
    <col min="13987" max="13988" width="0" style="1" hidden="1" customWidth="1"/>
    <col min="13989" max="13989" width="13.7109375" style="1" customWidth="1"/>
    <col min="13990" max="13990" width="52.85546875" style="1" customWidth="1"/>
    <col min="13991" max="14030" width="0" style="1" hidden="1" customWidth="1"/>
    <col min="14031" max="14032" width="14.85546875" style="1" customWidth="1"/>
    <col min="14033" max="14034" width="0" style="1" hidden="1" customWidth="1"/>
    <col min="14035" max="14035" width="14.85546875" style="1" customWidth="1"/>
    <col min="14036" max="14037" width="0" style="1" hidden="1" customWidth="1"/>
    <col min="14038" max="14038" width="14.85546875" style="1" customWidth="1"/>
    <col min="14039" max="14040" width="0" style="1" hidden="1" customWidth="1"/>
    <col min="14041" max="14041" width="14.85546875" style="1" customWidth="1"/>
    <col min="14042" max="14043" width="0" style="1" hidden="1" customWidth="1"/>
    <col min="14044" max="14044" width="14.85546875" style="1" customWidth="1"/>
    <col min="14045" max="14046" width="0" style="1" hidden="1" customWidth="1"/>
    <col min="14047" max="14048" width="14.85546875" style="1" customWidth="1"/>
    <col min="14049" max="14049" width="44.42578125" style="1" customWidth="1"/>
    <col min="14050" max="14054" width="14.85546875" style="1" customWidth="1"/>
    <col min="14055" max="14055" width="63.85546875" style="1" customWidth="1"/>
    <col min="14056" max="14056" width="13.28515625" style="1" customWidth="1"/>
    <col min="14057" max="14242" width="9" style="1"/>
    <col min="14243" max="14244" width="0" style="1" hidden="1" customWidth="1"/>
    <col min="14245" max="14245" width="13.7109375" style="1" customWidth="1"/>
    <col min="14246" max="14246" width="52.85546875" style="1" customWidth="1"/>
    <col min="14247" max="14286" width="0" style="1" hidden="1" customWidth="1"/>
    <col min="14287" max="14288" width="14.85546875" style="1" customWidth="1"/>
    <col min="14289" max="14290" width="0" style="1" hidden="1" customWidth="1"/>
    <col min="14291" max="14291" width="14.85546875" style="1" customWidth="1"/>
    <col min="14292" max="14293" width="0" style="1" hidden="1" customWidth="1"/>
    <col min="14294" max="14294" width="14.85546875" style="1" customWidth="1"/>
    <col min="14295" max="14296" width="0" style="1" hidden="1" customWidth="1"/>
    <col min="14297" max="14297" width="14.85546875" style="1" customWidth="1"/>
    <col min="14298" max="14299" width="0" style="1" hidden="1" customWidth="1"/>
    <col min="14300" max="14300" width="14.85546875" style="1" customWidth="1"/>
    <col min="14301" max="14302" width="0" style="1" hidden="1" customWidth="1"/>
    <col min="14303" max="14304" width="14.85546875" style="1" customWidth="1"/>
    <col min="14305" max="14305" width="44.42578125" style="1" customWidth="1"/>
    <col min="14306" max="14310" width="14.85546875" style="1" customWidth="1"/>
    <col min="14311" max="14311" width="63.85546875" style="1" customWidth="1"/>
    <col min="14312" max="14312" width="13.28515625" style="1" customWidth="1"/>
    <col min="14313" max="14498" width="9" style="1"/>
    <col min="14499" max="14500" width="0" style="1" hidden="1" customWidth="1"/>
    <col min="14501" max="14501" width="13.7109375" style="1" customWidth="1"/>
    <col min="14502" max="14502" width="52.85546875" style="1" customWidth="1"/>
    <col min="14503" max="14542" width="0" style="1" hidden="1" customWidth="1"/>
    <col min="14543" max="14544" width="14.85546875" style="1" customWidth="1"/>
    <col min="14545" max="14546" width="0" style="1" hidden="1" customWidth="1"/>
    <col min="14547" max="14547" width="14.85546875" style="1" customWidth="1"/>
    <col min="14548" max="14549" width="0" style="1" hidden="1" customWidth="1"/>
    <col min="14550" max="14550" width="14.85546875" style="1" customWidth="1"/>
    <col min="14551" max="14552" width="0" style="1" hidden="1" customWidth="1"/>
    <col min="14553" max="14553" width="14.85546875" style="1" customWidth="1"/>
    <col min="14554" max="14555" width="0" style="1" hidden="1" customWidth="1"/>
    <col min="14556" max="14556" width="14.85546875" style="1" customWidth="1"/>
    <col min="14557" max="14558" width="0" style="1" hidden="1" customWidth="1"/>
    <col min="14559" max="14560" width="14.85546875" style="1" customWidth="1"/>
    <col min="14561" max="14561" width="44.42578125" style="1" customWidth="1"/>
    <col min="14562" max="14566" width="14.85546875" style="1" customWidth="1"/>
    <col min="14567" max="14567" width="63.85546875" style="1" customWidth="1"/>
    <col min="14568" max="14568" width="13.28515625" style="1" customWidth="1"/>
    <col min="14569" max="14754" width="9" style="1"/>
    <col min="14755" max="14756" width="0" style="1" hidden="1" customWidth="1"/>
    <col min="14757" max="14757" width="13.7109375" style="1" customWidth="1"/>
    <col min="14758" max="14758" width="52.85546875" style="1" customWidth="1"/>
    <col min="14759" max="14798" width="0" style="1" hidden="1" customWidth="1"/>
    <col min="14799" max="14800" width="14.85546875" style="1" customWidth="1"/>
    <col min="14801" max="14802" width="0" style="1" hidden="1" customWidth="1"/>
    <col min="14803" max="14803" width="14.85546875" style="1" customWidth="1"/>
    <col min="14804" max="14805" width="0" style="1" hidden="1" customWidth="1"/>
    <col min="14806" max="14806" width="14.85546875" style="1" customWidth="1"/>
    <col min="14807" max="14808" width="0" style="1" hidden="1" customWidth="1"/>
    <col min="14809" max="14809" width="14.85546875" style="1" customWidth="1"/>
    <col min="14810" max="14811" width="0" style="1" hidden="1" customWidth="1"/>
    <col min="14812" max="14812" width="14.85546875" style="1" customWidth="1"/>
    <col min="14813" max="14814" width="0" style="1" hidden="1" customWidth="1"/>
    <col min="14815" max="14816" width="14.85546875" style="1" customWidth="1"/>
    <col min="14817" max="14817" width="44.42578125" style="1" customWidth="1"/>
    <col min="14818" max="14822" width="14.85546875" style="1" customWidth="1"/>
    <col min="14823" max="14823" width="63.85546875" style="1" customWidth="1"/>
    <col min="14824" max="14824" width="13.28515625" style="1" customWidth="1"/>
    <col min="14825" max="15010" width="9" style="1"/>
    <col min="15011" max="15012" width="0" style="1" hidden="1" customWidth="1"/>
    <col min="15013" max="15013" width="13.7109375" style="1" customWidth="1"/>
    <col min="15014" max="15014" width="52.85546875" style="1" customWidth="1"/>
    <col min="15015" max="15054" width="0" style="1" hidden="1" customWidth="1"/>
    <col min="15055" max="15056" width="14.85546875" style="1" customWidth="1"/>
    <col min="15057" max="15058" width="0" style="1" hidden="1" customWidth="1"/>
    <col min="15059" max="15059" width="14.85546875" style="1" customWidth="1"/>
    <col min="15060" max="15061" width="0" style="1" hidden="1" customWidth="1"/>
    <col min="15062" max="15062" width="14.85546875" style="1" customWidth="1"/>
    <col min="15063" max="15064" width="0" style="1" hidden="1" customWidth="1"/>
    <col min="15065" max="15065" width="14.85546875" style="1" customWidth="1"/>
    <col min="15066" max="15067" width="0" style="1" hidden="1" customWidth="1"/>
    <col min="15068" max="15068" width="14.85546875" style="1" customWidth="1"/>
    <col min="15069" max="15070" width="0" style="1" hidden="1" customWidth="1"/>
    <col min="15071" max="15072" width="14.85546875" style="1" customWidth="1"/>
    <col min="15073" max="15073" width="44.42578125" style="1" customWidth="1"/>
    <col min="15074" max="15078" width="14.85546875" style="1" customWidth="1"/>
    <col min="15079" max="15079" width="63.85546875" style="1" customWidth="1"/>
    <col min="15080" max="15080" width="13.28515625" style="1" customWidth="1"/>
    <col min="15081" max="15266" width="9" style="1"/>
    <col min="15267" max="15268" width="0" style="1" hidden="1" customWidth="1"/>
    <col min="15269" max="15269" width="13.7109375" style="1" customWidth="1"/>
    <col min="15270" max="15270" width="52.85546875" style="1" customWidth="1"/>
    <col min="15271" max="15310" width="0" style="1" hidden="1" customWidth="1"/>
    <col min="15311" max="15312" width="14.85546875" style="1" customWidth="1"/>
    <col min="15313" max="15314" width="0" style="1" hidden="1" customWidth="1"/>
    <col min="15315" max="15315" width="14.85546875" style="1" customWidth="1"/>
    <col min="15316" max="15317" width="0" style="1" hidden="1" customWidth="1"/>
    <col min="15318" max="15318" width="14.85546875" style="1" customWidth="1"/>
    <col min="15319" max="15320" width="0" style="1" hidden="1" customWidth="1"/>
    <col min="15321" max="15321" width="14.85546875" style="1" customWidth="1"/>
    <col min="15322" max="15323" width="0" style="1" hidden="1" customWidth="1"/>
    <col min="15324" max="15324" width="14.85546875" style="1" customWidth="1"/>
    <col min="15325" max="15326" width="0" style="1" hidden="1" customWidth="1"/>
    <col min="15327" max="15328" width="14.85546875" style="1" customWidth="1"/>
    <col min="15329" max="15329" width="44.42578125" style="1" customWidth="1"/>
    <col min="15330" max="15334" width="14.85546875" style="1" customWidth="1"/>
    <col min="15335" max="15335" width="63.85546875" style="1" customWidth="1"/>
    <col min="15336" max="15336" width="13.28515625" style="1" customWidth="1"/>
    <col min="15337" max="15522" width="9" style="1"/>
    <col min="15523" max="15524" width="0" style="1" hidden="1" customWidth="1"/>
    <col min="15525" max="15525" width="13.7109375" style="1" customWidth="1"/>
    <col min="15526" max="15526" width="52.85546875" style="1" customWidth="1"/>
    <col min="15527" max="15566" width="0" style="1" hidden="1" customWidth="1"/>
    <col min="15567" max="15568" width="14.85546875" style="1" customWidth="1"/>
    <col min="15569" max="15570" width="0" style="1" hidden="1" customWidth="1"/>
    <col min="15571" max="15571" width="14.85546875" style="1" customWidth="1"/>
    <col min="15572" max="15573" width="0" style="1" hidden="1" customWidth="1"/>
    <col min="15574" max="15574" width="14.85546875" style="1" customWidth="1"/>
    <col min="15575" max="15576" width="0" style="1" hidden="1" customWidth="1"/>
    <col min="15577" max="15577" width="14.85546875" style="1" customWidth="1"/>
    <col min="15578" max="15579" width="0" style="1" hidden="1" customWidth="1"/>
    <col min="15580" max="15580" width="14.85546875" style="1" customWidth="1"/>
    <col min="15581" max="15582" width="0" style="1" hidden="1" customWidth="1"/>
    <col min="15583" max="15584" width="14.85546875" style="1" customWidth="1"/>
    <col min="15585" max="15585" width="44.42578125" style="1" customWidth="1"/>
    <col min="15586" max="15590" width="14.85546875" style="1" customWidth="1"/>
    <col min="15591" max="15591" width="63.85546875" style="1" customWidth="1"/>
    <col min="15592" max="15592" width="13.28515625" style="1" customWidth="1"/>
    <col min="15593" max="15778" width="9" style="1"/>
    <col min="15779" max="15780" width="0" style="1" hidden="1" customWidth="1"/>
    <col min="15781" max="15781" width="13.7109375" style="1" customWidth="1"/>
    <col min="15782" max="15782" width="52.85546875" style="1" customWidth="1"/>
    <col min="15783" max="15822" width="0" style="1" hidden="1" customWidth="1"/>
    <col min="15823" max="15824" width="14.85546875" style="1" customWidth="1"/>
    <col min="15825" max="15826" width="0" style="1" hidden="1" customWidth="1"/>
    <col min="15827" max="15827" width="14.85546875" style="1" customWidth="1"/>
    <col min="15828" max="15829" width="0" style="1" hidden="1" customWidth="1"/>
    <col min="15830" max="15830" width="14.85546875" style="1" customWidth="1"/>
    <col min="15831" max="15832" width="0" style="1" hidden="1" customWidth="1"/>
    <col min="15833" max="15833" width="14.85546875" style="1" customWidth="1"/>
    <col min="15834" max="15835" width="0" style="1" hidden="1" customWidth="1"/>
    <col min="15836" max="15836" width="14.85546875" style="1" customWidth="1"/>
    <col min="15837" max="15838" width="0" style="1" hidden="1" customWidth="1"/>
    <col min="15839" max="15840" width="14.85546875" style="1" customWidth="1"/>
    <col min="15841" max="15841" width="44.42578125" style="1" customWidth="1"/>
    <col min="15842" max="15846" width="14.85546875" style="1" customWidth="1"/>
    <col min="15847" max="15847" width="63.85546875" style="1" customWidth="1"/>
    <col min="15848" max="15848" width="13.28515625" style="1" customWidth="1"/>
    <col min="15849" max="16034" width="9" style="1"/>
    <col min="16035" max="16036" width="0" style="1" hidden="1" customWidth="1"/>
    <col min="16037" max="16037" width="13.7109375" style="1" customWidth="1"/>
    <col min="16038" max="16038" width="52.85546875" style="1" customWidth="1"/>
    <col min="16039" max="16078" width="0" style="1" hidden="1" customWidth="1"/>
    <col min="16079" max="16080" width="14.85546875" style="1" customWidth="1"/>
    <col min="16081" max="16082" width="0" style="1" hidden="1" customWidth="1"/>
    <col min="16083" max="16083" width="14.85546875" style="1" customWidth="1"/>
    <col min="16084" max="16085" width="0" style="1" hidden="1" customWidth="1"/>
    <col min="16086" max="16086" width="14.85546875" style="1" customWidth="1"/>
    <col min="16087" max="16088" width="0" style="1" hidden="1" customWidth="1"/>
    <col min="16089" max="16089" width="14.85546875" style="1" customWidth="1"/>
    <col min="16090" max="16091" width="0" style="1" hidden="1" customWidth="1"/>
    <col min="16092" max="16092" width="14.85546875" style="1" customWidth="1"/>
    <col min="16093" max="16094" width="0" style="1" hidden="1" customWidth="1"/>
    <col min="16095" max="16096" width="14.85546875" style="1" customWidth="1"/>
    <col min="16097" max="16097" width="44.42578125" style="1" customWidth="1"/>
    <col min="16098" max="16102" width="14.85546875" style="1" customWidth="1"/>
    <col min="16103" max="16103" width="63.85546875" style="1" customWidth="1"/>
    <col min="16104" max="16104" width="13.28515625" style="1" customWidth="1"/>
    <col min="16105" max="16303" width="9" style="1"/>
    <col min="16304" max="16336" width="9.140625" style="1" customWidth="1"/>
    <col min="16337" max="16384" width="9" style="1"/>
  </cols>
  <sheetData>
    <row r="1" spans="1:17" ht="25.5" outlineLevel="1" x14ac:dyDescent="0.35">
      <c r="C1" s="2" t="s">
        <v>0</v>
      </c>
      <c r="D1" s="2"/>
      <c r="E1" s="5"/>
      <c r="F1" s="5"/>
      <c r="G1" s="3"/>
      <c r="H1" s="6"/>
      <c r="I1" s="3"/>
      <c r="J1" s="3"/>
      <c r="K1" s="6"/>
      <c r="L1" s="3"/>
      <c r="M1" s="3"/>
      <c r="N1" s="6"/>
      <c r="O1" s="3"/>
      <c r="P1" s="3"/>
      <c r="Q1" s="6"/>
    </row>
    <row r="2" spans="1:17" ht="25.5" outlineLevel="1" x14ac:dyDescent="0.35">
      <c r="C2" s="358" t="s">
        <v>1</v>
      </c>
      <c r="D2" s="358"/>
      <c r="G2" s="4"/>
      <c r="H2" s="8"/>
      <c r="I2" s="4"/>
      <c r="J2" s="4"/>
      <c r="K2" s="8"/>
      <c r="L2" s="4"/>
      <c r="M2" s="4"/>
      <c r="N2" s="8"/>
      <c r="O2" s="4"/>
      <c r="P2" s="4"/>
      <c r="Q2" s="8"/>
    </row>
    <row r="3" spans="1:17" ht="20.25" outlineLevel="1" x14ac:dyDescent="0.3">
      <c r="C3" s="354" t="s">
        <v>2</v>
      </c>
      <c r="D3" s="354"/>
      <c r="E3" s="10"/>
      <c r="F3" s="10"/>
      <c r="G3" s="9"/>
      <c r="I3" s="9"/>
      <c r="J3" s="9"/>
      <c r="L3" s="9"/>
      <c r="M3" s="9"/>
      <c r="O3" s="9"/>
      <c r="P3" s="9"/>
    </row>
    <row r="4" spans="1:17" ht="15.75" outlineLevel="1" thickBot="1" x14ac:dyDescent="0.3">
      <c r="C4" s="12"/>
      <c r="E4" s="10"/>
      <c r="F4" s="10"/>
      <c r="G4" s="11"/>
      <c r="I4" s="10"/>
      <c r="J4" s="11"/>
      <c r="L4" s="10"/>
      <c r="M4" s="11"/>
      <c r="O4" s="10"/>
      <c r="P4" s="11"/>
    </row>
    <row r="5" spans="1:17" ht="55.15" customHeight="1" thickBot="1" x14ac:dyDescent="0.3">
      <c r="C5" s="13" t="s">
        <v>3</v>
      </c>
      <c r="D5" s="14" t="s">
        <v>4</v>
      </c>
      <c r="E5" s="16" t="s">
        <v>6</v>
      </c>
      <c r="F5" s="16" t="s">
        <v>7</v>
      </c>
      <c r="G5" s="15" t="s">
        <v>8</v>
      </c>
      <c r="H5" s="17" t="s">
        <v>9</v>
      </c>
      <c r="I5" s="15" t="s">
        <v>10</v>
      </c>
      <c r="J5" s="15" t="s">
        <v>11</v>
      </c>
      <c r="K5" s="17" t="s">
        <v>9</v>
      </c>
      <c r="L5" s="15" t="s">
        <v>12</v>
      </c>
      <c r="M5" s="15" t="s">
        <v>13</v>
      </c>
      <c r="N5" s="17" t="s">
        <v>9</v>
      </c>
      <c r="O5" s="15" t="s">
        <v>14</v>
      </c>
      <c r="P5" s="15" t="s">
        <v>15</v>
      </c>
      <c r="Q5" s="17" t="s">
        <v>9</v>
      </c>
    </row>
    <row r="6" spans="1:17" x14ac:dyDescent="0.25">
      <c r="C6" s="18" t="s">
        <v>16</v>
      </c>
      <c r="D6" s="19" t="s">
        <v>17</v>
      </c>
      <c r="E6" s="20">
        <v>31414871</v>
      </c>
      <c r="F6" s="20">
        <f t="shared" ref="F6" si="0">ROUND((F7+F11+F14+F17+F20),0)</f>
        <v>31414871</v>
      </c>
      <c r="G6" s="21">
        <f>F6-E6</f>
        <v>0</v>
      </c>
      <c r="H6" s="22"/>
      <c r="I6" s="20">
        <f>ROUND((I7+I11+I14+I17+I20),0)</f>
        <v>31582267</v>
      </c>
      <c r="J6" s="21">
        <f>I6-F6</f>
        <v>167396</v>
      </c>
      <c r="K6" s="22"/>
      <c r="L6" s="20">
        <f>ROUND((L7+L11+L14+L17+L20),0)</f>
        <v>31582267</v>
      </c>
      <c r="M6" s="21">
        <f>L6-I6</f>
        <v>0</v>
      </c>
      <c r="N6" s="22"/>
      <c r="O6" s="20">
        <f>ROUND((O7+O11+O14+O17+O20),0)</f>
        <v>31582267</v>
      </c>
      <c r="P6" s="21">
        <f>O6-L6</f>
        <v>0</v>
      </c>
      <c r="Q6" s="22"/>
    </row>
    <row r="7" spans="1:17" x14ac:dyDescent="0.25">
      <c r="B7" s="1" t="s">
        <v>18</v>
      </c>
      <c r="C7" s="23" t="s">
        <v>19</v>
      </c>
      <c r="D7" s="24" t="s">
        <v>20</v>
      </c>
      <c r="E7" s="26">
        <v>28441559</v>
      </c>
      <c r="F7" s="26">
        <f>SUM(F8:F9)</f>
        <v>28441559</v>
      </c>
      <c r="G7" s="25">
        <f t="shared" ref="G7:G71" si="1">F7-E7</f>
        <v>0</v>
      </c>
      <c r="H7" s="27"/>
      <c r="I7" s="25">
        <f>SUM(I8:I9)</f>
        <v>28608955</v>
      </c>
      <c r="J7" s="25">
        <f>I7-F7</f>
        <v>167396</v>
      </c>
      <c r="K7" s="27"/>
      <c r="L7" s="25">
        <f>SUM(L8:L9)</f>
        <v>28608955</v>
      </c>
      <c r="M7" s="25">
        <f>L7-I7</f>
        <v>0</v>
      </c>
      <c r="N7" s="27"/>
      <c r="O7" s="25">
        <f>SUM(O8:O9)</f>
        <v>28608955</v>
      </c>
      <c r="P7" s="25">
        <f>O7-L7</f>
        <v>0</v>
      </c>
      <c r="Q7" s="27"/>
    </row>
    <row r="8" spans="1:17" x14ac:dyDescent="0.25">
      <c r="A8" s="1" t="s">
        <v>21</v>
      </c>
      <c r="B8" s="28" t="s">
        <v>22</v>
      </c>
      <c r="C8" s="29" t="s">
        <v>23</v>
      </c>
      <c r="D8" s="30" t="s">
        <v>24</v>
      </c>
      <c r="E8" s="32">
        <v>28441559</v>
      </c>
      <c r="F8" s="32">
        <f>ROUND(E8,0)</f>
        <v>28441559</v>
      </c>
      <c r="G8" s="31">
        <f t="shared" si="1"/>
        <v>0</v>
      </c>
      <c r="H8" s="33"/>
      <c r="I8" s="31">
        <f>ROUND(F8,0)+167396</f>
        <v>28608955</v>
      </c>
      <c r="J8" s="31">
        <f>I8-F8</f>
        <v>167396</v>
      </c>
      <c r="K8" s="33" t="s">
        <v>25</v>
      </c>
      <c r="L8" s="31">
        <f>ROUND(I8,0)</f>
        <v>28608955</v>
      </c>
      <c r="M8" s="31">
        <f>L8-I8</f>
        <v>0</v>
      </c>
      <c r="N8" s="33"/>
      <c r="O8" s="31">
        <f>ROUND(L8,0)</f>
        <v>28608955</v>
      </c>
      <c r="P8" s="31">
        <f>O8-L8</f>
        <v>0</v>
      </c>
      <c r="Q8" s="33"/>
    </row>
    <row r="9" spans="1:17" ht="27.75" hidden="1" customHeight="1" outlineLevel="1" x14ac:dyDescent="0.25">
      <c r="B9" s="28"/>
      <c r="C9" s="29" t="s">
        <v>26</v>
      </c>
      <c r="D9" s="30" t="s">
        <v>27</v>
      </c>
      <c r="E9" s="32">
        <v>0</v>
      </c>
      <c r="F9" s="32">
        <f>ROUND(E9,0)</f>
        <v>0</v>
      </c>
      <c r="G9" s="31">
        <f t="shared" si="1"/>
        <v>0</v>
      </c>
      <c r="H9" s="33"/>
      <c r="I9" s="31">
        <f>ROUND(H9,0)</f>
        <v>0</v>
      </c>
      <c r="J9" s="31">
        <f t="shared" ref="J9:J72" si="2">I9-F9</f>
        <v>0</v>
      </c>
      <c r="K9" s="33"/>
      <c r="L9" s="31">
        <f>ROUND(K9,0)</f>
        <v>0</v>
      </c>
      <c r="M9" s="31">
        <f t="shared" ref="M9:M72" si="3">L9-I9</f>
        <v>0</v>
      </c>
      <c r="N9" s="33"/>
      <c r="O9" s="31">
        <f>ROUND(N9,0)</f>
        <v>0</v>
      </c>
      <c r="P9" s="31">
        <f t="shared" ref="P9:P72" si="4">O9-L9</f>
        <v>0</v>
      </c>
      <c r="Q9" s="33"/>
    </row>
    <row r="10" spans="1:17" ht="32.450000000000003" customHeight="1" collapsed="1" x14ac:dyDescent="0.25">
      <c r="C10" s="18" t="s">
        <v>28</v>
      </c>
      <c r="D10" s="19" t="s">
        <v>29</v>
      </c>
      <c r="E10" s="20">
        <v>2903312</v>
      </c>
      <c r="F10" s="20">
        <f>F11+F14+F17</f>
        <v>2903312</v>
      </c>
      <c r="G10" s="21">
        <f t="shared" si="1"/>
        <v>0</v>
      </c>
      <c r="H10" s="22"/>
      <c r="I10" s="20">
        <f>I11+I14+I17</f>
        <v>2903312</v>
      </c>
      <c r="J10" s="21">
        <f t="shared" si="2"/>
        <v>0</v>
      </c>
      <c r="K10" s="22"/>
      <c r="L10" s="20">
        <f>L11+L14+L17</f>
        <v>2903312</v>
      </c>
      <c r="M10" s="21">
        <f t="shared" si="3"/>
        <v>0</v>
      </c>
      <c r="N10" s="22"/>
      <c r="O10" s="20">
        <f>O11+O14+O17</f>
        <v>2903312</v>
      </c>
      <c r="P10" s="21">
        <f t="shared" si="4"/>
        <v>0</v>
      </c>
      <c r="Q10" s="22"/>
    </row>
    <row r="11" spans="1:17" x14ac:dyDescent="0.25">
      <c r="B11" s="1" t="s">
        <v>30</v>
      </c>
      <c r="C11" s="35" t="s">
        <v>31</v>
      </c>
      <c r="D11" s="36" t="s">
        <v>32</v>
      </c>
      <c r="E11" s="38">
        <v>1998295</v>
      </c>
      <c r="F11" s="38">
        <f>SUM(F12:F13)</f>
        <v>1998295</v>
      </c>
      <c r="G11" s="37">
        <f t="shared" si="1"/>
        <v>0</v>
      </c>
      <c r="H11" s="39"/>
      <c r="I11" s="37">
        <f>SUM(I12:I13)</f>
        <v>1998295</v>
      </c>
      <c r="J11" s="37">
        <f t="shared" si="2"/>
        <v>0</v>
      </c>
      <c r="K11" s="39"/>
      <c r="L11" s="37">
        <f>SUM(L12:L13)</f>
        <v>1998295</v>
      </c>
      <c r="M11" s="37">
        <f t="shared" si="3"/>
        <v>0</v>
      </c>
      <c r="N11" s="39"/>
      <c r="O11" s="37">
        <f>SUM(O12:O13)</f>
        <v>1998295</v>
      </c>
      <c r="P11" s="37">
        <f t="shared" si="4"/>
        <v>0</v>
      </c>
      <c r="Q11" s="39"/>
    </row>
    <row r="12" spans="1:17" x14ac:dyDescent="0.25">
      <c r="A12" s="1" t="s">
        <v>21</v>
      </c>
      <c r="B12" s="28" t="s">
        <v>33</v>
      </c>
      <c r="C12" s="29" t="s">
        <v>34</v>
      </c>
      <c r="D12" s="30" t="s">
        <v>24</v>
      </c>
      <c r="E12" s="32">
        <v>1807872</v>
      </c>
      <c r="F12" s="32">
        <f>ROUND(E12,0)</f>
        <v>1807872</v>
      </c>
      <c r="G12" s="31">
        <f t="shared" si="1"/>
        <v>0</v>
      </c>
      <c r="H12" s="40"/>
      <c r="I12" s="31">
        <f>ROUND(F12,0)</f>
        <v>1807872</v>
      </c>
      <c r="J12" s="31">
        <f t="shared" si="2"/>
        <v>0</v>
      </c>
      <c r="K12" s="40"/>
      <c r="L12" s="31">
        <f>ROUND(I12,0)</f>
        <v>1807872</v>
      </c>
      <c r="M12" s="31">
        <f t="shared" si="3"/>
        <v>0</v>
      </c>
      <c r="N12" s="40"/>
      <c r="O12" s="31">
        <f>ROUND(L12,0)</f>
        <v>1807872</v>
      </c>
      <c r="P12" s="31">
        <f t="shared" si="4"/>
        <v>0</v>
      </c>
      <c r="Q12" s="40"/>
    </row>
    <row r="13" spans="1:17" x14ac:dyDescent="0.25">
      <c r="A13" s="1" t="s">
        <v>21</v>
      </c>
      <c r="B13" s="28" t="s">
        <v>35</v>
      </c>
      <c r="C13" s="29" t="s">
        <v>36</v>
      </c>
      <c r="D13" s="30" t="s">
        <v>37</v>
      </c>
      <c r="E13" s="32">
        <v>190423</v>
      </c>
      <c r="F13" s="32">
        <f>ROUND(E13,0)</f>
        <v>190423</v>
      </c>
      <c r="G13" s="31">
        <f t="shared" si="1"/>
        <v>0</v>
      </c>
      <c r="H13" s="33"/>
      <c r="I13" s="31">
        <f>ROUND(F13,0)</f>
        <v>190423</v>
      </c>
      <c r="J13" s="31">
        <f t="shared" si="2"/>
        <v>0</v>
      </c>
      <c r="K13" s="33"/>
      <c r="L13" s="31">
        <f>ROUND(I13,0)</f>
        <v>190423</v>
      </c>
      <c r="M13" s="31">
        <f t="shared" si="3"/>
        <v>0</v>
      </c>
      <c r="N13" s="33"/>
      <c r="O13" s="31">
        <f>ROUND(L13,0)</f>
        <v>190423</v>
      </c>
      <c r="P13" s="31">
        <f t="shared" si="4"/>
        <v>0</v>
      </c>
      <c r="Q13" s="33"/>
    </row>
    <row r="14" spans="1:17" x14ac:dyDescent="0.25">
      <c r="B14" s="1" t="s">
        <v>38</v>
      </c>
      <c r="C14" s="35" t="s">
        <v>39</v>
      </c>
      <c r="D14" s="36" t="s">
        <v>40</v>
      </c>
      <c r="E14" s="38">
        <v>412472</v>
      </c>
      <c r="F14" s="38">
        <f>SUM(F15:F16)</f>
        <v>412472</v>
      </c>
      <c r="G14" s="37">
        <f t="shared" si="1"/>
        <v>0</v>
      </c>
      <c r="H14" s="39"/>
      <c r="I14" s="37">
        <f>SUM(I15:I16)</f>
        <v>412472</v>
      </c>
      <c r="J14" s="37">
        <f t="shared" si="2"/>
        <v>0</v>
      </c>
      <c r="K14" s="39"/>
      <c r="L14" s="37">
        <f>SUM(L15:L16)</f>
        <v>412472</v>
      </c>
      <c r="M14" s="37">
        <f t="shared" si="3"/>
        <v>0</v>
      </c>
      <c r="N14" s="39"/>
      <c r="O14" s="37">
        <f>SUM(O15:O16)</f>
        <v>412472</v>
      </c>
      <c r="P14" s="37">
        <f t="shared" si="4"/>
        <v>0</v>
      </c>
      <c r="Q14" s="39"/>
    </row>
    <row r="15" spans="1:17" x14ac:dyDescent="0.25">
      <c r="A15" s="1" t="s">
        <v>21</v>
      </c>
      <c r="B15" s="28" t="s">
        <v>41</v>
      </c>
      <c r="C15" s="29" t="s">
        <v>42</v>
      </c>
      <c r="D15" s="30" t="s">
        <v>43</v>
      </c>
      <c r="E15" s="32">
        <v>326353</v>
      </c>
      <c r="F15" s="32">
        <f>ROUND(E15,0)</f>
        <v>326353</v>
      </c>
      <c r="G15" s="31">
        <f t="shared" si="1"/>
        <v>0</v>
      </c>
      <c r="H15" s="41"/>
      <c r="I15" s="31">
        <f>ROUND(F15,0)</f>
        <v>326353</v>
      </c>
      <c r="J15" s="31">
        <f t="shared" si="2"/>
        <v>0</v>
      </c>
      <c r="K15" s="41"/>
      <c r="L15" s="31">
        <f>ROUND(I15,0)</f>
        <v>326353</v>
      </c>
      <c r="M15" s="31">
        <f t="shared" si="3"/>
        <v>0</v>
      </c>
      <c r="N15" s="41"/>
      <c r="O15" s="31">
        <f>ROUND(L15,0)</f>
        <v>326353</v>
      </c>
      <c r="P15" s="31">
        <f t="shared" si="4"/>
        <v>0</v>
      </c>
      <c r="Q15" s="41"/>
    </row>
    <row r="16" spans="1:17" x14ac:dyDescent="0.25">
      <c r="A16" s="1" t="s">
        <v>21</v>
      </c>
      <c r="B16" s="28" t="s">
        <v>44</v>
      </c>
      <c r="C16" s="29" t="s">
        <v>45</v>
      </c>
      <c r="D16" s="30" t="s">
        <v>37</v>
      </c>
      <c r="E16" s="32">
        <v>86119</v>
      </c>
      <c r="F16" s="32">
        <f>ROUND(E16,0)</f>
        <v>86119</v>
      </c>
      <c r="G16" s="31">
        <f t="shared" si="1"/>
        <v>0</v>
      </c>
      <c r="H16" s="33"/>
      <c r="I16" s="31">
        <f>ROUND(F16,0)</f>
        <v>86119</v>
      </c>
      <c r="J16" s="31">
        <f t="shared" si="2"/>
        <v>0</v>
      </c>
      <c r="K16" s="33"/>
      <c r="L16" s="31">
        <f>ROUND(I16,0)</f>
        <v>86119</v>
      </c>
      <c r="M16" s="31">
        <f t="shared" si="3"/>
        <v>0</v>
      </c>
      <c r="N16" s="33"/>
      <c r="O16" s="31">
        <f>ROUND(L16,0)</f>
        <v>86119</v>
      </c>
      <c r="P16" s="31">
        <f t="shared" si="4"/>
        <v>0</v>
      </c>
      <c r="Q16" s="33"/>
    </row>
    <row r="17" spans="1:17" ht="29.25" x14ac:dyDescent="0.25">
      <c r="B17" s="1" t="s">
        <v>46</v>
      </c>
      <c r="C17" s="35" t="s">
        <v>47</v>
      </c>
      <c r="D17" s="36" t="s">
        <v>48</v>
      </c>
      <c r="E17" s="38">
        <v>492545</v>
      </c>
      <c r="F17" s="38">
        <f>SUM(F18:F19)</f>
        <v>492545</v>
      </c>
      <c r="G17" s="37">
        <f t="shared" si="1"/>
        <v>0</v>
      </c>
      <c r="H17" s="39"/>
      <c r="I17" s="37">
        <f>SUM(I18:I19)</f>
        <v>492545</v>
      </c>
      <c r="J17" s="37">
        <f t="shared" si="2"/>
        <v>0</v>
      </c>
      <c r="K17" s="39"/>
      <c r="L17" s="37">
        <f>SUM(L18:L19)</f>
        <v>492545</v>
      </c>
      <c r="M17" s="37">
        <f t="shared" si="3"/>
        <v>0</v>
      </c>
      <c r="N17" s="39"/>
      <c r="O17" s="37">
        <f>SUM(O18:O19)</f>
        <v>492545</v>
      </c>
      <c r="P17" s="37">
        <f t="shared" si="4"/>
        <v>0</v>
      </c>
      <c r="Q17" s="39"/>
    </row>
    <row r="18" spans="1:17" ht="18.75" customHeight="1" x14ac:dyDescent="0.25">
      <c r="A18" s="1" t="s">
        <v>21</v>
      </c>
      <c r="B18" s="28" t="s">
        <v>49</v>
      </c>
      <c r="C18" s="29" t="s">
        <v>50</v>
      </c>
      <c r="D18" s="30" t="s">
        <v>43</v>
      </c>
      <c r="E18" s="32">
        <v>431787</v>
      </c>
      <c r="F18" s="32">
        <f>ROUND(E18,0)</f>
        <v>431787</v>
      </c>
      <c r="G18" s="31">
        <f t="shared" si="1"/>
        <v>0</v>
      </c>
      <c r="H18" s="41"/>
      <c r="I18" s="31">
        <f>ROUND(F18,0)</f>
        <v>431787</v>
      </c>
      <c r="J18" s="31">
        <f t="shared" si="2"/>
        <v>0</v>
      </c>
      <c r="K18" s="41"/>
      <c r="L18" s="31">
        <f>ROUND(I18,0)</f>
        <v>431787</v>
      </c>
      <c r="M18" s="31">
        <f t="shared" si="3"/>
        <v>0</v>
      </c>
      <c r="N18" s="41"/>
      <c r="O18" s="31">
        <f>ROUND(L18,0)</f>
        <v>431787</v>
      </c>
      <c r="P18" s="31">
        <f t="shared" si="4"/>
        <v>0</v>
      </c>
      <c r="Q18" s="41"/>
    </row>
    <row r="19" spans="1:17" x14ac:dyDescent="0.25">
      <c r="A19" s="1" t="s">
        <v>21</v>
      </c>
      <c r="B19" s="28" t="s">
        <v>51</v>
      </c>
      <c r="C19" s="29" t="s">
        <v>52</v>
      </c>
      <c r="D19" s="30" t="s">
        <v>37</v>
      </c>
      <c r="E19" s="32">
        <v>60758</v>
      </c>
      <c r="F19" s="32">
        <f>ROUND(E19,0)</f>
        <v>60758</v>
      </c>
      <c r="G19" s="31">
        <f t="shared" si="1"/>
        <v>0</v>
      </c>
      <c r="H19" s="40"/>
      <c r="I19" s="31">
        <f>ROUND(F19,0)</f>
        <v>60758</v>
      </c>
      <c r="J19" s="31">
        <f t="shared" si="2"/>
        <v>0</v>
      </c>
      <c r="K19" s="40"/>
      <c r="L19" s="31">
        <f>ROUND(I19,0)</f>
        <v>60758</v>
      </c>
      <c r="M19" s="31">
        <f t="shared" si="3"/>
        <v>0</v>
      </c>
      <c r="N19" s="40"/>
      <c r="O19" s="31">
        <f>ROUND(L19,0)</f>
        <v>60758</v>
      </c>
      <c r="P19" s="31">
        <f t="shared" si="4"/>
        <v>0</v>
      </c>
      <c r="Q19" s="40"/>
    </row>
    <row r="20" spans="1:17" ht="29.25" x14ac:dyDescent="0.25">
      <c r="B20" s="42"/>
      <c r="C20" s="35" t="s">
        <v>53</v>
      </c>
      <c r="D20" s="36" t="s">
        <v>54</v>
      </c>
      <c r="E20" s="38">
        <v>70000</v>
      </c>
      <c r="F20" s="38">
        <f t="shared" ref="F20" si="5">SUM(F21:F22)</f>
        <v>70000</v>
      </c>
      <c r="G20" s="37">
        <f t="shared" si="1"/>
        <v>0</v>
      </c>
      <c r="H20" s="39"/>
      <c r="I20" s="37">
        <f>SUM(I21:I22)</f>
        <v>70000</v>
      </c>
      <c r="J20" s="37">
        <f t="shared" si="2"/>
        <v>0</v>
      </c>
      <c r="K20" s="39"/>
      <c r="L20" s="37">
        <f>SUM(L21:L22)</f>
        <v>70000</v>
      </c>
      <c r="M20" s="37">
        <f t="shared" si="3"/>
        <v>0</v>
      </c>
      <c r="N20" s="39"/>
      <c r="O20" s="37">
        <f>SUM(O21:O22)</f>
        <v>70000</v>
      </c>
      <c r="P20" s="37">
        <f t="shared" si="4"/>
        <v>0</v>
      </c>
      <c r="Q20" s="39"/>
    </row>
    <row r="21" spans="1:17" ht="14.45" customHeight="1" outlineLevel="1" x14ac:dyDescent="0.25">
      <c r="B21" s="28" t="s">
        <v>55</v>
      </c>
      <c r="C21" s="29" t="s">
        <v>56</v>
      </c>
      <c r="D21" s="30" t="s">
        <v>57</v>
      </c>
      <c r="E21" s="32">
        <v>0</v>
      </c>
      <c r="F21" s="32">
        <f>ROUND(E21,0)</f>
        <v>0</v>
      </c>
      <c r="G21" s="31">
        <f t="shared" si="1"/>
        <v>0</v>
      </c>
      <c r="H21" s="41"/>
      <c r="I21" s="31">
        <f>ROUND(F21,0)</f>
        <v>0</v>
      </c>
      <c r="J21" s="31">
        <f t="shared" si="2"/>
        <v>0</v>
      </c>
      <c r="K21" s="41"/>
      <c r="L21" s="31">
        <f>ROUND(I21,0)</f>
        <v>0</v>
      </c>
      <c r="M21" s="31">
        <f t="shared" si="3"/>
        <v>0</v>
      </c>
      <c r="N21" s="41"/>
      <c r="O21" s="31">
        <f>ROUND(L21,0)</f>
        <v>0</v>
      </c>
      <c r="P21" s="31">
        <f t="shared" si="4"/>
        <v>0</v>
      </c>
      <c r="Q21" s="41"/>
    </row>
    <row r="22" spans="1:17" ht="15.6" customHeight="1" x14ac:dyDescent="0.25">
      <c r="B22" s="28" t="s">
        <v>58</v>
      </c>
      <c r="C22" s="29" t="s">
        <v>56</v>
      </c>
      <c r="D22" s="30" t="s">
        <v>59</v>
      </c>
      <c r="E22" s="32">
        <v>70000</v>
      </c>
      <c r="F22" s="32">
        <f>ROUND(E22,0)</f>
        <v>70000</v>
      </c>
      <c r="G22" s="31">
        <f t="shared" si="1"/>
        <v>0</v>
      </c>
      <c r="H22" s="43"/>
      <c r="I22" s="31">
        <f>ROUND(F22,0)</f>
        <v>70000</v>
      </c>
      <c r="J22" s="31">
        <f t="shared" si="2"/>
        <v>0</v>
      </c>
      <c r="K22" s="43"/>
      <c r="L22" s="31">
        <f>ROUND(I22,0)</f>
        <v>70000</v>
      </c>
      <c r="M22" s="31">
        <f t="shared" si="3"/>
        <v>0</v>
      </c>
      <c r="N22" s="43"/>
      <c r="O22" s="31">
        <f>ROUND(L22,0)</f>
        <v>70000</v>
      </c>
      <c r="P22" s="31">
        <f t="shared" si="4"/>
        <v>0</v>
      </c>
      <c r="Q22" s="43"/>
    </row>
    <row r="23" spans="1:17" ht="15.75" customHeight="1" x14ac:dyDescent="0.25">
      <c r="B23" s="1" t="s">
        <v>60</v>
      </c>
      <c r="C23" s="35" t="s">
        <v>61</v>
      </c>
      <c r="D23" s="36" t="s">
        <v>62</v>
      </c>
      <c r="E23" s="38">
        <v>160000</v>
      </c>
      <c r="F23" s="38">
        <f t="shared" ref="F23" si="6">F24+F28</f>
        <v>160000</v>
      </c>
      <c r="G23" s="37">
        <f t="shared" si="1"/>
        <v>0</v>
      </c>
      <c r="H23" s="39"/>
      <c r="I23" s="37">
        <f>I24+I28</f>
        <v>160000</v>
      </c>
      <c r="J23" s="37">
        <f t="shared" si="2"/>
        <v>0</v>
      </c>
      <c r="K23" s="39"/>
      <c r="L23" s="37">
        <f>L24+L28</f>
        <v>160000</v>
      </c>
      <c r="M23" s="37">
        <f t="shared" si="3"/>
        <v>0</v>
      </c>
      <c r="N23" s="39"/>
      <c r="O23" s="37">
        <f>O24+O28</f>
        <v>160000</v>
      </c>
      <c r="P23" s="37">
        <f t="shared" si="4"/>
        <v>0</v>
      </c>
      <c r="Q23" s="39"/>
    </row>
    <row r="24" spans="1:17" x14ac:dyDescent="0.25">
      <c r="A24" s="1" t="s">
        <v>21</v>
      </c>
      <c r="B24" s="1" t="s">
        <v>63</v>
      </c>
      <c r="C24" s="29" t="s">
        <v>64</v>
      </c>
      <c r="D24" s="30" t="s">
        <v>65</v>
      </c>
      <c r="E24" s="32">
        <v>6700</v>
      </c>
      <c r="F24" s="32">
        <f>F25+F26+F27</f>
        <v>6700</v>
      </c>
      <c r="G24" s="31">
        <f t="shared" si="1"/>
        <v>0</v>
      </c>
      <c r="H24" s="40"/>
      <c r="I24" s="31">
        <f>I25+I26+I27</f>
        <v>6700</v>
      </c>
      <c r="J24" s="31">
        <f t="shared" si="2"/>
        <v>0</v>
      </c>
      <c r="K24" s="40"/>
      <c r="L24" s="31">
        <f>L25+L26+L27</f>
        <v>6700</v>
      </c>
      <c r="M24" s="31">
        <f t="shared" si="3"/>
        <v>0</v>
      </c>
      <c r="N24" s="40"/>
      <c r="O24" s="31">
        <f>O25+O26+O27</f>
        <v>6700</v>
      </c>
      <c r="P24" s="31">
        <f t="shared" si="4"/>
        <v>0</v>
      </c>
      <c r="Q24" s="40"/>
    </row>
    <row r="25" spans="1:17" ht="26.25" x14ac:dyDescent="0.25">
      <c r="B25" s="28" t="s">
        <v>66</v>
      </c>
      <c r="C25" s="44" t="s">
        <v>67</v>
      </c>
      <c r="D25" s="45" t="s">
        <v>68</v>
      </c>
      <c r="E25" s="32">
        <v>1700</v>
      </c>
      <c r="F25" s="32">
        <f>ROUND(E25,0)</f>
        <v>1700</v>
      </c>
      <c r="G25" s="31">
        <f t="shared" si="1"/>
        <v>0</v>
      </c>
      <c r="H25" s="40"/>
      <c r="I25" s="31">
        <f>ROUND(F25,0)</f>
        <v>1700</v>
      </c>
      <c r="J25" s="31">
        <f t="shared" si="2"/>
        <v>0</v>
      </c>
      <c r="K25" s="40"/>
      <c r="L25" s="31">
        <f>ROUND(I25,0)</f>
        <v>1700</v>
      </c>
      <c r="M25" s="31">
        <f t="shared" si="3"/>
        <v>0</v>
      </c>
      <c r="N25" s="40"/>
      <c r="O25" s="31">
        <f>ROUND(L25,0)</f>
        <v>1700</v>
      </c>
      <c r="P25" s="31">
        <f t="shared" si="4"/>
        <v>0</v>
      </c>
      <c r="Q25" s="40"/>
    </row>
    <row r="26" spans="1:17" ht="26.25" x14ac:dyDescent="0.25">
      <c r="B26" s="28" t="s">
        <v>69</v>
      </c>
      <c r="C26" s="44" t="s">
        <v>70</v>
      </c>
      <c r="D26" s="45" t="s">
        <v>71</v>
      </c>
      <c r="E26" s="32">
        <v>4500</v>
      </c>
      <c r="F26" s="32">
        <f>ROUND(E26,0)</f>
        <v>4500</v>
      </c>
      <c r="G26" s="31">
        <f t="shared" si="1"/>
        <v>0</v>
      </c>
      <c r="H26" s="40"/>
      <c r="I26" s="31">
        <f>ROUND(F26,0)</f>
        <v>4500</v>
      </c>
      <c r="J26" s="31">
        <f t="shared" si="2"/>
        <v>0</v>
      </c>
      <c r="K26" s="40"/>
      <c r="L26" s="31">
        <f>ROUND(I26,0)</f>
        <v>4500</v>
      </c>
      <c r="M26" s="31">
        <f t="shared" si="3"/>
        <v>0</v>
      </c>
      <c r="N26" s="40"/>
      <c r="O26" s="31">
        <f>ROUND(L26,0)</f>
        <v>4500</v>
      </c>
      <c r="P26" s="31">
        <f t="shared" si="4"/>
        <v>0</v>
      </c>
      <c r="Q26" s="40"/>
    </row>
    <row r="27" spans="1:17" ht="26.25" x14ac:dyDescent="0.25">
      <c r="B27" s="28" t="s">
        <v>72</v>
      </c>
      <c r="C27" s="44" t="s">
        <v>73</v>
      </c>
      <c r="D27" s="45" t="s">
        <v>74</v>
      </c>
      <c r="E27" s="32">
        <v>500</v>
      </c>
      <c r="F27" s="32">
        <f>ROUND(E27,0)</f>
        <v>500</v>
      </c>
      <c r="G27" s="31">
        <f t="shared" si="1"/>
        <v>0</v>
      </c>
      <c r="H27" s="40"/>
      <c r="I27" s="31">
        <f>ROUND(F27,0)</f>
        <v>500</v>
      </c>
      <c r="J27" s="31">
        <f t="shared" si="2"/>
        <v>0</v>
      </c>
      <c r="K27" s="40"/>
      <c r="L27" s="31">
        <f>ROUND(I27,0)</f>
        <v>500</v>
      </c>
      <c r="M27" s="31">
        <f t="shared" si="3"/>
        <v>0</v>
      </c>
      <c r="N27" s="40"/>
      <c r="O27" s="31">
        <f>ROUND(L27,0)</f>
        <v>500</v>
      </c>
      <c r="P27" s="31">
        <f t="shared" si="4"/>
        <v>0</v>
      </c>
      <c r="Q27" s="40"/>
    </row>
    <row r="28" spans="1:17" x14ac:dyDescent="0.25">
      <c r="A28" s="1" t="s">
        <v>21</v>
      </c>
      <c r="B28" s="1" t="s">
        <v>75</v>
      </c>
      <c r="C28" s="29" t="s">
        <v>76</v>
      </c>
      <c r="D28" s="30" t="s">
        <v>77</v>
      </c>
      <c r="E28" s="32">
        <v>153300</v>
      </c>
      <c r="F28" s="32">
        <f>SUM(F29:F35)</f>
        <v>153300</v>
      </c>
      <c r="G28" s="31">
        <f t="shared" si="1"/>
        <v>0</v>
      </c>
      <c r="H28" s="40"/>
      <c r="I28" s="31">
        <f>SUM(I29:I35)</f>
        <v>153300</v>
      </c>
      <c r="J28" s="31">
        <f t="shared" si="2"/>
        <v>0</v>
      </c>
      <c r="K28" s="40"/>
      <c r="L28" s="31">
        <f>SUM(L29:L35)</f>
        <v>153300</v>
      </c>
      <c r="M28" s="31">
        <f t="shared" si="3"/>
        <v>0</v>
      </c>
      <c r="N28" s="40"/>
      <c r="O28" s="31">
        <f>SUM(O29:O35)</f>
        <v>153300</v>
      </c>
      <c r="P28" s="31">
        <f t="shared" si="4"/>
        <v>0</v>
      </c>
      <c r="Q28" s="40"/>
    </row>
    <row r="29" spans="1:17" ht="26.25" x14ac:dyDescent="0.25">
      <c r="B29" s="28" t="s">
        <v>78</v>
      </c>
      <c r="C29" s="44" t="s">
        <v>79</v>
      </c>
      <c r="D29" s="45" t="s">
        <v>80</v>
      </c>
      <c r="E29" s="32">
        <v>350</v>
      </c>
      <c r="F29" s="32">
        <f t="shared" ref="F29:F35" si="7">ROUND(E29,0)</f>
        <v>350</v>
      </c>
      <c r="G29" s="31">
        <f t="shared" si="1"/>
        <v>0</v>
      </c>
      <c r="H29" s="40"/>
      <c r="I29" s="31">
        <f t="shared" ref="I29:I35" si="8">ROUND(F29,0)</f>
        <v>350</v>
      </c>
      <c r="J29" s="31">
        <f t="shared" si="2"/>
        <v>0</v>
      </c>
      <c r="K29" s="40"/>
      <c r="L29" s="31">
        <f t="shared" ref="L29:L35" si="9">ROUND(I29,0)</f>
        <v>350</v>
      </c>
      <c r="M29" s="31">
        <f t="shared" si="3"/>
        <v>0</v>
      </c>
      <c r="N29" s="40"/>
      <c r="O29" s="31">
        <f t="shared" ref="O29:O35" si="10">ROUND(L29,0)</f>
        <v>350</v>
      </c>
      <c r="P29" s="31">
        <f t="shared" si="4"/>
        <v>0</v>
      </c>
      <c r="Q29" s="40"/>
    </row>
    <row r="30" spans="1:17" ht="26.25" x14ac:dyDescent="0.25">
      <c r="B30" s="46" t="s">
        <v>81</v>
      </c>
      <c r="C30" s="44" t="s">
        <v>82</v>
      </c>
      <c r="D30" s="45" t="s">
        <v>83</v>
      </c>
      <c r="E30" s="32">
        <v>1100</v>
      </c>
      <c r="F30" s="32">
        <f t="shared" si="7"/>
        <v>1100</v>
      </c>
      <c r="G30" s="31">
        <f t="shared" si="1"/>
        <v>0</v>
      </c>
      <c r="H30" s="40"/>
      <c r="I30" s="31">
        <f t="shared" si="8"/>
        <v>1100</v>
      </c>
      <c r="J30" s="31">
        <f t="shared" si="2"/>
        <v>0</v>
      </c>
      <c r="K30" s="40"/>
      <c r="L30" s="31">
        <f t="shared" si="9"/>
        <v>1100</v>
      </c>
      <c r="M30" s="31">
        <f t="shared" si="3"/>
        <v>0</v>
      </c>
      <c r="N30" s="40"/>
      <c r="O30" s="31">
        <f t="shared" si="10"/>
        <v>1100</v>
      </c>
      <c r="P30" s="31">
        <f t="shared" si="4"/>
        <v>0</v>
      </c>
      <c r="Q30" s="40"/>
    </row>
    <row r="31" spans="1:17" x14ac:dyDescent="0.25">
      <c r="B31" s="28" t="s">
        <v>84</v>
      </c>
      <c r="C31" s="44" t="s">
        <v>85</v>
      </c>
      <c r="D31" s="45" t="s">
        <v>86</v>
      </c>
      <c r="E31" s="32">
        <v>27000</v>
      </c>
      <c r="F31" s="32">
        <f t="shared" si="7"/>
        <v>27000</v>
      </c>
      <c r="G31" s="31">
        <f t="shared" si="1"/>
        <v>0</v>
      </c>
      <c r="H31" s="40"/>
      <c r="I31" s="31">
        <f t="shared" si="8"/>
        <v>27000</v>
      </c>
      <c r="J31" s="31">
        <f t="shared" si="2"/>
        <v>0</v>
      </c>
      <c r="K31" s="40"/>
      <c r="L31" s="31">
        <f t="shared" si="9"/>
        <v>27000</v>
      </c>
      <c r="M31" s="31">
        <f t="shared" si="3"/>
        <v>0</v>
      </c>
      <c r="N31" s="40"/>
      <c r="O31" s="31">
        <f t="shared" si="10"/>
        <v>27000</v>
      </c>
      <c r="P31" s="31">
        <f t="shared" si="4"/>
        <v>0</v>
      </c>
      <c r="Q31" s="40"/>
    </row>
    <row r="32" spans="1:17" x14ac:dyDescent="0.25">
      <c r="B32" s="28" t="s">
        <v>87</v>
      </c>
      <c r="C32" s="44" t="s">
        <v>88</v>
      </c>
      <c r="D32" s="45" t="s">
        <v>89</v>
      </c>
      <c r="E32" s="32">
        <v>0</v>
      </c>
      <c r="F32" s="32">
        <f t="shared" si="7"/>
        <v>0</v>
      </c>
      <c r="G32" s="31">
        <f t="shared" si="1"/>
        <v>0</v>
      </c>
      <c r="H32" s="40"/>
      <c r="I32" s="31">
        <f t="shared" si="8"/>
        <v>0</v>
      </c>
      <c r="J32" s="31">
        <f t="shared" si="2"/>
        <v>0</v>
      </c>
      <c r="K32" s="40"/>
      <c r="L32" s="31">
        <f t="shared" si="9"/>
        <v>0</v>
      </c>
      <c r="M32" s="31">
        <f t="shared" si="3"/>
        <v>0</v>
      </c>
      <c r="N32" s="40"/>
      <c r="O32" s="31">
        <f t="shared" si="10"/>
        <v>0</v>
      </c>
      <c r="P32" s="31">
        <f t="shared" si="4"/>
        <v>0</v>
      </c>
      <c r="Q32" s="40"/>
    </row>
    <row r="33" spans="1:17" ht="26.25" x14ac:dyDescent="0.25">
      <c r="B33" s="28" t="s">
        <v>90</v>
      </c>
      <c r="C33" s="44" t="s">
        <v>91</v>
      </c>
      <c r="D33" s="45" t="s">
        <v>92</v>
      </c>
      <c r="E33" s="32">
        <v>11500</v>
      </c>
      <c r="F33" s="32">
        <f t="shared" si="7"/>
        <v>11500</v>
      </c>
      <c r="G33" s="31">
        <f t="shared" si="1"/>
        <v>0</v>
      </c>
      <c r="H33" s="40"/>
      <c r="I33" s="31">
        <f t="shared" si="8"/>
        <v>11500</v>
      </c>
      <c r="J33" s="31">
        <f t="shared" si="2"/>
        <v>0</v>
      </c>
      <c r="K33" s="40"/>
      <c r="L33" s="31">
        <f t="shared" si="9"/>
        <v>11500</v>
      </c>
      <c r="M33" s="31">
        <f t="shared" si="3"/>
        <v>0</v>
      </c>
      <c r="N33" s="40"/>
      <c r="O33" s="31">
        <f t="shared" si="10"/>
        <v>11500</v>
      </c>
      <c r="P33" s="31">
        <f t="shared" si="4"/>
        <v>0</v>
      </c>
      <c r="Q33" s="40"/>
    </row>
    <row r="34" spans="1:17" x14ac:dyDescent="0.25">
      <c r="B34" s="28" t="s">
        <v>93</v>
      </c>
      <c r="C34" s="44" t="s">
        <v>94</v>
      </c>
      <c r="D34" s="45" t="s">
        <v>95</v>
      </c>
      <c r="E34" s="32">
        <v>106350</v>
      </c>
      <c r="F34" s="32">
        <f t="shared" si="7"/>
        <v>106350</v>
      </c>
      <c r="G34" s="31">
        <f t="shared" si="1"/>
        <v>0</v>
      </c>
      <c r="H34" s="40"/>
      <c r="I34" s="31">
        <f t="shared" si="8"/>
        <v>106350</v>
      </c>
      <c r="J34" s="31">
        <f t="shared" si="2"/>
        <v>0</v>
      </c>
      <c r="K34" s="40"/>
      <c r="L34" s="31">
        <f t="shared" si="9"/>
        <v>106350</v>
      </c>
      <c r="M34" s="31">
        <f t="shared" si="3"/>
        <v>0</v>
      </c>
      <c r="N34" s="40"/>
      <c r="O34" s="31">
        <f t="shared" si="10"/>
        <v>106350</v>
      </c>
      <c r="P34" s="31">
        <f t="shared" si="4"/>
        <v>0</v>
      </c>
      <c r="Q34" s="40"/>
    </row>
    <row r="35" spans="1:17" x14ac:dyDescent="0.25">
      <c r="B35" s="28" t="s">
        <v>96</v>
      </c>
      <c r="C35" s="44" t="s">
        <v>97</v>
      </c>
      <c r="D35" s="45" t="s">
        <v>98</v>
      </c>
      <c r="E35" s="32">
        <v>7000</v>
      </c>
      <c r="F35" s="32">
        <f t="shared" si="7"/>
        <v>7000</v>
      </c>
      <c r="G35" s="31">
        <f t="shared" si="1"/>
        <v>0</v>
      </c>
      <c r="H35" s="40"/>
      <c r="I35" s="31">
        <f t="shared" si="8"/>
        <v>7000</v>
      </c>
      <c r="J35" s="31">
        <f t="shared" si="2"/>
        <v>0</v>
      </c>
      <c r="K35" s="40"/>
      <c r="L35" s="31">
        <f t="shared" si="9"/>
        <v>7000</v>
      </c>
      <c r="M35" s="31">
        <f t="shared" si="3"/>
        <v>0</v>
      </c>
      <c r="N35" s="40"/>
      <c r="O35" s="31">
        <f t="shared" si="10"/>
        <v>7000</v>
      </c>
      <c r="P35" s="31">
        <f t="shared" si="4"/>
        <v>0</v>
      </c>
      <c r="Q35" s="40"/>
    </row>
    <row r="36" spans="1:17" ht="18" customHeight="1" x14ac:dyDescent="0.25">
      <c r="B36" s="1" t="s">
        <v>99</v>
      </c>
      <c r="C36" s="35" t="s">
        <v>100</v>
      </c>
      <c r="D36" s="36" t="s">
        <v>101</v>
      </c>
      <c r="E36" s="38">
        <v>65000</v>
      </c>
      <c r="F36" s="38">
        <f>F37+F38</f>
        <v>65000</v>
      </c>
      <c r="G36" s="37">
        <f t="shared" si="1"/>
        <v>0</v>
      </c>
      <c r="H36" s="47"/>
      <c r="I36" s="37">
        <f>I37+I38</f>
        <v>65000</v>
      </c>
      <c r="J36" s="37">
        <f t="shared" si="2"/>
        <v>0</v>
      </c>
      <c r="K36" s="47"/>
      <c r="L36" s="37">
        <f>L37+L38</f>
        <v>65000</v>
      </c>
      <c r="M36" s="37">
        <f t="shared" si="3"/>
        <v>0</v>
      </c>
      <c r="N36" s="47"/>
      <c r="O36" s="37">
        <f>O37+O38</f>
        <v>65000</v>
      </c>
      <c r="P36" s="37">
        <f t="shared" si="4"/>
        <v>0</v>
      </c>
      <c r="Q36" s="47"/>
    </row>
    <row r="37" spans="1:17" ht="16.5" customHeight="1" x14ac:dyDescent="0.25">
      <c r="B37" s="42" t="s">
        <v>102</v>
      </c>
      <c r="C37" s="29" t="s">
        <v>103</v>
      </c>
      <c r="D37" s="30" t="s">
        <v>101</v>
      </c>
      <c r="E37" s="32">
        <v>31000</v>
      </c>
      <c r="F37" s="32">
        <f>ROUND(E37,0)</f>
        <v>31000</v>
      </c>
      <c r="G37" s="31">
        <f t="shared" si="1"/>
        <v>0</v>
      </c>
      <c r="H37" s="33"/>
      <c r="I37" s="31">
        <f>ROUND(F37,0)</f>
        <v>31000</v>
      </c>
      <c r="J37" s="31">
        <f t="shared" si="2"/>
        <v>0</v>
      </c>
      <c r="K37" s="33"/>
      <c r="L37" s="31">
        <f>ROUND(I37,0)</f>
        <v>31000</v>
      </c>
      <c r="M37" s="31">
        <f t="shared" si="3"/>
        <v>0</v>
      </c>
      <c r="N37" s="33"/>
      <c r="O37" s="31">
        <f>ROUND(L37,0)</f>
        <v>31000</v>
      </c>
      <c r="P37" s="31">
        <f t="shared" si="4"/>
        <v>0</v>
      </c>
      <c r="Q37" s="33"/>
    </row>
    <row r="38" spans="1:17" ht="30" x14ac:dyDescent="0.25">
      <c r="B38" s="42" t="s">
        <v>104</v>
      </c>
      <c r="C38" s="29" t="s">
        <v>105</v>
      </c>
      <c r="D38" s="30" t="s">
        <v>106</v>
      </c>
      <c r="E38" s="32">
        <v>34000</v>
      </c>
      <c r="F38" s="32">
        <f>ROUND(E38,0)</f>
        <v>34000</v>
      </c>
      <c r="G38" s="31">
        <f t="shared" si="1"/>
        <v>0</v>
      </c>
      <c r="H38" s="33"/>
      <c r="I38" s="31">
        <f>ROUND(F38,0)</f>
        <v>34000</v>
      </c>
      <c r="J38" s="31">
        <f t="shared" si="2"/>
        <v>0</v>
      </c>
      <c r="K38" s="33"/>
      <c r="L38" s="31">
        <f>ROUND(I38,0)</f>
        <v>34000</v>
      </c>
      <c r="M38" s="31">
        <f t="shared" si="3"/>
        <v>0</v>
      </c>
      <c r="N38" s="33"/>
      <c r="O38" s="31">
        <f>ROUND(L38,0)</f>
        <v>34000</v>
      </c>
      <c r="P38" s="31">
        <f t="shared" si="4"/>
        <v>0</v>
      </c>
      <c r="Q38" s="33"/>
    </row>
    <row r="39" spans="1:17" x14ac:dyDescent="0.25">
      <c r="B39" s="1" t="s">
        <v>107</v>
      </c>
      <c r="C39" s="35" t="s">
        <v>108</v>
      </c>
      <c r="D39" s="36" t="s">
        <v>109</v>
      </c>
      <c r="E39" s="38">
        <v>22453</v>
      </c>
      <c r="F39" s="38">
        <f>F40+F41+F42</f>
        <v>33317</v>
      </c>
      <c r="G39" s="37">
        <f t="shared" si="1"/>
        <v>10864</v>
      </c>
      <c r="H39" s="39"/>
      <c r="I39" s="37">
        <f>I40+I41+I42</f>
        <v>176317</v>
      </c>
      <c r="J39" s="37">
        <f t="shared" si="2"/>
        <v>143000</v>
      </c>
      <c r="K39" s="39"/>
      <c r="L39" s="37">
        <f>L40+L41+L42</f>
        <v>176317</v>
      </c>
      <c r="M39" s="37">
        <f t="shared" si="3"/>
        <v>0</v>
      </c>
      <c r="N39" s="39"/>
      <c r="O39" s="37">
        <f>O40+O41+O42</f>
        <v>176317</v>
      </c>
      <c r="P39" s="37">
        <f t="shared" si="4"/>
        <v>0</v>
      </c>
      <c r="Q39" s="39"/>
    </row>
    <row r="40" spans="1:17" ht="29.45" customHeight="1" x14ac:dyDescent="0.25">
      <c r="A40" s="1" t="s">
        <v>21</v>
      </c>
      <c r="B40" s="3" t="s">
        <v>110</v>
      </c>
      <c r="C40" s="29" t="s">
        <v>111</v>
      </c>
      <c r="D40" s="48" t="s">
        <v>112</v>
      </c>
      <c r="E40" s="32">
        <v>16000</v>
      </c>
      <c r="F40" s="32">
        <f>ROUND(E40,0)+10864</f>
        <v>26864</v>
      </c>
      <c r="G40" s="31">
        <f t="shared" si="1"/>
        <v>10864</v>
      </c>
      <c r="H40" s="49" t="s">
        <v>113</v>
      </c>
      <c r="I40" s="31">
        <f>ROUND(F40,0)+143000</f>
        <v>169864</v>
      </c>
      <c r="J40" s="34">
        <f t="shared" si="2"/>
        <v>143000</v>
      </c>
      <c r="K40" s="50" t="s">
        <v>114</v>
      </c>
      <c r="L40" s="31">
        <f>ROUND(I40,0)</f>
        <v>169864</v>
      </c>
      <c r="M40" s="31">
        <f t="shared" si="3"/>
        <v>0</v>
      </c>
      <c r="N40" s="49"/>
      <c r="O40" s="31">
        <f>ROUND(L40,0)</f>
        <v>169864</v>
      </c>
      <c r="P40" s="31">
        <f t="shared" si="4"/>
        <v>0</v>
      </c>
      <c r="Q40" s="49"/>
    </row>
    <row r="41" spans="1:17" ht="30" x14ac:dyDescent="0.25">
      <c r="B41" s="1" t="s">
        <v>115</v>
      </c>
      <c r="C41" s="29" t="s">
        <v>116</v>
      </c>
      <c r="D41" s="30" t="s">
        <v>117</v>
      </c>
      <c r="E41" s="32">
        <v>500</v>
      </c>
      <c r="F41" s="32">
        <f>ROUND(E41,0)</f>
        <v>500</v>
      </c>
      <c r="G41" s="31">
        <f t="shared" si="1"/>
        <v>0</v>
      </c>
      <c r="H41" s="49"/>
      <c r="I41" s="31">
        <f>ROUND(F41,0)</f>
        <v>500</v>
      </c>
      <c r="J41" s="31">
        <f t="shared" si="2"/>
        <v>0</v>
      </c>
      <c r="K41" s="49"/>
      <c r="L41" s="31">
        <f>ROUND(I41,0)</f>
        <v>500</v>
      </c>
      <c r="M41" s="31">
        <f t="shared" si="3"/>
        <v>0</v>
      </c>
      <c r="N41" s="49"/>
      <c r="O41" s="31">
        <f>ROUND(L41,0)</f>
        <v>500</v>
      </c>
      <c r="P41" s="31">
        <f t="shared" si="4"/>
        <v>0</v>
      </c>
      <c r="Q41" s="49"/>
    </row>
    <row r="42" spans="1:17" x14ac:dyDescent="0.25">
      <c r="C42" s="29" t="s">
        <v>118</v>
      </c>
      <c r="D42" s="30" t="s">
        <v>119</v>
      </c>
      <c r="E42" s="32">
        <v>5953</v>
      </c>
      <c r="F42" s="32">
        <f>ROUND(E42,0)</f>
        <v>5953</v>
      </c>
      <c r="G42" s="31">
        <f t="shared" si="1"/>
        <v>0</v>
      </c>
      <c r="H42" s="33"/>
      <c r="I42" s="31">
        <f>ROUND(F42,0)</f>
        <v>5953</v>
      </c>
      <c r="J42" s="31">
        <f t="shared" si="2"/>
        <v>0</v>
      </c>
      <c r="K42" s="33"/>
      <c r="L42" s="31">
        <f>ROUND(I42,0)</f>
        <v>5953</v>
      </c>
      <c r="M42" s="31">
        <f t="shared" si="3"/>
        <v>0</v>
      </c>
      <c r="N42" s="33"/>
      <c r="O42" s="31">
        <f>ROUND(L42,0)</f>
        <v>5953</v>
      </c>
      <c r="P42" s="31">
        <f t="shared" si="4"/>
        <v>0</v>
      </c>
      <c r="Q42" s="33"/>
    </row>
    <row r="43" spans="1:17" ht="15" customHeight="1" x14ac:dyDescent="0.25">
      <c r="B43" s="1" t="s">
        <v>120</v>
      </c>
      <c r="C43" s="51" t="s">
        <v>121</v>
      </c>
      <c r="D43" s="36" t="s">
        <v>122</v>
      </c>
      <c r="E43" s="38">
        <v>433856</v>
      </c>
      <c r="F43" s="38">
        <f>ROUND(E43,0)</f>
        <v>433856</v>
      </c>
      <c r="G43" s="37">
        <f t="shared" si="1"/>
        <v>0</v>
      </c>
      <c r="H43" s="47"/>
      <c r="I43" s="37">
        <f>ROUND(F43,0)</f>
        <v>433856</v>
      </c>
      <c r="J43" s="37">
        <f t="shared" si="2"/>
        <v>0</v>
      </c>
      <c r="K43" s="47"/>
      <c r="L43" s="37">
        <f>ROUND(I43,0)</f>
        <v>433856</v>
      </c>
      <c r="M43" s="37">
        <f t="shared" si="3"/>
        <v>0</v>
      </c>
      <c r="N43" s="47"/>
      <c r="O43" s="37">
        <f>ROUND(L43,0)</f>
        <v>433856</v>
      </c>
      <c r="P43" s="37">
        <f t="shared" si="4"/>
        <v>0</v>
      </c>
      <c r="Q43" s="47"/>
    </row>
    <row r="44" spans="1:17" x14ac:dyDescent="0.25">
      <c r="C44" s="51" t="s">
        <v>123</v>
      </c>
      <c r="D44" s="36" t="s">
        <v>124</v>
      </c>
      <c r="E44" s="38">
        <v>9528140.4900000002</v>
      </c>
      <c r="F44" s="38">
        <f t="shared" ref="F44" si="11">F45+F67+F88</f>
        <v>9575632</v>
      </c>
      <c r="G44" s="37">
        <f t="shared" si="1"/>
        <v>47491.509999999776</v>
      </c>
      <c r="H44" s="37"/>
      <c r="I44" s="37">
        <f>I45+I67+I88</f>
        <v>9633217</v>
      </c>
      <c r="J44" s="37">
        <f t="shared" si="2"/>
        <v>57585</v>
      </c>
      <c r="K44" s="37"/>
      <c r="L44" s="37">
        <f>L45+L67+L88</f>
        <v>9973168</v>
      </c>
      <c r="M44" s="37">
        <f t="shared" si="3"/>
        <v>339951</v>
      </c>
      <c r="N44" s="37"/>
      <c r="O44" s="37">
        <f>O45+O67+O88</f>
        <v>10023168</v>
      </c>
      <c r="P44" s="37">
        <f t="shared" si="4"/>
        <v>50000</v>
      </c>
      <c r="Q44" s="37"/>
    </row>
    <row r="45" spans="1:17" ht="17.45" customHeight="1" x14ac:dyDescent="0.25">
      <c r="B45" s="28"/>
      <c r="C45" s="52" t="s">
        <v>125</v>
      </c>
      <c r="D45" s="53" t="s">
        <v>126</v>
      </c>
      <c r="E45" s="32">
        <v>7875899</v>
      </c>
      <c r="F45" s="32">
        <f t="shared" ref="F45" si="12">SUM(F46:F49)+F52+SUM(F56:F66)</f>
        <v>7923391</v>
      </c>
      <c r="G45" s="31">
        <f t="shared" si="1"/>
        <v>47492</v>
      </c>
      <c r="H45" s="31"/>
      <c r="I45" s="31">
        <f>SUM(I46:I49)+I52+SUM(I56:I66)</f>
        <v>7975976</v>
      </c>
      <c r="J45" s="31">
        <f t="shared" si="2"/>
        <v>52585</v>
      </c>
      <c r="K45" s="31"/>
      <c r="L45" s="31">
        <f>SUM(L46:L49)+L52+SUM(L56:L66)</f>
        <v>8315927</v>
      </c>
      <c r="M45" s="31">
        <f t="shared" si="3"/>
        <v>339951</v>
      </c>
      <c r="N45" s="31"/>
      <c r="O45" s="31">
        <f>SUM(O46:O49)+O52+SUM(O56:O66)</f>
        <v>8365927</v>
      </c>
      <c r="P45" s="31">
        <f t="shared" si="4"/>
        <v>50000</v>
      </c>
      <c r="Q45" s="31"/>
    </row>
    <row r="46" spans="1:17" ht="16.899999999999999" customHeight="1" x14ac:dyDescent="0.25">
      <c r="A46" s="1" t="s">
        <v>127</v>
      </c>
      <c r="B46" s="1" t="s">
        <v>128</v>
      </c>
      <c r="C46" s="44" t="s">
        <v>129</v>
      </c>
      <c r="D46" s="30" t="s">
        <v>130</v>
      </c>
      <c r="E46" s="32">
        <v>593640</v>
      </c>
      <c r="F46" s="32">
        <f>ROUND(E46,0)+52289</f>
        <v>645929</v>
      </c>
      <c r="G46" s="31">
        <f t="shared" si="1"/>
        <v>52289</v>
      </c>
      <c r="H46" s="49" t="s">
        <v>131</v>
      </c>
      <c r="I46" s="31">
        <f>ROUND(F46,0)</f>
        <v>645929</v>
      </c>
      <c r="J46" s="31">
        <f t="shared" si="2"/>
        <v>0</v>
      </c>
      <c r="K46" s="49"/>
      <c r="L46" s="31">
        <f>ROUND(I46,0)</f>
        <v>645929</v>
      </c>
      <c r="M46" s="31">
        <f t="shared" si="3"/>
        <v>0</v>
      </c>
      <c r="N46" s="49"/>
      <c r="O46" s="31">
        <f>ROUND(L46,0)</f>
        <v>645929</v>
      </c>
      <c r="P46" s="31">
        <f t="shared" si="4"/>
        <v>0</v>
      </c>
      <c r="Q46" s="49"/>
    </row>
    <row r="47" spans="1:17" ht="13.9" customHeight="1" x14ac:dyDescent="0.25">
      <c r="A47" s="1" t="s">
        <v>127</v>
      </c>
      <c r="B47" s="42" t="s">
        <v>132</v>
      </c>
      <c r="C47" s="44" t="s">
        <v>133</v>
      </c>
      <c r="D47" s="30" t="s">
        <v>134</v>
      </c>
      <c r="E47" s="32">
        <v>299288</v>
      </c>
      <c r="F47" s="32">
        <f>ROUND(E47,0)</f>
        <v>299288</v>
      </c>
      <c r="G47" s="31">
        <f t="shared" si="1"/>
        <v>0</v>
      </c>
      <c r="H47" s="33"/>
      <c r="I47" s="31">
        <f>ROUND(F47,0)</f>
        <v>299288</v>
      </c>
      <c r="J47" s="31">
        <f t="shared" si="2"/>
        <v>0</v>
      </c>
      <c r="K47" s="33"/>
      <c r="L47" s="31">
        <f>ROUND(I47,0)</f>
        <v>299288</v>
      </c>
      <c r="M47" s="31">
        <f t="shared" si="3"/>
        <v>0</v>
      </c>
      <c r="N47" s="33"/>
      <c r="O47" s="31">
        <f>ROUND(L47,0)</f>
        <v>299288</v>
      </c>
      <c r="P47" s="31">
        <f t="shared" si="4"/>
        <v>0</v>
      </c>
      <c r="Q47" s="33"/>
    </row>
    <row r="48" spans="1:17" x14ac:dyDescent="0.25">
      <c r="B48" s="42" t="s">
        <v>135</v>
      </c>
      <c r="C48" s="44" t="s">
        <v>136</v>
      </c>
      <c r="D48" s="30" t="s">
        <v>137</v>
      </c>
      <c r="E48" s="32">
        <v>249276</v>
      </c>
      <c r="F48" s="32">
        <f>ROUND(E48,0)</f>
        <v>249276</v>
      </c>
      <c r="G48" s="31">
        <f t="shared" si="1"/>
        <v>0</v>
      </c>
      <c r="H48" s="49"/>
      <c r="I48" s="31">
        <f>ROUND(F48,0)</f>
        <v>249276</v>
      </c>
      <c r="J48" s="31">
        <f t="shared" si="2"/>
        <v>0</v>
      </c>
      <c r="K48" s="49"/>
      <c r="L48" s="31">
        <f>ROUND(I48,0)</f>
        <v>249276</v>
      </c>
      <c r="M48" s="31">
        <f t="shared" si="3"/>
        <v>0</v>
      </c>
      <c r="N48" s="49"/>
      <c r="O48" s="31">
        <f>ROUND(L48,0)</f>
        <v>249276</v>
      </c>
      <c r="P48" s="31">
        <f t="shared" si="4"/>
        <v>0</v>
      </c>
      <c r="Q48" s="49"/>
    </row>
    <row r="49" spans="1:17" ht="14.25" customHeight="1" x14ac:dyDescent="0.25">
      <c r="A49" s="1" t="s">
        <v>127</v>
      </c>
      <c r="B49" s="42" t="s">
        <v>138</v>
      </c>
      <c r="C49" s="44" t="s">
        <v>139</v>
      </c>
      <c r="D49" s="30" t="s">
        <v>140</v>
      </c>
      <c r="E49" s="32">
        <v>0</v>
      </c>
      <c r="F49" s="32">
        <f t="shared" ref="F49" si="13">F50+F51</f>
        <v>0</v>
      </c>
      <c r="G49" s="31">
        <f t="shared" si="1"/>
        <v>0</v>
      </c>
      <c r="H49" s="31"/>
      <c r="I49" s="31">
        <f>I50+I51</f>
        <v>0</v>
      </c>
      <c r="J49" s="31">
        <f t="shared" si="2"/>
        <v>0</v>
      </c>
      <c r="K49" s="31"/>
      <c r="L49" s="31">
        <f>L50+L51</f>
        <v>63466</v>
      </c>
      <c r="M49" s="31">
        <f t="shared" si="3"/>
        <v>63466</v>
      </c>
      <c r="N49" s="31"/>
      <c r="O49" s="31">
        <f>O50+O51</f>
        <v>63466</v>
      </c>
      <c r="P49" s="31">
        <f t="shared" si="4"/>
        <v>0</v>
      </c>
      <c r="Q49" s="31"/>
    </row>
    <row r="50" spans="1:17" ht="14.25" customHeight="1" x14ac:dyDescent="0.25">
      <c r="B50" s="42"/>
      <c r="C50" s="44" t="s">
        <v>141</v>
      </c>
      <c r="D50" s="45" t="s">
        <v>142</v>
      </c>
      <c r="E50" s="32"/>
      <c r="F50" s="32"/>
      <c r="G50" s="31">
        <f t="shared" si="1"/>
        <v>0</v>
      </c>
      <c r="H50" s="49"/>
      <c r="I50" s="31"/>
      <c r="J50" s="31">
        <f t="shared" si="2"/>
        <v>0</v>
      </c>
      <c r="K50" s="49"/>
      <c r="L50" s="31">
        <f>41084+1240+10652+4493+1870+2968+1159</f>
        <v>63466</v>
      </c>
      <c r="M50" s="31">
        <f t="shared" si="3"/>
        <v>63466</v>
      </c>
      <c r="N50" s="49" t="s">
        <v>143</v>
      </c>
      <c r="O50" s="31">
        <f>41084+1240+10652+4493+1870+2968+1159</f>
        <v>63466</v>
      </c>
      <c r="P50" s="31">
        <f t="shared" si="4"/>
        <v>0</v>
      </c>
      <c r="Q50" s="49"/>
    </row>
    <row r="51" spans="1:17" ht="17.45" customHeight="1" x14ac:dyDescent="0.25">
      <c r="B51" s="42"/>
      <c r="C51" s="44" t="s">
        <v>144</v>
      </c>
      <c r="D51" s="45" t="s">
        <v>145</v>
      </c>
      <c r="E51" s="32"/>
      <c r="F51" s="32"/>
      <c r="G51" s="31">
        <f t="shared" si="1"/>
        <v>0</v>
      </c>
      <c r="H51" s="49"/>
      <c r="I51" s="31"/>
      <c r="J51" s="31">
        <f t="shared" si="2"/>
        <v>0</v>
      </c>
      <c r="K51" s="49"/>
      <c r="L51" s="31"/>
      <c r="M51" s="31">
        <f t="shared" si="3"/>
        <v>0</v>
      </c>
      <c r="N51" s="49"/>
      <c r="O51" s="31"/>
      <c r="P51" s="31">
        <f t="shared" si="4"/>
        <v>0</v>
      </c>
      <c r="Q51" s="49"/>
    </row>
    <row r="52" spans="1:17" ht="13.9" customHeight="1" x14ac:dyDescent="0.25">
      <c r="B52" s="1" t="s">
        <v>146</v>
      </c>
      <c r="C52" s="44" t="s">
        <v>147</v>
      </c>
      <c r="D52" s="30" t="s">
        <v>148</v>
      </c>
      <c r="E52" s="56">
        <v>5320740</v>
      </c>
      <c r="F52" s="56">
        <f>F53+F54+F55</f>
        <v>5320740</v>
      </c>
      <c r="G52" s="55">
        <f t="shared" si="1"/>
        <v>0</v>
      </c>
      <c r="H52" s="57"/>
      <c r="I52" s="55">
        <f>I53+I54+I55</f>
        <v>5320740</v>
      </c>
      <c r="J52" s="55">
        <f t="shared" si="2"/>
        <v>0</v>
      </c>
      <c r="K52" s="57"/>
      <c r="L52" s="55">
        <f>L53+L54+L55</f>
        <v>5320740</v>
      </c>
      <c r="M52" s="55">
        <f t="shared" si="3"/>
        <v>0</v>
      </c>
      <c r="N52" s="57"/>
      <c r="O52" s="55">
        <f>O53+O54+O55</f>
        <v>5320740</v>
      </c>
      <c r="P52" s="55">
        <f t="shared" si="4"/>
        <v>0</v>
      </c>
      <c r="Q52" s="57"/>
    </row>
    <row r="53" spans="1:17" s="61" customFormat="1" x14ac:dyDescent="0.25">
      <c r="A53" s="1" t="s">
        <v>127</v>
      </c>
      <c r="B53" s="42" t="s">
        <v>149</v>
      </c>
      <c r="C53" s="44" t="s">
        <v>150</v>
      </c>
      <c r="D53" s="45" t="s">
        <v>151</v>
      </c>
      <c r="E53" s="59">
        <v>723948</v>
      </c>
      <c r="F53" s="59">
        <f t="shared" ref="F53:F65" si="14">ROUND(E53,0)</f>
        <v>723948</v>
      </c>
      <c r="G53" s="58">
        <f t="shared" si="1"/>
        <v>0</v>
      </c>
      <c r="H53" s="60"/>
      <c r="I53" s="58">
        <f t="shared" ref="I53:I60" si="15">ROUND(F53,0)</f>
        <v>723948</v>
      </c>
      <c r="J53" s="58">
        <f t="shared" si="2"/>
        <v>0</v>
      </c>
      <c r="K53" s="60"/>
      <c r="L53" s="58">
        <f t="shared" ref="L53:L60" si="16">ROUND(I53,0)</f>
        <v>723948</v>
      </c>
      <c r="M53" s="58">
        <f t="shared" si="3"/>
        <v>0</v>
      </c>
      <c r="N53" s="60"/>
      <c r="O53" s="58">
        <f t="shared" ref="O53:O60" si="17">ROUND(L53,0)</f>
        <v>723948</v>
      </c>
      <c r="P53" s="58">
        <f t="shared" si="4"/>
        <v>0</v>
      </c>
      <c r="Q53" s="60"/>
    </row>
    <row r="54" spans="1:17" s="61" customFormat="1" x14ac:dyDescent="0.25">
      <c r="A54" s="1" t="s">
        <v>127</v>
      </c>
      <c r="B54" s="42" t="s">
        <v>152</v>
      </c>
      <c r="C54" s="44" t="s">
        <v>153</v>
      </c>
      <c r="D54" s="45" t="s">
        <v>154</v>
      </c>
      <c r="E54" s="59">
        <v>4279428</v>
      </c>
      <c r="F54" s="59">
        <f>ROUND(E54,0)</f>
        <v>4279428</v>
      </c>
      <c r="G54" s="58">
        <f t="shared" si="1"/>
        <v>0</v>
      </c>
      <c r="H54" s="60"/>
      <c r="I54" s="58">
        <f t="shared" si="15"/>
        <v>4279428</v>
      </c>
      <c r="J54" s="58">
        <f t="shared" si="2"/>
        <v>0</v>
      </c>
      <c r="K54" s="60"/>
      <c r="L54" s="58">
        <f t="shared" si="16"/>
        <v>4279428</v>
      </c>
      <c r="M54" s="58">
        <f t="shared" si="3"/>
        <v>0</v>
      </c>
      <c r="N54" s="60"/>
      <c r="O54" s="58">
        <f t="shared" si="17"/>
        <v>4279428</v>
      </c>
      <c r="P54" s="58">
        <f t="shared" si="4"/>
        <v>0</v>
      </c>
      <c r="Q54" s="60"/>
    </row>
    <row r="55" spans="1:17" s="61" customFormat="1" x14ac:dyDescent="0.25">
      <c r="A55" s="1" t="s">
        <v>127</v>
      </c>
      <c r="B55" s="1"/>
      <c r="C55" s="44" t="s">
        <v>155</v>
      </c>
      <c r="D55" s="45" t="s">
        <v>156</v>
      </c>
      <c r="E55" s="59">
        <v>317364</v>
      </c>
      <c r="F55" s="59">
        <f t="shared" si="14"/>
        <v>317364</v>
      </c>
      <c r="G55" s="62">
        <f t="shared" si="1"/>
        <v>0</v>
      </c>
      <c r="H55" s="63"/>
      <c r="I55" s="58">
        <f t="shared" si="15"/>
        <v>317364</v>
      </c>
      <c r="J55" s="62">
        <f t="shared" si="2"/>
        <v>0</v>
      </c>
      <c r="K55" s="63"/>
      <c r="L55" s="58">
        <f t="shared" si="16"/>
        <v>317364</v>
      </c>
      <c r="M55" s="62">
        <f t="shared" si="3"/>
        <v>0</v>
      </c>
      <c r="N55" s="63"/>
      <c r="O55" s="58">
        <f t="shared" si="17"/>
        <v>317364</v>
      </c>
      <c r="P55" s="62">
        <f t="shared" si="4"/>
        <v>0</v>
      </c>
      <c r="Q55" s="63"/>
    </row>
    <row r="56" spans="1:17" ht="31.5" customHeight="1" x14ac:dyDescent="0.25">
      <c r="A56" s="1" t="s">
        <v>127</v>
      </c>
      <c r="B56" s="1" t="s">
        <v>157</v>
      </c>
      <c r="C56" s="44" t="s">
        <v>158</v>
      </c>
      <c r="D56" s="30" t="s">
        <v>159</v>
      </c>
      <c r="E56" s="32">
        <v>13088</v>
      </c>
      <c r="F56" s="32">
        <f t="shared" si="14"/>
        <v>13088</v>
      </c>
      <c r="G56" s="31">
        <f t="shared" si="1"/>
        <v>0</v>
      </c>
      <c r="H56" s="40"/>
      <c r="I56" s="31">
        <f t="shared" si="15"/>
        <v>13088</v>
      </c>
      <c r="J56" s="31">
        <f t="shared" si="2"/>
        <v>0</v>
      </c>
      <c r="K56" s="40"/>
      <c r="L56" s="31">
        <f t="shared" si="16"/>
        <v>13088</v>
      </c>
      <c r="M56" s="31">
        <f t="shared" si="3"/>
        <v>0</v>
      </c>
      <c r="N56" s="40"/>
      <c r="O56" s="31">
        <f t="shared" si="17"/>
        <v>13088</v>
      </c>
      <c r="P56" s="31">
        <f t="shared" si="4"/>
        <v>0</v>
      </c>
      <c r="Q56" s="40"/>
    </row>
    <row r="57" spans="1:17" ht="19.149999999999999" customHeight="1" x14ac:dyDescent="0.25">
      <c r="A57" s="1" t="s">
        <v>127</v>
      </c>
      <c r="B57" s="42" t="s">
        <v>160</v>
      </c>
      <c r="C57" s="44" t="s">
        <v>161</v>
      </c>
      <c r="D57" s="30" t="s">
        <v>162</v>
      </c>
      <c r="E57" s="32">
        <v>16104</v>
      </c>
      <c r="F57" s="32">
        <f>ROUND(E57,0)-2011</f>
        <v>14093</v>
      </c>
      <c r="G57" s="31">
        <f t="shared" si="1"/>
        <v>-2011</v>
      </c>
      <c r="H57" s="33" t="s">
        <v>163</v>
      </c>
      <c r="I57" s="31">
        <f t="shared" si="15"/>
        <v>14093</v>
      </c>
      <c r="J57" s="31">
        <f t="shared" si="2"/>
        <v>0</v>
      </c>
      <c r="K57" s="33"/>
      <c r="L57" s="31">
        <f t="shared" si="16"/>
        <v>14093</v>
      </c>
      <c r="M57" s="31">
        <f t="shared" si="3"/>
        <v>0</v>
      </c>
      <c r="N57" s="33"/>
      <c r="O57" s="31">
        <f t="shared" si="17"/>
        <v>14093</v>
      </c>
      <c r="P57" s="31">
        <f t="shared" si="4"/>
        <v>0</v>
      </c>
      <c r="Q57" s="33"/>
    </row>
    <row r="58" spans="1:17" ht="19.149999999999999" customHeight="1" x14ac:dyDescent="0.25">
      <c r="B58" s="42"/>
      <c r="C58" s="44" t="s">
        <v>164</v>
      </c>
      <c r="D58" s="30" t="s">
        <v>165</v>
      </c>
      <c r="E58" s="32">
        <v>6454</v>
      </c>
      <c r="F58" s="32">
        <f>ROUND(E58,0)-2786</f>
        <v>3668</v>
      </c>
      <c r="G58" s="31">
        <f t="shared" si="1"/>
        <v>-2786</v>
      </c>
      <c r="H58" s="33" t="s">
        <v>163</v>
      </c>
      <c r="I58" s="31">
        <f t="shared" si="15"/>
        <v>3668</v>
      </c>
      <c r="J58" s="31">
        <f t="shared" si="2"/>
        <v>0</v>
      </c>
      <c r="K58" s="33"/>
      <c r="L58" s="31">
        <f t="shared" si="16"/>
        <v>3668</v>
      </c>
      <c r="M58" s="31">
        <f t="shared" si="3"/>
        <v>0</v>
      </c>
      <c r="N58" s="33"/>
      <c r="O58" s="31">
        <f t="shared" si="17"/>
        <v>3668</v>
      </c>
      <c r="P58" s="31">
        <f t="shared" si="4"/>
        <v>0</v>
      </c>
      <c r="Q58" s="33"/>
    </row>
    <row r="59" spans="1:17" ht="18.600000000000001" customHeight="1" x14ac:dyDescent="0.25">
      <c r="B59" s="1" t="s">
        <v>166</v>
      </c>
      <c r="C59" s="44" t="s">
        <v>167</v>
      </c>
      <c r="D59" s="30" t="s">
        <v>168</v>
      </c>
      <c r="E59" s="32">
        <v>421092</v>
      </c>
      <c r="F59" s="32">
        <f t="shared" si="14"/>
        <v>421092</v>
      </c>
      <c r="G59" s="31">
        <f t="shared" si="1"/>
        <v>0</v>
      </c>
      <c r="H59" s="49"/>
      <c r="I59" s="31">
        <f t="shared" si="15"/>
        <v>421092</v>
      </c>
      <c r="J59" s="31">
        <f t="shared" si="2"/>
        <v>0</v>
      </c>
      <c r="K59" s="49"/>
      <c r="L59" s="31">
        <f t="shared" si="16"/>
        <v>421092</v>
      </c>
      <c r="M59" s="31">
        <f t="shared" si="3"/>
        <v>0</v>
      </c>
      <c r="N59" s="49"/>
      <c r="O59" s="31">
        <f t="shared" si="17"/>
        <v>421092</v>
      </c>
      <c r="P59" s="31">
        <f t="shared" si="4"/>
        <v>0</v>
      </c>
      <c r="Q59" s="49"/>
    </row>
    <row r="60" spans="1:17" ht="31.5" customHeight="1" x14ac:dyDescent="0.25">
      <c r="C60" s="44" t="s">
        <v>169</v>
      </c>
      <c r="D60" s="30" t="s">
        <v>170</v>
      </c>
      <c r="E60" s="32">
        <v>25954</v>
      </c>
      <c r="F60" s="32">
        <f t="shared" si="14"/>
        <v>25954</v>
      </c>
      <c r="G60" s="31">
        <f t="shared" si="1"/>
        <v>0</v>
      </c>
      <c r="H60" s="33"/>
      <c r="I60" s="31">
        <f t="shared" si="15"/>
        <v>25954</v>
      </c>
      <c r="J60" s="31">
        <f t="shared" si="2"/>
        <v>0</v>
      </c>
      <c r="K60" s="33"/>
      <c r="L60" s="31">
        <f t="shared" si="16"/>
        <v>25954</v>
      </c>
      <c r="M60" s="31">
        <f t="shared" si="3"/>
        <v>0</v>
      </c>
      <c r="N60" s="33"/>
      <c r="O60" s="31">
        <f t="shared" si="17"/>
        <v>25954</v>
      </c>
      <c r="P60" s="31">
        <f t="shared" si="4"/>
        <v>0</v>
      </c>
      <c r="Q60" s="33"/>
    </row>
    <row r="61" spans="1:17" ht="31.5" hidden="1" customHeight="1" outlineLevel="1" x14ac:dyDescent="0.25">
      <c r="C61" s="44"/>
      <c r="D61" s="30" t="s">
        <v>171</v>
      </c>
      <c r="E61" s="32"/>
      <c r="F61" s="32"/>
      <c r="G61" s="31"/>
      <c r="H61" s="33"/>
      <c r="I61" s="31"/>
      <c r="J61" s="31">
        <f t="shared" si="2"/>
        <v>0</v>
      </c>
      <c r="K61" s="33"/>
      <c r="L61" s="31"/>
      <c r="M61" s="31">
        <f t="shared" si="3"/>
        <v>0</v>
      </c>
      <c r="N61" s="33"/>
      <c r="O61" s="31"/>
      <c r="P61" s="31">
        <f t="shared" si="4"/>
        <v>0</v>
      </c>
      <c r="Q61" s="33"/>
    </row>
    <row r="62" spans="1:17" ht="16.5" customHeight="1" collapsed="1" x14ac:dyDescent="0.25">
      <c r="B62" s="64" t="s">
        <v>172</v>
      </c>
      <c r="C62" s="44" t="s">
        <v>173</v>
      </c>
      <c r="D62" s="65" t="s">
        <v>174</v>
      </c>
      <c r="E62" s="32">
        <v>342263</v>
      </c>
      <c r="F62" s="32">
        <f t="shared" si="14"/>
        <v>342263</v>
      </c>
      <c r="G62" s="31">
        <f t="shared" si="1"/>
        <v>0</v>
      </c>
      <c r="H62" s="33"/>
      <c r="I62" s="31">
        <f>ROUND(F62,0)+32585</f>
        <v>374848</v>
      </c>
      <c r="J62" s="31">
        <f t="shared" si="2"/>
        <v>32585</v>
      </c>
      <c r="K62" s="33" t="s">
        <v>175</v>
      </c>
      <c r="L62" s="31">
        <f>ROUND(I62,0)</f>
        <v>374848</v>
      </c>
      <c r="M62" s="31">
        <f t="shared" si="3"/>
        <v>0</v>
      </c>
      <c r="N62" s="33"/>
      <c r="O62" s="31">
        <f>ROUND(L62,0)</f>
        <v>374848</v>
      </c>
      <c r="P62" s="31">
        <f t="shared" si="4"/>
        <v>0</v>
      </c>
      <c r="Q62" s="33"/>
    </row>
    <row r="63" spans="1:17" ht="58.9" customHeight="1" x14ac:dyDescent="0.25">
      <c r="C63" s="44"/>
      <c r="D63" s="30" t="s">
        <v>176</v>
      </c>
      <c r="E63" s="32">
        <v>0</v>
      </c>
      <c r="F63" s="32">
        <f t="shared" si="14"/>
        <v>0</v>
      </c>
      <c r="G63" s="31">
        <f t="shared" si="1"/>
        <v>0</v>
      </c>
      <c r="H63" s="49"/>
      <c r="I63" s="31">
        <f>ROUND(F63,0)</f>
        <v>0</v>
      </c>
      <c r="J63" s="31">
        <f t="shared" si="2"/>
        <v>0</v>
      </c>
      <c r="K63" s="49"/>
      <c r="L63" s="31">
        <f>ROUND(I63,0)</f>
        <v>0</v>
      </c>
      <c r="M63" s="31">
        <f t="shared" si="3"/>
        <v>0</v>
      </c>
      <c r="N63" s="49"/>
      <c r="O63" s="31">
        <f>ROUND(L63,0)</f>
        <v>0</v>
      </c>
      <c r="P63" s="31">
        <f t="shared" si="4"/>
        <v>0</v>
      </c>
      <c r="Q63" s="49"/>
    </row>
    <row r="64" spans="1:17" ht="15.6" customHeight="1" x14ac:dyDescent="0.25">
      <c r="C64" s="44" t="s">
        <v>177</v>
      </c>
      <c r="D64" s="30" t="s">
        <v>178</v>
      </c>
      <c r="E64" s="32">
        <v>50000</v>
      </c>
      <c r="F64" s="32">
        <f t="shared" si="14"/>
        <v>50000</v>
      </c>
      <c r="G64" s="31">
        <f t="shared" si="1"/>
        <v>0</v>
      </c>
      <c r="H64" s="49"/>
      <c r="I64" s="31">
        <f>ROUND(F64,0)+20000</f>
        <v>70000</v>
      </c>
      <c r="J64" s="31">
        <f t="shared" si="2"/>
        <v>20000</v>
      </c>
      <c r="K64" s="49" t="s">
        <v>179</v>
      </c>
      <c r="L64" s="31">
        <f>ROUND(I64,0)</f>
        <v>70000</v>
      </c>
      <c r="M64" s="31">
        <f t="shared" si="3"/>
        <v>0</v>
      </c>
      <c r="N64" s="49"/>
      <c r="O64" s="31">
        <f>ROUND(L64,0)+50000</f>
        <v>120000</v>
      </c>
      <c r="P64" s="31">
        <f t="shared" si="4"/>
        <v>50000</v>
      </c>
      <c r="Q64" s="352" t="s">
        <v>179</v>
      </c>
    </row>
    <row r="65" spans="1:17" ht="17.45" customHeight="1" x14ac:dyDescent="0.25">
      <c r="B65" s="1" t="s">
        <v>146</v>
      </c>
      <c r="C65" s="44" t="s">
        <v>180</v>
      </c>
      <c r="D65" s="30" t="s">
        <v>181</v>
      </c>
      <c r="E65" s="32">
        <v>400000</v>
      </c>
      <c r="F65" s="32">
        <f t="shared" si="14"/>
        <v>400000</v>
      </c>
      <c r="G65" s="31">
        <f t="shared" si="1"/>
        <v>0</v>
      </c>
      <c r="H65" s="49"/>
      <c r="I65" s="31">
        <f>ROUND(F65,0)</f>
        <v>400000</v>
      </c>
      <c r="J65" s="31">
        <f t="shared" si="2"/>
        <v>0</v>
      </c>
      <c r="K65" s="49"/>
      <c r="L65" s="31">
        <f>ROUND(I65,0)+263500</f>
        <v>663500</v>
      </c>
      <c r="M65" s="31">
        <f t="shared" si="3"/>
        <v>263500</v>
      </c>
      <c r="N65" s="49" t="s">
        <v>182</v>
      </c>
      <c r="O65" s="31">
        <f>ROUND(L65,0)</f>
        <v>663500</v>
      </c>
      <c r="P65" s="31">
        <f t="shared" si="4"/>
        <v>0</v>
      </c>
      <c r="Q65" s="49"/>
    </row>
    <row r="66" spans="1:17" ht="43.9" customHeight="1" x14ac:dyDescent="0.25">
      <c r="A66" s="64" t="s">
        <v>183</v>
      </c>
      <c r="B66" s="1" t="s">
        <v>184</v>
      </c>
      <c r="C66" s="44" t="s">
        <v>185</v>
      </c>
      <c r="D66" s="30" t="s">
        <v>186</v>
      </c>
      <c r="E66" s="32">
        <v>138000</v>
      </c>
      <c r="F66" s="32">
        <f>ROUND(E66,0)</f>
        <v>138000</v>
      </c>
      <c r="G66" s="31">
        <f t="shared" si="1"/>
        <v>0</v>
      </c>
      <c r="H66" s="49"/>
      <c r="I66" s="31">
        <f>ROUND(F66,0)</f>
        <v>138000</v>
      </c>
      <c r="J66" s="31">
        <f t="shared" si="2"/>
        <v>0</v>
      </c>
      <c r="K66" s="49"/>
      <c r="L66" s="31">
        <f>ROUND(I66,0)+5841+7144</f>
        <v>150985</v>
      </c>
      <c r="M66" s="31">
        <f t="shared" si="3"/>
        <v>12985</v>
      </c>
      <c r="N66" s="49" t="s">
        <v>187</v>
      </c>
      <c r="O66" s="31">
        <f>ROUND(L66,0)</f>
        <v>150985</v>
      </c>
      <c r="P66" s="31">
        <f t="shared" si="4"/>
        <v>0</v>
      </c>
      <c r="Q66" s="49"/>
    </row>
    <row r="67" spans="1:17" ht="32.25" customHeight="1" x14ac:dyDescent="0.25">
      <c r="C67" s="52" t="s">
        <v>188</v>
      </c>
      <c r="D67" s="53" t="s">
        <v>189</v>
      </c>
      <c r="E67" s="66">
        <v>1652241.49</v>
      </c>
      <c r="F67" s="66">
        <f>SUM(F68:F87)</f>
        <v>1652241</v>
      </c>
      <c r="G67" s="54">
        <f t="shared" si="1"/>
        <v>-0.48999999999068677</v>
      </c>
      <c r="H67" s="67"/>
      <c r="I67" s="54">
        <f>SUM(I68:I87)</f>
        <v>1657241</v>
      </c>
      <c r="J67" s="54">
        <f t="shared" si="2"/>
        <v>5000</v>
      </c>
      <c r="K67" s="67"/>
      <c r="L67" s="54">
        <f>SUM(L68:L87)</f>
        <v>1657241</v>
      </c>
      <c r="M67" s="54">
        <f t="shared" si="3"/>
        <v>0</v>
      </c>
      <c r="N67" s="67"/>
      <c r="O67" s="54">
        <f>SUM(O68:O87)</f>
        <v>1657241</v>
      </c>
      <c r="P67" s="54">
        <f t="shared" si="4"/>
        <v>0</v>
      </c>
      <c r="Q67" s="67"/>
    </row>
    <row r="68" spans="1:17" x14ac:dyDescent="0.25">
      <c r="A68" s="1" t="s">
        <v>127</v>
      </c>
      <c r="B68" s="42" t="s">
        <v>190</v>
      </c>
      <c r="C68" s="44" t="s">
        <v>191</v>
      </c>
      <c r="D68" s="68" t="s">
        <v>192</v>
      </c>
      <c r="E68" s="32">
        <v>7417</v>
      </c>
      <c r="F68" s="32">
        <f t="shared" ref="F68:F88" si="18">ROUND(E68,0)</f>
        <v>7417</v>
      </c>
      <c r="G68" s="31">
        <f t="shared" si="1"/>
        <v>0</v>
      </c>
      <c r="H68" s="69"/>
      <c r="I68" s="31">
        <f t="shared" ref="I68:I81" si="19">ROUND(F68,0)</f>
        <v>7417</v>
      </c>
      <c r="J68" s="31">
        <f t="shared" si="2"/>
        <v>0</v>
      </c>
      <c r="K68" s="69"/>
      <c r="L68" s="31">
        <f t="shared" ref="L68:L81" si="20">ROUND(I68,0)</f>
        <v>7417</v>
      </c>
      <c r="M68" s="31">
        <f t="shared" si="3"/>
        <v>0</v>
      </c>
      <c r="N68" s="69"/>
      <c r="O68" s="31">
        <f t="shared" ref="O68:O81" si="21">ROUND(L68,0)</f>
        <v>7417</v>
      </c>
      <c r="P68" s="31">
        <f t="shared" si="4"/>
        <v>0</v>
      </c>
      <c r="Q68" s="69"/>
    </row>
    <row r="69" spans="1:17" x14ac:dyDescent="0.25">
      <c r="A69" s="1" t="s">
        <v>193</v>
      </c>
      <c r="B69" s="1" t="s">
        <v>194</v>
      </c>
      <c r="C69" s="44" t="s">
        <v>195</v>
      </c>
      <c r="D69" s="68" t="s">
        <v>196</v>
      </c>
      <c r="E69" s="32">
        <v>109839.1</v>
      </c>
      <c r="F69" s="32">
        <f t="shared" si="18"/>
        <v>109839</v>
      </c>
      <c r="G69" s="31">
        <f t="shared" si="1"/>
        <v>-0.10000000000582077</v>
      </c>
      <c r="H69" s="41"/>
      <c r="I69" s="31">
        <f t="shared" si="19"/>
        <v>109839</v>
      </c>
      <c r="J69" s="31">
        <f t="shared" si="2"/>
        <v>0</v>
      </c>
      <c r="K69" s="41"/>
      <c r="L69" s="31">
        <f t="shared" si="20"/>
        <v>109839</v>
      </c>
      <c r="M69" s="31">
        <f t="shared" si="3"/>
        <v>0</v>
      </c>
      <c r="N69" s="41"/>
      <c r="O69" s="31">
        <f t="shared" si="21"/>
        <v>109839</v>
      </c>
      <c r="P69" s="31">
        <f t="shared" si="4"/>
        <v>0</v>
      </c>
      <c r="Q69" s="41"/>
    </row>
    <row r="70" spans="1:17" ht="30" hidden="1" outlineLevel="1" x14ac:dyDescent="0.25">
      <c r="C70" s="44" t="s">
        <v>197</v>
      </c>
      <c r="D70" s="68" t="s">
        <v>198</v>
      </c>
      <c r="E70" s="32">
        <v>0</v>
      </c>
      <c r="F70" s="32">
        <f t="shared" si="18"/>
        <v>0</v>
      </c>
      <c r="G70" s="31">
        <f t="shared" si="1"/>
        <v>0</v>
      </c>
      <c r="H70" s="49"/>
      <c r="I70" s="31">
        <f t="shared" si="19"/>
        <v>0</v>
      </c>
      <c r="J70" s="31">
        <f t="shared" si="2"/>
        <v>0</v>
      </c>
      <c r="K70" s="49"/>
      <c r="L70" s="31">
        <f t="shared" si="20"/>
        <v>0</v>
      </c>
      <c r="M70" s="31">
        <f t="shared" si="3"/>
        <v>0</v>
      </c>
      <c r="N70" s="49"/>
      <c r="O70" s="31">
        <f t="shared" si="21"/>
        <v>0</v>
      </c>
      <c r="P70" s="31">
        <f t="shared" si="4"/>
        <v>0</v>
      </c>
      <c r="Q70" s="49"/>
    </row>
    <row r="71" spans="1:17" ht="45" hidden="1" outlineLevel="1" x14ac:dyDescent="0.25">
      <c r="B71" s="70" t="s">
        <v>199</v>
      </c>
      <c r="C71" s="44" t="s">
        <v>200</v>
      </c>
      <c r="D71" s="68" t="s">
        <v>201</v>
      </c>
      <c r="E71" s="32">
        <v>0</v>
      </c>
      <c r="F71" s="32">
        <f t="shared" si="18"/>
        <v>0</v>
      </c>
      <c r="G71" s="31">
        <f t="shared" si="1"/>
        <v>0</v>
      </c>
      <c r="H71" s="41"/>
      <c r="I71" s="31">
        <f t="shared" si="19"/>
        <v>0</v>
      </c>
      <c r="J71" s="31">
        <f t="shared" si="2"/>
        <v>0</v>
      </c>
      <c r="K71" s="41"/>
      <c r="L71" s="31">
        <f t="shared" si="20"/>
        <v>0</v>
      </c>
      <c r="M71" s="31">
        <f t="shared" si="3"/>
        <v>0</v>
      </c>
      <c r="N71" s="41"/>
      <c r="O71" s="31">
        <f t="shared" si="21"/>
        <v>0</v>
      </c>
      <c r="P71" s="31">
        <f t="shared" si="4"/>
        <v>0</v>
      </c>
      <c r="Q71" s="41"/>
    </row>
    <row r="72" spans="1:17" ht="30" hidden="1" outlineLevel="1" x14ac:dyDescent="0.25">
      <c r="B72" s="1" t="s">
        <v>202</v>
      </c>
      <c r="C72" s="44" t="s">
        <v>203</v>
      </c>
      <c r="D72" s="68" t="s">
        <v>204</v>
      </c>
      <c r="E72" s="32">
        <v>0</v>
      </c>
      <c r="F72" s="32">
        <f t="shared" si="18"/>
        <v>0</v>
      </c>
      <c r="G72" s="31">
        <f t="shared" ref="G72:G127" si="22">F72-E72</f>
        <v>0</v>
      </c>
      <c r="H72" s="43"/>
      <c r="I72" s="31">
        <f t="shared" si="19"/>
        <v>0</v>
      </c>
      <c r="J72" s="31">
        <f t="shared" si="2"/>
        <v>0</v>
      </c>
      <c r="K72" s="43"/>
      <c r="L72" s="31">
        <f t="shared" si="20"/>
        <v>0</v>
      </c>
      <c r="M72" s="31">
        <f t="shared" si="3"/>
        <v>0</v>
      </c>
      <c r="N72" s="43"/>
      <c r="O72" s="31">
        <f t="shared" si="21"/>
        <v>0</v>
      </c>
      <c r="P72" s="31">
        <f t="shared" si="4"/>
        <v>0</v>
      </c>
      <c r="Q72" s="43"/>
    </row>
    <row r="73" spans="1:17" ht="30" collapsed="1" x14ac:dyDescent="0.25">
      <c r="B73" s="42" t="s">
        <v>205</v>
      </c>
      <c r="C73" s="44" t="s">
        <v>206</v>
      </c>
      <c r="D73" s="68" t="s">
        <v>207</v>
      </c>
      <c r="E73" s="32">
        <v>81714</v>
      </c>
      <c r="F73" s="32">
        <f t="shared" si="18"/>
        <v>81714</v>
      </c>
      <c r="G73" s="31">
        <f t="shared" si="22"/>
        <v>0</v>
      </c>
      <c r="H73" s="71"/>
      <c r="I73" s="31">
        <f t="shared" si="19"/>
        <v>81714</v>
      </c>
      <c r="J73" s="31">
        <f t="shared" ref="J73:J127" si="23">I73-F73</f>
        <v>0</v>
      </c>
      <c r="K73" s="71"/>
      <c r="L73" s="31">
        <f t="shared" si="20"/>
        <v>81714</v>
      </c>
      <c r="M73" s="31">
        <f t="shared" ref="M73:M127" si="24">L73-I73</f>
        <v>0</v>
      </c>
      <c r="N73" s="71"/>
      <c r="O73" s="31">
        <f t="shared" si="21"/>
        <v>81714</v>
      </c>
      <c r="P73" s="31">
        <f t="shared" ref="P73:P127" si="25">O73-L73</f>
        <v>0</v>
      </c>
      <c r="Q73" s="71"/>
    </row>
    <row r="74" spans="1:17" ht="30" x14ac:dyDescent="0.25">
      <c r="B74" s="42"/>
      <c r="C74" s="44" t="s">
        <v>208</v>
      </c>
      <c r="D74" s="68" t="s">
        <v>209</v>
      </c>
      <c r="E74" s="32">
        <v>117147</v>
      </c>
      <c r="F74" s="32">
        <f t="shared" si="18"/>
        <v>117147</v>
      </c>
      <c r="G74" s="31">
        <f t="shared" si="22"/>
        <v>0</v>
      </c>
      <c r="H74" s="71"/>
      <c r="I74" s="31">
        <f t="shared" si="19"/>
        <v>117147</v>
      </c>
      <c r="J74" s="31">
        <f t="shared" si="23"/>
        <v>0</v>
      </c>
      <c r="K74" s="71"/>
      <c r="L74" s="31">
        <f t="shared" si="20"/>
        <v>117147</v>
      </c>
      <c r="M74" s="31">
        <f t="shared" si="24"/>
        <v>0</v>
      </c>
      <c r="N74" s="71"/>
      <c r="O74" s="31">
        <f t="shared" si="21"/>
        <v>117147</v>
      </c>
      <c r="P74" s="31">
        <f t="shared" si="25"/>
        <v>0</v>
      </c>
      <c r="Q74" s="71"/>
    </row>
    <row r="75" spans="1:17" x14ac:dyDescent="0.25">
      <c r="B75" s="42"/>
      <c r="C75" s="44" t="s">
        <v>210</v>
      </c>
      <c r="D75" s="68" t="s">
        <v>211</v>
      </c>
      <c r="E75" s="32">
        <v>291947</v>
      </c>
      <c r="F75" s="32">
        <f t="shared" si="18"/>
        <v>291947</v>
      </c>
      <c r="G75" s="31">
        <f t="shared" si="22"/>
        <v>0</v>
      </c>
      <c r="H75" s="71"/>
      <c r="I75" s="31">
        <f t="shared" si="19"/>
        <v>291947</v>
      </c>
      <c r="J75" s="31">
        <f t="shared" si="23"/>
        <v>0</v>
      </c>
      <c r="K75" s="71"/>
      <c r="L75" s="31">
        <f t="shared" si="20"/>
        <v>291947</v>
      </c>
      <c r="M75" s="31">
        <f t="shared" si="24"/>
        <v>0</v>
      </c>
      <c r="N75" s="71"/>
      <c r="O75" s="31">
        <f t="shared" si="21"/>
        <v>291947</v>
      </c>
      <c r="P75" s="31">
        <f t="shared" si="25"/>
        <v>0</v>
      </c>
      <c r="Q75" s="71"/>
    </row>
    <row r="76" spans="1:17" ht="30" x14ac:dyDescent="0.25">
      <c r="A76" s="1" t="s">
        <v>212</v>
      </c>
      <c r="B76" s="72" t="s">
        <v>213</v>
      </c>
      <c r="C76" s="44" t="s">
        <v>214</v>
      </c>
      <c r="D76" s="68" t="s">
        <v>215</v>
      </c>
      <c r="E76" s="32">
        <v>104321.39</v>
      </c>
      <c r="F76" s="32">
        <f t="shared" si="18"/>
        <v>104321</v>
      </c>
      <c r="G76" s="31">
        <f t="shared" si="22"/>
        <v>-0.38999999999941792</v>
      </c>
      <c r="H76" s="71"/>
      <c r="I76" s="31">
        <f t="shared" si="19"/>
        <v>104321</v>
      </c>
      <c r="J76" s="31">
        <f t="shared" si="23"/>
        <v>0</v>
      </c>
      <c r="K76" s="71"/>
      <c r="L76" s="31">
        <f t="shared" si="20"/>
        <v>104321</v>
      </c>
      <c r="M76" s="31">
        <f t="shared" si="24"/>
        <v>0</v>
      </c>
      <c r="N76" s="71"/>
      <c r="O76" s="31">
        <f t="shared" si="21"/>
        <v>104321</v>
      </c>
      <c r="P76" s="31">
        <f t="shared" si="25"/>
        <v>0</v>
      </c>
      <c r="Q76" s="71"/>
    </row>
    <row r="77" spans="1:17" x14ac:dyDescent="0.25">
      <c r="B77" s="64" t="s">
        <v>5</v>
      </c>
      <c r="C77" s="44" t="s">
        <v>216</v>
      </c>
      <c r="D77" s="73" t="s">
        <v>217</v>
      </c>
      <c r="E77" s="32">
        <v>40898</v>
      </c>
      <c r="F77" s="32">
        <f t="shared" si="18"/>
        <v>40898</v>
      </c>
      <c r="G77" s="31">
        <f t="shared" si="22"/>
        <v>0</v>
      </c>
      <c r="H77" s="71"/>
      <c r="I77" s="31">
        <f t="shared" si="19"/>
        <v>40898</v>
      </c>
      <c r="J77" s="31">
        <f t="shared" si="23"/>
        <v>0</v>
      </c>
      <c r="K77" s="71"/>
      <c r="L77" s="31">
        <f t="shared" si="20"/>
        <v>40898</v>
      </c>
      <c r="M77" s="31">
        <f t="shared" si="24"/>
        <v>0</v>
      </c>
      <c r="N77" s="71"/>
      <c r="O77" s="31">
        <f t="shared" si="21"/>
        <v>40898</v>
      </c>
      <c r="P77" s="31">
        <f t="shared" si="25"/>
        <v>0</v>
      </c>
      <c r="Q77" s="71"/>
    </row>
    <row r="78" spans="1:17" ht="30" hidden="1" outlineLevel="1" x14ac:dyDescent="0.25">
      <c r="B78" s="42"/>
      <c r="C78" s="44" t="s">
        <v>218</v>
      </c>
      <c r="D78" s="68" t="s">
        <v>219</v>
      </c>
      <c r="E78" s="32">
        <v>0</v>
      </c>
      <c r="F78" s="32">
        <f t="shared" si="18"/>
        <v>0</v>
      </c>
      <c r="G78" s="31">
        <f t="shared" si="22"/>
        <v>0</v>
      </c>
      <c r="H78" s="71"/>
      <c r="I78" s="31">
        <f t="shared" si="19"/>
        <v>0</v>
      </c>
      <c r="J78" s="31">
        <f t="shared" si="23"/>
        <v>0</v>
      </c>
      <c r="K78" s="71"/>
      <c r="L78" s="31">
        <f t="shared" si="20"/>
        <v>0</v>
      </c>
      <c r="M78" s="31">
        <f t="shared" si="24"/>
        <v>0</v>
      </c>
      <c r="N78" s="71"/>
      <c r="O78" s="31">
        <f t="shared" si="21"/>
        <v>0</v>
      </c>
      <c r="P78" s="31">
        <f t="shared" si="25"/>
        <v>0</v>
      </c>
      <c r="Q78" s="71"/>
    </row>
    <row r="79" spans="1:17" ht="30" hidden="1" outlineLevel="1" x14ac:dyDescent="0.25">
      <c r="B79" s="42"/>
      <c r="C79" s="44" t="s">
        <v>220</v>
      </c>
      <c r="D79" s="68" t="s">
        <v>221</v>
      </c>
      <c r="E79" s="32">
        <v>0</v>
      </c>
      <c r="F79" s="32">
        <f t="shared" si="18"/>
        <v>0</v>
      </c>
      <c r="G79" s="31">
        <f t="shared" si="22"/>
        <v>0</v>
      </c>
      <c r="H79" s="71"/>
      <c r="I79" s="31">
        <f t="shared" si="19"/>
        <v>0</v>
      </c>
      <c r="J79" s="31">
        <f t="shared" si="23"/>
        <v>0</v>
      </c>
      <c r="K79" s="71"/>
      <c r="L79" s="31">
        <f t="shared" si="20"/>
        <v>0</v>
      </c>
      <c r="M79" s="31">
        <f t="shared" si="24"/>
        <v>0</v>
      </c>
      <c r="N79" s="71"/>
      <c r="O79" s="31">
        <f t="shared" si="21"/>
        <v>0</v>
      </c>
      <c r="P79" s="31">
        <f t="shared" si="25"/>
        <v>0</v>
      </c>
      <c r="Q79" s="71"/>
    </row>
    <row r="80" spans="1:17" collapsed="1" x14ac:dyDescent="0.25">
      <c r="B80" s="74" t="s">
        <v>222</v>
      </c>
      <c r="C80" s="44" t="s">
        <v>223</v>
      </c>
      <c r="D80" s="68" t="s">
        <v>224</v>
      </c>
      <c r="E80" s="32">
        <v>202410</v>
      </c>
      <c r="F80" s="32">
        <f t="shared" si="18"/>
        <v>202410</v>
      </c>
      <c r="G80" s="31">
        <f t="shared" si="22"/>
        <v>0</v>
      </c>
      <c r="H80" s="71"/>
      <c r="I80" s="31">
        <f t="shared" si="19"/>
        <v>202410</v>
      </c>
      <c r="J80" s="31">
        <f t="shared" si="23"/>
        <v>0</v>
      </c>
      <c r="K80" s="71"/>
      <c r="L80" s="31">
        <f t="shared" si="20"/>
        <v>202410</v>
      </c>
      <c r="M80" s="31">
        <f t="shared" si="24"/>
        <v>0</v>
      </c>
      <c r="N80" s="71"/>
      <c r="O80" s="31">
        <f t="shared" si="21"/>
        <v>202410</v>
      </c>
      <c r="P80" s="31">
        <f t="shared" si="25"/>
        <v>0</v>
      </c>
      <c r="Q80" s="71"/>
    </row>
    <row r="81" spans="1:17" ht="30" hidden="1" outlineLevel="1" x14ac:dyDescent="0.25">
      <c r="B81" s="42"/>
      <c r="C81" s="44" t="s">
        <v>225</v>
      </c>
      <c r="D81" s="68" t="s">
        <v>226</v>
      </c>
      <c r="E81" s="32">
        <v>0</v>
      </c>
      <c r="F81" s="32">
        <f t="shared" si="18"/>
        <v>0</v>
      </c>
      <c r="G81" s="31">
        <f t="shared" si="22"/>
        <v>0</v>
      </c>
      <c r="H81" s="71"/>
      <c r="I81" s="31">
        <f t="shared" si="19"/>
        <v>0</v>
      </c>
      <c r="J81" s="31">
        <f t="shared" si="23"/>
        <v>0</v>
      </c>
      <c r="K81" s="71"/>
      <c r="L81" s="31">
        <f t="shared" si="20"/>
        <v>0</v>
      </c>
      <c r="M81" s="31">
        <f t="shared" si="24"/>
        <v>0</v>
      </c>
      <c r="N81" s="71"/>
      <c r="O81" s="31">
        <f t="shared" si="21"/>
        <v>0</v>
      </c>
      <c r="P81" s="31">
        <f t="shared" si="25"/>
        <v>0</v>
      </c>
      <c r="Q81" s="71"/>
    </row>
    <row r="82" spans="1:17" collapsed="1" x14ac:dyDescent="0.25">
      <c r="B82" s="42"/>
      <c r="C82" s="44" t="s">
        <v>227</v>
      </c>
      <c r="D82" s="68" t="s">
        <v>228</v>
      </c>
      <c r="E82" s="32">
        <v>2464</v>
      </c>
      <c r="F82" s="32">
        <f t="shared" si="18"/>
        <v>2464</v>
      </c>
      <c r="G82" s="31">
        <f t="shared" si="22"/>
        <v>0</v>
      </c>
      <c r="H82" s="71"/>
      <c r="I82" s="31">
        <f>ROUND(F82,0)+5000</f>
        <v>7464</v>
      </c>
      <c r="J82" s="31">
        <f t="shared" si="23"/>
        <v>5000</v>
      </c>
      <c r="K82" s="71" t="s">
        <v>229</v>
      </c>
      <c r="L82" s="31">
        <f>ROUND(I82,0)</f>
        <v>7464</v>
      </c>
      <c r="M82" s="31">
        <f t="shared" si="24"/>
        <v>0</v>
      </c>
      <c r="N82" s="71"/>
      <c r="O82" s="31">
        <f>ROUND(L82,0)</f>
        <v>7464</v>
      </c>
      <c r="P82" s="31">
        <f t="shared" si="25"/>
        <v>0</v>
      </c>
      <c r="Q82" s="71"/>
    </row>
    <row r="83" spans="1:17" ht="28.9" hidden="1" customHeight="1" outlineLevel="1" x14ac:dyDescent="0.25">
      <c r="B83" s="42"/>
      <c r="C83" s="44" t="s">
        <v>230</v>
      </c>
      <c r="D83" s="68" t="s">
        <v>231</v>
      </c>
      <c r="E83" s="32">
        <v>0</v>
      </c>
      <c r="F83" s="32">
        <f t="shared" si="18"/>
        <v>0</v>
      </c>
      <c r="G83" s="31">
        <f t="shared" si="22"/>
        <v>0</v>
      </c>
      <c r="H83" s="71"/>
      <c r="I83" s="31">
        <f t="shared" ref="I83:I88" si="26">ROUND(F83,0)</f>
        <v>0</v>
      </c>
      <c r="J83" s="31">
        <f t="shared" si="23"/>
        <v>0</v>
      </c>
      <c r="K83" s="71"/>
      <c r="L83" s="31">
        <f t="shared" ref="L83:L88" si="27">ROUND(I83,0)</f>
        <v>0</v>
      </c>
      <c r="M83" s="31">
        <f t="shared" si="24"/>
        <v>0</v>
      </c>
      <c r="N83" s="71"/>
      <c r="O83" s="31">
        <f t="shared" ref="O83:O88" si="28">ROUND(L83,0)</f>
        <v>0</v>
      </c>
      <c r="P83" s="31">
        <f t="shared" si="25"/>
        <v>0</v>
      </c>
      <c r="Q83" s="71"/>
    </row>
    <row r="84" spans="1:17" hidden="1" outlineLevel="1" x14ac:dyDescent="0.25">
      <c r="B84" s="42"/>
      <c r="C84" s="44" t="s">
        <v>232</v>
      </c>
      <c r="D84" s="68" t="s">
        <v>233</v>
      </c>
      <c r="E84" s="32">
        <v>0</v>
      </c>
      <c r="F84" s="32">
        <f t="shared" si="18"/>
        <v>0</v>
      </c>
      <c r="G84" s="31">
        <f t="shared" si="22"/>
        <v>0</v>
      </c>
      <c r="H84" s="71"/>
      <c r="I84" s="31">
        <f t="shared" si="26"/>
        <v>0</v>
      </c>
      <c r="J84" s="31">
        <f t="shared" si="23"/>
        <v>0</v>
      </c>
      <c r="K84" s="71"/>
      <c r="L84" s="31">
        <f t="shared" si="27"/>
        <v>0</v>
      </c>
      <c r="M84" s="31">
        <f t="shared" si="24"/>
        <v>0</v>
      </c>
      <c r="N84" s="71"/>
      <c r="O84" s="31">
        <f t="shared" si="28"/>
        <v>0</v>
      </c>
      <c r="P84" s="31">
        <f t="shared" si="25"/>
        <v>0</v>
      </c>
      <c r="Q84" s="71"/>
    </row>
    <row r="85" spans="1:17" ht="30" collapsed="1" x14ac:dyDescent="0.25">
      <c r="B85" s="74" t="s">
        <v>222</v>
      </c>
      <c r="C85" s="44" t="s">
        <v>234</v>
      </c>
      <c r="D85" s="68" t="s">
        <v>235</v>
      </c>
      <c r="E85" s="32">
        <v>14100</v>
      </c>
      <c r="F85" s="32">
        <f t="shared" si="18"/>
        <v>14100</v>
      </c>
      <c r="G85" s="31">
        <f t="shared" si="22"/>
        <v>0</v>
      </c>
      <c r="H85" s="71"/>
      <c r="I85" s="31">
        <f t="shared" si="26"/>
        <v>14100</v>
      </c>
      <c r="J85" s="31">
        <f t="shared" si="23"/>
        <v>0</v>
      </c>
      <c r="K85" s="71"/>
      <c r="L85" s="31">
        <f t="shared" si="27"/>
        <v>14100</v>
      </c>
      <c r="M85" s="31">
        <f t="shared" si="24"/>
        <v>0</v>
      </c>
      <c r="N85" s="71"/>
      <c r="O85" s="31">
        <f t="shared" si="28"/>
        <v>14100</v>
      </c>
      <c r="P85" s="31">
        <f t="shared" si="25"/>
        <v>0</v>
      </c>
      <c r="Q85" s="71"/>
    </row>
    <row r="86" spans="1:17" x14ac:dyDescent="0.25">
      <c r="B86" s="42"/>
      <c r="C86" s="44" t="s">
        <v>236</v>
      </c>
      <c r="D86" s="73" t="s">
        <v>237</v>
      </c>
      <c r="E86" s="32">
        <v>382739</v>
      </c>
      <c r="F86" s="32">
        <f t="shared" si="18"/>
        <v>382739</v>
      </c>
      <c r="G86" s="31">
        <f t="shared" si="22"/>
        <v>0</v>
      </c>
      <c r="H86" s="71"/>
      <c r="I86" s="31">
        <f t="shared" si="26"/>
        <v>382739</v>
      </c>
      <c r="J86" s="31">
        <f t="shared" si="23"/>
        <v>0</v>
      </c>
      <c r="K86" s="71"/>
      <c r="L86" s="31">
        <f t="shared" si="27"/>
        <v>382739</v>
      </c>
      <c r="M86" s="31">
        <f t="shared" si="24"/>
        <v>0</v>
      </c>
      <c r="N86" s="71"/>
      <c r="O86" s="75">
        <f t="shared" si="28"/>
        <v>382739</v>
      </c>
      <c r="P86" s="31">
        <f t="shared" si="25"/>
        <v>0</v>
      </c>
      <c r="Q86" s="71"/>
    </row>
    <row r="87" spans="1:17" ht="16.899999999999999" customHeight="1" x14ac:dyDescent="0.25">
      <c r="B87" s="42"/>
      <c r="C87" s="44" t="s">
        <v>238</v>
      </c>
      <c r="D87" s="73" t="s">
        <v>239</v>
      </c>
      <c r="E87" s="32">
        <v>297245</v>
      </c>
      <c r="F87" s="32">
        <f t="shared" si="18"/>
        <v>297245</v>
      </c>
      <c r="G87" s="31">
        <f t="shared" si="22"/>
        <v>0</v>
      </c>
      <c r="H87" s="71"/>
      <c r="I87" s="31">
        <f t="shared" si="26"/>
        <v>297245</v>
      </c>
      <c r="J87" s="31">
        <f t="shared" si="23"/>
        <v>0</v>
      </c>
      <c r="K87" s="71"/>
      <c r="L87" s="31">
        <f t="shared" si="27"/>
        <v>297245</v>
      </c>
      <c r="M87" s="31">
        <f t="shared" si="24"/>
        <v>0</v>
      </c>
      <c r="N87" s="71"/>
      <c r="O87" s="31">
        <f t="shared" si="28"/>
        <v>297245</v>
      </c>
      <c r="P87" s="31">
        <f t="shared" si="25"/>
        <v>0</v>
      </c>
      <c r="Q87" s="71"/>
    </row>
    <row r="88" spans="1:17" hidden="1" outlineLevel="1" x14ac:dyDescent="0.25">
      <c r="B88" s="28" t="s">
        <v>240</v>
      </c>
      <c r="C88" s="29" t="s">
        <v>241</v>
      </c>
      <c r="D88" s="76" t="s">
        <v>242</v>
      </c>
      <c r="E88" s="32">
        <v>0</v>
      </c>
      <c r="F88" s="32">
        <f t="shared" si="18"/>
        <v>0</v>
      </c>
      <c r="G88" s="31">
        <f t="shared" si="22"/>
        <v>0</v>
      </c>
      <c r="H88" s="33"/>
      <c r="I88" s="31">
        <f t="shared" si="26"/>
        <v>0</v>
      </c>
      <c r="J88" s="31">
        <f t="shared" si="23"/>
        <v>0</v>
      </c>
      <c r="K88" s="33"/>
      <c r="L88" s="31">
        <f t="shared" si="27"/>
        <v>0</v>
      </c>
      <c r="M88" s="31">
        <f t="shared" si="24"/>
        <v>0</v>
      </c>
      <c r="N88" s="33"/>
      <c r="O88" s="31">
        <f t="shared" si="28"/>
        <v>0</v>
      </c>
      <c r="P88" s="31">
        <f t="shared" si="25"/>
        <v>0</v>
      </c>
      <c r="Q88" s="33"/>
    </row>
    <row r="89" spans="1:17" collapsed="1" x14ac:dyDescent="0.25">
      <c r="C89" s="51" t="s">
        <v>243</v>
      </c>
      <c r="D89" s="36" t="s">
        <v>244</v>
      </c>
      <c r="E89" s="38">
        <v>295000</v>
      </c>
      <c r="F89" s="38">
        <f>F90+F91</f>
        <v>295000</v>
      </c>
      <c r="G89" s="37">
        <f t="shared" si="22"/>
        <v>0</v>
      </c>
      <c r="H89" s="39"/>
      <c r="I89" s="37">
        <f>I90+I91</f>
        <v>295000</v>
      </c>
      <c r="J89" s="37">
        <f t="shared" si="23"/>
        <v>0</v>
      </c>
      <c r="K89" s="39"/>
      <c r="L89" s="37">
        <f>L90+L91</f>
        <v>295000</v>
      </c>
      <c r="M89" s="37">
        <f t="shared" si="24"/>
        <v>0</v>
      </c>
      <c r="N89" s="39"/>
      <c r="O89" s="37">
        <f>O90+O91</f>
        <v>295000</v>
      </c>
      <c r="P89" s="37">
        <f t="shared" si="25"/>
        <v>0</v>
      </c>
      <c r="Q89" s="39"/>
    </row>
    <row r="90" spans="1:17" ht="27.6" customHeight="1" x14ac:dyDescent="0.25">
      <c r="B90" s="1" t="s">
        <v>245</v>
      </c>
      <c r="C90" s="29" t="s">
        <v>246</v>
      </c>
      <c r="D90" s="30" t="s">
        <v>247</v>
      </c>
      <c r="E90" s="32">
        <v>295000</v>
      </c>
      <c r="F90" s="32">
        <f>ROUND(E90,0)</f>
        <v>295000</v>
      </c>
      <c r="G90" s="31">
        <f t="shared" si="22"/>
        <v>0</v>
      </c>
      <c r="H90" s="49"/>
      <c r="I90" s="31">
        <f>ROUND(F90,0)</f>
        <v>295000</v>
      </c>
      <c r="J90" s="31">
        <f t="shared" si="23"/>
        <v>0</v>
      </c>
      <c r="K90" s="49"/>
      <c r="L90" s="31">
        <f>ROUND(I90,0)</f>
        <v>295000</v>
      </c>
      <c r="M90" s="31">
        <f t="shared" si="24"/>
        <v>0</v>
      </c>
      <c r="N90" s="49"/>
      <c r="O90" s="31">
        <f>ROUND(L90,0)</f>
        <v>295000</v>
      </c>
      <c r="P90" s="31">
        <f t="shared" si="25"/>
        <v>0</v>
      </c>
      <c r="Q90" s="49"/>
    </row>
    <row r="91" spans="1:17" ht="16.149999999999999" customHeight="1" x14ac:dyDescent="0.25">
      <c r="B91" s="1" t="s">
        <v>248</v>
      </c>
      <c r="C91" s="29" t="s">
        <v>249</v>
      </c>
      <c r="D91" s="30" t="s">
        <v>250</v>
      </c>
      <c r="E91" s="32">
        <v>0</v>
      </c>
      <c r="F91" s="32">
        <f>ROUND(E91,0)</f>
        <v>0</v>
      </c>
      <c r="G91" s="31">
        <f t="shared" si="22"/>
        <v>0</v>
      </c>
      <c r="H91" s="33"/>
      <c r="I91" s="31">
        <f>ROUND(F91,0)</f>
        <v>0</v>
      </c>
      <c r="J91" s="31">
        <f t="shared" si="23"/>
        <v>0</v>
      </c>
      <c r="K91" s="33"/>
      <c r="L91" s="31">
        <f>ROUND(I91,0)</f>
        <v>0</v>
      </c>
      <c r="M91" s="31">
        <f t="shared" si="24"/>
        <v>0</v>
      </c>
      <c r="N91" s="33"/>
      <c r="O91" s="31">
        <f>ROUND(L91,0)</f>
        <v>0</v>
      </c>
      <c r="P91" s="31">
        <f t="shared" si="25"/>
        <v>0</v>
      </c>
      <c r="Q91" s="33"/>
    </row>
    <row r="92" spans="1:17" ht="35.450000000000003" customHeight="1" x14ac:dyDescent="0.25">
      <c r="C92" s="51" t="s">
        <v>251</v>
      </c>
      <c r="D92" s="36" t="s">
        <v>252</v>
      </c>
      <c r="E92" s="38">
        <v>4234051</v>
      </c>
      <c r="F92" s="38">
        <f t="shared" ref="F92" si="29">F93+F96+F99+F103+F107</f>
        <v>4234051</v>
      </c>
      <c r="G92" s="37">
        <f t="shared" si="22"/>
        <v>0</v>
      </c>
      <c r="H92" s="39"/>
      <c r="I92" s="37">
        <f>I93+I96+I99+I103+I107</f>
        <v>4234051</v>
      </c>
      <c r="J92" s="37">
        <f t="shared" si="23"/>
        <v>0</v>
      </c>
      <c r="K92" s="39"/>
      <c r="L92" s="37">
        <f>L93+L96+L99+L103+L107</f>
        <v>3970551</v>
      </c>
      <c r="M92" s="37">
        <f t="shared" si="24"/>
        <v>-263500</v>
      </c>
      <c r="N92" s="39"/>
      <c r="O92" s="37">
        <f>O93+O96+O99+O103+O107</f>
        <v>3970551</v>
      </c>
      <c r="P92" s="37">
        <f t="shared" si="25"/>
        <v>0</v>
      </c>
      <c r="Q92" s="39"/>
    </row>
    <row r="93" spans="1:17" x14ac:dyDescent="0.25">
      <c r="A93" s="1" t="s">
        <v>21</v>
      </c>
      <c r="B93" s="1" t="s">
        <v>253</v>
      </c>
      <c r="C93" s="29" t="s">
        <v>254</v>
      </c>
      <c r="D93" s="30" t="s">
        <v>255</v>
      </c>
      <c r="E93" s="32">
        <v>149000</v>
      </c>
      <c r="F93" s="32">
        <f>SUM(F94:F95)</f>
        <v>149000</v>
      </c>
      <c r="G93" s="31">
        <f t="shared" si="22"/>
        <v>0</v>
      </c>
      <c r="H93" s="33"/>
      <c r="I93" s="31">
        <f>SUM(I94:I95)</f>
        <v>149000</v>
      </c>
      <c r="J93" s="31">
        <f t="shared" si="23"/>
        <v>0</v>
      </c>
      <c r="K93" s="33"/>
      <c r="L93" s="31">
        <f>SUM(L94:L95)</f>
        <v>149000</v>
      </c>
      <c r="M93" s="31">
        <f t="shared" si="24"/>
        <v>0</v>
      </c>
      <c r="N93" s="33"/>
      <c r="O93" s="31">
        <f>SUM(O94:O95)</f>
        <v>149000</v>
      </c>
      <c r="P93" s="31">
        <f t="shared" si="25"/>
        <v>0</v>
      </c>
      <c r="Q93" s="33"/>
    </row>
    <row r="94" spans="1:17" ht="14.25" customHeight="1" x14ac:dyDescent="0.25">
      <c r="B94" s="1" t="s">
        <v>256</v>
      </c>
      <c r="C94" s="77" t="s">
        <v>257</v>
      </c>
      <c r="D94" s="78" t="s">
        <v>258</v>
      </c>
      <c r="E94" s="32">
        <v>24000</v>
      </c>
      <c r="F94" s="32">
        <f>ROUND(E94,0)</f>
        <v>24000</v>
      </c>
      <c r="G94" s="31">
        <f t="shared" si="22"/>
        <v>0</v>
      </c>
      <c r="H94" s="40"/>
      <c r="I94" s="31">
        <f>ROUND(F94,0)</f>
        <v>24000</v>
      </c>
      <c r="J94" s="31">
        <f t="shared" si="23"/>
        <v>0</v>
      </c>
      <c r="K94" s="40"/>
      <c r="L94" s="31">
        <f>ROUND(I94,0)</f>
        <v>24000</v>
      </c>
      <c r="M94" s="31">
        <f t="shared" si="24"/>
        <v>0</v>
      </c>
      <c r="N94" s="40"/>
      <c r="O94" s="31">
        <f>ROUND(L94,0)</f>
        <v>24000</v>
      </c>
      <c r="P94" s="31">
        <f t="shared" si="25"/>
        <v>0</v>
      </c>
      <c r="Q94" s="40"/>
    </row>
    <row r="95" spans="1:17" ht="15.6" customHeight="1" x14ac:dyDescent="0.25">
      <c r="B95" s="1" t="s">
        <v>259</v>
      </c>
      <c r="C95" s="77" t="s">
        <v>260</v>
      </c>
      <c r="D95" s="78" t="s">
        <v>261</v>
      </c>
      <c r="E95" s="32">
        <v>125000</v>
      </c>
      <c r="F95" s="32">
        <f>ROUND(E95,0)</f>
        <v>125000</v>
      </c>
      <c r="G95" s="31">
        <f t="shared" si="22"/>
        <v>0</v>
      </c>
      <c r="H95" s="40"/>
      <c r="I95" s="31">
        <f>ROUND(F95,0)</f>
        <v>125000</v>
      </c>
      <c r="J95" s="31">
        <f t="shared" si="23"/>
        <v>0</v>
      </c>
      <c r="K95" s="40"/>
      <c r="L95" s="31">
        <f>ROUND(I95,0)</f>
        <v>125000</v>
      </c>
      <c r="M95" s="31">
        <f t="shared" si="24"/>
        <v>0</v>
      </c>
      <c r="N95" s="40"/>
      <c r="O95" s="31">
        <f>ROUND(L95,0)</f>
        <v>125000</v>
      </c>
      <c r="P95" s="31">
        <f t="shared" si="25"/>
        <v>0</v>
      </c>
      <c r="Q95" s="40"/>
    </row>
    <row r="96" spans="1:17" ht="13.9" customHeight="1" x14ac:dyDescent="0.25">
      <c r="C96" s="29" t="s">
        <v>262</v>
      </c>
      <c r="D96" s="30" t="s">
        <v>263</v>
      </c>
      <c r="E96" s="32">
        <v>0</v>
      </c>
      <c r="F96" s="32">
        <f>F97+F98</f>
        <v>0</v>
      </c>
      <c r="G96" s="31">
        <f t="shared" si="22"/>
        <v>0</v>
      </c>
      <c r="H96" s="79"/>
      <c r="I96" s="31">
        <f>I97+I98</f>
        <v>0</v>
      </c>
      <c r="J96" s="31">
        <f t="shared" si="23"/>
        <v>0</v>
      </c>
      <c r="K96" s="79"/>
      <c r="L96" s="31">
        <f>L97+L98</f>
        <v>0</v>
      </c>
      <c r="M96" s="31">
        <f t="shared" si="24"/>
        <v>0</v>
      </c>
      <c r="N96" s="79"/>
      <c r="O96" s="31">
        <f>O97+O98</f>
        <v>0</v>
      </c>
      <c r="P96" s="31">
        <f t="shared" si="25"/>
        <v>0</v>
      </c>
      <c r="Q96" s="79"/>
    </row>
    <row r="97" spans="1:17" x14ac:dyDescent="0.25">
      <c r="C97" s="77" t="s">
        <v>264</v>
      </c>
      <c r="D97" s="78" t="s">
        <v>265</v>
      </c>
      <c r="E97" s="32">
        <v>0</v>
      </c>
      <c r="F97" s="32"/>
      <c r="G97" s="31">
        <f t="shared" si="22"/>
        <v>0</v>
      </c>
      <c r="H97" s="40"/>
      <c r="I97" s="31"/>
      <c r="J97" s="31">
        <f t="shared" si="23"/>
        <v>0</v>
      </c>
      <c r="K97" s="40"/>
      <c r="L97" s="31"/>
      <c r="M97" s="31">
        <f t="shared" si="24"/>
        <v>0</v>
      </c>
      <c r="N97" s="40"/>
      <c r="O97" s="31"/>
      <c r="P97" s="31">
        <f t="shared" si="25"/>
        <v>0</v>
      </c>
      <c r="Q97" s="40"/>
    </row>
    <row r="98" spans="1:17" ht="30" customHeight="1" x14ac:dyDescent="0.25">
      <c r="B98" s="64" t="s">
        <v>266</v>
      </c>
      <c r="C98" s="77" t="s">
        <v>267</v>
      </c>
      <c r="D98" s="68" t="s">
        <v>268</v>
      </c>
      <c r="E98" s="32">
        <v>0</v>
      </c>
      <c r="F98" s="32">
        <f>ROUND(E98,0)</f>
        <v>0</v>
      </c>
      <c r="G98" s="31">
        <f t="shared" si="22"/>
        <v>0</v>
      </c>
      <c r="H98" s="40"/>
      <c r="I98" s="31">
        <f>ROUND(F98,0)</f>
        <v>0</v>
      </c>
      <c r="J98" s="31">
        <f t="shared" si="23"/>
        <v>0</v>
      </c>
      <c r="K98" s="40"/>
      <c r="L98" s="31">
        <f>ROUND(I98,0)</f>
        <v>0</v>
      </c>
      <c r="M98" s="31">
        <f t="shared" si="24"/>
        <v>0</v>
      </c>
      <c r="N98" s="40"/>
      <c r="O98" s="31">
        <f>ROUND(L98,0)</f>
        <v>0</v>
      </c>
      <c r="P98" s="31">
        <f t="shared" si="25"/>
        <v>0</v>
      </c>
      <c r="Q98" s="40"/>
    </row>
    <row r="99" spans="1:17" x14ac:dyDescent="0.25">
      <c r="A99" s="1" t="s">
        <v>21</v>
      </c>
      <c r="B99" s="1" t="s">
        <v>269</v>
      </c>
      <c r="C99" s="29" t="s">
        <v>270</v>
      </c>
      <c r="D99" s="30" t="s">
        <v>271</v>
      </c>
      <c r="E99" s="32">
        <v>157000</v>
      </c>
      <c r="F99" s="32">
        <f>SUM(F100:F102)</f>
        <v>157000</v>
      </c>
      <c r="G99" s="31">
        <f t="shared" si="22"/>
        <v>0</v>
      </c>
      <c r="H99" s="33"/>
      <c r="I99" s="31">
        <f>SUM(I100:I102)</f>
        <v>157000</v>
      </c>
      <c r="J99" s="31">
        <f t="shared" si="23"/>
        <v>0</v>
      </c>
      <c r="K99" s="33"/>
      <c r="L99" s="31">
        <f>SUM(L100:L102)</f>
        <v>157000</v>
      </c>
      <c r="M99" s="31">
        <f t="shared" si="24"/>
        <v>0</v>
      </c>
      <c r="N99" s="33"/>
      <c r="O99" s="31">
        <f>SUM(O100:O102)</f>
        <v>157000</v>
      </c>
      <c r="P99" s="31">
        <f t="shared" si="25"/>
        <v>0</v>
      </c>
      <c r="Q99" s="33"/>
    </row>
    <row r="100" spans="1:17" ht="15.75" customHeight="1" x14ac:dyDescent="0.25">
      <c r="B100" s="1" t="s">
        <v>272</v>
      </c>
      <c r="C100" s="77" t="s">
        <v>273</v>
      </c>
      <c r="D100" s="78" t="s">
        <v>274</v>
      </c>
      <c r="E100" s="32">
        <v>120000</v>
      </c>
      <c r="F100" s="32">
        <f>ROUND(E100,0)</f>
        <v>120000</v>
      </c>
      <c r="G100" s="31">
        <f t="shared" si="22"/>
        <v>0</v>
      </c>
      <c r="H100" s="49"/>
      <c r="I100" s="31">
        <f>ROUND(F100,0)</f>
        <v>120000</v>
      </c>
      <c r="J100" s="31">
        <f t="shared" si="23"/>
        <v>0</v>
      </c>
      <c r="K100" s="49"/>
      <c r="L100" s="31">
        <f>ROUND(I100,0)</f>
        <v>120000</v>
      </c>
      <c r="M100" s="31">
        <f t="shared" si="24"/>
        <v>0</v>
      </c>
      <c r="N100" s="49"/>
      <c r="O100" s="31">
        <f>ROUND(L100,0)</f>
        <v>120000</v>
      </c>
      <c r="P100" s="31">
        <f t="shared" si="25"/>
        <v>0</v>
      </c>
      <c r="Q100" s="49"/>
    </row>
    <row r="101" spans="1:17" x14ac:dyDescent="0.25">
      <c r="B101" s="1" t="s">
        <v>275</v>
      </c>
      <c r="C101" s="77" t="s">
        <v>276</v>
      </c>
      <c r="D101" s="78" t="s">
        <v>277</v>
      </c>
      <c r="E101" s="32">
        <v>36000</v>
      </c>
      <c r="F101" s="32">
        <f>ROUND(E101,0)</f>
        <v>36000</v>
      </c>
      <c r="G101" s="31">
        <f t="shared" si="22"/>
        <v>0</v>
      </c>
      <c r="H101" s="33"/>
      <c r="I101" s="31">
        <f>ROUND(F101,0)</f>
        <v>36000</v>
      </c>
      <c r="J101" s="31">
        <f t="shared" si="23"/>
        <v>0</v>
      </c>
      <c r="K101" s="33"/>
      <c r="L101" s="31">
        <f>ROUND(I101,0)</f>
        <v>36000</v>
      </c>
      <c r="M101" s="31">
        <f t="shared" si="24"/>
        <v>0</v>
      </c>
      <c r="N101" s="33"/>
      <c r="O101" s="31">
        <f>ROUND(L101,0)</f>
        <v>36000</v>
      </c>
      <c r="P101" s="31">
        <f t="shared" si="25"/>
        <v>0</v>
      </c>
      <c r="Q101" s="33"/>
    </row>
    <row r="102" spans="1:17" x14ac:dyDescent="0.25">
      <c r="C102" s="77" t="s">
        <v>278</v>
      </c>
      <c r="D102" s="68" t="s">
        <v>279</v>
      </c>
      <c r="E102" s="32">
        <v>1000</v>
      </c>
      <c r="F102" s="32">
        <f>ROUND(E102,0)</f>
        <v>1000</v>
      </c>
      <c r="G102" s="31">
        <f t="shared" si="22"/>
        <v>0</v>
      </c>
      <c r="H102" s="33"/>
      <c r="I102" s="31">
        <f>ROUND(F102,0)</f>
        <v>1000</v>
      </c>
      <c r="J102" s="31">
        <f t="shared" si="23"/>
        <v>0</v>
      </c>
      <c r="K102" s="33"/>
      <c r="L102" s="31">
        <f>ROUND(I102,0)</f>
        <v>1000</v>
      </c>
      <c r="M102" s="31">
        <f t="shared" si="24"/>
        <v>0</v>
      </c>
      <c r="N102" s="33"/>
      <c r="O102" s="31">
        <f>ROUND(L102,0)</f>
        <v>1000</v>
      </c>
      <c r="P102" s="31">
        <f t="shared" si="25"/>
        <v>0</v>
      </c>
      <c r="Q102" s="33"/>
    </row>
    <row r="103" spans="1:17" ht="25.15" customHeight="1" x14ac:dyDescent="0.25">
      <c r="A103" s="1" t="s">
        <v>21</v>
      </c>
      <c r="B103" s="1" t="s">
        <v>280</v>
      </c>
      <c r="C103" s="29" t="s">
        <v>281</v>
      </c>
      <c r="D103" s="30" t="s">
        <v>282</v>
      </c>
      <c r="E103" s="32">
        <v>3826051</v>
      </c>
      <c r="F103" s="32">
        <f t="shared" ref="F103" si="30">SUM(F104:F106)</f>
        <v>3826051</v>
      </c>
      <c r="G103" s="31">
        <f t="shared" si="22"/>
        <v>0</v>
      </c>
      <c r="H103" s="49"/>
      <c r="I103" s="31">
        <f>SUM(I104:I106)</f>
        <v>3826051</v>
      </c>
      <c r="J103" s="31">
        <f t="shared" si="23"/>
        <v>0</v>
      </c>
      <c r="K103" s="49"/>
      <c r="L103" s="31">
        <f>SUM(L104:L106)</f>
        <v>3562551</v>
      </c>
      <c r="M103" s="31">
        <f t="shared" si="24"/>
        <v>-263500</v>
      </c>
      <c r="N103" s="49"/>
      <c r="O103" s="31">
        <f>SUM(O104:O106)</f>
        <v>3562551</v>
      </c>
      <c r="P103" s="31">
        <f t="shared" si="25"/>
        <v>0</v>
      </c>
      <c r="Q103" s="49"/>
    </row>
    <row r="104" spans="1:17" ht="16.5" customHeight="1" x14ac:dyDescent="0.25">
      <c r="A104" s="64" t="s">
        <v>283</v>
      </c>
      <c r="C104" s="77" t="s">
        <v>284</v>
      </c>
      <c r="D104" s="78" t="s">
        <v>282</v>
      </c>
      <c r="E104" s="32">
        <v>110000</v>
      </c>
      <c r="F104" s="32">
        <f>ROUND(E104,0)</f>
        <v>110000</v>
      </c>
      <c r="G104" s="31">
        <f t="shared" si="22"/>
        <v>0</v>
      </c>
      <c r="H104" s="33"/>
      <c r="I104" s="31">
        <f>ROUND(F104,0)</f>
        <v>110000</v>
      </c>
      <c r="J104" s="31">
        <f t="shared" si="23"/>
        <v>0</v>
      </c>
      <c r="K104" s="33"/>
      <c r="L104" s="31">
        <f>ROUND(I104,0)</f>
        <v>110000</v>
      </c>
      <c r="M104" s="31">
        <f t="shared" si="24"/>
        <v>0</v>
      </c>
      <c r="N104" s="33"/>
      <c r="O104" s="31">
        <f>ROUND(L104,0)</f>
        <v>110000</v>
      </c>
      <c r="P104" s="31">
        <f t="shared" si="25"/>
        <v>0</v>
      </c>
      <c r="Q104" s="33"/>
    </row>
    <row r="105" spans="1:17" ht="16.5" customHeight="1" x14ac:dyDescent="0.25">
      <c r="C105" s="77" t="s">
        <v>285</v>
      </c>
      <c r="D105" s="78" t="s">
        <v>286</v>
      </c>
      <c r="E105" s="32">
        <v>2500</v>
      </c>
      <c r="F105" s="32">
        <f>ROUND(E105,0)</f>
        <v>2500</v>
      </c>
      <c r="G105" s="31">
        <f t="shared" si="22"/>
        <v>0</v>
      </c>
      <c r="H105" s="33"/>
      <c r="I105" s="31">
        <f>ROUND(F105,0)</f>
        <v>2500</v>
      </c>
      <c r="J105" s="31">
        <f t="shared" si="23"/>
        <v>0</v>
      </c>
      <c r="K105" s="33"/>
      <c r="L105" s="31">
        <f>ROUND(I105,0)</f>
        <v>2500</v>
      </c>
      <c r="M105" s="31">
        <f t="shared" si="24"/>
        <v>0</v>
      </c>
      <c r="N105" s="33"/>
      <c r="O105" s="31">
        <f>ROUND(L105,0)</f>
        <v>2500</v>
      </c>
      <c r="P105" s="31">
        <f t="shared" si="25"/>
        <v>0</v>
      </c>
      <c r="Q105" s="33"/>
    </row>
    <row r="106" spans="1:17" ht="28.9" customHeight="1" x14ac:dyDescent="0.25">
      <c r="C106" s="77" t="s">
        <v>287</v>
      </c>
      <c r="D106" s="78" t="s">
        <v>288</v>
      </c>
      <c r="E106" s="32">
        <v>3713551</v>
      </c>
      <c r="F106" s="32">
        <f>ROUND(E106,0)</f>
        <v>3713551</v>
      </c>
      <c r="G106" s="31">
        <f t="shared" si="22"/>
        <v>0</v>
      </c>
      <c r="H106" s="33"/>
      <c r="I106" s="31">
        <f>ROUND(F106,0)</f>
        <v>3713551</v>
      </c>
      <c r="J106" s="31">
        <f t="shared" si="23"/>
        <v>0</v>
      </c>
      <c r="K106" s="33"/>
      <c r="L106" s="31">
        <f>ROUND(I106,0)-263500</f>
        <v>3450051</v>
      </c>
      <c r="M106" s="31">
        <f t="shared" si="24"/>
        <v>-263500</v>
      </c>
      <c r="N106" s="49" t="s">
        <v>182</v>
      </c>
      <c r="O106" s="31">
        <f>ROUND(L106,0)</f>
        <v>3450051</v>
      </c>
      <c r="P106" s="31">
        <f t="shared" si="25"/>
        <v>0</v>
      </c>
      <c r="Q106" s="49"/>
    </row>
    <row r="107" spans="1:17" ht="18" customHeight="1" thickBot="1" x14ac:dyDescent="0.3">
      <c r="A107" s="1" t="s">
        <v>21</v>
      </c>
      <c r="B107" s="42" t="s">
        <v>289</v>
      </c>
      <c r="C107" s="29" t="s">
        <v>290</v>
      </c>
      <c r="D107" s="30" t="s">
        <v>291</v>
      </c>
      <c r="E107" s="32">
        <v>102000</v>
      </c>
      <c r="F107" s="32">
        <f>ROUND(E107,0)</f>
        <v>102000</v>
      </c>
      <c r="G107" s="31">
        <f t="shared" si="22"/>
        <v>0</v>
      </c>
      <c r="H107" s="33"/>
      <c r="I107" s="31">
        <f>ROUND(F107,0)</f>
        <v>102000</v>
      </c>
      <c r="J107" s="31">
        <f t="shared" si="23"/>
        <v>0</v>
      </c>
      <c r="K107" s="33"/>
      <c r="L107" s="31">
        <f>ROUND(I107,0)</f>
        <v>102000</v>
      </c>
      <c r="M107" s="31">
        <f t="shared" si="24"/>
        <v>0</v>
      </c>
      <c r="N107" s="33"/>
      <c r="O107" s="31">
        <f>ROUND(L107,0)</f>
        <v>102000</v>
      </c>
      <c r="P107" s="31">
        <f t="shared" si="25"/>
        <v>0</v>
      </c>
      <c r="Q107" s="33"/>
    </row>
    <row r="108" spans="1:17" ht="15" customHeight="1" thickBot="1" x14ac:dyDescent="0.3">
      <c r="C108" s="81"/>
      <c r="D108" s="82" t="s">
        <v>292</v>
      </c>
      <c r="E108" s="84">
        <v>46153371.490000002</v>
      </c>
      <c r="F108" s="84">
        <f t="shared" ref="F108" si="31">F7+F11+F14+F17+F20+F23+F36+F39+F43+F44+F89+F92</f>
        <v>46211727</v>
      </c>
      <c r="G108" s="83">
        <f t="shared" si="22"/>
        <v>58355.509999997914</v>
      </c>
      <c r="H108" s="85"/>
      <c r="I108" s="83">
        <f>I7+I11+I14+I17+I20+I23+I36+I39+I43+I44+I89+I92</f>
        <v>46579708</v>
      </c>
      <c r="J108" s="83">
        <f t="shared" si="23"/>
        <v>367981</v>
      </c>
      <c r="K108" s="85"/>
      <c r="L108" s="83">
        <f>L7+L11+L14+L17+L20+L23+L36+L39+L43+L44+L89+L92</f>
        <v>46656159</v>
      </c>
      <c r="M108" s="83">
        <f t="shared" si="24"/>
        <v>76451</v>
      </c>
      <c r="N108" s="85"/>
      <c r="O108" s="83">
        <f>O7+O11+O14+O17+O20+O23+O36+O39+O43+O44+O89+O92</f>
        <v>46706159</v>
      </c>
      <c r="P108" s="83">
        <f t="shared" si="25"/>
        <v>50000</v>
      </c>
      <c r="Q108" s="85"/>
    </row>
    <row r="109" spans="1:17" ht="15.75" thickBot="1" x14ac:dyDescent="0.3">
      <c r="C109" s="86" t="s">
        <v>293</v>
      </c>
      <c r="D109" s="87" t="s">
        <v>294</v>
      </c>
      <c r="E109" s="89">
        <v>7741521.0000000009</v>
      </c>
      <c r="F109" s="89">
        <f>SUM(F110:F111)</f>
        <v>7741521</v>
      </c>
      <c r="G109" s="88">
        <f t="shared" si="22"/>
        <v>0</v>
      </c>
      <c r="H109" s="90"/>
      <c r="I109" s="88">
        <f>SUM(I110:I111)</f>
        <v>7741521</v>
      </c>
      <c r="J109" s="88">
        <f t="shared" si="23"/>
        <v>0</v>
      </c>
      <c r="K109" s="90"/>
      <c r="L109" s="88">
        <f>SUM(L110:L111)</f>
        <v>7741521</v>
      </c>
      <c r="M109" s="88">
        <f t="shared" si="24"/>
        <v>0</v>
      </c>
      <c r="N109" s="90"/>
      <c r="O109" s="88">
        <f>SUM(O110:O111)</f>
        <v>7741521</v>
      </c>
      <c r="P109" s="88">
        <f t="shared" si="25"/>
        <v>0</v>
      </c>
      <c r="Q109" s="90"/>
    </row>
    <row r="110" spans="1:17" ht="17.25" customHeight="1" x14ac:dyDescent="0.25">
      <c r="C110" s="29" t="s">
        <v>295</v>
      </c>
      <c r="D110" s="30" t="s">
        <v>296</v>
      </c>
      <c r="E110" s="32">
        <v>1454963.94</v>
      </c>
      <c r="F110" s="32">
        <f>ROUND(E110,0)</f>
        <v>1454964</v>
      </c>
      <c r="G110" s="31">
        <f t="shared" si="22"/>
        <v>6.0000000055879354E-2</v>
      </c>
      <c r="H110" s="49"/>
      <c r="I110" s="31">
        <f>ROUND(F110,0)</f>
        <v>1454964</v>
      </c>
      <c r="J110" s="31">
        <f t="shared" si="23"/>
        <v>0</v>
      </c>
      <c r="K110" s="49"/>
      <c r="L110" s="31">
        <f>ROUND(I110,0)</f>
        <v>1454964</v>
      </c>
      <c r="M110" s="31">
        <f t="shared" si="24"/>
        <v>0</v>
      </c>
      <c r="N110" s="49"/>
      <c r="O110" s="31">
        <f>ROUND(L110,0)</f>
        <v>1454964</v>
      </c>
      <c r="P110" s="31">
        <f t="shared" si="25"/>
        <v>0</v>
      </c>
      <c r="Q110" s="49"/>
    </row>
    <row r="111" spans="1:17" x14ac:dyDescent="0.25">
      <c r="C111" s="29" t="s">
        <v>297</v>
      </c>
      <c r="D111" s="30" t="s">
        <v>298</v>
      </c>
      <c r="E111" s="32">
        <v>6286556.8600000013</v>
      </c>
      <c r="F111" s="32">
        <f>ROUND(E111,0)</f>
        <v>6286557</v>
      </c>
      <c r="G111" s="31">
        <f t="shared" si="22"/>
        <v>0.1399999987334013</v>
      </c>
      <c r="H111" s="33"/>
      <c r="I111" s="31">
        <f>ROUND(F111,0)</f>
        <v>6286557</v>
      </c>
      <c r="J111" s="31">
        <f t="shared" si="23"/>
        <v>0</v>
      </c>
      <c r="K111" s="33"/>
      <c r="L111" s="31">
        <f>ROUND(I111,0)</f>
        <v>6286557</v>
      </c>
      <c r="M111" s="31">
        <f t="shared" si="24"/>
        <v>0</v>
      </c>
      <c r="N111" s="33"/>
      <c r="O111" s="31">
        <f>ROUND(L111,0)</f>
        <v>6286557</v>
      </c>
      <c r="P111" s="31">
        <f t="shared" si="25"/>
        <v>0</v>
      </c>
      <c r="Q111" s="33"/>
    </row>
    <row r="112" spans="1:17" x14ac:dyDescent="0.25">
      <c r="C112" s="51" t="s">
        <v>299</v>
      </c>
      <c r="D112" s="91" t="s">
        <v>300</v>
      </c>
      <c r="E112" s="93">
        <v>4267403.7422000002</v>
      </c>
      <c r="F112" s="93">
        <f>SUM(F113:F125)</f>
        <v>4267404</v>
      </c>
      <c r="G112" s="37">
        <f t="shared" si="22"/>
        <v>0.25779999978840351</v>
      </c>
      <c r="H112" s="39"/>
      <c r="I112" s="92">
        <f>SUM(I113:I125)</f>
        <v>4393404</v>
      </c>
      <c r="J112" s="37">
        <f t="shared" si="23"/>
        <v>126000</v>
      </c>
      <c r="K112" s="39"/>
      <c r="L112" s="92">
        <f>SUM(L113:L125)</f>
        <v>4477904</v>
      </c>
      <c r="M112" s="37">
        <f t="shared" si="24"/>
        <v>84500</v>
      </c>
      <c r="N112" s="39"/>
      <c r="O112" s="92">
        <f>SUM(O113:O126)</f>
        <v>4545904</v>
      </c>
      <c r="P112" s="37">
        <f t="shared" si="25"/>
        <v>68000</v>
      </c>
      <c r="Q112" s="39"/>
    </row>
    <row r="113" spans="1:17" ht="30" x14ac:dyDescent="0.25">
      <c r="A113" s="64"/>
      <c r="B113" s="64"/>
      <c r="C113" s="77" t="s">
        <v>301</v>
      </c>
      <c r="D113" s="94" t="s">
        <v>231</v>
      </c>
      <c r="E113" s="32">
        <v>59922</v>
      </c>
      <c r="F113" s="32">
        <f t="shared" ref="F113:F124" si="32">ROUND(E113,0)</f>
        <v>59922</v>
      </c>
      <c r="G113" s="96">
        <f t="shared" si="22"/>
        <v>0</v>
      </c>
      <c r="H113" s="43"/>
      <c r="I113" s="31">
        <f t="shared" ref="I113:I124" si="33">ROUND(F113,0)</f>
        <v>59922</v>
      </c>
      <c r="J113" s="96">
        <f t="shared" si="23"/>
        <v>0</v>
      </c>
      <c r="K113" s="43"/>
      <c r="L113" s="31">
        <f t="shared" ref="L113:L124" si="34">ROUND(I113,0)</f>
        <v>59922</v>
      </c>
      <c r="M113" s="96">
        <f t="shared" si="24"/>
        <v>0</v>
      </c>
      <c r="N113" s="43"/>
      <c r="O113" s="31">
        <f t="shared" ref="O113:O122" si="35">ROUND(L113,0)</f>
        <v>59922</v>
      </c>
      <c r="P113" s="96">
        <f t="shared" si="25"/>
        <v>0</v>
      </c>
      <c r="Q113" s="43"/>
    </row>
    <row r="114" spans="1:17" x14ac:dyDescent="0.25">
      <c r="A114" s="64"/>
      <c r="B114" s="64"/>
      <c r="C114" s="77" t="s">
        <v>302</v>
      </c>
      <c r="D114" s="94" t="s">
        <v>233</v>
      </c>
      <c r="E114" s="32">
        <v>207089</v>
      </c>
      <c r="F114" s="32">
        <f t="shared" si="32"/>
        <v>207089</v>
      </c>
      <c r="G114" s="96">
        <f t="shared" si="22"/>
        <v>0</v>
      </c>
      <c r="H114" s="43"/>
      <c r="I114" s="31">
        <f t="shared" si="33"/>
        <v>207089</v>
      </c>
      <c r="J114" s="96">
        <f t="shared" si="23"/>
        <v>0</v>
      </c>
      <c r="K114" s="43"/>
      <c r="L114" s="31">
        <f t="shared" si="34"/>
        <v>207089</v>
      </c>
      <c r="M114" s="96">
        <f t="shared" si="24"/>
        <v>0</v>
      </c>
      <c r="N114" s="43"/>
      <c r="O114" s="31">
        <f t="shared" si="35"/>
        <v>207089</v>
      </c>
      <c r="P114" s="96">
        <f t="shared" si="25"/>
        <v>0</v>
      </c>
      <c r="Q114" s="43"/>
    </row>
    <row r="115" spans="1:17" ht="44.45" customHeight="1" x14ac:dyDescent="0.25">
      <c r="A115" s="64"/>
      <c r="B115" s="64"/>
      <c r="C115" s="77" t="s">
        <v>303</v>
      </c>
      <c r="D115" s="97" t="s">
        <v>304</v>
      </c>
      <c r="E115" s="32">
        <v>320141.35220000002</v>
      </c>
      <c r="F115" s="32">
        <f t="shared" si="32"/>
        <v>320141</v>
      </c>
      <c r="G115" s="96">
        <f t="shared" si="22"/>
        <v>-0.35220000002300367</v>
      </c>
      <c r="H115" s="43"/>
      <c r="I115" s="31">
        <f t="shared" si="33"/>
        <v>320141</v>
      </c>
      <c r="J115" s="96">
        <f t="shared" si="23"/>
        <v>0</v>
      </c>
      <c r="K115" s="43"/>
      <c r="L115" s="31">
        <f t="shared" si="34"/>
        <v>320141</v>
      </c>
      <c r="M115" s="96">
        <f t="shared" si="24"/>
        <v>0</v>
      </c>
      <c r="N115" s="43"/>
      <c r="O115" s="31">
        <f t="shared" si="35"/>
        <v>320141</v>
      </c>
      <c r="P115" s="96">
        <f t="shared" si="25"/>
        <v>0</v>
      </c>
      <c r="Q115" s="43"/>
    </row>
    <row r="116" spans="1:17" ht="30" x14ac:dyDescent="0.25">
      <c r="A116" s="64" t="s">
        <v>193</v>
      </c>
      <c r="B116" s="64" t="s">
        <v>305</v>
      </c>
      <c r="C116" s="77" t="s">
        <v>306</v>
      </c>
      <c r="D116" s="97" t="s">
        <v>307</v>
      </c>
      <c r="E116" s="32">
        <v>624704.49</v>
      </c>
      <c r="F116" s="32">
        <f t="shared" si="32"/>
        <v>624704</v>
      </c>
      <c r="G116" s="96">
        <f t="shared" si="22"/>
        <v>-0.48999999999068677</v>
      </c>
      <c r="H116" s="41"/>
      <c r="I116" s="31">
        <f t="shared" si="33"/>
        <v>624704</v>
      </c>
      <c r="J116" s="96">
        <f t="shared" si="23"/>
        <v>0</v>
      </c>
      <c r="K116" s="41"/>
      <c r="L116" s="31">
        <f t="shared" si="34"/>
        <v>624704</v>
      </c>
      <c r="M116" s="96">
        <f t="shared" si="24"/>
        <v>0</v>
      </c>
      <c r="N116" s="41"/>
      <c r="O116" s="31">
        <f t="shared" si="35"/>
        <v>624704</v>
      </c>
      <c r="P116" s="96">
        <f t="shared" si="25"/>
        <v>0</v>
      </c>
      <c r="Q116" s="41"/>
    </row>
    <row r="117" spans="1:17" ht="30" customHeight="1" x14ac:dyDescent="0.25">
      <c r="A117" s="64"/>
      <c r="B117" s="64"/>
      <c r="C117" s="77" t="s">
        <v>308</v>
      </c>
      <c r="D117" s="97" t="s">
        <v>198</v>
      </c>
      <c r="E117" s="32">
        <v>37334.9</v>
      </c>
      <c r="F117" s="32">
        <f t="shared" si="32"/>
        <v>37335</v>
      </c>
      <c r="G117" s="96">
        <f t="shared" si="22"/>
        <v>9.9999999998544808E-2</v>
      </c>
      <c r="H117" s="41"/>
      <c r="I117" s="31">
        <f t="shared" si="33"/>
        <v>37335</v>
      </c>
      <c r="J117" s="96">
        <f t="shared" si="23"/>
        <v>0</v>
      </c>
      <c r="K117" s="41"/>
      <c r="L117" s="31">
        <f t="shared" si="34"/>
        <v>37335</v>
      </c>
      <c r="M117" s="96">
        <f t="shared" si="24"/>
        <v>0</v>
      </c>
      <c r="N117" s="41"/>
      <c r="O117" s="31">
        <f t="shared" si="35"/>
        <v>37335</v>
      </c>
      <c r="P117" s="96">
        <f t="shared" si="25"/>
        <v>0</v>
      </c>
      <c r="Q117" s="41"/>
    </row>
    <row r="118" spans="1:17" x14ac:dyDescent="0.25">
      <c r="B118" s="64"/>
      <c r="C118" s="77" t="s">
        <v>309</v>
      </c>
      <c r="D118" s="97" t="s">
        <v>310</v>
      </c>
      <c r="E118" s="98">
        <v>582946</v>
      </c>
      <c r="F118" s="98">
        <f t="shared" si="32"/>
        <v>582946</v>
      </c>
      <c r="G118" s="99">
        <f t="shared" si="22"/>
        <v>0</v>
      </c>
      <c r="H118" s="100"/>
      <c r="I118" s="95">
        <f>ROUND(F118,0)</f>
        <v>582946</v>
      </c>
      <c r="J118" s="99">
        <f t="shared" si="23"/>
        <v>0</v>
      </c>
      <c r="K118" s="43"/>
      <c r="L118" s="95">
        <f t="shared" si="34"/>
        <v>582946</v>
      </c>
      <c r="M118" s="99">
        <f t="shared" si="24"/>
        <v>0</v>
      </c>
      <c r="N118" s="43"/>
      <c r="O118" s="95">
        <f t="shared" si="35"/>
        <v>582946</v>
      </c>
      <c r="P118" s="99">
        <f t="shared" si="25"/>
        <v>0</v>
      </c>
      <c r="Q118" s="43"/>
    </row>
    <row r="119" spans="1:17" ht="45" customHeight="1" x14ac:dyDescent="0.25">
      <c r="B119" s="64"/>
      <c r="C119" s="77" t="s">
        <v>311</v>
      </c>
      <c r="D119" s="101" t="s">
        <v>312</v>
      </c>
      <c r="E119" s="102">
        <v>390000</v>
      </c>
      <c r="F119" s="98">
        <f t="shared" si="32"/>
        <v>390000</v>
      </c>
      <c r="G119" s="99">
        <f t="shared" si="22"/>
        <v>0</v>
      </c>
      <c r="H119" s="100"/>
      <c r="I119" s="95">
        <f t="shared" si="33"/>
        <v>390000</v>
      </c>
      <c r="J119" s="99">
        <f t="shared" si="23"/>
        <v>0</v>
      </c>
      <c r="K119" s="43"/>
      <c r="L119" s="95">
        <f t="shared" si="34"/>
        <v>390000</v>
      </c>
      <c r="M119" s="99">
        <f t="shared" si="24"/>
        <v>0</v>
      </c>
      <c r="N119" s="41"/>
      <c r="O119" s="95">
        <f t="shared" si="35"/>
        <v>390000</v>
      </c>
      <c r="P119" s="99">
        <f t="shared" si="25"/>
        <v>0</v>
      </c>
      <c r="Q119" s="41"/>
    </row>
    <row r="120" spans="1:17" ht="16.149999999999999" customHeight="1" x14ac:dyDescent="0.25">
      <c r="B120" s="64"/>
      <c r="C120" s="77" t="s">
        <v>313</v>
      </c>
      <c r="D120" s="103" t="s">
        <v>314</v>
      </c>
      <c r="E120" s="104">
        <v>645000</v>
      </c>
      <c r="F120" s="98">
        <f t="shared" si="32"/>
        <v>645000</v>
      </c>
      <c r="G120" s="99">
        <f t="shared" si="22"/>
        <v>0</v>
      </c>
      <c r="H120" s="100"/>
      <c r="I120" s="95">
        <f t="shared" si="33"/>
        <v>645000</v>
      </c>
      <c r="J120" s="99">
        <f t="shared" si="23"/>
        <v>0</v>
      </c>
      <c r="K120" s="43"/>
      <c r="L120" s="95">
        <f t="shared" si="34"/>
        <v>645000</v>
      </c>
      <c r="M120" s="99">
        <f t="shared" si="24"/>
        <v>0</v>
      </c>
      <c r="N120" s="41"/>
      <c r="O120" s="95">
        <f t="shared" si="35"/>
        <v>645000</v>
      </c>
      <c r="P120" s="99">
        <f t="shared" si="25"/>
        <v>0</v>
      </c>
      <c r="Q120" s="41"/>
    </row>
    <row r="121" spans="1:17" ht="16.149999999999999" customHeight="1" x14ac:dyDescent="0.25">
      <c r="B121" s="64"/>
      <c r="C121" s="77" t="s">
        <v>315</v>
      </c>
      <c r="D121" s="103" t="s">
        <v>237</v>
      </c>
      <c r="E121" s="104">
        <v>164032</v>
      </c>
      <c r="F121" s="98">
        <f t="shared" si="32"/>
        <v>164032</v>
      </c>
      <c r="G121" s="99">
        <f t="shared" si="22"/>
        <v>0</v>
      </c>
      <c r="H121" s="100"/>
      <c r="I121" s="95">
        <f t="shared" si="33"/>
        <v>164032</v>
      </c>
      <c r="J121" s="99">
        <f t="shared" si="23"/>
        <v>0</v>
      </c>
      <c r="K121" s="43"/>
      <c r="L121" s="95">
        <f t="shared" si="34"/>
        <v>164032</v>
      </c>
      <c r="M121" s="99">
        <f t="shared" si="24"/>
        <v>0</v>
      </c>
      <c r="N121" s="41"/>
      <c r="O121" s="95">
        <f t="shared" si="35"/>
        <v>164032</v>
      </c>
      <c r="P121" s="99">
        <f t="shared" si="25"/>
        <v>0</v>
      </c>
      <c r="Q121" s="41"/>
    </row>
    <row r="122" spans="1:17" ht="18.600000000000001" customHeight="1" x14ac:dyDescent="0.25">
      <c r="B122" s="64"/>
      <c r="C122" s="77" t="s">
        <v>316</v>
      </c>
      <c r="D122" s="103" t="s">
        <v>239</v>
      </c>
      <c r="E122" s="104">
        <v>907235</v>
      </c>
      <c r="F122" s="98">
        <f t="shared" si="32"/>
        <v>907235</v>
      </c>
      <c r="G122" s="99">
        <f t="shared" si="22"/>
        <v>0</v>
      </c>
      <c r="H122" s="100"/>
      <c r="I122" s="95">
        <f t="shared" si="33"/>
        <v>907235</v>
      </c>
      <c r="J122" s="99">
        <f t="shared" si="23"/>
        <v>0</v>
      </c>
      <c r="K122" s="43"/>
      <c r="L122" s="95">
        <f t="shared" si="34"/>
        <v>907235</v>
      </c>
      <c r="M122" s="99">
        <f t="shared" si="24"/>
        <v>0</v>
      </c>
      <c r="N122" s="105"/>
      <c r="O122" s="95">
        <f t="shared" si="35"/>
        <v>907235</v>
      </c>
      <c r="P122" s="99">
        <f t="shared" si="25"/>
        <v>0</v>
      </c>
      <c r="Q122" s="41"/>
    </row>
    <row r="123" spans="1:17" ht="27.6" customHeight="1" x14ac:dyDescent="0.25">
      <c r="B123" s="64"/>
      <c r="C123" s="106" t="s">
        <v>317</v>
      </c>
      <c r="D123" s="107" t="s">
        <v>318</v>
      </c>
      <c r="E123" s="104">
        <v>203000</v>
      </c>
      <c r="F123" s="98">
        <f t="shared" si="32"/>
        <v>203000</v>
      </c>
      <c r="G123" s="99">
        <f t="shared" si="22"/>
        <v>0</v>
      </c>
      <c r="H123" s="100"/>
      <c r="I123" s="95">
        <f t="shared" si="33"/>
        <v>203000</v>
      </c>
      <c r="J123" s="99">
        <f t="shared" si="23"/>
        <v>0</v>
      </c>
      <c r="K123" s="43"/>
      <c r="L123" s="95">
        <f>ROUND(I123,0)+84500</f>
        <v>287500</v>
      </c>
      <c r="M123" s="99">
        <f t="shared" si="24"/>
        <v>84500</v>
      </c>
      <c r="N123" s="108" t="s">
        <v>319</v>
      </c>
      <c r="O123" s="95">
        <f>ROUND(L123,0)</f>
        <v>287500</v>
      </c>
      <c r="P123" s="99">
        <f t="shared" si="25"/>
        <v>0</v>
      </c>
      <c r="Q123" s="41"/>
    </row>
    <row r="124" spans="1:17" ht="28.9" customHeight="1" x14ac:dyDescent="0.25">
      <c r="B124" s="64"/>
      <c r="C124" s="77" t="s">
        <v>320</v>
      </c>
      <c r="D124" s="109" t="s">
        <v>321</v>
      </c>
      <c r="E124" s="98">
        <v>126000</v>
      </c>
      <c r="F124" s="98">
        <f t="shared" si="32"/>
        <v>126000</v>
      </c>
      <c r="G124" s="99">
        <f t="shared" si="22"/>
        <v>0</v>
      </c>
      <c r="H124" s="100"/>
      <c r="I124" s="95">
        <f t="shared" si="33"/>
        <v>126000</v>
      </c>
      <c r="J124" s="99">
        <f t="shared" si="23"/>
        <v>0</v>
      </c>
      <c r="K124" s="43"/>
      <c r="L124" s="95">
        <f t="shared" si="34"/>
        <v>126000</v>
      </c>
      <c r="M124" s="99">
        <f t="shared" si="24"/>
        <v>0</v>
      </c>
      <c r="N124" s="33"/>
      <c r="O124" s="95">
        <f t="shared" ref="O124" si="36">ROUND(L124,0)</f>
        <v>126000</v>
      </c>
      <c r="P124" s="99">
        <f t="shared" si="25"/>
        <v>0</v>
      </c>
      <c r="Q124" s="41"/>
    </row>
    <row r="125" spans="1:17" ht="15" customHeight="1" x14ac:dyDescent="0.25">
      <c r="B125" s="64"/>
      <c r="C125" s="77" t="s">
        <v>322</v>
      </c>
      <c r="D125" s="110" t="s">
        <v>323</v>
      </c>
      <c r="E125" s="104">
        <v>0</v>
      </c>
      <c r="F125" s="98">
        <f>ROUND(E125,0)</f>
        <v>0</v>
      </c>
      <c r="G125" s="31">
        <f>F125-E125</f>
        <v>0</v>
      </c>
      <c r="H125" s="111"/>
      <c r="I125" s="95">
        <f>ROUND(F125,0)+126000</f>
        <v>126000</v>
      </c>
      <c r="J125" s="31">
        <f>I125-F125</f>
        <v>126000</v>
      </c>
      <c r="K125" s="43" t="s">
        <v>324</v>
      </c>
      <c r="L125" s="95">
        <f>ROUND(I125,0)</f>
        <v>126000</v>
      </c>
      <c r="M125" s="31">
        <f t="shared" si="24"/>
        <v>0</v>
      </c>
      <c r="N125" s="105"/>
      <c r="O125" s="95">
        <f>ROUND(L125,0)</f>
        <v>126000</v>
      </c>
      <c r="P125" s="112">
        <f t="shared" si="25"/>
        <v>0</v>
      </c>
      <c r="Q125" s="41"/>
    </row>
    <row r="126" spans="1:17" ht="31.9" customHeight="1" thickBot="1" x14ac:dyDescent="0.3">
      <c r="B126" s="64"/>
      <c r="C126" s="113" t="s">
        <v>325</v>
      </c>
      <c r="D126" s="114" t="s">
        <v>326</v>
      </c>
      <c r="E126" s="115"/>
      <c r="F126" s="116"/>
      <c r="G126" s="117"/>
      <c r="H126" s="100"/>
      <c r="I126" s="118"/>
      <c r="J126" s="117"/>
      <c r="K126" s="119"/>
      <c r="L126" s="118"/>
      <c r="M126" s="117"/>
      <c r="N126" s="120"/>
      <c r="O126" s="118">
        <v>68000</v>
      </c>
      <c r="P126" s="112">
        <f t="shared" si="25"/>
        <v>68000</v>
      </c>
      <c r="Q126" s="43" t="s">
        <v>327</v>
      </c>
    </row>
    <row r="127" spans="1:17" ht="15.75" thickBot="1" x14ac:dyDescent="0.3">
      <c r="C127" s="121"/>
      <c r="D127" s="122" t="s">
        <v>328</v>
      </c>
      <c r="E127" s="89">
        <v>58162296.232200004</v>
      </c>
      <c r="F127" s="89">
        <f t="shared" ref="F127" si="37">F108+F109+F112</f>
        <v>58220652</v>
      </c>
      <c r="G127" s="88">
        <f t="shared" si="22"/>
        <v>58355.76779999584</v>
      </c>
      <c r="H127" s="123"/>
      <c r="I127" s="88">
        <f>I108+I109+I112</f>
        <v>58714633</v>
      </c>
      <c r="J127" s="88">
        <f t="shared" si="23"/>
        <v>493981</v>
      </c>
      <c r="K127" s="123"/>
      <c r="L127" s="88">
        <f>L108+L109+L112</f>
        <v>58875584</v>
      </c>
      <c r="M127" s="88">
        <f t="shared" si="24"/>
        <v>160951</v>
      </c>
      <c r="N127" s="123"/>
      <c r="O127" s="88">
        <f>O108+O109+O112</f>
        <v>58993584</v>
      </c>
      <c r="P127" s="88">
        <f t="shared" si="25"/>
        <v>118000</v>
      </c>
      <c r="Q127" s="123"/>
    </row>
    <row r="129" spans="2:17" x14ac:dyDescent="0.25">
      <c r="G129" s="4"/>
      <c r="I129" s="4"/>
      <c r="J129" s="4"/>
      <c r="L129" s="4"/>
      <c r="M129" s="4"/>
      <c r="O129" s="4"/>
      <c r="P129" s="4"/>
    </row>
    <row r="130" spans="2:17" ht="20.25" x14ac:dyDescent="0.3">
      <c r="C130" s="354" t="s">
        <v>329</v>
      </c>
      <c r="D130" s="354"/>
      <c r="G130" s="4"/>
      <c r="I130" s="4"/>
      <c r="J130" s="4"/>
      <c r="L130" s="4"/>
      <c r="M130" s="4"/>
      <c r="O130" s="4"/>
      <c r="P130" s="4"/>
    </row>
    <row r="131" spans="2:17" ht="15.75" thickBot="1" x14ac:dyDescent="0.3">
      <c r="C131" s="355"/>
      <c r="D131" s="355"/>
      <c r="G131" s="125"/>
      <c r="I131" s="125"/>
      <c r="J131" s="125"/>
      <c r="L131" s="125"/>
      <c r="M131" s="125"/>
      <c r="O131" s="125"/>
      <c r="P131" s="125"/>
    </row>
    <row r="132" spans="2:17" ht="57" customHeight="1" outlineLevel="1" thickBot="1" x14ac:dyDescent="0.3">
      <c r="C132" s="13" t="s">
        <v>3</v>
      </c>
      <c r="D132" s="14" t="s">
        <v>4</v>
      </c>
      <c r="E132" s="16" t="s">
        <v>6</v>
      </c>
      <c r="F132" s="16" t="s">
        <v>7</v>
      </c>
      <c r="G132" s="15" t="s">
        <v>8</v>
      </c>
      <c r="H132" s="17" t="s">
        <v>330</v>
      </c>
      <c r="I132" s="15" t="s">
        <v>10</v>
      </c>
      <c r="J132" s="15" t="s">
        <v>11</v>
      </c>
      <c r="K132" s="17" t="s">
        <v>330</v>
      </c>
      <c r="L132" s="15" t="s">
        <v>12</v>
      </c>
      <c r="M132" s="15" t="s">
        <v>13</v>
      </c>
      <c r="N132" s="17" t="s">
        <v>330</v>
      </c>
      <c r="O132" s="15" t="s">
        <v>14</v>
      </c>
      <c r="P132" s="15" t="s">
        <v>15</v>
      </c>
      <c r="Q132" s="17" t="s">
        <v>330</v>
      </c>
    </row>
    <row r="133" spans="2:17" x14ac:dyDescent="0.25">
      <c r="C133" s="126" t="s">
        <v>19</v>
      </c>
      <c r="D133" s="127" t="s">
        <v>331</v>
      </c>
      <c r="E133" s="129">
        <v>8245497.4604350002</v>
      </c>
      <c r="F133" s="129">
        <f t="shared" ref="F133" si="38">SUM(F134:F142)</f>
        <v>8245497</v>
      </c>
      <c r="G133" s="128">
        <f t="shared" ref="G133:G196" si="39">F133-E133</f>
        <v>-0.46043500024825335</v>
      </c>
      <c r="H133" s="130"/>
      <c r="I133" s="128">
        <f>SUM(I134:I142)</f>
        <v>8253567</v>
      </c>
      <c r="J133" s="128">
        <f t="shared" ref="J133:J196" si="40">I133-F133</f>
        <v>8070</v>
      </c>
      <c r="K133" s="130"/>
      <c r="L133" s="128">
        <f>SUM(L134:L142)</f>
        <v>8253567</v>
      </c>
      <c r="M133" s="128">
        <f t="shared" ref="M133:M196" si="41">L133-I133</f>
        <v>0</v>
      </c>
      <c r="N133" s="130"/>
      <c r="O133" s="128">
        <f>SUM(O134:O142)</f>
        <v>8293568</v>
      </c>
      <c r="P133" s="128">
        <f t="shared" ref="P133:P196" si="42">O133-L133</f>
        <v>40001</v>
      </c>
      <c r="Q133" s="130"/>
    </row>
    <row r="134" spans="2:17" ht="31.5" customHeight="1" x14ac:dyDescent="0.25">
      <c r="B134" s="64" t="s">
        <v>332</v>
      </c>
      <c r="C134" s="131" t="s">
        <v>23</v>
      </c>
      <c r="D134" s="132" t="s">
        <v>333</v>
      </c>
      <c r="E134" s="66">
        <v>1904696</v>
      </c>
      <c r="F134" s="66">
        <f>ROUND(E134,0)</f>
        <v>1904696</v>
      </c>
      <c r="G134" s="54">
        <f t="shared" si="39"/>
        <v>0</v>
      </c>
      <c r="H134" s="67"/>
      <c r="I134" s="54">
        <f>ROUND(F134,0)-16038</f>
        <v>1888658</v>
      </c>
      <c r="J134" s="133">
        <f t="shared" si="40"/>
        <v>-16038</v>
      </c>
      <c r="K134" s="134" t="s">
        <v>334</v>
      </c>
      <c r="L134" s="54">
        <f t="shared" ref="L134:L145" si="43">ROUND(I134,0)</f>
        <v>1888658</v>
      </c>
      <c r="M134" s="54">
        <f t="shared" si="41"/>
        <v>0</v>
      </c>
      <c r="N134" s="67"/>
      <c r="O134" s="54">
        <f t="shared" ref="O134:O145" si="44">ROUND(L134,0)</f>
        <v>1888658</v>
      </c>
      <c r="P134" s="54">
        <f t="shared" si="42"/>
        <v>0</v>
      </c>
      <c r="Q134" s="67"/>
    </row>
    <row r="135" spans="2:17" x14ac:dyDescent="0.25">
      <c r="B135" s="64" t="s">
        <v>335</v>
      </c>
      <c r="C135" s="131" t="s">
        <v>26</v>
      </c>
      <c r="D135" s="132" t="s">
        <v>336</v>
      </c>
      <c r="E135" s="66">
        <v>355819</v>
      </c>
      <c r="F135" s="66">
        <f t="shared" ref="F135:F144" si="45">ROUND(E135,0)</f>
        <v>355819</v>
      </c>
      <c r="G135" s="54">
        <f t="shared" si="39"/>
        <v>0</v>
      </c>
      <c r="H135" s="135"/>
      <c r="I135" s="54">
        <f t="shared" ref="I135:I140" si="46">ROUND(F135,0)</f>
        <v>355819</v>
      </c>
      <c r="J135" s="54">
        <f t="shared" si="40"/>
        <v>0</v>
      </c>
      <c r="K135" s="135"/>
      <c r="L135" s="54">
        <f t="shared" si="43"/>
        <v>355819</v>
      </c>
      <c r="M135" s="54">
        <f t="shared" si="41"/>
        <v>0</v>
      </c>
      <c r="N135" s="135"/>
      <c r="O135" s="54">
        <f t="shared" si="44"/>
        <v>355819</v>
      </c>
      <c r="P135" s="54">
        <f t="shared" si="42"/>
        <v>0</v>
      </c>
      <c r="Q135" s="135"/>
    </row>
    <row r="136" spans="2:17" ht="13.15" customHeight="1" x14ac:dyDescent="0.25">
      <c r="B136" s="64" t="s">
        <v>337</v>
      </c>
      <c r="C136" s="131" t="s">
        <v>338</v>
      </c>
      <c r="D136" s="132" t="s">
        <v>339</v>
      </c>
      <c r="E136" s="66">
        <v>58895</v>
      </c>
      <c r="F136" s="66">
        <f>ROUND(E136,0)</f>
        <v>58895</v>
      </c>
      <c r="G136" s="54">
        <f t="shared" si="39"/>
        <v>0</v>
      </c>
      <c r="H136" s="67"/>
      <c r="I136" s="54">
        <f t="shared" si="46"/>
        <v>58895</v>
      </c>
      <c r="J136" s="54">
        <f t="shared" si="40"/>
        <v>0</v>
      </c>
      <c r="K136" s="67"/>
      <c r="L136" s="54">
        <f t="shared" si="43"/>
        <v>58895</v>
      </c>
      <c r="M136" s="54">
        <f t="shared" si="41"/>
        <v>0</v>
      </c>
      <c r="N136" s="67"/>
      <c r="O136" s="54">
        <f t="shared" si="44"/>
        <v>58895</v>
      </c>
      <c r="P136" s="54">
        <f t="shared" si="42"/>
        <v>0</v>
      </c>
      <c r="Q136" s="67"/>
    </row>
    <row r="137" spans="2:17" ht="14.45" customHeight="1" x14ac:dyDescent="0.25">
      <c r="B137" s="64" t="s">
        <v>340</v>
      </c>
      <c r="C137" s="131" t="s">
        <v>341</v>
      </c>
      <c r="D137" s="132" t="s">
        <v>342</v>
      </c>
      <c r="E137" s="66">
        <v>50294</v>
      </c>
      <c r="F137" s="66">
        <f t="shared" si="45"/>
        <v>50294</v>
      </c>
      <c r="G137" s="54">
        <f t="shared" si="39"/>
        <v>0</v>
      </c>
      <c r="H137" s="67"/>
      <c r="I137" s="54">
        <f t="shared" si="46"/>
        <v>50294</v>
      </c>
      <c r="J137" s="54">
        <f t="shared" si="40"/>
        <v>0</v>
      </c>
      <c r="K137" s="67"/>
      <c r="L137" s="54">
        <f t="shared" si="43"/>
        <v>50294</v>
      </c>
      <c r="M137" s="54">
        <f t="shared" si="41"/>
        <v>0</v>
      </c>
      <c r="N137" s="67"/>
      <c r="O137" s="54">
        <f t="shared" si="44"/>
        <v>50294</v>
      </c>
      <c r="P137" s="54">
        <f t="shared" si="42"/>
        <v>0</v>
      </c>
      <c r="Q137" s="67"/>
    </row>
    <row r="138" spans="2:17" ht="18" customHeight="1" x14ac:dyDescent="0.25">
      <c r="B138" s="64" t="s">
        <v>343</v>
      </c>
      <c r="C138" s="131" t="s">
        <v>344</v>
      </c>
      <c r="D138" s="132" t="s">
        <v>345</v>
      </c>
      <c r="E138" s="66">
        <v>6588</v>
      </c>
      <c r="F138" s="66">
        <f t="shared" si="45"/>
        <v>6588</v>
      </c>
      <c r="G138" s="54">
        <f t="shared" si="39"/>
        <v>0</v>
      </c>
      <c r="H138" s="135"/>
      <c r="I138" s="54">
        <f t="shared" si="46"/>
        <v>6588</v>
      </c>
      <c r="J138" s="54">
        <f t="shared" si="40"/>
        <v>0</v>
      </c>
      <c r="K138" s="135"/>
      <c r="L138" s="54">
        <f t="shared" si="43"/>
        <v>6588</v>
      </c>
      <c r="M138" s="54">
        <f t="shared" si="41"/>
        <v>0</v>
      </c>
      <c r="N138" s="135"/>
      <c r="O138" s="54">
        <f t="shared" si="44"/>
        <v>6588</v>
      </c>
      <c r="P138" s="54">
        <f t="shared" si="42"/>
        <v>0</v>
      </c>
      <c r="Q138" s="135"/>
    </row>
    <row r="139" spans="2:17" ht="29.45" customHeight="1" x14ac:dyDescent="0.25">
      <c r="B139" s="64" t="s">
        <v>346</v>
      </c>
      <c r="C139" s="131" t="s">
        <v>347</v>
      </c>
      <c r="D139" s="132" t="s">
        <v>348</v>
      </c>
      <c r="E139" s="66">
        <v>71620</v>
      </c>
      <c r="F139" s="66">
        <f t="shared" si="45"/>
        <v>71620</v>
      </c>
      <c r="G139" s="54">
        <f t="shared" si="39"/>
        <v>0</v>
      </c>
      <c r="H139" s="135"/>
      <c r="I139" s="54">
        <f>ROUND(F139,0)-2000</f>
        <v>69620</v>
      </c>
      <c r="J139" s="54">
        <f t="shared" si="40"/>
        <v>-2000</v>
      </c>
      <c r="K139" s="135" t="s">
        <v>349</v>
      </c>
      <c r="L139" s="54">
        <f t="shared" si="43"/>
        <v>69620</v>
      </c>
      <c r="M139" s="54">
        <f t="shared" si="41"/>
        <v>0</v>
      </c>
      <c r="N139" s="135"/>
      <c r="O139" s="54">
        <f t="shared" si="44"/>
        <v>69620</v>
      </c>
      <c r="P139" s="54">
        <f t="shared" si="42"/>
        <v>0</v>
      </c>
      <c r="Q139" s="135"/>
    </row>
    <row r="140" spans="2:17" ht="15.6" customHeight="1" x14ac:dyDescent="0.25">
      <c r="B140" s="64" t="s">
        <v>332</v>
      </c>
      <c r="C140" s="131" t="s">
        <v>350</v>
      </c>
      <c r="D140" s="132" t="s">
        <v>351</v>
      </c>
      <c r="E140" s="66">
        <v>1047339</v>
      </c>
      <c r="F140" s="66">
        <f t="shared" si="45"/>
        <v>1047339</v>
      </c>
      <c r="G140" s="54">
        <f t="shared" si="39"/>
        <v>0</v>
      </c>
      <c r="H140" s="67"/>
      <c r="I140" s="54">
        <f t="shared" si="46"/>
        <v>1047339</v>
      </c>
      <c r="J140" s="54">
        <f t="shared" si="40"/>
        <v>0</v>
      </c>
      <c r="K140" s="67"/>
      <c r="L140" s="54">
        <f t="shared" si="43"/>
        <v>1047339</v>
      </c>
      <c r="M140" s="54">
        <f t="shared" si="41"/>
        <v>0</v>
      </c>
      <c r="N140" s="67"/>
      <c r="O140" s="54">
        <f>ROUND(L140,0)+40001</f>
        <v>1087340</v>
      </c>
      <c r="P140" s="54">
        <f t="shared" si="42"/>
        <v>40001</v>
      </c>
      <c r="Q140" s="67" t="s">
        <v>352</v>
      </c>
    </row>
    <row r="141" spans="2:17" x14ac:dyDescent="0.25">
      <c r="B141" s="64" t="s">
        <v>332</v>
      </c>
      <c r="C141" s="131" t="s">
        <v>353</v>
      </c>
      <c r="D141" s="132" t="s">
        <v>354</v>
      </c>
      <c r="E141" s="66">
        <v>4392666</v>
      </c>
      <c r="F141" s="66">
        <f t="shared" si="45"/>
        <v>4392666</v>
      </c>
      <c r="G141" s="54">
        <f t="shared" si="39"/>
        <v>0</v>
      </c>
      <c r="H141" s="135"/>
      <c r="I141" s="54">
        <f>ROUND(F141,0)+26108</f>
        <v>4418774</v>
      </c>
      <c r="J141" s="54">
        <f t="shared" si="40"/>
        <v>26108</v>
      </c>
      <c r="K141" s="135" t="s">
        <v>25</v>
      </c>
      <c r="L141" s="54">
        <f t="shared" si="43"/>
        <v>4418774</v>
      </c>
      <c r="M141" s="54">
        <f t="shared" si="41"/>
        <v>0</v>
      </c>
      <c r="N141" s="135"/>
      <c r="O141" s="54">
        <f t="shared" si="44"/>
        <v>4418774</v>
      </c>
      <c r="P141" s="54">
        <f t="shared" si="42"/>
        <v>0</v>
      </c>
      <c r="Q141" s="135"/>
    </row>
    <row r="142" spans="2:17" ht="42.6" customHeight="1" x14ac:dyDescent="0.25">
      <c r="B142" s="64" t="s">
        <v>355</v>
      </c>
      <c r="C142" s="131" t="s">
        <v>356</v>
      </c>
      <c r="D142" s="132" t="s">
        <v>357</v>
      </c>
      <c r="E142" s="66">
        <v>357580.46043500002</v>
      </c>
      <c r="F142" s="66">
        <f>ROUND(E142,0)</f>
        <v>357580</v>
      </c>
      <c r="G142" s="54">
        <f t="shared" si="39"/>
        <v>-0.4604350000154227</v>
      </c>
      <c r="H142" s="67"/>
      <c r="I142" s="54">
        <f>ROUND(F142,0)</f>
        <v>357580</v>
      </c>
      <c r="J142" s="54">
        <f t="shared" si="40"/>
        <v>0</v>
      </c>
      <c r="K142" s="67"/>
      <c r="L142" s="54">
        <f t="shared" si="43"/>
        <v>357580</v>
      </c>
      <c r="M142" s="54">
        <f t="shared" si="41"/>
        <v>0</v>
      </c>
      <c r="N142" s="67"/>
      <c r="O142" s="54">
        <f t="shared" si="44"/>
        <v>357580</v>
      </c>
      <c r="P142" s="54">
        <f t="shared" si="42"/>
        <v>0</v>
      </c>
      <c r="Q142" s="67"/>
    </row>
    <row r="143" spans="2:17" x14ac:dyDescent="0.25">
      <c r="C143" s="136" t="s">
        <v>31</v>
      </c>
      <c r="D143" s="137" t="s">
        <v>358</v>
      </c>
      <c r="E143" s="38">
        <v>0</v>
      </c>
      <c r="F143" s="38">
        <f t="shared" si="45"/>
        <v>0</v>
      </c>
      <c r="G143" s="37">
        <f t="shared" si="39"/>
        <v>0</v>
      </c>
      <c r="H143" s="39"/>
      <c r="I143" s="37">
        <f>ROUND(F143,0)</f>
        <v>0</v>
      </c>
      <c r="J143" s="37">
        <f t="shared" si="40"/>
        <v>0</v>
      </c>
      <c r="K143" s="39"/>
      <c r="L143" s="37">
        <f t="shared" si="43"/>
        <v>0</v>
      </c>
      <c r="M143" s="37">
        <f t="shared" si="41"/>
        <v>0</v>
      </c>
      <c r="N143" s="39"/>
      <c r="O143" s="37">
        <f t="shared" si="44"/>
        <v>0</v>
      </c>
      <c r="P143" s="37">
        <f t="shared" si="42"/>
        <v>0</v>
      </c>
      <c r="Q143" s="39"/>
    </row>
    <row r="144" spans="2:17" ht="13.9" customHeight="1" x14ac:dyDescent="0.25">
      <c r="B144" s="64" t="s">
        <v>359</v>
      </c>
      <c r="C144" s="131" t="s">
        <v>34</v>
      </c>
      <c r="D144" s="132" t="s">
        <v>360</v>
      </c>
      <c r="E144" s="66">
        <v>0</v>
      </c>
      <c r="F144" s="66">
        <f t="shared" si="45"/>
        <v>0</v>
      </c>
      <c r="G144" s="54">
        <f t="shared" si="39"/>
        <v>0</v>
      </c>
      <c r="H144" s="135"/>
      <c r="I144" s="54">
        <f>ROUND(F144,0)</f>
        <v>0</v>
      </c>
      <c r="J144" s="54">
        <f t="shared" si="40"/>
        <v>0</v>
      </c>
      <c r="K144" s="135"/>
      <c r="L144" s="54">
        <f t="shared" si="43"/>
        <v>0</v>
      </c>
      <c r="M144" s="54">
        <f t="shared" si="41"/>
        <v>0</v>
      </c>
      <c r="N144" s="135"/>
      <c r="O144" s="54">
        <f t="shared" si="44"/>
        <v>0</v>
      </c>
      <c r="P144" s="54">
        <f t="shared" si="42"/>
        <v>0</v>
      </c>
      <c r="Q144" s="135"/>
    </row>
    <row r="145" spans="2:17" ht="15" customHeight="1" collapsed="1" x14ac:dyDescent="0.25">
      <c r="B145" s="64" t="s">
        <v>361</v>
      </c>
      <c r="C145" s="136" t="s">
        <v>39</v>
      </c>
      <c r="D145" s="137" t="s">
        <v>362</v>
      </c>
      <c r="E145" s="38">
        <v>936069.29245700024</v>
      </c>
      <c r="F145" s="38">
        <f>ROUND(E145,0)</f>
        <v>936069</v>
      </c>
      <c r="G145" s="37">
        <f t="shared" si="39"/>
        <v>-0.29245700023602694</v>
      </c>
      <c r="H145" s="47"/>
      <c r="I145" s="37">
        <f>ROUND(F145,0)</f>
        <v>936069</v>
      </c>
      <c r="J145" s="37">
        <f t="shared" si="40"/>
        <v>0</v>
      </c>
      <c r="K145" s="138"/>
      <c r="L145" s="37">
        <f t="shared" si="43"/>
        <v>936069</v>
      </c>
      <c r="M145" s="37">
        <f t="shared" si="41"/>
        <v>0</v>
      </c>
      <c r="N145" s="47"/>
      <c r="O145" s="37">
        <f t="shared" si="44"/>
        <v>936069</v>
      </c>
      <c r="P145" s="37">
        <f t="shared" si="42"/>
        <v>0</v>
      </c>
      <c r="Q145" s="47"/>
    </row>
    <row r="146" spans="2:17" s="139" customFormat="1" ht="16.899999999999999" customHeight="1" x14ac:dyDescent="0.25">
      <c r="C146" s="136" t="s">
        <v>47</v>
      </c>
      <c r="D146" s="137" t="s">
        <v>363</v>
      </c>
      <c r="E146" s="38">
        <v>556693.29264600005</v>
      </c>
      <c r="F146" s="38">
        <f t="shared" ref="F146" si="47">F147+F150</f>
        <v>556693</v>
      </c>
      <c r="G146" s="37">
        <f t="shared" si="39"/>
        <v>-0.29264600004535168</v>
      </c>
      <c r="H146" s="47"/>
      <c r="I146" s="37">
        <f>I147+I150</f>
        <v>589278</v>
      </c>
      <c r="J146" s="37">
        <f t="shared" si="40"/>
        <v>32585</v>
      </c>
      <c r="K146" s="47"/>
      <c r="L146" s="37">
        <f>L147+L150</f>
        <v>589278</v>
      </c>
      <c r="M146" s="37">
        <f t="shared" si="41"/>
        <v>0</v>
      </c>
      <c r="N146" s="47"/>
      <c r="O146" s="37">
        <f>O147+O150</f>
        <v>589278</v>
      </c>
      <c r="P146" s="37">
        <f t="shared" si="42"/>
        <v>0</v>
      </c>
      <c r="Q146" s="47"/>
    </row>
    <row r="147" spans="2:17" x14ac:dyDescent="0.25">
      <c r="B147" s="64" t="s">
        <v>364</v>
      </c>
      <c r="C147" s="131" t="s">
        <v>50</v>
      </c>
      <c r="D147" s="132" t="s">
        <v>365</v>
      </c>
      <c r="E147" s="66">
        <v>207617.29264600005</v>
      </c>
      <c r="F147" s="66">
        <f>SUM(F148:F149)</f>
        <v>207617</v>
      </c>
      <c r="G147" s="54">
        <f t="shared" ref="G147" si="48">SUM(G148:G149)</f>
        <v>3.7353999970946461E-2</v>
      </c>
      <c r="H147" s="54"/>
      <c r="I147" s="54">
        <f>SUM(I148:I149)</f>
        <v>207617</v>
      </c>
      <c r="J147" s="54">
        <f t="shared" si="40"/>
        <v>0</v>
      </c>
      <c r="K147" s="54"/>
      <c r="L147" s="54">
        <f>SUM(L148:L149)</f>
        <v>207617</v>
      </c>
      <c r="M147" s="54">
        <f t="shared" si="41"/>
        <v>0</v>
      </c>
      <c r="N147" s="54"/>
      <c r="O147" s="54">
        <f>SUM(O148:O149)</f>
        <v>207617</v>
      </c>
      <c r="P147" s="54">
        <f t="shared" si="42"/>
        <v>0</v>
      </c>
      <c r="Q147" s="54"/>
    </row>
    <row r="148" spans="2:17" x14ac:dyDescent="0.25">
      <c r="B148" s="64" t="s">
        <v>364</v>
      </c>
      <c r="C148" s="140" t="s">
        <v>366</v>
      </c>
      <c r="D148" s="141" t="s">
        <v>367</v>
      </c>
      <c r="E148" s="32">
        <v>162450.96264600003</v>
      </c>
      <c r="F148" s="32">
        <f>ROUND(E148,0)</f>
        <v>162451</v>
      </c>
      <c r="G148" s="31">
        <f t="shared" si="39"/>
        <v>3.7353999970946461E-2</v>
      </c>
      <c r="H148" s="33"/>
      <c r="I148" s="31">
        <f>ROUND(F148,0)</f>
        <v>162451</v>
      </c>
      <c r="J148" s="31">
        <f t="shared" si="40"/>
        <v>0</v>
      </c>
      <c r="K148" s="33"/>
      <c r="L148" s="31">
        <f>ROUND(I148,0)</f>
        <v>162451</v>
      </c>
      <c r="M148" s="31">
        <f t="shared" si="41"/>
        <v>0</v>
      </c>
      <c r="N148" s="33"/>
      <c r="O148" s="31">
        <f>ROUND(L148,0)</f>
        <v>162451</v>
      </c>
      <c r="P148" s="31">
        <f t="shared" si="42"/>
        <v>0</v>
      </c>
      <c r="Q148" s="33"/>
    </row>
    <row r="149" spans="2:17" x14ac:dyDescent="0.25">
      <c r="B149" s="64"/>
      <c r="C149" s="140" t="s">
        <v>368</v>
      </c>
      <c r="D149" s="141" t="s">
        <v>369</v>
      </c>
      <c r="E149" s="32">
        <v>45166.33</v>
      </c>
      <c r="F149" s="32">
        <f>ROUND(E149,0)</f>
        <v>45166</v>
      </c>
      <c r="G149" s="31"/>
      <c r="H149" s="33"/>
      <c r="I149" s="31">
        <f>ROUND(F149,0)</f>
        <v>45166</v>
      </c>
      <c r="J149" s="31">
        <f t="shared" si="40"/>
        <v>0</v>
      </c>
      <c r="K149" s="33"/>
      <c r="L149" s="31">
        <f>ROUND(I149,0)</f>
        <v>45166</v>
      </c>
      <c r="M149" s="31">
        <f t="shared" si="41"/>
        <v>0</v>
      </c>
      <c r="N149" s="33"/>
      <c r="O149" s="31">
        <f>ROUND(L149,0)</f>
        <v>45166</v>
      </c>
      <c r="P149" s="31">
        <f t="shared" si="42"/>
        <v>0</v>
      </c>
      <c r="Q149" s="33"/>
    </row>
    <row r="150" spans="2:17" x14ac:dyDescent="0.25">
      <c r="B150" s="64" t="s">
        <v>370</v>
      </c>
      <c r="C150" s="131" t="s">
        <v>52</v>
      </c>
      <c r="D150" s="132" t="s">
        <v>371</v>
      </c>
      <c r="E150" s="66">
        <v>349076</v>
      </c>
      <c r="F150" s="66">
        <f>ROUND(E150,0)</f>
        <v>349076</v>
      </c>
      <c r="G150" s="54">
        <f t="shared" si="39"/>
        <v>0</v>
      </c>
      <c r="H150" s="135"/>
      <c r="I150" s="54">
        <f>ROUND(F150,0)+32585</f>
        <v>381661</v>
      </c>
      <c r="J150" s="54">
        <f t="shared" si="40"/>
        <v>32585</v>
      </c>
      <c r="K150" s="54" t="s">
        <v>175</v>
      </c>
      <c r="L150" s="54">
        <f>ROUND(I150,0)</f>
        <v>381661</v>
      </c>
      <c r="M150" s="54">
        <f t="shared" si="41"/>
        <v>0</v>
      </c>
      <c r="N150" s="54"/>
      <c r="O150" s="54">
        <f>ROUND(L150,0)</f>
        <v>381661</v>
      </c>
      <c r="P150" s="54">
        <f t="shared" si="42"/>
        <v>0</v>
      </c>
      <c r="Q150" s="54"/>
    </row>
    <row r="151" spans="2:17" x14ac:dyDescent="0.25">
      <c r="C151" s="136" t="s">
        <v>53</v>
      </c>
      <c r="D151" s="137" t="s">
        <v>372</v>
      </c>
      <c r="E151" s="38">
        <v>260002</v>
      </c>
      <c r="F151" s="38">
        <f t="shared" ref="F151" si="49">F152</f>
        <v>260002</v>
      </c>
      <c r="G151" s="37">
        <f t="shared" si="39"/>
        <v>0</v>
      </c>
      <c r="H151" s="39"/>
      <c r="I151" s="37">
        <f>I152</f>
        <v>260002</v>
      </c>
      <c r="J151" s="37">
        <f t="shared" si="40"/>
        <v>0</v>
      </c>
      <c r="K151" s="39"/>
      <c r="L151" s="37">
        <f>L152</f>
        <v>260002</v>
      </c>
      <c r="M151" s="37">
        <f t="shared" si="41"/>
        <v>0</v>
      </c>
      <c r="N151" s="39"/>
      <c r="O151" s="37">
        <f>O152</f>
        <v>260002</v>
      </c>
      <c r="P151" s="37">
        <f t="shared" si="42"/>
        <v>0</v>
      </c>
      <c r="Q151" s="39"/>
    </row>
    <row r="152" spans="2:17" ht="16.149999999999999" customHeight="1" x14ac:dyDescent="0.25">
      <c r="B152" s="64" t="s">
        <v>373</v>
      </c>
      <c r="C152" s="131" t="s">
        <v>56</v>
      </c>
      <c r="D152" s="132" t="s">
        <v>374</v>
      </c>
      <c r="E152" s="66">
        <v>260002</v>
      </c>
      <c r="F152" s="66">
        <f>ROUND(E152,0)</f>
        <v>260002</v>
      </c>
      <c r="G152" s="54">
        <f t="shared" si="39"/>
        <v>0</v>
      </c>
      <c r="H152" s="67"/>
      <c r="I152" s="54">
        <f>ROUND(F152,0)</f>
        <v>260002</v>
      </c>
      <c r="J152" s="54">
        <f t="shared" si="40"/>
        <v>0</v>
      </c>
      <c r="K152" s="67"/>
      <c r="L152" s="54">
        <f>ROUND(I152,0)</f>
        <v>260002</v>
      </c>
      <c r="M152" s="54">
        <f t="shared" si="41"/>
        <v>0</v>
      </c>
      <c r="N152" s="67"/>
      <c r="O152" s="54">
        <f>ROUND(L152,0)</f>
        <v>260002</v>
      </c>
      <c r="P152" s="54">
        <f t="shared" si="42"/>
        <v>0</v>
      </c>
      <c r="Q152" s="67"/>
    </row>
    <row r="153" spans="2:17" ht="29.25" x14ac:dyDescent="0.25">
      <c r="C153" s="136" t="s">
        <v>61</v>
      </c>
      <c r="D153" s="137" t="s">
        <v>375</v>
      </c>
      <c r="E153" s="38">
        <v>16329241.372453</v>
      </c>
      <c r="F153" s="38">
        <f t="shared" ref="F153" si="50">F154+F155+F156+F157+F168</f>
        <v>16329241</v>
      </c>
      <c r="G153" s="37">
        <f>G155+G156+G157+G168</f>
        <v>-0.3724529993487522</v>
      </c>
      <c r="H153" s="37"/>
      <c r="I153" s="37">
        <f>I154+I155+I156+I157+I168</f>
        <v>16651546</v>
      </c>
      <c r="J153" s="37">
        <f t="shared" si="40"/>
        <v>322305</v>
      </c>
      <c r="K153" s="37"/>
      <c r="L153" s="37">
        <f>L154+L155+L156+L157+L168</f>
        <v>16728872</v>
      </c>
      <c r="M153" s="37">
        <f t="shared" si="41"/>
        <v>77326</v>
      </c>
      <c r="N153" s="37"/>
      <c r="O153" s="37">
        <f>O154+O155+O156+O157+O168</f>
        <v>16750347</v>
      </c>
      <c r="P153" s="37">
        <f t="shared" si="42"/>
        <v>21475</v>
      </c>
      <c r="Q153" s="37"/>
    </row>
    <row r="154" spans="2:17" ht="15.6" customHeight="1" x14ac:dyDescent="0.25">
      <c r="B154" s="64" t="s">
        <v>359</v>
      </c>
      <c r="C154" s="131" t="s">
        <v>64</v>
      </c>
      <c r="D154" s="142" t="s">
        <v>360</v>
      </c>
      <c r="E154" s="66">
        <v>70000</v>
      </c>
      <c r="F154" s="66">
        <f>ROUND(E154,0)</f>
        <v>70000</v>
      </c>
      <c r="G154" s="54">
        <f>F154-E154</f>
        <v>0</v>
      </c>
      <c r="H154" s="135"/>
      <c r="I154" s="54">
        <f>ROUND(F154,0)</f>
        <v>70000</v>
      </c>
      <c r="J154" s="54">
        <f t="shared" si="40"/>
        <v>0</v>
      </c>
      <c r="K154" s="135"/>
      <c r="L154" s="54">
        <f>ROUND(I154,0)</f>
        <v>70000</v>
      </c>
      <c r="M154" s="54">
        <f t="shared" si="41"/>
        <v>0</v>
      </c>
      <c r="N154" s="135"/>
      <c r="O154" s="54">
        <f>ROUND(L154,0)</f>
        <v>70000</v>
      </c>
      <c r="P154" s="54">
        <f t="shared" si="42"/>
        <v>0</v>
      </c>
      <c r="Q154" s="135"/>
    </row>
    <row r="155" spans="2:17" ht="19.149999999999999" customHeight="1" x14ac:dyDescent="0.25">
      <c r="B155" s="64" t="s">
        <v>376</v>
      </c>
      <c r="C155" s="131" t="s">
        <v>76</v>
      </c>
      <c r="D155" s="142" t="s">
        <v>377</v>
      </c>
      <c r="E155" s="144">
        <v>313523.70461999997</v>
      </c>
      <c r="F155" s="144">
        <f>ROUND(E155,0)</f>
        <v>313524</v>
      </c>
      <c r="G155" s="143">
        <f t="shared" si="39"/>
        <v>0.29538000002503395</v>
      </c>
      <c r="H155" s="67"/>
      <c r="I155" s="143">
        <f>ROUND(F155,0)+15000</f>
        <v>328524</v>
      </c>
      <c r="J155" s="145">
        <f t="shared" si="40"/>
        <v>15000</v>
      </c>
      <c r="K155" s="146" t="s">
        <v>378</v>
      </c>
      <c r="L155" s="143">
        <f>ROUND(I155,0)</f>
        <v>328524</v>
      </c>
      <c r="M155" s="143">
        <f t="shared" si="41"/>
        <v>0</v>
      </c>
      <c r="N155" s="147"/>
      <c r="O155" s="143">
        <f>ROUND(L155,0)</f>
        <v>328524</v>
      </c>
      <c r="P155" s="143">
        <f t="shared" si="42"/>
        <v>0</v>
      </c>
      <c r="Q155" s="147"/>
    </row>
    <row r="156" spans="2:17" ht="58.15" customHeight="1" x14ac:dyDescent="0.25">
      <c r="B156" s="64" t="s">
        <v>379</v>
      </c>
      <c r="C156" s="131" t="s">
        <v>380</v>
      </c>
      <c r="D156" s="142" t="s">
        <v>381</v>
      </c>
      <c r="E156" s="144">
        <v>345571.12844500004</v>
      </c>
      <c r="F156" s="144">
        <f>ROUND(E156,0)</f>
        <v>345571</v>
      </c>
      <c r="G156" s="143">
        <f t="shared" si="39"/>
        <v>-0.12844500003848225</v>
      </c>
      <c r="H156" s="67"/>
      <c r="I156" s="143">
        <f>ROUND(F156,0)-11083</f>
        <v>334488</v>
      </c>
      <c r="J156" s="145">
        <f t="shared" si="40"/>
        <v>-11083</v>
      </c>
      <c r="K156" s="134" t="s">
        <v>334</v>
      </c>
      <c r="L156" s="143">
        <f>ROUND(I156,0)</f>
        <v>334488</v>
      </c>
      <c r="M156" s="143">
        <f t="shared" si="41"/>
        <v>0</v>
      </c>
      <c r="N156" s="67"/>
      <c r="O156" s="143">
        <f>ROUND(L156,0)</f>
        <v>334488</v>
      </c>
      <c r="P156" s="143">
        <f t="shared" si="42"/>
        <v>0</v>
      </c>
      <c r="Q156" s="67"/>
    </row>
    <row r="157" spans="2:17" x14ac:dyDescent="0.25">
      <c r="C157" s="131" t="s">
        <v>382</v>
      </c>
      <c r="D157" s="142" t="s">
        <v>383</v>
      </c>
      <c r="E157" s="144">
        <v>1526970.0498800001</v>
      </c>
      <c r="F157" s="144">
        <f t="shared" ref="F157:G157" si="51">SUM(F158:F167)</f>
        <v>1526970</v>
      </c>
      <c r="G157" s="143">
        <f t="shared" si="51"/>
        <v>-4.9880000064149499E-2</v>
      </c>
      <c r="H157" s="143"/>
      <c r="I157" s="143">
        <f>SUM(I158:I167)</f>
        <v>1509840</v>
      </c>
      <c r="J157" s="143">
        <f t="shared" si="40"/>
        <v>-17130</v>
      </c>
      <c r="K157" s="143"/>
      <c r="L157" s="143">
        <f>SUM(L158:L167)</f>
        <v>1509840</v>
      </c>
      <c r="M157" s="143">
        <f t="shared" si="41"/>
        <v>0</v>
      </c>
      <c r="N157" s="143"/>
      <c r="O157" s="143">
        <f>SUM(O158:O167)</f>
        <v>1594840</v>
      </c>
      <c r="P157" s="143">
        <f t="shared" si="42"/>
        <v>85000</v>
      </c>
      <c r="Q157" s="143"/>
    </row>
    <row r="158" spans="2:17" ht="151.9" customHeight="1" x14ac:dyDescent="0.25">
      <c r="B158" s="64" t="s">
        <v>183</v>
      </c>
      <c r="C158" s="140" t="s">
        <v>384</v>
      </c>
      <c r="D158" s="103" t="s">
        <v>385</v>
      </c>
      <c r="E158" s="32">
        <v>1009113.0498800001</v>
      </c>
      <c r="F158" s="32">
        <f>ROUND(E158,0)+5033</f>
        <v>1014146</v>
      </c>
      <c r="G158" s="31">
        <f t="shared" si="39"/>
        <v>5032.9501199999359</v>
      </c>
      <c r="H158" s="148" t="s">
        <v>386</v>
      </c>
      <c r="I158" s="31">
        <f>ROUND(F158,0)-17130</f>
        <v>997016</v>
      </c>
      <c r="J158" s="34">
        <f t="shared" si="40"/>
        <v>-17130</v>
      </c>
      <c r="K158" s="149" t="s">
        <v>334</v>
      </c>
      <c r="L158" s="31">
        <f>ROUND(I158,0)</f>
        <v>997016</v>
      </c>
      <c r="M158" s="31">
        <f t="shared" si="41"/>
        <v>0</v>
      </c>
      <c r="N158" s="148"/>
      <c r="O158" s="31">
        <f>ROUND(L158,0)-73+27000+8000+50000+1000</f>
        <v>1082943</v>
      </c>
      <c r="P158" s="31">
        <f t="shared" si="42"/>
        <v>85927</v>
      </c>
      <c r="Q158" s="148" t="s">
        <v>387</v>
      </c>
    </row>
    <row r="159" spans="2:17" ht="18.600000000000001" customHeight="1" x14ac:dyDescent="0.25">
      <c r="B159" s="64" t="s">
        <v>388</v>
      </c>
      <c r="C159" s="140" t="s">
        <v>389</v>
      </c>
      <c r="D159" s="150" t="s">
        <v>390</v>
      </c>
      <c r="E159" s="32">
        <v>40000</v>
      </c>
      <c r="F159" s="32">
        <f t="shared" ref="F159:F164" si="52">ROUND(E159,0)</f>
        <v>40000</v>
      </c>
      <c r="G159" s="31">
        <f t="shared" si="39"/>
        <v>0</v>
      </c>
      <c r="H159" s="148"/>
      <c r="I159" s="31">
        <f t="shared" ref="I159:I164" si="53">ROUND(F159,0)</f>
        <v>40000</v>
      </c>
      <c r="J159" s="31">
        <f t="shared" si="40"/>
        <v>0</v>
      </c>
      <c r="K159" s="148"/>
      <c r="L159" s="31">
        <f>ROUND(I159,0)+1630</f>
        <v>41630</v>
      </c>
      <c r="M159" s="31">
        <f t="shared" si="41"/>
        <v>1630</v>
      </c>
      <c r="N159" s="148" t="s">
        <v>391</v>
      </c>
      <c r="O159" s="31">
        <f t="shared" ref="O159:O164" si="54">ROUND(L159,0)</f>
        <v>41630</v>
      </c>
      <c r="P159" s="31">
        <f t="shared" si="42"/>
        <v>0</v>
      </c>
      <c r="Q159" s="148"/>
    </row>
    <row r="160" spans="2:17" ht="16.5" customHeight="1" x14ac:dyDescent="0.25">
      <c r="B160" s="64" t="s">
        <v>388</v>
      </c>
      <c r="C160" s="140" t="s">
        <v>392</v>
      </c>
      <c r="D160" s="150" t="s">
        <v>393</v>
      </c>
      <c r="E160" s="32">
        <v>10000</v>
      </c>
      <c r="F160" s="32">
        <f t="shared" si="52"/>
        <v>10000</v>
      </c>
      <c r="G160" s="31">
        <f t="shared" si="39"/>
        <v>0</v>
      </c>
      <c r="H160" s="148"/>
      <c r="I160" s="31">
        <f t="shared" si="53"/>
        <v>10000</v>
      </c>
      <c r="J160" s="31">
        <f t="shared" si="40"/>
        <v>0</v>
      </c>
      <c r="K160" s="148"/>
      <c r="L160" s="31">
        <f>ROUND(I160,0)</f>
        <v>10000</v>
      </c>
      <c r="M160" s="31">
        <f t="shared" si="41"/>
        <v>0</v>
      </c>
      <c r="N160" s="148"/>
      <c r="O160" s="31">
        <f t="shared" si="54"/>
        <v>10000</v>
      </c>
      <c r="P160" s="31">
        <f t="shared" si="42"/>
        <v>0</v>
      </c>
      <c r="Q160" s="148"/>
    </row>
    <row r="161" spans="2:17" ht="28.15" customHeight="1" x14ac:dyDescent="0.25">
      <c r="B161" s="64" t="s">
        <v>394</v>
      </c>
      <c r="C161" s="151" t="s">
        <v>395</v>
      </c>
      <c r="D161" s="152" t="s">
        <v>396</v>
      </c>
      <c r="E161" s="32">
        <v>42000</v>
      </c>
      <c r="F161" s="32">
        <f>ROUND(E161,0)+18000</f>
        <v>60000</v>
      </c>
      <c r="G161" s="31">
        <f t="shared" si="39"/>
        <v>18000</v>
      </c>
      <c r="H161" s="148" t="s">
        <v>397</v>
      </c>
      <c r="I161" s="31">
        <f t="shared" si="53"/>
        <v>60000</v>
      </c>
      <c r="J161" s="31">
        <f t="shared" si="40"/>
        <v>0</v>
      </c>
      <c r="K161" s="148"/>
      <c r="L161" s="31">
        <f>ROUND(I161,0)</f>
        <v>60000</v>
      </c>
      <c r="M161" s="31">
        <f t="shared" si="41"/>
        <v>0</v>
      </c>
      <c r="N161" s="148"/>
      <c r="O161" s="31">
        <f t="shared" si="54"/>
        <v>60000</v>
      </c>
      <c r="P161" s="31">
        <f t="shared" si="42"/>
        <v>0</v>
      </c>
      <c r="Q161" s="148"/>
    </row>
    <row r="162" spans="2:17" ht="32.450000000000003" customHeight="1" x14ac:dyDescent="0.25">
      <c r="B162" s="64" t="s">
        <v>398</v>
      </c>
      <c r="C162" s="151" t="s">
        <v>399</v>
      </c>
      <c r="D162" s="153" t="s">
        <v>400</v>
      </c>
      <c r="E162" s="32">
        <v>85290</v>
      </c>
      <c r="F162" s="32">
        <f t="shared" si="52"/>
        <v>85290</v>
      </c>
      <c r="G162" s="31">
        <f t="shared" si="39"/>
        <v>0</v>
      </c>
      <c r="H162" s="148"/>
      <c r="I162" s="31">
        <f t="shared" si="53"/>
        <v>85290</v>
      </c>
      <c r="J162" s="31">
        <f t="shared" si="40"/>
        <v>0</v>
      </c>
      <c r="K162" s="148"/>
      <c r="L162" s="31">
        <f>ROUND(I162,0)</f>
        <v>85290</v>
      </c>
      <c r="M162" s="31">
        <f t="shared" si="41"/>
        <v>0</v>
      </c>
      <c r="N162" s="148"/>
      <c r="O162" s="31">
        <f t="shared" si="54"/>
        <v>85290</v>
      </c>
      <c r="P162" s="31">
        <f t="shared" si="42"/>
        <v>0</v>
      </c>
      <c r="Q162" s="148"/>
    </row>
    <row r="163" spans="2:17" ht="15.75" customHeight="1" x14ac:dyDescent="0.25">
      <c r="B163" s="64" t="s">
        <v>401</v>
      </c>
      <c r="C163" s="151" t="s">
        <v>402</v>
      </c>
      <c r="D163" s="153" t="s">
        <v>233</v>
      </c>
      <c r="E163" s="32">
        <v>236171</v>
      </c>
      <c r="F163" s="32">
        <f t="shared" si="52"/>
        <v>236171</v>
      </c>
      <c r="G163" s="31">
        <f t="shared" si="39"/>
        <v>0</v>
      </c>
      <c r="H163" s="148"/>
      <c r="I163" s="31">
        <f t="shared" si="53"/>
        <v>236171</v>
      </c>
      <c r="J163" s="31">
        <f t="shared" si="40"/>
        <v>0</v>
      </c>
      <c r="K163" s="148"/>
      <c r="L163" s="31">
        <f>ROUND(I163,0)</f>
        <v>236171</v>
      </c>
      <c r="M163" s="31">
        <f t="shared" si="41"/>
        <v>0</v>
      </c>
      <c r="N163" s="148"/>
      <c r="O163" s="31">
        <f t="shared" si="54"/>
        <v>236171</v>
      </c>
      <c r="P163" s="31">
        <f t="shared" si="42"/>
        <v>0</v>
      </c>
      <c r="Q163" s="148"/>
    </row>
    <row r="164" spans="2:17" ht="25.15" customHeight="1" x14ac:dyDescent="0.25">
      <c r="B164" s="64" t="s">
        <v>403</v>
      </c>
      <c r="C164" s="151" t="s">
        <v>404</v>
      </c>
      <c r="D164" s="153" t="s">
        <v>198</v>
      </c>
      <c r="E164" s="32">
        <v>53240</v>
      </c>
      <c r="F164" s="32">
        <f t="shared" si="52"/>
        <v>53240</v>
      </c>
      <c r="G164" s="31">
        <f t="shared" si="39"/>
        <v>0</v>
      </c>
      <c r="H164" s="49"/>
      <c r="I164" s="31">
        <f t="shared" si="53"/>
        <v>53240</v>
      </c>
      <c r="J164" s="31">
        <f t="shared" si="40"/>
        <v>0</v>
      </c>
      <c r="K164" s="49"/>
      <c r="L164" s="31">
        <f>ROUND(I164,0)</f>
        <v>53240</v>
      </c>
      <c r="M164" s="31">
        <f t="shared" si="41"/>
        <v>0</v>
      </c>
      <c r="N164" s="49"/>
      <c r="O164" s="31">
        <f t="shared" si="54"/>
        <v>53240</v>
      </c>
      <c r="P164" s="31">
        <f t="shared" si="42"/>
        <v>0</v>
      </c>
      <c r="Q164" s="49"/>
    </row>
    <row r="165" spans="2:17" ht="13.15" customHeight="1" x14ac:dyDescent="0.25">
      <c r="B165" s="64" t="s">
        <v>183</v>
      </c>
      <c r="C165" s="151" t="s">
        <v>405</v>
      </c>
      <c r="D165" s="68" t="s">
        <v>406</v>
      </c>
      <c r="E165" s="32">
        <v>32020</v>
      </c>
      <c r="F165" s="32">
        <f>32020-18000-5033</f>
        <v>8987</v>
      </c>
      <c r="G165" s="31">
        <f t="shared" si="39"/>
        <v>-23033</v>
      </c>
      <c r="H165" s="148" t="s">
        <v>407</v>
      </c>
      <c r="I165" s="31">
        <f>32020-18000-5033</f>
        <v>8987</v>
      </c>
      <c r="J165" s="31">
        <f t="shared" si="40"/>
        <v>0</v>
      </c>
      <c r="K165" s="148"/>
      <c r="L165" s="31">
        <f>32020-18000-5033</f>
        <v>8987</v>
      </c>
      <c r="M165" s="31">
        <f t="shared" si="41"/>
        <v>0</v>
      </c>
      <c r="N165" s="148"/>
      <c r="O165" s="31">
        <f>32020-18000-5033</f>
        <v>8987</v>
      </c>
      <c r="P165" s="31">
        <f t="shared" si="42"/>
        <v>0</v>
      </c>
      <c r="Q165" s="148"/>
    </row>
    <row r="166" spans="2:17" ht="40.9" customHeight="1" x14ac:dyDescent="0.25">
      <c r="B166" s="64" t="s">
        <v>266</v>
      </c>
      <c r="C166" s="151" t="s">
        <v>408</v>
      </c>
      <c r="D166" s="153" t="s">
        <v>409</v>
      </c>
      <c r="E166" s="32">
        <v>4136</v>
      </c>
      <c r="F166" s="32">
        <v>4136</v>
      </c>
      <c r="G166" s="31">
        <f t="shared" si="39"/>
        <v>0</v>
      </c>
      <c r="H166" s="148"/>
      <c r="I166" s="31">
        <f>4136-1298</f>
        <v>2838</v>
      </c>
      <c r="J166" s="31">
        <f t="shared" si="40"/>
        <v>-1298</v>
      </c>
      <c r="K166" s="356" t="s">
        <v>410</v>
      </c>
      <c r="L166" s="31">
        <f>4136-1298-1630</f>
        <v>1208</v>
      </c>
      <c r="M166" s="31">
        <f t="shared" si="41"/>
        <v>-1630</v>
      </c>
      <c r="N166" s="148" t="s">
        <v>391</v>
      </c>
      <c r="O166" s="31">
        <f>4136-1298-1630-1000</f>
        <v>208</v>
      </c>
      <c r="P166" s="31">
        <f t="shared" si="42"/>
        <v>-1000</v>
      </c>
      <c r="Q166" s="148" t="s">
        <v>411</v>
      </c>
    </row>
    <row r="167" spans="2:17" ht="32.450000000000003" customHeight="1" x14ac:dyDescent="0.25">
      <c r="B167" s="64" t="s">
        <v>412</v>
      </c>
      <c r="C167" s="151" t="s">
        <v>413</v>
      </c>
      <c r="D167" s="153" t="s">
        <v>235</v>
      </c>
      <c r="E167" s="32">
        <v>15000</v>
      </c>
      <c r="F167" s="32">
        <v>15000</v>
      </c>
      <c r="G167" s="31">
        <f t="shared" si="39"/>
        <v>0</v>
      </c>
      <c r="H167" s="148"/>
      <c r="I167" s="31">
        <f>15000+1298</f>
        <v>16298</v>
      </c>
      <c r="J167" s="31">
        <f t="shared" si="40"/>
        <v>1298</v>
      </c>
      <c r="K167" s="357"/>
      <c r="L167" s="31">
        <f>15000+1298</f>
        <v>16298</v>
      </c>
      <c r="M167" s="31">
        <f t="shared" si="41"/>
        <v>0</v>
      </c>
      <c r="N167" s="154"/>
      <c r="O167" s="31">
        <f>15000+1298+73</f>
        <v>16371</v>
      </c>
      <c r="P167" s="31">
        <f t="shared" si="42"/>
        <v>73</v>
      </c>
      <c r="Q167" s="154" t="s">
        <v>414</v>
      </c>
    </row>
    <row r="168" spans="2:17" ht="29.25" customHeight="1" x14ac:dyDescent="0.25">
      <c r="C168" s="131" t="s">
        <v>415</v>
      </c>
      <c r="D168" s="142" t="s">
        <v>416</v>
      </c>
      <c r="E168" s="144">
        <v>14073176.489507999</v>
      </c>
      <c r="F168" s="144">
        <f t="shared" ref="F168" si="55">SUM(F169:F174,F178:F186)</f>
        <v>14073176</v>
      </c>
      <c r="G168" s="143">
        <f t="shared" si="39"/>
        <v>-0.4895079992711544</v>
      </c>
      <c r="H168" s="155"/>
      <c r="I168" s="143">
        <f>SUM(I169:I174,I178:I186)</f>
        <v>14408694</v>
      </c>
      <c r="J168" s="143">
        <f t="shared" si="40"/>
        <v>335518</v>
      </c>
      <c r="K168" s="155"/>
      <c r="L168" s="143">
        <f>SUM(L169:L174,L178:L186)</f>
        <v>14486020</v>
      </c>
      <c r="M168" s="143">
        <f t="shared" si="41"/>
        <v>77326</v>
      </c>
      <c r="N168" s="155"/>
      <c r="O168" s="143">
        <f>SUM(O169:O174,O178:O186)</f>
        <v>14422495</v>
      </c>
      <c r="P168" s="143">
        <f t="shared" si="42"/>
        <v>-63525</v>
      </c>
      <c r="Q168" s="155"/>
    </row>
    <row r="169" spans="2:17" s="70" customFormat="1" ht="17.25" hidden="1" customHeight="1" outlineLevel="1" x14ac:dyDescent="0.25">
      <c r="C169" s="156" t="s">
        <v>417</v>
      </c>
      <c r="D169" s="157" t="s">
        <v>418</v>
      </c>
      <c r="E169" s="32">
        <v>0</v>
      </c>
      <c r="F169" s="32">
        <f>ROUND(E169,0)</f>
        <v>0</v>
      </c>
      <c r="G169" s="31">
        <f t="shared" si="39"/>
        <v>0</v>
      </c>
      <c r="H169" s="158"/>
      <c r="I169" s="31">
        <f>ROUND(F169,0)</f>
        <v>0</v>
      </c>
      <c r="J169" s="31">
        <f t="shared" si="40"/>
        <v>0</v>
      </c>
      <c r="K169" s="158"/>
      <c r="L169" s="31">
        <f>ROUND(I169,0)</f>
        <v>0</v>
      </c>
      <c r="M169" s="31">
        <f t="shared" si="41"/>
        <v>0</v>
      </c>
      <c r="N169" s="158"/>
      <c r="O169" s="31">
        <f>ROUND(L169,0)</f>
        <v>0</v>
      </c>
      <c r="P169" s="31">
        <f t="shared" si="42"/>
        <v>0</v>
      </c>
      <c r="Q169" s="158"/>
    </row>
    <row r="170" spans="2:17" ht="15.75" customHeight="1" collapsed="1" x14ac:dyDescent="0.25">
      <c r="B170" s="64" t="s">
        <v>419</v>
      </c>
      <c r="C170" s="140" t="s">
        <v>417</v>
      </c>
      <c r="D170" s="159" t="s">
        <v>420</v>
      </c>
      <c r="E170" s="32">
        <v>160572.14087500004</v>
      </c>
      <c r="F170" s="32">
        <f>ROUND(E170,0)</f>
        <v>160572</v>
      </c>
      <c r="G170" s="31">
        <f t="shared" si="39"/>
        <v>-0.14087500004097819</v>
      </c>
      <c r="H170" s="154"/>
      <c r="I170" s="31">
        <f>ROUND(F170,0)</f>
        <v>160572</v>
      </c>
      <c r="J170" s="31">
        <f t="shared" si="40"/>
        <v>0</v>
      </c>
      <c r="K170" s="154"/>
      <c r="L170" s="31">
        <f>ROUND(I170,0)</f>
        <v>160572</v>
      </c>
      <c r="M170" s="31">
        <f t="shared" si="41"/>
        <v>0</v>
      </c>
      <c r="N170" s="154"/>
      <c r="O170" s="31">
        <f>ROUND(L170,0)</f>
        <v>160572</v>
      </c>
      <c r="P170" s="31">
        <f t="shared" si="42"/>
        <v>0</v>
      </c>
      <c r="Q170" s="154"/>
    </row>
    <row r="171" spans="2:17" ht="13.9" customHeight="1" x14ac:dyDescent="0.25">
      <c r="B171" s="64" t="s">
        <v>421</v>
      </c>
      <c r="C171" s="140" t="s">
        <v>422</v>
      </c>
      <c r="D171" s="153" t="s">
        <v>423</v>
      </c>
      <c r="E171" s="32">
        <v>355701</v>
      </c>
      <c r="F171" s="32">
        <f t="shared" ref="F171:F183" si="56">ROUND(E171,0)</f>
        <v>355701</v>
      </c>
      <c r="G171" s="31">
        <f t="shared" si="39"/>
        <v>0</v>
      </c>
      <c r="H171" s="148"/>
      <c r="I171" s="31">
        <f>ROUND(F171,0)</f>
        <v>355701</v>
      </c>
      <c r="J171" s="31">
        <f t="shared" si="40"/>
        <v>0</v>
      </c>
      <c r="K171" s="148"/>
      <c r="L171" s="31">
        <f>ROUND(I171,0)</f>
        <v>355701</v>
      </c>
      <c r="M171" s="31">
        <f t="shared" si="41"/>
        <v>0</v>
      </c>
      <c r="N171" s="148"/>
      <c r="O171" s="31">
        <f>ROUND(L171,0)</f>
        <v>355701</v>
      </c>
      <c r="P171" s="31">
        <f t="shared" si="42"/>
        <v>0</v>
      </c>
      <c r="Q171" s="148"/>
    </row>
    <row r="172" spans="2:17" ht="27" customHeight="1" x14ac:dyDescent="0.25">
      <c r="B172" s="64" t="s">
        <v>193</v>
      </c>
      <c r="C172" s="151" t="s">
        <v>424</v>
      </c>
      <c r="D172" s="153" t="s">
        <v>307</v>
      </c>
      <c r="E172" s="32">
        <v>891139</v>
      </c>
      <c r="F172" s="32">
        <f t="shared" si="56"/>
        <v>891139</v>
      </c>
      <c r="G172" s="31">
        <f t="shared" si="39"/>
        <v>0</v>
      </c>
      <c r="H172" s="148"/>
      <c r="I172" s="31">
        <f>ROUND(F172,0)</f>
        <v>891139</v>
      </c>
      <c r="J172" s="31">
        <f t="shared" si="40"/>
        <v>0</v>
      </c>
      <c r="K172" s="148"/>
      <c r="L172" s="31">
        <f>ROUND(I172,0)</f>
        <v>891139</v>
      </c>
      <c r="M172" s="31">
        <f t="shared" si="41"/>
        <v>0</v>
      </c>
      <c r="N172" s="148"/>
      <c r="O172" s="31">
        <f>ROUND(L172,0)</f>
        <v>891139</v>
      </c>
      <c r="P172" s="31">
        <f t="shared" si="42"/>
        <v>0</v>
      </c>
      <c r="Q172" s="148"/>
    </row>
    <row r="173" spans="2:17" ht="25.9" customHeight="1" x14ac:dyDescent="0.25">
      <c r="B173" s="64" t="s">
        <v>425</v>
      </c>
      <c r="C173" s="140" t="s">
        <v>426</v>
      </c>
      <c r="D173" s="159" t="s">
        <v>427</v>
      </c>
      <c r="E173" s="32">
        <v>3779449</v>
      </c>
      <c r="F173" s="32">
        <f t="shared" si="56"/>
        <v>3779449</v>
      </c>
      <c r="G173" s="31">
        <f t="shared" si="39"/>
        <v>0</v>
      </c>
      <c r="H173" s="148"/>
      <c r="I173" s="31">
        <f>ROUND(F173,0)</f>
        <v>3779449</v>
      </c>
      <c r="J173" s="31">
        <f t="shared" si="40"/>
        <v>0</v>
      </c>
      <c r="K173" s="148"/>
      <c r="L173" s="31">
        <f>ROUND(I173,0)</f>
        <v>3779449</v>
      </c>
      <c r="M173" s="31">
        <f t="shared" si="41"/>
        <v>0</v>
      </c>
      <c r="N173" s="148"/>
      <c r="O173" s="31">
        <f>ROUND(L173,0)</f>
        <v>3779449</v>
      </c>
      <c r="P173" s="31">
        <f t="shared" si="42"/>
        <v>0</v>
      </c>
      <c r="Q173" s="148"/>
    </row>
    <row r="174" spans="2:17" ht="32.25" customHeight="1" x14ac:dyDescent="0.25">
      <c r="B174" s="64" t="s">
        <v>5</v>
      </c>
      <c r="C174" s="140" t="s">
        <v>428</v>
      </c>
      <c r="D174" s="159" t="s">
        <v>429</v>
      </c>
      <c r="E174" s="160">
        <v>5552774.9964329991</v>
      </c>
      <c r="F174" s="160">
        <f>SUM(F175:F177)</f>
        <v>5552775</v>
      </c>
      <c r="G174" s="31">
        <f t="shared" si="39"/>
        <v>3.5670008510351181E-3</v>
      </c>
      <c r="H174" s="148"/>
      <c r="I174" s="80">
        <f>SUM(I175:I177)</f>
        <v>5888293</v>
      </c>
      <c r="J174" s="31">
        <f t="shared" si="40"/>
        <v>335518</v>
      </c>
      <c r="K174" s="148"/>
      <c r="L174" s="80">
        <f>SUM(L175:L177)</f>
        <v>5908293</v>
      </c>
      <c r="M174" s="31">
        <f t="shared" si="41"/>
        <v>20000</v>
      </c>
      <c r="N174" s="148"/>
      <c r="O174" s="80">
        <f>SUM(O175:O177)</f>
        <v>5825768</v>
      </c>
      <c r="P174" s="31">
        <f t="shared" si="42"/>
        <v>-82525</v>
      </c>
      <c r="Q174" s="148"/>
    </row>
    <row r="175" spans="2:17" ht="120" customHeight="1" x14ac:dyDescent="0.25">
      <c r="B175" s="64"/>
      <c r="C175" s="161" t="s">
        <v>430</v>
      </c>
      <c r="D175" s="162" t="s">
        <v>431</v>
      </c>
      <c r="E175" s="160">
        <v>4996040.3361329995</v>
      </c>
      <c r="F175" s="160">
        <f t="shared" si="56"/>
        <v>4996040</v>
      </c>
      <c r="G175" s="31">
        <f t="shared" si="39"/>
        <v>-0.33613299950957298</v>
      </c>
      <c r="H175" s="148"/>
      <c r="I175" s="80">
        <f>ROUND(F175,0)-18000+16000+21000+30000+5000+30000+12000+36000+(54000+126000)+15597</f>
        <v>5323637</v>
      </c>
      <c r="J175" s="34">
        <f t="shared" si="40"/>
        <v>327597</v>
      </c>
      <c r="K175" s="149" t="s">
        <v>432</v>
      </c>
      <c r="L175" s="80">
        <f>ROUND(I175,0)-17977-99-410-4242-202-86-55-19408-8457</f>
        <v>5272701</v>
      </c>
      <c r="M175" s="31">
        <f t="shared" si="41"/>
        <v>-50936</v>
      </c>
      <c r="N175" s="148" t="s">
        <v>433</v>
      </c>
      <c r="O175" s="80">
        <f>ROUND(L175,0)-50000+25175-54000-3700</f>
        <v>5190176</v>
      </c>
      <c r="P175" s="31">
        <f t="shared" si="42"/>
        <v>-82525</v>
      </c>
      <c r="Q175" s="148" t="s">
        <v>889</v>
      </c>
    </row>
    <row r="176" spans="2:17" ht="16.899999999999999" customHeight="1" x14ac:dyDescent="0.25">
      <c r="B176" s="64"/>
      <c r="C176" s="161" t="s">
        <v>434</v>
      </c>
      <c r="D176" s="162" t="s">
        <v>435</v>
      </c>
      <c r="E176" s="160">
        <v>295000</v>
      </c>
      <c r="F176" s="160">
        <f t="shared" si="56"/>
        <v>295000</v>
      </c>
      <c r="G176" s="31">
        <f t="shared" si="39"/>
        <v>0</v>
      </c>
      <c r="H176" s="148"/>
      <c r="I176" s="80">
        <f t="shared" ref="I176:I186" si="57">ROUND(F176,0)</f>
        <v>295000</v>
      </c>
      <c r="J176" s="31">
        <f t="shared" si="40"/>
        <v>0</v>
      </c>
      <c r="K176" s="148"/>
      <c r="L176" s="80">
        <f>ROUND(I176,0)+27920</f>
        <v>322920</v>
      </c>
      <c r="M176" s="31">
        <f t="shared" si="41"/>
        <v>27920</v>
      </c>
      <c r="N176" s="148"/>
      <c r="O176" s="80">
        <f>ROUND(L176,0)</f>
        <v>322920</v>
      </c>
      <c r="P176" s="31">
        <f t="shared" si="42"/>
        <v>0</v>
      </c>
      <c r="Q176" s="148"/>
    </row>
    <row r="177" spans="2:17" ht="15" customHeight="1" x14ac:dyDescent="0.25">
      <c r="B177" s="64"/>
      <c r="C177" s="161" t="s">
        <v>436</v>
      </c>
      <c r="D177" s="162" t="s">
        <v>437</v>
      </c>
      <c r="E177" s="160">
        <v>261734.66029999999</v>
      </c>
      <c r="F177" s="160">
        <f t="shared" si="56"/>
        <v>261735</v>
      </c>
      <c r="G177" s="31">
        <f t="shared" si="39"/>
        <v>0.33970000001136214</v>
      </c>
      <c r="H177" s="148"/>
      <c r="I177" s="80">
        <f>ROUND(F177,0)+7921</f>
        <v>269656</v>
      </c>
      <c r="J177" s="31">
        <f t="shared" si="40"/>
        <v>7921</v>
      </c>
      <c r="K177" s="148" t="s">
        <v>438</v>
      </c>
      <c r="L177" s="80">
        <f>ROUND(I177,0)+17977+99+410+4242+202+86+20000</f>
        <v>312672</v>
      </c>
      <c r="M177" s="31">
        <f t="shared" si="41"/>
        <v>43016</v>
      </c>
      <c r="N177" s="148" t="s">
        <v>439</v>
      </c>
      <c r="O177" s="80">
        <f>ROUND(L177,0)</f>
        <v>312672</v>
      </c>
      <c r="P177" s="31">
        <f t="shared" si="42"/>
        <v>0</v>
      </c>
      <c r="Q177" s="148"/>
    </row>
    <row r="178" spans="2:17" ht="29.25" hidden="1" customHeight="1" outlineLevel="1" x14ac:dyDescent="0.25">
      <c r="B178" s="64" t="s">
        <v>440</v>
      </c>
      <c r="C178" s="140" t="s">
        <v>441</v>
      </c>
      <c r="D178" s="159" t="s">
        <v>442</v>
      </c>
      <c r="E178" s="32">
        <v>0</v>
      </c>
      <c r="F178" s="32">
        <f t="shared" si="56"/>
        <v>0</v>
      </c>
      <c r="G178" s="31">
        <f t="shared" si="39"/>
        <v>0</v>
      </c>
      <c r="H178" s="49"/>
      <c r="I178" s="31">
        <f t="shared" si="57"/>
        <v>0</v>
      </c>
      <c r="J178" s="31">
        <f t="shared" si="40"/>
        <v>0</v>
      </c>
      <c r="K178" s="49"/>
      <c r="L178" s="31">
        <f t="shared" ref="L178:L186" si="58">ROUND(I178,0)</f>
        <v>0</v>
      </c>
      <c r="M178" s="31">
        <f t="shared" si="41"/>
        <v>0</v>
      </c>
      <c r="N178" s="49"/>
      <c r="O178" s="31">
        <f t="shared" ref="O178:O180" si="59">ROUND(L178,0)</f>
        <v>0</v>
      </c>
      <c r="P178" s="31">
        <f t="shared" si="42"/>
        <v>0</v>
      </c>
      <c r="Q178" s="49"/>
    </row>
    <row r="179" spans="2:17" ht="39.6" customHeight="1" collapsed="1" x14ac:dyDescent="0.25">
      <c r="B179" s="64" t="s">
        <v>443</v>
      </c>
      <c r="C179" s="151" t="s">
        <v>444</v>
      </c>
      <c r="D179" s="153" t="s">
        <v>201</v>
      </c>
      <c r="E179" s="32">
        <v>391245.35220000002</v>
      </c>
      <c r="F179" s="32">
        <f t="shared" si="56"/>
        <v>391245</v>
      </c>
      <c r="G179" s="31">
        <f t="shared" si="39"/>
        <v>-0.35220000002300367</v>
      </c>
      <c r="H179" s="148"/>
      <c r="I179" s="31">
        <f t="shared" si="57"/>
        <v>391245</v>
      </c>
      <c r="J179" s="31">
        <f t="shared" si="40"/>
        <v>0</v>
      </c>
      <c r="K179" s="148"/>
      <c r="L179" s="31">
        <f t="shared" si="58"/>
        <v>391245</v>
      </c>
      <c r="M179" s="31">
        <f t="shared" si="41"/>
        <v>0</v>
      </c>
      <c r="N179" s="148"/>
      <c r="O179" s="31">
        <f t="shared" si="59"/>
        <v>391245</v>
      </c>
      <c r="P179" s="31">
        <f t="shared" si="42"/>
        <v>0</v>
      </c>
      <c r="Q179" s="148"/>
    </row>
    <row r="180" spans="2:17" ht="16.149999999999999" customHeight="1" x14ac:dyDescent="0.25">
      <c r="B180" s="64" t="s">
        <v>421</v>
      </c>
      <c r="C180" s="151" t="s">
        <v>445</v>
      </c>
      <c r="D180" s="153" t="s">
        <v>446</v>
      </c>
      <c r="E180" s="32">
        <v>32000</v>
      </c>
      <c r="F180" s="32">
        <f t="shared" si="56"/>
        <v>32000</v>
      </c>
      <c r="G180" s="31">
        <f t="shared" si="39"/>
        <v>0</v>
      </c>
      <c r="H180" s="148"/>
      <c r="I180" s="31">
        <f t="shared" si="57"/>
        <v>32000</v>
      </c>
      <c r="J180" s="31">
        <f t="shared" si="40"/>
        <v>0</v>
      </c>
      <c r="K180" s="148"/>
      <c r="L180" s="31">
        <f t="shared" si="58"/>
        <v>32000</v>
      </c>
      <c r="M180" s="31">
        <f t="shared" si="41"/>
        <v>0</v>
      </c>
      <c r="N180" s="148" t="s">
        <v>447</v>
      </c>
      <c r="O180" s="31">
        <f t="shared" si="59"/>
        <v>32000</v>
      </c>
      <c r="P180" s="31">
        <f t="shared" si="42"/>
        <v>0</v>
      </c>
      <c r="Q180" s="148"/>
    </row>
    <row r="181" spans="2:17" ht="46.9" customHeight="1" x14ac:dyDescent="0.25">
      <c r="B181" s="64"/>
      <c r="C181" s="151" t="s">
        <v>448</v>
      </c>
      <c r="D181" s="153" t="s">
        <v>318</v>
      </c>
      <c r="E181" s="32">
        <v>293146</v>
      </c>
      <c r="F181" s="32">
        <f t="shared" si="56"/>
        <v>293146</v>
      </c>
      <c r="G181" s="31">
        <f t="shared" si="39"/>
        <v>0</v>
      </c>
      <c r="H181" s="148"/>
      <c r="I181" s="31">
        <f t="shared" si="57"/>
        <v>293146</v>
      </c>
      <c r="J181" s="31">
        <f t="shared" si="40"/>
        <v>0</v>
      </c>
      <c r="K181" s="148"/>
      <c r="L181" s="31">
        <f>ROUND(I181,0)+57326</f>
        <v>350472</v>
      </c>
      <c r="M181" s="31">
        <f t="shared" si="41"/>
        <v>57326</v>
      </c>
      <c r="N181" s="148" t="s">
        <v>319</v>
      </c>
      <c r="O181" s="31">
        <f>ROUND(L181,0)-27000</f>
        <v>323472</v>
      </c>
      <c r="P181" s="31">
        <f t="shared" si="42"/>
        <v>-27000</v>
      </c>
      <c r="Q181" s="148" t="s">
        <v>449</v>
      </c>
    </row>
    <row r="182" spans="2:17" ht="60.6" customHeight="1" x14ac:dyDescent="0.25">
      <c r="B182" s="64"/>
      <c r="C182" s="151" t="s">
        <v>450</v>
      </c>
      <c r="D182" s="153" t="s">
        <v>321</v>
      </c>
      <c r="E182" s="32">
        <v>180000</v>
      </c>
      <c r="F182" s="32">
        <f t="shared" si="56"/>
        <v>180000</v>
      </c>
      <c r="G182" s="31">
        <f t="shared" si="39"/>
        <v>0</v>
      </c>
      <c r="H182" s="148"/>
      <c r="I182" s="31">
        <f t="shared" si="57"/>
        <v>180000</v>
      </c>
      <c r="J182" s="31">
        <f t="shared" si="40"/>
        <v>0</v>
      </c>
      <c r="K182" s="148"/>
      <c r="L182" s="31">
        <f t="shared" si="58"/>
        <v>180000</v>
      </c>
      <c r="M182" s="31">
        <f t="shared" si="41"/>
        <v>0</v>
      </c>
      <c r="N182" s="148"/>
      <c r="O182" s="31">
        <f>ROUND(L182,0)-8000-7875</f>
        <v>164125</v>
      </c>
      <c r="P182" s="31">
        <f t="shared" si="42"/>
        <v>-15875</v>
      </c>
      <c r="Q182" s="148" t="s">
        <v>451</v>
      </c>
    </row>
    <row r="183" spans="2:17" ht="54.6" customHeight="1" x14ac:dyDescent="0.25">
      <c r="B183" s="64"/>
      <c r="C183" s="151" t="s">
        <v>452</v>
      </c>
      <c r="D183" s="164" t="s">
        <v>314</v>
      </c>
      <c r="E183" s="32">
        <v>645000</v>
      </c>
      <c r="F183" s="32">
        <f t="shared" si="56"/>
        <v>645000</v>
      </c>
      <c r="G183" s="31">
        <f t="shared" si="39"/>
        <v>0</v>
      </c>
      <c r="H183" s="148"/>
      <c r="I183" s="31">
        <f t="shared" si="57"/>
        <v>645000</v>
      </c>
      <c r="J183" s="31">
        <f t="shared" si="40"/>
        <v>0</v>
      </c>
      <c r="K183" s="148"/>
      <c r="L183" s="31">
        <f t="shared" si="58"/>
        <v>645000</v>
      </c>
      <c r="M183" s="31">
        <f t="shared" si="41"/>
        <v>0</v>
      </c>
      <c r="N183" s="148"/>
      <c r="O183" s="31">
        <f>ROUND(L183,0)+54000+7875</f>
        <v>706875</v>
      </c>
      <c r="P183" s="31">
        <f t="shared" si="42"/>
        <v>61875</v>
      </c>
      <c r="Q183" s="165" t="s">
        <v>453</v>
      </c>
    </row>
    <row r="184" spans="2:17" ht="18.600000000000001" customHeight="1" x14ac:dyDescent="0.25">
      <c r="B184" s="64"/>
      <c r="C184" s="151" t="s">
        <v>454</v>
      </c>
      <c r="D184" s="159" t="s">
        <v>237</v>
      </c>
      <c r="E184" s="32">
        <v>546771</v>
      </c>
      <c r="F184" s="32">
        <f>ROUND(E184,0)</f>
        <v>546771</v>
      </c>
      <c r="G184" s="31">
        <f>F184-E184</f>
        <v>0</v>
      </c>
      <c r="H184" s="148"/>
      <c r="I184" s="31">
        <f t="shared" si="57"/>
        <v>546771</v>
      </c>
      <c r="J184" s="31">
        <f t="shared" si="40"/>
        <v>0</v>
      </c>
      <c r="K184" s="148"/>
      <c r="L184" s="31">
        <f t="shared" si="58"/>
        <v>546771</v>
      </c>
      <c r="M184" s="31">
        <f t="shared" si="41"/>
        <v>0</v>
      </c>
      <c r="N184" s="148" t="s">
        <v>447</v>
      </c>
      <c r="O184" s="31">
        <f t="shared" ref="O184:O186" si="60">ROUND(L184,0)</f>
        <v>546771</v>
      </c>
      <c r="P184" s="31">
        <f t="shared" si="42"/>
        <v>0</v>
      </c>
      <c r="Q184" s="148"/>
    </row>
    <row r="185" spans="2:17" ht="18" customHeight="1" x14ac:dyDescent="0.25">
      <c r="B185" s="64"/>
      <c r="C185" s="151" t="s">
        <v>455</v>
      </c>
      <c r="D185" s="159" t="s">
        <v>239</v>
      </c>
      <c r="E185" s="32">
        <v>1204480</v>
      </c>
      <c r="F185" s="32">
        <f>ROUND(E185,0)</f>
        <v>1204480</v>
      </c>
      <c r="G185" s="31">
        <f>F185-E185</f>
        <v>0</v>
      </c>
      <c r="H185" s="148"/>
      <c r="I185" s="31">
        <f t="shared" si="57"/>
        <v>1204480</v>
      </c>
      <c r="J185" s="31">
        <f t="shared" si="40"/>
        <v>0</v>
      </c>
      <c r="K185" s="148"/>
      <c r="L185" s="31">
        <f t="shared" si="58"/>
        <v>1204480</v>
      </c>
      <c r="M185" s="31">
        <f t="shared" si="41"/>
        <v>0</v>
      </c>
      <c r="N185" s="148"/>
      <c r="O185" s="31">
        <f t="shared" si="60"/>
        <v>1204480</v>
      </c>
      <c r="P185" s="31">
        <f t="shared" si="42"/>
        <v>0</v>
      </c>
      <c r="Q185" s="148"/>
    </row>
    <row r="186" spans="2:17" ht="27.6" customHeight="1" x14ac:dyDescent="0.25">
      <c r="B186" s="64" t="s">
        <v>456</v>
      </c>
      <c r="C186" s="151" t="s">
        <v>457</v>
      </c>
      <c r="D186" s="164" t="s">
        <v>458</v>
      </c>
      <c r="E186" s="32">
        <v>40898</v>
      </c>
      <c r="F186" s="32">
        <f>ROUND(E186,0)</f>
        <v>40898</v>
      </c>
      <c r="G186" s="31">
        <f>F186-E186</f>
        <v>0</v>
      </c>
      <c r="H186" s="49"/>
      <c r="I186" s="31">
        <f t="shared" si="57"/>
        <v>40898</v>
      </c>
      <c r="J186" s="31">
        <f t="shared" si="40"/>
        <v>0</v>
      </c>
      <c r="K186" s="49"/>
      <c r="L186" s="31">
        <f t="shared" si="58"/>
        <v>40898</v>
      </c>
      <c r="M186" s="31">
        <f t="shared" si="41"/>
        <v>0</v>
      </c>
      <c r="N186" s="49"/>
      <c r="O186" s="31">
        <f t="shared" si="60"/>
        <v>40898</v>
      </c>
      <c r="P186" s="31">
        <f t="shared" si="42"/>
        <v>0</v>
      </c>
      <c r="Q186" s="49"/>
    </row>
    <row r="187" spans="2:17" x14ac:dyDescent="0.25">
      <c r="C187" s="136" t="s">
        <v>100</v>
      </c>
      <c r="D187" s="137" t="s">
        <v>459</v>
      </c>
      <c r="E187" s="38">
        <v>2486998.34369</v>
      </c>
      <c r="F187" s="38">
        <f t="shared" ref="F187" si="61">SUM(F188,F192:F199)</f>
        <v>2486999</v>
      </c>
      <c r="G187" s="37">
        <f>SUM(G188,G193:G199)</f>
        <v>0.25630999998065818</v>
      </c>
      <c r="H187" s="37"/>
      <c r="I187" s="37">
        <f>SUM(I188,I192:I199)</f>
        <v>2523654</v>
      </c>
      <c r="J187" s="37">
        <f t="shared" si="40"/>
        <v>36655</v>
      </c>
      <c r="K187" s="37"/>
      <c r="L187" s="37">
        <f>SUM(L188,L192:L199)</f>
        <v>2540654</v>
      </c>
      <c r="M187" s="37">
        <f t="shared" si="41"/>
        <v>17000</v>
      </c>
      <c r="N187" s="37"/>
      <c r="O187" s="37">
        <f>SUM(O188,O192:O199)</f>
        <v>2543558</v>
      </c>
      <c r="P187" s="37">
        <f t="shared" si="42"/>
        <v>2904</v>
      </c>
      <c r="Q187" s="37"/>
    </row>
    <row r="188" spans="2:17" ht="23.25" customHeight="1" x14ac:dyDescent="0.25">
      <c r="C188" s="131" t="s">
        <v>103</v>
      </c>
      <c r="D188" s="132" t="s">
        <v>460</v>
      </c>
      <c r="E188" s="66">
        <v>1187107.66267</v>
      </c>
      <c r="F188" s="66">
        <f t="shared" ref="F188:G188" si="62">SUM(F189:F191)</f>
        <v>1187108</v>
      </c>
      <c r="G188" s="54">
        <f t="shared" si="62"/>
        <v>0.3373299999802839</v>
      </c>
      <c r="H188" s="54"/>
      <c r="I188" s="54">
        <f>SUM(I189:I191)</f>
        <v>1189606</v>
      </c>
      <c r="J188" s="54">
        <f t="shared" si="40"/>
        <v>2498</v>
      </c>
      <c r="K188" s="54"/>
      <c r="L188" s="54">
        <f>SUM(L189:L191)</f>
        <v>1206606</v>
      </c>
      <c r="M188" s="54">
        <f t="shared" si="41"/>
        <v>17000</v>
      </c>
      <c r="N188" s="54"/>
      <c r="O188" s="54">
        <f>SUM(O189:O191)</f>
        <v>1206606</v>
      </c>
      <c r="P188" s="54">
        <f t="shared" si="42"/>
        <v>0</v>
      </c>
      <c r="Q188" s="54"/>
    </row>
    <row r="189" spans="2:17" ht="15" customHeight="1" x14ac:dyDescent="0.25">
      <c r="B189" s="64" t="s">
        <v>461</v>
      </c>
      <c r="C189" s="140" t="s">
        <v>462</v>
      </c>
      <c r="D189" s="141" t="s">
        <v>463</v>
      </c>
      <c r="E189" s="32">
        <v>589107.49502000003</v>
      </c>
      <c r="F189" s="32">
        <f>ROUND(E189,0)</f>
        <v>589107</v>
      </c>
      <c r="G189" s="31">
        <f t="shared" si="39"/>
        <v>-0.49502000003121793</v>
      </c>
      <c r="H189" s="148"/>
      <c r="I189" s="31">
        <f>ROUND(F189,0)+2498</f>
        <v>591605</v>
      </c>
      <c r="J189" s="34">
        <f t="shared" si="40"/>
        <v>2498</v>
      </c>
      <c r="K189" s="166" t="s">
        <v>464</v>
      </c>
      <c r="L189" s="31">
        <f>ROUND(I189,0)+17000</f>
        <v>608605</v>
      </c>
      <c r="M189" s="31">
        <f t="shared" si="41"/>
        <v>17000</v>
      </c>
      <c r="N189" s="167" t="s">
        <v>465</v>
      </c>
      <c r="O189" s="31">
        <f>ROUND(L189,0)</f>
        <v>608605</v>
      </c>
      <c r="P189" s="31">
        <f t="shared" si="42"/>
        <v>0</v>
      </c>
      <c r="Q189" s="167"/>
    </row>
    <row r="190" spans="2:17" ht="16.149999999999999" customHeight="1" x14ac:dyDescent="0.25">
      <c r="B190" s="64" t="s">
        <v>466</v>
      </c>
      <c r="C190" s="140" t="s">
        <v>467</v>
      </c>
      <c r="D190" s="141" t="s">
        <v>468</v>
      </c>
      <c r="E190" s="32">
        <v>409633.66324999998</v>
      </c>
      <c r="F190" s="32">
        <f>ROUND(E190,0)</f>
        <v>409634</v>
      </c>
      <c r="G190" s="31">
        <f t="shared" si="39"/>
        <v>0.33675000001676381</v>
      </c>
      <c r="H190" s="148"/>
      <c r="I190" s="31">
        <f>ROUND(F190,0)</f>
        <v>409634</v>
      </c>
      <c r="J190" s="31">
        <f t="shared" si="40"/>
        <v>0</v>
      </c>
      <c r="K190" s="148"/>
      <c r="L190" s="31">
        <f t="shared" ref="L190:L199" si="63">ROUND(I190,0)</f>
        <v>409634</v>
      </c>
      <c r="M190" s="31">
        <f t="shared" si="41"/>
        <v>0</v>
      </c>
      <c r="N190" s="148"/>
      <c r="O190" s="31">
        <f t="shared" ref="O190:O199" si="64">ROUND(L190,0)</f>
        <v>409634</v>
      </c>
      <c r="P190" s="31">
        <f t="shared" si="42"/>
        <v>0</v>
      </c>
      <c r="Q190" s="148"/>
    </row>
    <row r="191" spans="2:17" ht="13.15" customHeight="1" x14ac:dyDescent="0.25">
      <c r="B191" s="64" t="s">
        <v>469</v>
      </c>
      <c r="C191" s="140" t="s">
        <v>470</v>
      </c>
      <c r="D191" s="141" t="s">
        <v>471</v>
      </c>
      <c r="E191" s="32">
        <v>188366.50440000001</v>
      </c>
      <c r="F191" s="32">
        <f>ROUND(E191,0)</f>
        <v>188367</v>
      </c>
      <c r="G191" s="31">
        <f t="shared" si="39"/>
        <v>0.49559999999473803</v>
      </c>
      <c r="H191" s="49"/>
      <c r="I191" s="31">
        <f>ROUND(F191,0)</f>
        <v>188367</v>
      </c>
      <c r="J191" s="31">
        <f t="shared" si="40"/>
        <v>0</v>
      </c>
      <c r="K191" s="49"/>
      <c r="L191" s="31">
        <f t="shared" si="63"/>
        <v>188367</v>
      </c>
      <c r="M191" s="31">
        <f t="shared" si="41"/>
        <v>0</v>
      </c>
      <c r="N191" s="49"/>
      <c r="O191" s="31">
        <f t="shared" si="64"/>
        <v>188367</v>
      </c>
      <c r="P191" s="31">
        <f t="shared" si="42"/>
        <v>0</v>
      </c>
      <c r="Q191" s="49"/>
    </row>
    <row r="192" spans="2:17" ht="16.899999999999999" customHeight="1" x14ac:dyDescent="0.25">
      <c r="B192" s="64" t="s">
        <v>472</v>
      </c>
      <c r="C192" s="168" t="s">
        <v>105</v>
      </c>
      <c r="D192" s="132" t="s">
        <v>473</v>
      </c>
      <c r="E192" s="66">
        <v>135145.60000000001</v>
      </c>
      <c r="F192" s="66">
        <f>ROUND(E192,0)</f>
        <v>135146</v>
      </c>
      <c r="G192" s="54">
        <f>F192-E192</f>
        <v>0.39999999999417923</v>
      </c>
      <c r="H192" s="169"/>
      <c r="I192" s="54">
        <f>ROUND(F192,0)+20000</f>
        <v>155146</v>
      </c>
      <c r="J192" s="133">
        <f t="shared" si="40"/>
        <v>20000</v>
      </c>
      <c r="K192" s="170" t="s">
        <v>474</v>
      </c>
      <c r="L192" s="54">
        <f t="shared" si="63"/>
        <v>155146</v>
      </c>
      <c r="M192" s="54">
        <f t="shared" si="41"/>
        <v>0</v>
      </c>
      <c r="N192" s="169"/>
      <c r="O192" s="54">
        <f t="shared" si="64"/>
        <v>155146</v>
      </c>
      <c r="P192" s="54">
        <f t="shared" si="42"/>
        <v>0</v>
      </c>
      <c r="Q192" s="169"/>
    </row>
    <row r="193" spans="2:17" ht="29.45" customHeight="1" x14ac:dyDescent="0.25">
      <c r="B193" s="64" t="s">
        <v>475</v>
      </c>
      <c r="C193" s="168" t="s">
        <v>476</v>
      </c>
      <c r="D193" s="132" t="s">
        <v>477</v>
      </c>
      <c r="E193" s="66">
        <v>212422.11000000002</v>
      </c>
      <c r="F193" s="66">
        <f t="shared" ref="F193:F199" si="65">ROUND(E193,0)</f>
        <v>212422</v>
      </c>
      <c r="G193" s="54">
        <f t="shared" si="39"/>
        <v>-0.11000000001513399</v>
      </c>
      <c r="H193" s="169"/>
      <c r="I193" s="54">
        <f>ROUND(F193,0)</f>
        <v>212422</v>
      </c>
      <c r="J193" s="54">
        <f t="shared" si="40"/>
        <v>0</v>
      </c>
      <c r="K193" s="169"/>
      <c r="L193" s="54">
        <f t="shared" si="63"/>
        <v>212422</v>
      </c>
      <c r="M193" s="54">
        <f t="shared" si="41"/>
        <v>0</v>
      </c>
      <c r="N193" s="169"/>
      <c r="O193" s="54">
        <f t="shared" si="64"/>
        <v>212422</v>
      </c>
      <c r="P193" s="54">
        <f t="shared" si="42"/>
        <v>0</v>
      </c>
      <c r="Q193" s="169"/>
    </row>
    <row r="194" spans="2:17" ht="27" customHeight="1" x14ac:dyDescent="0.25">
      <c r="B194" s="64" t="s">
        <v>478</v>
      </c>
      <c r="C194" s="168" t="s">
        <v>479</v>
      </c>
      <c r="D194" s="132" t="s">
        <v>226</v>
      </c>
      <c r="E194" s="66">
        <v>15704.03</v>
      </c>
      <c r="F194" s="66">
        <f t="shared" si="65"/>
        <v>15704</v>
      </c>
      <c r="G194" s="54">
        <f t="shared" si="39"/>
        <v>-3.0000000000654836E-2</v>
      </c>
      <c r="H194" s="67"/>
      <c r="I194" s="54">
        <f>ROUND(F194,0)</f>
        <v>15704</v>
      </c>
      <c r="J194" s="54">
        <f t="shared" si="40"/>
        <v>0</v>
      </c>
      <c r="K194" s="67"/>
      <c r="L194" s="54">
        <f t="shared" si="63"/>
        <v>15704</v>
      </c>
      <c r="M194" s="54">
        <f t="shared" si="41"/>
        <v>0</v>
      </c>
      <c r="N194" s="67"/>
      <c r="O194" s="54">
        <f t="shared" si="64"/>
        <v>15704</v>
      </c>
      <c r="P194" s="54">
        <f t="shared" si="42"/>
        <v>0</v>
      </c>
      <c r="Q194" s="67"/>
    </row>
    <row r="195" spans="2:17" ht="15" customHeight="1" x14ac:dyDescent="0.25">
      <c r="B195" s="64" t="s">
        <v>480</v>
      </c>
      <c r="C195" s="131" t="s">
        <v>481</v>
      </c>
      <c r="D195" s="132" t="s">
        <v>482</v>
      </c>
      <c r="E195" s="66">
        <v>121138.2865</v>
      </c>
      <c r="F195" s="66">
        <f t="shared" si="65"/>
        <v>121138</v>
      </c>
      <c r="G195" s="54">
        <f t="shared" si="39"/>
        <v>-0.28650000000197906</v>
      </c>
      <c r="H195" s="169"/>
      <c r="I195" s="54">
        <f>ROUND(F195,0)+13657+500</f>
        <v>135295</v>
      </c>
      <c r="J195" s="133">
        <f t="shared" si="40"/>
        <v>14157</v>
      </c>
      <c r="K195" s="170" t="s">
        <v>483</v>
      </c>
      <c r="L195" s="54">
        <f t="shared" si="63"/>
        <v>135295</v>
      </c>
      <c r="M195" s="54">
        <f t="shared" si="41"/>
        <v>0</v>
      </c>
      <c r="N195" s="169"/>
      <c r="O195" s="54">
        <f t="shared" si="64"/>
        <v>135295</v>
      </c>
      <c r="P195" s="54">
        <f t="shared" si="42"/>
        <v>0</v>
      </c>
      <c r="Q195" s="169"/>
    </row>
    <row r="196" spans="2:17" ht="15.6" customHeight="1" x14ac:dyDescent="0.25">
      <c r="B196" s="64" t="s">
        <v>484</v>
      </c>
      <c r="C196" s="131" t="s">
        <v>485</v>
      </c>
      <c r="D196" s="132" t="s">
        <v>486</v>
      </c>
      <c r="E196" s="66">
        <v>62655.829250000003</v>
      </c>
      <c r="F196" s="66">
        <f t="shared" si="65"/>
        <v>62656</v>
      </c>
      <c r="G196" s="54">
        <f t="shared" si="39"/>
        <v>0.17074999999749707</v>
      </c>
      <c r="H196" s="169"/>
      <c r="I196" s="54">
        <f>ROUND(F196,0)</f>
        <v>62656</v>
      </c>
      <c r="J196" s="54">
        <f t="shared" si="40"/>
        <v>0</v>
      </c>
      <c r="K196" s="169"/>
      <c r="L196" s="54">
        <f t="shared" si="63"/>
        <v>62656</v>
      </c>
      <c r="M196" s="54">
        <f t="shared" si="41"/>
        <v>0</v>
      </c>
      <c r="N196" s="169"/>
      <c r="O196" s="54">
        <f>ROUND(L196,0)+2904</f>
        <v>65560</v>
      </c>
      <c r="P196" s="54">
        <f t="shared" si="42"/>
        <v>2904</v>
      </c>
      <c r="Q196" s="169" t="s">
        <v>487</v>
      </c>
    </row>
    <row r="197" spans="2:17" ht="41.45" customHeight="1" x14ac:dyDescent="0.25">
      <c r="B197" s="64" t="s">
        <v>283</v>
      </c>
      <c r="C197" s="131" t="s">
        <v>488</v>
      </c>
      <c r="D197" s="132" t="s">
        <v>489</v>
      </c>
      <c r="E197" s="66">
        <v>729596.65136999998</v>
      </c>
      <c r="F197" s="66">
        <f t="shared" si="65"/>
        <v>729597</v>
      </c>
      <c r="G197" s="54">
        <f t="shared" ref="G197:G260" si="66">F197-E197</f>
        <v>0.34863000002223998</v>
      </c>
      <c r="H197" s="67"/>
      <c r="I197" s="54">
        <f>ROUND(F197,0)</f>
        <v>729597</v>
      </c>
      <c r="J197" s="54">
        <f t="shared" ref="J197:J260" si="67">I197-F197</f>
        <v>0</v>
      </c>
      <c r="K197" s="67"/>
      <c r="L197" s="54">
        <f t="shared" si="63"/>
        <v>729597</v>
      </c>
      <c r="M197" s="54">
        <f t="shared" ref="M197:M260" si="68">L197-I197</f>
        <v>0</v>
      </c>
      <c r="N197" s="67"/>
      <c r="O197" s="54">
        <f>ROUND(L197,0)</f>
        <v>729597</v>
      </c>
      <c r="P197" s="54">
        <f t="shared" ref="P197:P260" si="69">O197-L197</f>
        <v>0</v>
      </c>
      <c r="Q197" s="67"/>
    </row>
    <row r="198" spans="2:17" ht="15.6" customHeight="1" x14ac:dyDescent="0.25">
      <c r="B198" s="64" t="s">
        <v>490</v>
      </c>
      <c r="C198" s="131" t="s">
        <v>491</v>
      </c>
      <c r="D198" s="132" t="s">
        <v>492</v>
      </c>
      <c r="E198" s="66">
        <v>4000</v>
      </c>
      <c r="F198" s="66">
        <f t="shared" si="65"/>
        <v>4000</v>
      </c>
      <c r="G198" s="54">
        <f t="shared" si="66"/>
        <v>0</v>
      </c>
      <c r="H198" s="135"/>
      <c r="I198" s="54">
        <f>ROUND(F198,0)</f>
        <v>4000</v>
      </c>
      <c r="J198" s="54">
        <f t="shared" si="67"/>
        <v>0</v>
      </c>
      <c r="K198" s="135"/>
      <c r="L198" s="54">
        <f t="shared" si="63"/>
        <v>4000</v>
      </c>
      <c r="M198" s="54">
        <f t="shared" si="68"/>
        <v>0</v>
      </c>
      <c r="N198" s="135"/>
      <c r="O198" s="54">
        <f t="shared" si="64"/>
        <v>4000</v>
      </c>
      <c r="P198" s="54">
        <f t="shared" si="69"/>
        <v>0</v>
      </c>
      <c r="Q198" s="135"/>
    </row>
    <row r="199" spans="2:17" ht="15.6" customHeight="1" x14ac:dyDescent="0.25">
      <c r="B199" s="64" t="s">
        <v>493</v>
      </c>
      <c r="C199" s="131" t="s">
        <v>494</v>
      </c>
      <c r="D199" s="132" t="s">
        <v>495</v>
      </c>
      <c r="E199" s="66">
        <v>19228.173900000002</v>
      </c>
      <c r="F199" s="66">
        <f t="shared" si="65"/>
        <v>19228</v>
      </c>
      <c r="G199" s="54">
        <f t="shared" si="66"/>
        <v>-0.17390000000159489</v>
      </c>
      <c r="H199" s="135"/>
      <c r="I199" s="54">
        <f>ROUND(F199,0)</f>
        <v>19228</v>
      </c>
      <c r="J199" s="54">
        <f t="shared" si="67"/>
        <v>0</v>
      </c>
      <c r="K199" s="135"/>
      <c r="L199" s="54">
        <f t="shared" si="63"/>
        <v>19228</v>
      </c>
      <c r="M199" s="54">
        <f t="shared" si="68"/>
        <v>0</v>
      </c>
      <c r="N199" s="135"/>
      <c r="O199" s="54">
        <f t="shared" si="64"/>
        <v>19228</v>
      </c>
      <c r="P199" s="54">
        <f t="shared" si="69"/>
        <v>0</v>
      </c>
      <c r="Q199" s="135"/>
    </row>
    <row r="200" spans="2:17" s="124" customFormat="1" ht="15.6" customHeight="1" x14ac:dyDescent="0.2">
      <c r="C200" s="136" t="s">
        <v>108</v>
      </c>
      <c r="D200" s="137" t="s">
        <v>496</v>
      </c>
      <c r="E200" s="38">
        <v>4201176.8811799996</v>
      </c>
      <c r="F200" s="38">
        <f t="shared" ref="F200" si="70">F201+F207+F210+F214+F215+F216+F217+F218</f>
        <v>4201177</v>
      </c>
      <c r="G200" s="37">
        <f>G201+G207+G210+G214+G215+G216</f>
        <v>0.11881999997422099</v>
      </c>
      <c r="H200" s="37"/>
      <c r="I200" s="37">
        <f>I201+I207+I210+I214+I215+I216+I217+I218</f>
        <v>4179627</v>
      </c>
      <c r="J200" s="37">
        <f t="shared" si="67"/>
        <v>-21550</v>
      </c>
      <c r="K200" s="37"/>
      <c r="L200" s="37">
        <f>L201+L207+L210+L214+L215+L216+L217+L218</f>
        <v>4179627</v>
      </c>
      <c r="M200" s="37">
        <f t="shared" si="68"/>
        <v>0</v>
      </c>
      <c r="N200" s="37"/>
      <c r="O200" s="37">
        <f>O201+O207+O210+O214+O215+O216+O217+O218</f>
        <v>4219807</v>
      </c>
      <c r="P200" s="37">
        <f t="shared" si="69"/>
        <v>40180</v>
      </c>
      <c r="Q200" s="37"/>
    </row>
    <row r="201" spans="2:17" s="124" customFormat="1" ht="15" customHeight="1" x14ac:dyDescent="0.25">
      <c r="C201" s="131" t="s">
        <v>111</v>
      </c>
      <c r="D201" s="132" t="s">
        <v>497</v>
      </c>
      <c r="E201" s="66">
        <v>2428655</v>
      </c>
      <c r="F201" s="66">
        <f t="shared" ref="F201:G201" si="71">F202+F203+F204+F205+F206</f>
        <v>2428655</v>
      </c>
      <c r="G201" s="54">
        <f t="shared" si="71"/>
        <v>0</v>
      </c>
      <c r="H201" s="54"/>
      <c r="I201" s="54">
        <f>I202+I203+I204+I205+I206</f>
        <v>2415355</v>
      </c>
      <c r="J201" s="54">
        <f t="shared" si="67"/>
        <v>-13300</v>
      </c>
      <c r="K201" s="54"/>
      <c r="L201" s="54">
        <f>L202+L203+L204+L205+L206</f>
        <v>2415355</v>
      </c>
      <c r="M201" s="54">
        <f t="shared" si="68"/>
        <v>0</v>
      </c>
      <c r="N201" s="54"/>
      <c r="O201" s="54">
        <f>O202+O203+O204+O205+O206</f>
        <v>2405535</v>
      </c>
      <c r="P201" s="54">
        <f t="shared" si="69"/>
        <v>-9820</v>
      </c>
      <c r="Q201" s="54"/>
    </row>
    <row r="202" spans="2:17" s="171" customFormat="1" ht="43.9" customHeight="1" outlineLevel="1" x14ac:dyDescent="0.25">
      <c r="B202" s="171">
        <v>1010</v>
      </c>
      <c r="C202" s="172" t="s">
        <v>498</v>
      </c>
      <c r="D202" s="173" t="s">
        <v>499</v>
      </c>
      <c r="E202" s="174">
        <v>601819</v>
      </c>
      <c r="F202" s="174">
        <f>ROUND(E202,0)</f>
        <v>601819</v>
      </c>
      <c r="G202" s="163">
        <f t="shared" si="66"/>
        <v>0</v>
      </c>
      <c r="H202" s="175"/>
      <c r="I202" s="163">
        <f>ROUND(F202,0)-13300</f>
        <v>588519</v>
      </c>
      <c r="J202" s="176">
        <f t="shared" si="67"/>
        <v>-13300</v>
      </c>
      <c r="K202" s="149" t="s">
        <v>334</v>
      </c>
      <c r="L202" s="163">
        <f>ROUND(I202,0)</f>
        <v>588519</v>
      </c>
      <c r="M202" s="163">
        <f t="shared" si="68"/>
        <v>0</v>
      </c>
      <c r="N202" s="148"/>
      <c r="O202" s="163">
        <f>ROUND(L202,0)-9820</f>
        <v>578699</v>
      </c>
      <c r="P202" s="163">
        <f t="shared" si="69"/>
        <v>-9820</v>
      </c>
      <c r="Q202" s="148" t="s">
        <v>500</v>
      </c>
    </row>
    <row r="203" spans="2:17" s="171" customFormat="1" ht="16.149999999999999" customHeight="1" outlineLevel="1" x14ac:dyDescent="0.25">
      <c r="B203" s="171">
        <v>1010</v>
      </c>
      <c r="C203" s="172" t="s">
        <v>501</v>
      </c>
      <c r="D203" s="173" t="s">
        <v>502</v>
      </c>
      <c r="E203" s="174">
        <v>1373990</v>
      </c>
      <c r="F203" s="174">
        <f>ROUND(E203,0)</f>
        <v>1373990</v>
      </c>
      <c r="G203" s="163">
        <f t="shared" si="66"/>
        <v>0</v>
      </c>
      <c r="H203" s="67"/>
      <c r="I203" s="163">
        <f>ROUND(F203,0)</f>
        <v>1373990</v>
      </c>
      <c r="J203" s="163">
        <f t="shared" si="67"/>
        <v>0</v>
      </c>
      <c r="K203" s="69"/>
      <c r="L203" s="163">
        <f>ROUND(I203,0)</f>
        <v>1373990</v>
      </c>
      <c r="M203" s="163">
        <f t="shared" si="68"/>
        <v>0</v>
      </c>
      <c r="N203" s="69"/>
      <c r="O203" s="163">
        <f>ROUND(L203,0)</f>
        <v>1373990</v>
      </c>
      <c r="P203" s="163">
        <f t="shared" si="69"/>
        <v>0</v>
      </c>
      <c r="Q203" s="69"/>
    </row>
    <row r="204" spans="2:17" s="171" customFormat="1" ht="17.45" customHeight="1" outlineLevel="1" x14ac:dyDescent="0.25">
      <c r="B204" s="171">
        <v>1010</v>
      </c>
      <c r="C204" s="172" t="s">
        <v>503</v>
      </c>
      <c r="D204" s="173" t="s">
        <v>504</v>
      </c>
      <c r="E204" s="174">
        <v>25954</v>
      </c>
      <c r="F204" s="174">
        <f>ROUND(E204,0)</f>
        <v>25954</v>
      </c>
      <c r="G204" s="163">
        <f t="shared" si="66"/>
        <v>0</v>
      </c>
      <c r="H204" s="69"/>
      <c r="I204" s="163">
        <f>ROUND(F204,0)</f>
        <v>25954</v>
      </c>
      <c r="J204" s="163">
        <f t="shared" si="67"/>
        <v>0</v>
      </c>
      <c r="K204" s="69"/>
      <c r="L204" s="163">
        <f>ROUND(I204,0)</f>
        <v>25954</v>
      </c>
      <c r="M204" s="163">
        <f t="shared" si="68"/>
        <v>0</v>
      </c>
      <c r="N204" s="69"/>
      <c r="O204" s="163">
        <f>ROUND(L204,0)</f>
        <v>25954</v>
      </c>
      <c r="P204" s="163">
        <f t="shared" si="69"/>
        <v>0</v>
      </c>
      <c r="Q204" s="69"/>
    </row>
    <row r="205" spans="2:17" s="171" customFormat="1" outlineLevel="1" x14ac:dyDescent="0.25">
      <c r="B205" s="171">
        <v>1012</v>
      </c>
      <c r="C205" s="172" t="s">
        <v>505</v>
      </c>
      <c r="D205" s="173" t="s">
        <v>506</v>
      </c>
      <c r="E205" s="174">
        <v>421092</v>
      </c>
      <c r="F205" s="174">
        <f>ROUND(E205,0)</f>
        <v>421092</v>
      </c>
      <c r="G205" s="163">
        <f t="shared" si="66"/>
        <v>0</v>
      </c>
      <c r="H205" s="175"/>
      <c r="I205" s="163">
        <f>ROUND(F205,0)</f>
        <v>421092</v>
      </c>
      <c r="J205" s="163">
        <f t="shared" si="67"/>
        <v>0</v>
      </c>
      <c r="K205" s="175"/>
      <c r="L205" s="163">
        <f>ROUND(I205,0)</f>
        <v>421092</v>
      </c>
      <c r="M205" s="163">
        <f t="shared" si="68"/>
        <v>0</v>
      </c>
      <c r="N205" s="175"/>
      <c r="O205" s="163">
        <f>ROUND(L205,0)</f>
        <v>421092</v>
      </c>
      <c r="P205" s="163">
        <f t="shared" si="69"/>
        <v>0</v>
      </c>
      <c r="Q205" s="175"/>
    </row>
    <row r="206" spans="2:17" s="171" customFormat="1" outlineLevel="1" x14ac:dyDescent="0.25">
      <c r="B206" s="171">
        <v>1015</v>
      </c>
      <c r="C206" s="172" t="s">
        <v>507</v>
      </c>
      <c r="D206" s="173" t="s">
        <v>508</v>
      </c>
      <c r="E206" s="174">
        <v>5800</v>
      </c>
      <c r="F206" s="174">
        <f>ROUND(E206,0)</f>
        <v>5800</v>
      </c>
      <c r="G206" s="163">
        <f t="shared" si="66"/>
        <v>0</v>
      </c>
      <c r="H206" s="175"/>
      <c r="I206" s="163">
        <f>ROUND(F206,0)</f>
        <v>5800</v>
      </c>
      <c r="J206" s="163">
        <f t="shared" si="67"/>
        <v>0</v>
      </c>
      <c r="K206" s="175"/>
      <c r="L206" s="163">
        <f>ROUND(I206,0)</f>
        <v>5800</v>
      </c>
      <c r="M206" s="163">
        <f t="shared" si="68"/>
        <v>0</v>
      </c>
      <c r="N206" s="175"/>
      <c r="O206" s="163">
        <f>ROUND(L206,0)</f>
        <v>5800</v>
      </c>
      <c r="P206" s="163">
        <f t="shared" si="69"/>
        <v>0</v>
      </c>
      <c r="Q206" s="175"/>
    </row>
    <row r="207" spans="2:17" s="124" customFormat="1" ht="19.5" customHeight="1" x14ac:dyDescent="0.25">
      <c r="C207" s="131" t="s">
        <v>116</v>
      </c>
      <c r="D207" s="132" t="s">
        <v>509</v>
      </c>
      <c r="E207" s="66">
        <v>10038</v>
      </c>
      <c r="F207" s="66">
        <f>F208+F209</f>
        <v>10038</v>
      </c>
      <c r="G207" s="54">
        <f t="shared" si="66"/>
        <v>0</v>
      </c>
      <c r="H207" s="67"/>
      <c r="I207" s="54">
        <f>I208+I209</f>
        <v>10038</v>
      </c>
      <c r="J207" s="54">
        <f t="shared" si="67"/>
        <v>0</v>
      </c>
      <c r="K207" s="67"/>
      <c r="L207" s="54">
        <f>L208+L209</f>
        <v>10038</v>
      </c>
      <c r="M207" s="54">
        <f t="shared" si="68"/>
        <v>0</v>
      </c>
      <c r="N207" s="67"/>
      <c r="O207" s="54">
        <f>O208+O209</f>
        <v>10038</v>
      </c>
      <c r="P207" s="54">
        <f t="shared" si="69"/>
        <v>0</v>
      </c>
      <c r="Q207" s="67"/>
    </row>
    <row r="208" spans="2:17" s="171" customFormat="1" outlineLevel="1" x14ac:dyDescent="0.25">
      <c r="B208" s="171">
        <v>1011</v>
      </c>
      <c r="C208" s="172" t="s">
        <v>510</v>
      </c>
      <c r="D208" s="173" t="s">
        <v>511</v>
      </c>
      <c r="E208" s="174">
        <v>1407</v>
      </c>
      <c r="F208" s="174">
        <f>ROUND(E208,0)</f>
        <v>1407</v>
      </c>
      <c r="G208" s="163">
        <f t="shared" si="66"/>
        <v>0</v>
      </c>
      <c r="H208" s="175"/>
      <c r="I208" s="163">
        <f>ROUND(F208,0)</f>
        <v>1407</v>
      </c>
      <c r="J208" s="163">
        <f t="shared" si="67"/>
        <v>0</v>
      </c>
      <c r="K208" s="175"/>
      <c r="L208" s="163">
        <f>ROUND(I208,0)</f>
        <v>1407</v>
      </c>
      <c r="M208" s="163">
        <f t="shared" si="68"/>
        <v>0</v>
      </c>
      <c r="N208" s="175"/>
      <c r="O208" s="163">
        <f>ROUND(L208,0)</f>
        <v>1407</v>
      </c>
      <c r="P208" s="163">
        <f t="shared" si="69"/>
        <v>0</v>
      </c>
      <c r="Q208" s="175"/>
    </row>
    <row r="209" spans="2:17" s="171" customFormat="1" outlineLevel="1" x14ac:dyDescent="0.25">
      <c r="B209" s="171">
        <v>1011</v>
      </c>
      <c r="C209" s="172" t="s">
        <v>512</v>
      </c>
      <c r="D209" s="173" t="s">
        <v>513</v>
      </c>
      <c r="E209" s="174">
        <v>8631</v>
      </c>
      <c r="F209" s="174">
        <f>ROUND(E209,0)</f>
        <v>8631</v>
      </c>
      <c r="G209" s="163">
        <f t="shared" si="66"/>
        <v>0</v>
      </c>
      <c r="H209" s="175"/>
      <c r="I209" s="163">
        <f>ROUND(F209,0)</f>
        <v>8631</v>
      </c>
      <c r="J209" s="163">
        <f t="shared" si="67"/>
        <v>0</v>
      </c>
      <c r="K209" s="175"/>
      <c r="L209" s="163">
        <f>ROUND(I209,0)</f>
        <v>8631</v>
      </c>
      <c r="M209" s="163">
        <f t="shared" si="68"/>
        <v>0</v>
      </c>
      <c r="N209" s="175"/>
      <c r="O209" s="163">
        <f>ROUND(L209,0)</f>
        <v>8631</v>
      </c>
      <c r="P209" s="163">
        <f t="shared" si="69"/>
        <v>0</v>
      </c>
      <c r="Q209" s="175"/>
    </row>
    <row r="210" spans="2:17" s="124" customFormat="1" ht="30.6" customHeight="1" x14ac:dyDescent="0.25">
      <c r="C210" s="131" t="s">
        <v>118</v>
      </c>
      <c r="D210" s="132" t="s">
        <v>514</v>
      </c>
      <c r="E210" s="178">
        <v>839598</v>
      </c>
      <c r="F210" s="178">
        <f t="shared" ref="F210:G210" si="72">SUM(F211:F213)</f>
        <v>839598</v>
      </c>
      <c r="G210" s="177">
        <f t="shared" si="72"/>
        <v>0</v>
      </c>
      <c r="H210" s="135"/>
      <c r="I210" s="177">
        <f>SUM(I211:I213)</f>
        <v>818057</v>
      </c>
      <c r="J210" s="177">
        <f t="shared" si="67"/>
        <v>-21541</v>
      </c>
      <c r="K210" s="135"/>
      <c r="L210" s="177">
        <f>SUM(L211:L213)</f>
        <v>818057</v>
      </c>
      <c r="M210" s="177">
        <f t="shared" si="68"/>
        <v>0</v>
      </c>
      <c r="N210" s="135"/>
      <c r="O210" s="177">
        <f>SUM(O211:O213)</f>
        <v>818057</v>
      </c>
      <c r="P210" s="177">
        <f t="shared" si="69"/>
        <v>0</v>
      </c>
      <c r="Q210" s="135"/>
    </row>
    <row r="211" spans="2:17" s="124" customFormat="1" ht="15" customHeight="1" x14ac:dyDescent="0.25">
      <c r="B211" s="1" t="s">
        <v>515</v>
      </c>
      <c r="C211" s="179" t="s">
        <v>516</v>
      </c>
      <c r="D211" s="180" t="s">
        <v>517</v>
      </c>
      <c r="E211" s="32">
        <v>347838</v>
      </c>
      <c r="F211" s="32">
        <f t="shared" ref="F211:F216" si="73">ROUND(E211,0)</f>
        <v>347838</v>
      </c>
      <c r="G211" s="31">
        <f t="shared" si="66"/>
        <v>0</v>
      </c>
      <c r="H211" s="33"/>
      <c r="I211" s="31">
        <f>ROUND(F211,0)-21541</f>
        <v>326297</v>
      </c>
      <c r="J211" s="34">
        <f t="shared" si="67"/>
        <v>-21541</v>
      </c>
      <c r="K211" s="149" t="s">
        <v>334</v>
      </c>
      <c r="L211" s="31">
        <f t="shared" ref="L211:L218" si="74">ROUND(I211,0)</f>
        <v>326297</v>
      </c>
      <c r="M211" s="31">
        <f t="shared" si="68"/>
        <v>0</v>
      </c>
      <c r="N211" s="148"/>
      <c r="O211" s="31">
        <f t="shared" ref="O211:O218" si="75">ROUND(L211,0)</f>
        <v>326297</v>
      </c>
      <c r="P211" s="31">
        <f t="shared" si="69"/>
        <v>0</v>
      </c>
      <c r="Q211" s="148"/>
    </row>
    <row r="212" spans="2:17" s="124" customFormat="1" ht="15.75" customHeight="1" x14ac:dyDescent="0.25">
      <c r="B212" s="1" t="s">
        <v>515</v>
      </c>
      <c r="C212" s="181" t="s">
        <v>518</v>
      </c>
      <c r="D212" s="180" t="s">
        <v>519</v>
      </c>
      <c r="E212" s="32">
        <v>161090</v>
      </c>
      <c r="F212" s="32">
        <f t="shared" si="73"/>
        <v>161090</v>
      </c>
      <c r="G212" s="31">
        <f t="shared" si="66"/>
        <v>0</v>
      </c>
      <c r="H212" s="33"/>
      <c r="I212" s="31">
        <f t="shared" ref="I212:I218" si="76">ROUND(F212,0)</f>
        <v>161090</v>
      </c>
      <c r="J212" s="31">
        <f t="shared" si="67"/>
        <v>0</v>
      </c>
      <c r="K212" s="33"/>
      <c r="L212" s="31">
        <f t="shared" si="74"/>
        <v>161090</v>
      </c>
      <c r="M212" s="31">
        <f t="shared" si="68"/>
        <v>0</v>
      </c>
      <c r="N212" s="33"/>
      <c r="O212" s="31">
        <f t="shared" si="75"/>
        <v>161090</v>
      </c>
      <c r="P212" s="31">
        <f t="shared" si="69"/>
        <v>0</v>
      </c>
      <c r="Q212" s="33"/>
    </row>
    <row r="213" spans="2:17" s="124" customFormat="1" ht="15.6" customHeight="1" x14ac:dyDescent="0.25">
      <c r="B213" s="1" t="s">
        <v>520</v>
      </c>
      <c r="C213" s="179" t="s">
        <v>521</v>
      </c>
      <c r="D213" s="180" t="s">
        <v>522</v>
      </c>
      <c r="E213" s="32">
        <v>330670</v>
      </c>
      <c r="F213" s="32">
        <f t="shared" si="73"/>
        <v>330670</v>
      </c>
      <c r="G213" s="31">
        <f t="shared" si="66"/>
        <v>0</v>
      </c>
      <c r="H213" s="33"/>
      <c r="I213" s="31">
        <f t="shared" si="76"/>
        <v>330670</v>
      </c>
      <c r="J213" s="31">
        <f t="shared" si="67"/>
        <v>0</v>
      </c>
      <c r="K213" s="33"/>
      <c r="L213" s="31">
        <f t="shared" si="74"/>
        <v>330670</v>
      </c>
      <c r="M213" s="31">
        <f t="shared" si="68"/>
        <v>0</v>
      </c>
      <c r="N213" s="33"/>
      <c r="O213" s="31">
        <f t="shared" si="75"/>
        <v>330670</v>
      </c>
      <c r="P213" s="31">
        <f t="shared" si="69"/>
        <v>0</v>
      </c>
      <c r="Q213" s="33"/>
    </row>
    <row r="214" spans="2:17" s="124" customFormat="1" ht="16.149999999999999" customHeight="1" x14ac:dyDescent="0.25">
      <c r="C214" s="131" t="s">
        <v>523</v>
      </c>
      <c r="D214" s="132" t="s">
        <v>524</v>
      </c>
      <c r="E214" s="66">
        <v>132505.09117999999</v>
      </c>
      <c r="F214" s="66">
        <f t="shared" si="73"/>
        <v>132505</v>
      </c>
      <c r="G214" s="54">
        <f t="shared" si="66"/>
        <v>-9.1179999988526106E-2</v>
      </c>
      <c r="H214" s="135"/>
      <c r="I214" s="54">
        <f>ROUND(F214,0)-6709</f>
        <v>125796</v>
      </c>
      <c r="J214" s="133">
        <f t="shared" si="67"/>
        <v>-6709</v>
      </c>
      <c r="K214" s="134" t="s">
        <v>334</v>
      </c>
      <c r="L214" s="54">
        <f t="shared" si="74"/>
        <v>125796</v>
      </c>
      <c r="M214" s="54">
        <f t="shared" si="68"/>
        <v>0</v>
      </c>
      <c r="N214" s="67"/>
      <c r="O214" s="54">
        <f t="shared" si="75"/>
        <v>125796</v>
      </c>
      <c r="P214" s="54">
        <f t="shared" si="69"/>
        <v>0</v>
      </c>
      <c r="Q214" s="67"/>
    </row>
    <row r="215" spans="2:17" s="124" customFormat="1" ht="18.75" customHeight="1" x14ac:dyDescent="0.25">
      <c r="B215" s="1">
        <v>1016</v>
      </c>
      <c r="C215" s="131" t="s">
        <v>525</v>
      </c>
      <c r="D215" s="132" t="s">
        <v>178</v>
      </c>
      <c r="E215" s="66">
        <v>50000</v>
      </c>
      <c r="F215" s="66">
        <f t="shared" si="73"/>
        <v>50000</v>
      </c>
      <c r="G215" s="54">
        <f t="shared" si="66"/>
        <v>0</v>
      </c>
      <c r="H215" s="135"/>
      <c r="I215" s="54">
        <f>ROUND(F215,0)+20000</f>
        <v>70000</v>
      </c>
      <c r="J215" s="54">
        <f t="shared" si="67"/>
        <v>20000</v>
      </c>
      <c r="K215" s="135" t="s">
        <v>179</v>
      </c>
      <c r="L215" s="54">
        <f t="shared" si="74"/>
        <v>70000</v>
      </c>
      <c r="M215" s="54">
        <f t="shared" si="68"/>
        <v>0</v>
      </c>
      <c r="N215" s="135"/>
      <c r="O215" s="54">
        <f>ROUND(L215,0)+50000</f>
        <v>120000</v>
      </c>
      <c r="P215" s="54">
        <f t="shared" si="69"/>
        <v>50000</v>
      </c>
      <c r="Q215" s="353" t="s">
        <v>179</v>
      </c>
    </row>
    <row r="216" spans="2:17" s="124" customFormat="1" ht="18.75" customHeight="1" x14ac:dyDescent="0.25">
      <c r="B216" s="1">
        <v>1017</v>
      </c>
      <c r="C216" s="131" t="s">
        <v>526</v>
      </c>
      <c r="D216" s="132" t="s">
        <v>181</v>
      </c>
      <c r="E216" s="66">
        <v>698343.79</v>
      </c>
      <c r="F216" s="66">
        <f t="shared" si="73"/>
        <v>698344</v>
      </c>
      <c r="G216" s="54">
        <f t="shared" si="66"/>
        <v>0.2099999999627471</v>
      </c>
      <c r="H216" s="135"/>
      <c r="I216" s="54">
        <f t="shared" si="76"/>
        <v>698344</v>
      </c>
      <c r="J216" s="54">
        <f t="shared" si="67"/>
        <v>0</v>
      </c>
      <c r="K216" s="135"/>
      <c r="L216" s="54">
        <f t="shared" si="74"/>
        <v>698344</v>
      </c>
      <c r="M216" s="54">
        <f t="shared" si="68"/>
        <v>0</v>
      </c>
      <c r="N216" s="135"/>
      <c r="O216" s="54">
        <f t="shared" si="75"/>
        <v>698344</v>
      </c>
      <c r="P216" s="54">
        <f t="shared" si="69"/>
        <v>0</v>
      </c>
      <c r="Q216" s="135"/>
    </row>
    <row r="217" spans="2:17" ht="40.9" customHeight="1" x14ac:dyDescent="0.25">
      <c r="B217" s="1" t="s">
        <v>527</v>
      </c>
      <c r="C217" s="131" t="s">
        <v>528</v>
      </c>
      <c r="D217" s="132" t="s">
        <v>529</v>
      </c>
      <c r="E217" s="32">
        <v>23597</v>
      </c>
      <c r="F217" s="32">
        <f>ROUND(E217,0)</f>
        <v>23597</v>
      </c>
      <c r="G217" s="31">
        <f>F217-E217</f>
        <v>0</v>
      </c>
      <c r="H217" s="148"/>
      <c r="I217" s="31">
        <f t="shared" si="76"/>
        <v>23597</v>
      </c>
      <c r="J217" s="31">
        <f t="shared" si="67"/>
        <v>0</v>
      </c>
      <c r="K217" s="148"/>
      <c r="L217" s="31">
        <f t="shared" si="74"/>
        <v>23597</v>
      </c>
      <c r="M217" s="31">
        <f t="shared" si="68"/>
        <v>0</v>
      </c>
      <c r="N217" s="148"/>
      <c r="O217" s="31">
        <f t="shared" si="75"/>
        <v>23597</v>
      </c>
      <c r="P217" s="31">
        <f t="shared" si="69"/>
        <v>0</v>
      </c>
      <c r="Q217" s="148"/>
    </row>
    <row r="218" spans="2:17" ht="44.45" customHeight="1" x14ac:dyDescent="0.25">
      <c r="B218" s="1" t="s">
        <v>530</v>
      </c>
      <c r="C218" s="131" t="s">
        <v>531</v>
      </c>
      <c r="D218" s="132" t="s">
        <v>532</v>
      </c>
      <c r="E218" s="32">
        <v>18440</v>
      </c>
      <c r="F218" s="32">
        <f>ROUND(E218,0)</f>
        <v>18440</v>
      </c>
      <c r="G218" s="31">
        <f>F218-E218</f>
        <v>0</v>
      </c>
      <c r="H218" s="148"/>
      <c r="I218" s="31">
        <f t="shared" si="76"/>
        <v>18440</v>
      </c>
      <c r="J218" s="31">
        <f t="shared" si="67"/>
        <v>0</v>
      </c>
      <c r="K218" s="148"/>
      <c r="L218" s="31">
        <f t="shared" si="74"/>
        <v>18440</v>
      </c>
      <c r="M218" s="31">
        <f t="shared" si="68"/>
        <v>0</v>
      </c>
      <c r="N218" s="148"/>
      <c r="O218" s="31">
        <f t="shared" si="75"/>
        <v>18440</v>
      </c>
      <c r="P218" s="31">
        <f t="shared" si="69"/>
        <v>0</v>
      </c>
      <c r="Q218" s="148"/>
    </row>
    <row r="219" spans="2:17" x14ac:dyDescent="0.25">
      <c r="C219" s="136" t="s">
        <v>121</v>
      </c>
      <c r="D219" s="137" t="s">
        <v>533</v>
      </c>
      <c r="E219" s="38">
        <v>21517854.165859237</v>
      </c>
      <c r="F219" s="38">
        <f>F220+F221+F224+F227+F231+F235+F239+F247+F248+F259+F262+F265+F266+F267+F268+F269+F270</f>
        <v>21576210</v>
      </c>
      <c r="G219" s="37">
        <f>G220+G221+G224+G227+G231+G235+G239+G248+G259+G262+G265+G266+G267+G268+G269+G270</f>
        <v>58356.224140764331</v>
      </c>
      <c r="H219" s="37"/>
      <c r="I219" s="37">
        <f>I220+I221+I224+I227+I231+I235+I239+I247+I248+I259+I262+I265+I266+I267+I268+I269+I270</f>
        <v>21675003</v>
      </c>
      <c r="J219" s="37">
        <f t="shared" si="67"/>
        <v>98793</v>
      </c>
      <c r="K219" s="37"/>
      <c r="L219" s="37">
        <f>L220+L221+L224+L227+L231+L235+L239+L247+L248+L259+L262+L265+L266+L267+L268+L269+L270</f>
        <v>21738469</v>
      </c>
      <c r="M219" s="37">
        <f t="shared" si="68"/>
        <v>63466</v>
      </c>
      <c r="N219" s="37"/>
      <c r="O219" s="37">
        <f>O220+O221+O224+O227+O231+O235+O239+O247+O248+O259+O262+O265+O266+O267+O268+O269+O270</f>
        <v>21751989</v>
      </c>
      <c r="P219" s="37">
        <f t="shared" si="69"/>
        <v>13520</v>
      </c>
      <c r="Q219" s="37"/>
    </row>
    <row r="220" spans="2:17" ht="27.6" customHeight="1" x14ac:dyDescent="0.25">
      <c r="B220" s="182" t="s">
        <v>534</v>
      </c>
      <c r="C220" s="131" t="s">
        <v>535</v>
      </c>
      <c r="D220" s="142" t="s">
        <v>536</v>
      </c>
      <c r="E220" s="66">
        <v>1009440</v>
      </c>
      <c r="F220" s="66">
        <f>ROUND(E220,0)</f>
        <v>1009440</v>
      </c>
      <c r="G220" s="54">
        <f t="shared" si="66"/>
        <v>0</v>
      </c>
      <c r="H220" s="67"/>
      <c r="I220" s="54">
        <f>ROUND(F220,0)</f>
        <v>1009440</v>
      </c>
      <c r="J220" s="54">
        <f t="shared" si="67"/>
        <v>0</v>
      </c>
      <c r="K220" s="67"/>
      <c r="L220" s="54">
        <f>ROUND(I220,0)</f>
        <v>1009440</v>
      </c>
      <c r="M220" s="54">
        <f t="shared" si="68"/>
        <v>0</v>
      </c>
      <c r="N220" s="67"/>
      <c r="O220" s="54">
        <f>ROUND(L220,0)</f>
        <v>1009440</v>
      </c>
      <c r="P220" s="54">
        <f t="shared" si="69"/>
        <v>0</v>
      </c>
      <c r="Q220" s="67"/>
    </row>
    <row r="221" spans="2:17" ht="18" customHeight="1" x14ac:dyDescent="0.25">
      <c r="C221" s="131" t="s">
        <v>537</v>
      </c>
      <c r="D221" s="142" t="s">
        <v>538</v>
      </c>
      <c r="E221" s="66">
        <v>1943919.3519472245</v>
      </c>
      <c r="F221" s="66">
        <f t="shared" ref="F221" si="77">SUM(F222:F223)</f>
        <v>1943919</v>
      </c>
      <c r="G221" s="54">
        <f t="shared" si="66"/>
        <v>-0.35194722446613014</v>
      </c>
      <c r="H221" s="135"/>
      <c r="I221" s="54">
        <f>SUM(I222:I223)</f>
        <v>1956009</v>
      </c>
      <c r="J221" s="54">
        <f t="shared" si="67"/>
        <v>12090</v>
      </c>
      <c r="K221" s="135"/>
      <c r="L221" s="54">
        <f>SUM(L222:L223)</f>
        <v>1960502</v>
      </c>
      <c r="M221" s="54">
        <f t="shared" si="68"/>
        <v>4493</v>
      </c>
      <c r="N221" s="135"/>
      <c r="O221" s="54">
        <f>SUM(O222:O223)</f>
        <v>1960502</v>
      </c>
      <c r="P221" s="54">
        <f t="shared" si="69"/>
        <v>0</v>
      </c>
      <c r="Q221" s="135"/>
    </row>
    <row r="222" spans="2:17" ht="16.149999999999999" customHeight="1" x14ac:dyDescent="0.25">
      <c r="B222" s="64" t="s">
        <v>539</v>
      </c>
      <c r="C222" s="140" t="s">
        <v>540</v>
      </c>
      <c r="D222" s="103" t="s">
        <v>541</v>
      </c>
      <c r="E222" s="184">
        <v>273761</v>
      </c>
      <c r="F222" s="184">
        <f>ROUND(E222,0)</f>
        <v>273761</v>
      </c>
      <c r="G222" s="183">
        <f t="shared" si="66"/>
        <v>0</v>
      </c>
      <c r="H222" s="49"/>
      <c r="I222" s="183">
        <f>ROUND(F222,0)</f>
        <v>273761</v>
      </c>
      <c r="J222" s="183">
        <f t="shared" si="67"/>
        <v>0</v>
      </c>
      <c r="K222" s="49"/>
      <c r="L222" s="183">
        <f>ROUND(I222,0)+4493</f>
        <v>278254</v>
      </c>
      <c r="M222" s="183">
        <f t="shared" si="68"/>
        <v>4493</v>
      </c>
      <c r="N222" s="49" t="s">
        <v>143</v>
      </c>
      <c r="O222" s="183">
        <f>ROUND(L222,0)</f>
        <v>278254</v>
      </c>
      <c r="P222" s="183">
        <f t="shared" si="69"/>
        <v>0</v>
      </c>
      <c r="Q222" s="49"/>
    </row>
    <row r="223" spans="2:17" ht="15" customHeight="1" x14ac:dyDescent="0.25">
      <c r="B223" s="64" t="s">
        <v>542</v>
      </c>
      <c r="C223" s="140" t="s">
        <v>543</v>
      </c>
      <c r="D223" s="103" t="s">
        <v>544</v>
      </c>
      <c r="E223" s="184">
        <v>1670158.3519472245</v>
      </c>
      <c r="F223" s="184">
        <f>ROUND(E223,0)</f>
        <v>1670158</v>
      </c>
      <c r="G223" s="183">
        <f t="shared" si="66"/>
        <v>-0.35194722446613014</v>
      </c>
      <c r="H223" s="186"/>
      <c r="I223" s="183">
        <f>ROUND(F223,0)-7910+20000</f>
        <v>1682248</v>
      </c>
      <c r="J223" s="185">
        <f t="shared" si="67"/>
        <v>12090</v>
      </c>
      <c r="K223" s="50" t="s">
        <v>545</v>
      </c>
      <c r="L223" s="183">
        <f>ROUND(I223,0)</f>
        <v>1682248</v>
      </c>
      <c r="M223" s="183">
        <f t="shared" si="68"/>
        <v>0</v>
      </c>
      <c r="N223" s="49"/>
      <c r="O223" s="183">
        <f>ROUND(L223,0)</f>
        <v>1682248</v>
      </c>
      <c r="P223" s="183">
        <f t="shared" si="69"/>
        <v>0</v>
      </c>
      <c r="Q223" s="49"/>
    </row>
    <row r="224" spans="2:17" ht="18" customHeight="1" x14ac:dyDescent="0.25">
      <c r="C224" s="131" t="s">
        <v>546</v>
      </c>
      <c r="D224" s="142" t="s">
        <v>547</v>
      </c>
      <c r="E224" s="66">
        <v>1237573.6494368</v>
      </c>
      <c r="F224" s="66">
        <f>F225+F226</f>
        <v>1237574</v>
      </c>
      <c r="G224" s="54">
        <f t="shared" si="66"/>
        <v>0.35056319995783269</v>
      </c>
      <c r="H224" s="135"/>
      <c r="I224" s="54">
        <f>I225+I226</f>
        <v>1230777</v>
      </c>
      <c r="J224" s="54">
        <f t="shared" si="67"/>
        <v>-6797</v>
      </c>
      <c r="K224" s="135"/>
      <c r="L224" s="54">
        <f>L225+L226</f>
        <v>1232647</v>
      </c>
      <c r="M224" s="54">
        <f t="shared" si="68"/>
        <v>1870</v>
      </c>
      <c r="N224" s="135"/>
      <c r="O224" s="54">
        <f>O225+O226</f>
        <v>1232647</v>
      </c>
      <c r="P224" s="54">
        <f t="shared" si="69"/>
        <v>0</v>
      </c>
      <c r="Q224" s="135"/>
    </row>
    <row r="225" spans="2:17" ht="16.5" customHeight="1" x14ac:dyDescent="0.25">
      <c r="B225" s="64" t="s">
        <v>548</v>
      </c>
      <c r="C225" s="140" t="s">
        <v>549</v>
      </c>
      <c r="D225" s="103" t="s">
        <v>541</v>
      </c>
      <c r="E225" s="32">
        <v>113943</v>
      </c>
      <c r="F225" s="32">
        <f>ROUND(E225,0)</f>
        <v>113943</v>
      </c>
      <c r="G225" s="31">
        <f t="shared" si="66"/>
        <v>0</v>
      </c>
      <c r="H225" s="49"/>
      <c r="I225" s="31">
        <f>ROUND(F225,0)</f>
        <v>113943</v>
      </c>
      <c r="J225" s="31">
        <f t="shared" si="67"/>
        <v>0</v>
      </c>
      <c r="K225" s="49"/>
      <c r="L225" s="31">
        <f>ROUND(I225,0)+1870</f>
        <v>115813</v>
      </c>
      <c r="M225" s="31">
        <f t="shared" si="68"/>
        <v>1870</v>
      </c>
      <c r="N225" s="49" t="s">
        <v>143</v>
      </c>
      <c r="O225" s="31">
        <f>ROUND(L225,0)</f>
        <v>115813</v>
      </c>
      <c r="P225" s="31">
        <f t="shared" si="69"/>
        <v>0</v>
      </c>
      <c r="Q225" s="49"/>
    </row>
    <row r="226" spans="2:17" ht="13.15" customHeight="1" x14ac:dyDescent="0.25">
      <c r="B226" s="64" t="s">
        <v>550</v>
      </c>
      <c r="C226" s="140" t="s">
        <v>551</v>
      </c>
      <c r="D226" s="103" t="s">
        <v>544</v>
      </c>
      <c r="E226" s="32">
        <v>1123630.6494368</v>
      </c>
      <c r="F226" s="32">
        <f>ROUND(E226,0)</f>
        <v>1123631</v>
      </c>
      <c r="G226" s="31">
        <f t="shared" si="66"/>
        <v>0.35056319995783269</v>
      </c>
      <c r="H226" s="49"/>
      <c r="I226" s="31">
        <f>ROUND(F226,0)-6797</f>
        <v>1116834</v>
      </c>
      <c r="J226" s="34">
        <f t="shared" si="67"/>
        <v>-6797</v>
      </c>
      <c r="K226" s="50" t="s">
        <v>334</v>
      </c>
      <c r="L226" s="31">
        <f>ROUND(I226,0)</f>
        <v>1116834</v>
      </c>
      <c r="M226" s="31">
        <f t="shared" si="68"/>
        <v>0</v>
      </c>
      <c r="N226" s="49"/>
      <c r="O226" s="31">
        <f>ROUND(L226,0)</f>
        <v>1116834</v>
      </c>
      <c r="P226" s="31">
        <f t="shared" si="69"/>
        <v>0</v>
      </c>
      <c r="Q226" s="49"/>
    </row>
    <row r="227" spans="2:17" ht="18" customHeight="1" x14ac:dyDescent="0.25">
      <c r="C227" s="187" t="s">
        <v>552</v>
      </c>
      <c r="D227" s="142" t="s">
        <v>553</v>
      </c>
      <c r="E227" s="66">
        <v>1320896.3067867202</v>
      </c>
      <c r="F227" s="66">
        <f>F228+F229+F230</f>
        <v>1320896</v>
      </c>
      <c r="G227" s="54">
        <f t="shared" si="66"/>
        <v>-0.30678672017529607</v>
      </c>
      <c r="H227" s="135"/>
      <c r="I227" s="54">
        <f>I228+I229+I230</f>
        <v>1320896</v>
      </c>
      <c r="J227" s="54">
        <f t="shared" si="67"/>
        <v>0</v>
      </c>
      <c r="K227" s="135"/>
      <c r="L227" s="54">
        <f>L228+L229+L230</f>
        <v>1323864</v>
      </c>
      <c r="M227" s="54">
        <f t="shared" si="68"/>
        <v>2968</v>
      </c>
      <c r="N227" s="135"/>
      <c r="O227" s="54">
        <f>O228+O229+O230</f>
        <v>1323864</v>
      </c>
      <c r="P227" s="54">
        <f t="shared" si="69"/>
        <v>0</v>
      </c>
      <c r="Q227" s="135"/>
    </row>
    <row r="228" spans="2:17" ht="13.5" customHeight="1" x14ac:dyDescent="0.25">
      <c r="B228" s="1" t="s">
        <v>554</v>
      </c>
      <c r="C228" s="140" t="s">
        <v>555</v>
      </c>
      <c r="D228" s="103" t="s">
        <v>541</v>
      </c>
      <c r="E228" s="32">
        <v>192011</v>
      </c>
      <c r="F228" s="32">
        <f>ROUND(E228,0)</f>
        <v>192011</v>
      </c>
      <c r="G228" s="31">
        <f t="shared" si="66"/>
        <v>0</v>
      </c>
      <c r="H228" s="49"/>
      <c r="I228" s="31">
        <f>ROUND(F228,0)</f>
        <v>192011</v>
      </c>
      <c r="J228" s="31">
        <f t="shared" si="67"/>
        <v>0</v>
      </c>
      <c r="K228" s="49"/>
      <c r="L228" s="31">
        <f>ROUND(I228,0)+2968</f>
        <v>194979</v>
      </c>
      <c r="M228" s="31">
        <f t="shared" si="68"/>
        <v>2968</v>
      </c>
      <c r="N228" s="49" t="s">
        <v>143</v>
      </c>
      <c r="O228" s="31">
        <f>ROUND(L228,0)</f>
        <v>194979</v>
      </c>
      <c r="P228" s="31">
        <f t="shared" si="69"/>
        <v>0</v>
      </c>
      <c r="Q228" s="49"/>
    </row>
    <row r="229" spans="2:17" ht="17.45" customHeight="1" x14ac:dyDescent="0.25">
      <c r="B229" s="1" t="s">
        <v>556</v>
      </c>
      <c r="C229" s="140" t="s">
        <v>557</v>
      </c>
      <c r="D229" s="103" t="s">
        <v>544</v>
      </c>
      <c r="E229" s="32">
        <v>968536.30678672018</v>
      </c>
      <c r="F229" s="32">
        <f>ROUND(E229,0)</f>
        <v>968536</v>
      </c>
      <c r="G229" s="31">
        <f t="shared" si="66"/>
        <v>-0.30678672017529607</v>
      </c>
      <c r="H229" s="49"/>
      <c r="I229" s="31">
        <f>ROUND(F229,0)</f>
        <v>968536</v>
      </c>
      <c r="J229" s="31">
        <f t="shared" si="67"/>
        <v>0</v>
      </c>
      <c r="K229" s="49"/>
      <c r="L229" s="31">
        <f>ROUND(I229,0)</f>
        <v>968536</v>
      </c>
      <c r="M229" s="31">
        <f t="shared" si="68"/>
        <v>0</v>
      </c>
      <c r="N229" s="49"/>
      <c r="O229" s="31">
        <f>ROUND(L229,0)</f>
        <v>968536</v>
      </c>
      <c r="P229" s="31">
        <f t="shared" si="69"/>
        <v>0</v>
      </c>
      <c r="Q229" s="49"/>
    </row>
    <row r="230" spans="2:17" ht="17.45" customHeight="1" x14ac:dyDescent="0.25">
      <c r="C230" s="140" t="s">
        <v>558</v>
      </c>
      <c r="D230" s="103" t="s">
        <v>559</v>
      </c>
      <c r="E230" s="32">
        <v>160349</v>
      </c>
      <c r="F230" s="32">
        <f>ROUND(E230,0)</f>
        <v>160349</v>
      </c>
      <c r="G230" s="31">
        <f>F230-E230</f>
        <v>0</v>
      </c>
      <c r="H230" s="49"/>
      <c r="I230" s="31">
        <f>ROUND(F230,0)</f>
        <v>160349</v>
      </c>
      <c r="J230" s="31">
        <f t="shared" si="67"/>
        <v>0</v>
      </c>
      <c r="K230" s="49"/>
      <c r="L230" s="31">
        <f>ROUND(I230,0)</f>
        <v>160349</v>
      </c>
      <c r="M230" s="31">
        <f t="shared" si="68"/>
        <v>0</v>
      </c>
      <c r="N230" s="49"/>
      <c r="O230" s="31">
        <f>ROUND(L230,0)</f>
        <v>160349</v>
      </c>
      <c r="P230" s="31">
        <f t="shared" si="69"/>
        <v>0</v>
      </c>
      <c r="Q230" s="49"/>
    </row>
    <row r="231" spans="2:17" x14ac:dyDescent="0.25">
      <c r="B231" s="1" t="s">
        <v>560</v>
      </c>
      <c r="C231" s="187" t="s">
        <v>561</v>
      </c>
      <c r="D231" s="142" t="s">
        <v>562</v>
      </c>
      <c r="E231" s="66">
        <v>1231648.2936508402</v>
      </c>
      <c r="F231" s="66">
        <f t="shared" ref="F231" si="78">SUM(F232:F234)</f>
        <v>1231648</v>
      </c>
      <c r="G231" s="54">
        <f t="shared" si="66"/>
        <v>-0.29365084017626941</v>
      </c>
      <c r="H231" s="135"/>
      <c r="I231" s="54">
        <f>SUM(I232:I234)</f>
        <v>1233648</v>
      </c>
      <c r="J231" s="54">
        <f t="shared" si="67"/>
        <v>2000</v>
      </c>
      <c r="K231" s="135"/>
      <c r="L231" s="54">
        <f>SUM(L232:L234)</f>
        <v>1234807</v>
      </c>
      <c r="M231" s="54">
        <f t="shared" si="68"/>
        <v>1159</v>
      </c>
      <c r="N231" s="135"/>
      <c r="O231" s="54">
        <f>SUM(O232:O234)</f>
        <v>1234807</v>
      </c>
      <c r="P231" s="54">
        <f t="shared" si="69"/>
        <v>0</v>
      </c>
      <c r="Q231" s="135"/>
    </row>
    <row r="232" spans="2:17" s="189" customFormat="1" ht="17.25" customHeight="1" x14ac:dyDescent="0.25">
      <c r="B232" s="188" t="s">
        <v>563</v>
      </c>
      <c r="C232" s="140" t="s">
        <v>564</v>
      </c>
      <c r="D232" s="103" t="s">
        <v>541</v>
      </c>
      <c r="E232" s="32">
        <v>71133</v>
      </c>
      <c r="F232" s="32">
        <f>ROUND(E232,0)</f>
        <v>71133</v>
      </c>
      <c r="G232" s="183">
        <f t="shared" si="66"/>
        <v>0</v>
      </c>
      <c r="H232" s="33"/>
      <c r="I232" s="31">
        <f>ROUND(F232,0)</f>
        <v>71133</v>
      </c>
      <c r="J232" s="183">
        <f t="shared" si="67"/>
        <v>0</v>
      </c>
      <c r="K232" s="33"/>
      <c r="L232" s="31">
        <f>ROUND(I232,0)+1159</f>
        <v>72292</v>
      </c>
      <c r="M232" s="183">
        <f t="shared" si="68"/>
        <v>1159</v>
      </c>
      <c r="N232" s="33" t="s">
        <v>143</v>
      </c>
      <c r="O232" s="31">
        <f>ROUND(L232,0)</f>
        <v>72292</v>
      </c>
      <c r="P232" s="183">
        <f t="shared" si="69"/>
        <v>0</v>
      </c>
      <c r="Q232" s="33"/>
    </row>
    <row r="233" spans="2:17" s="189" customFormat="1" ht="15.6" customHeight="1" x14ac:dyDescent="0.25">
      <c r="C233" s="140" t="s">
        <v>565</v>
      </c>
      <c r="D233" s="103" t="s">
        <v>544</v>
      </c>
      <c r="E233" s="32">
        <v>1001768.2936508402</v>
      </c>
      <c r="F233" s="32">
        <f>ROUND(E233,0)</f>
        <v>1001768</v>
      </c>
      <c r="G233" s="183">
        <f t="shared" si="66"/>
        <v>-0.29365084017626941</v>
      </c>
      <c r="H233" s="49"/>
      <c r="I233" s="31">
        <f>ROUND(F233,0)+2000</f>
        <v>1003768</v>
      </c>
      <c r="J233" s="183">
        <f t="shared" si="67"/>
        <v>2000</v>
      </c>
      <c r="K233" s="33" t="s">
        <v>566</v>
      </c>
      <c r="L233" s="31">
        <f>ROUND(I233,0)</f>
        <v>1003768</v>
      </c>
      <c r="M233" s="183">
        <f t="shared" si="68"/>
        <v>0</v>
      </c>
      <c r="N233" s="33"/>
      <c r="O233" s="31">
        <f>ROUND(L233,0)</f>
        <v>1003768</v>
      </c>
      <c r="P233" s="183">
        <f t="shared" si="69"/>
        <v>0</v>
      </c>
      <c r="Q233" s="33"/>
    </row>
    <row r="234" spans="2:17" s="189" customFormat="1" ht="13.9" customHeight="1" x14ac:dyDescent="0.25">
      <c r="C234" s="140" t="s">
        <v>567</v>
      </c>
      <c r="D234" s="103" t="s">
        <v>559</v>
      </c>
      <c r="E234" s="32">
        <v>158747</v>
      </c>
      <c r="F234" s="32">
        <f>ROUND(E234,0)</f>
        <v>158747</v>
      </c>
      <c r="G234" s="183">
        <f>F234-E234</f>
        <v>0</v>
      </c>
      <c r="H234" s="49"/>
      <c r="I234" s="31">
        <f>ROUND(F234,0)</f>
        <v>158747</v>
      </c>
      <c r="J234" s="183">
        <f t="shared" si="67"/>
        <v>0</v>
      </c>
      <c r="K234" s="49"/>
      <c r="L234" s="31">
        <f>ROUND(I234,0)</f>
        <v>158747</v>
      </c>
      <c r="M234" s="183">
        <f t="shared" si="68"/>
        <v>0</v>
      </c>
      <c r="N234" s="49"/>
      <c r="O234" s="31">
        <f>ROUND(L234,0)</f>
        <v>158747</v>
      </c>
      <c r="P234" s="183">
        <f t="shared" si="69"/>
        <v>0</v>
      </c>
      <c r="Q234" s="49"/>
    </row>
    <row r="235" spans="2:17" x14ac:dyDescent="0.25">
      <c r="C235" s="187" t="s">
        <v>568</v>
      </c>
      <c r="D235" s="142" t="s">
        <v>569</v>
      </c>
      <c r="E235" s="66">
        <v>2137999</v>
      </c>
      <c r="F235" s="66">
        <f>F236+F237+F238</f>
        <v>2137999</v>
      </c>
      <c r="G235" s="54">
        <f t="shared" si="66"/>
        <v>0</v>
      </c>
      <c r="H235" s="135"/>
      <c r="I235" s="54">
        <f>I236+I237+I238</f>
        <v>2137999</v>
      </c>
      <c r="J235" s="54">
        <f t="shared" si="67"/>
        <v>0</v>
      </c>
      <c r="K235" s="135"/>
      <c r="L235" s="54">
        <f>L236+L237+L238</f>
        <v>2137999</v>
      </c>
      <c r="M235" s="54">
        <f t="shared" si="68"/>
        <v>0</v>
      </c>
      <c r="N235" s="135"/>
      <c r="O235" s="54">
        <f>O236+O237+O238</f>
        <v>2137999</v>
      </c>
      <c r="P235" s="54">
        <f t="shared" si="69"/>
        <v>0</v>
      </c>
      <c r="Q235" s="135"/>
    </row>
    <row r="236" spans="2:17" s="189" customFormat="1" x14ac:dyDescent="0.25">
      <c r="B236" s="188" t="s">
        <v>570</v>
      </c>
      <c r="C236" s="190" t="s">
        <v>571</v>
      </c>
      <c r="D236" s="191" t="s">
        <v>572</v>
      </c>
      <c r="E236" s="32">
        <v>625207</v>
      </c>
      <c r="F236" s="32">
        <f>ROUND(E236,0)</f>
        <v>625207</v>
      </c>
      <c r="G236" s="183">
        <f t="shared" si="66"/>
        <v>0</v>
      </c>
      <c r="H236" s="33"/>
      <c r="I236" s="31">
        <f>ROUND(F236,0)</f>
        <v>625207</v>
      </c>
      <c r="J236" s="183">
        <f t="shared" si="67"/>
        <v>0</v>
      </c>
      <c r="K236" s="33"/>
      <c r="L236" s="31">
        <f>ROUND(I236,0)</f>
        <v>625207</v>
      </c>
      <c r="M236" s="183">
        <f t="shared" si="68"/>
        <v>0</v>
      </c>
      <c r="N236" s="33"/>
      <c r="O236" s="31">
        <f>ROUND(L236,0)</f>
        <v>625207</v>
      </c>
      <c r="P236" s="183">
        <f t="shared" si="69"/>
        <v>0</v>
      </c>
      <c r="Q236" s="33"/>
    </row>
    <row r="237" spans="2:17" s="189" customFormat="1" ht="16.149999999999999" customHeight="1" x14ac:dyDescent="0.25">
      <c r="B237" s="188" t="s">
        <v>573</v>
      </c>
      <c r="C237" s="190" t="s">
        <v>574</v>
      </c>
      <c r="D237" s="191" t="s">
        <v>575</v>
      </c>
      <c r="E237" s="32">
        <v>135000</v>
      </c>
      <c r="F237" s="32">
        <f>ROUND(E237,0)</f>
        <v>135000</v>
      </c>
      <c r="G237" s="183">
        <f t="shared" si="66"/>
        <v>0</v>
      </c>
      <c r="H237" s="33"/>
      <c r="I237" s="31">
        <f>ROUND(F237,0)</f>
        <v>135000</v>
      </c>
      <c r="J237" s="183">
        <f t="shared" si="67"/>
        <v>0</v>
      </c>
      <c r="K237" s="33"/>
      <c r="L237" s="31">
        <f>ROUND(I237,0)</f>
        <v>135000</v>
      </c>
      <c r="M237" s="183">
        <f t="shared" si="68"/>
        <v>0</v>
      </c>
      <c r="N237" s="33"/>
      <c r="O237" s="31">
        <f>ROUND(L237,0)</f>
        <v>135000</v>
      </c>
      <c r="P237" s="183">
        <f t="shared" si="69"/>
        <v>0</v>
      </c>
      <c r="Q237" s="33"/>
    </row>
    <row r="238" spans="2:17" x14ac:dyDescent="0.25">
      <c r="B238" s="64" t="s">
        <v>573</v>
      </c>
      <c r="C238" s="140" t="s">
        <v>576</v>
      </c>
      <c r="D238" s="103" t="s">
        <v>577</v>
      </c>
      <c r="E238" s="32">
        <v>1377792</v>
      </c>
      <c r="F238" s="32">
        <f>ROUND(E238,0)</f>
        <v>1377792</v>
      </c>
      <c r="G238" s="183">
        <f t="shared" si="66"/>
        <v>0</v>
      </c>
      <c r="H238" s="33"/>
      <c r="I238" s="31">
        <f>ROUND(F238,0)</f>
        <v>1377792</v>
      </c>
      <c r="J238" s="183">
        <f t="shared" si="67"/>
        <v>0</v>
      </c>
      <c r="K238" s="33"/>
      <c r="L238" s="31">
        <f>ROUND(I238,0)</f>
        <v>1377792</v>
      </c>
      <c r="M238" s="183">
        <f t="shared" si="68"/>
        <v>0</v>
      </c>
      <c r="N238" s="33"/>
      <c r="O238" s="31">
        <f>ROUND(L238,0)</f>
        <v>1377792</v>
      </c>
      <c r="P238" s="183">
        <f t="shared" si="69"/>
        <v>0</v>
      </c>
      <c r="Q238" s="33"/>
    </row>
    <row r="239" spans="2:17" s="124" customFormat="1" ht="15.75" customHeight="1" x14ac:dyDescent="0.2">
      <c r="C239" s="187" t="s">
        <v>578</v>
      </c>
      <c r="D239" s="142" t="s">
        <v>579</v>
      </c>
      <c r="E239" s="144">
        <v>1977338.5930570001</v>
      </c>
      <c r="F239" s="144">
        <f t="shared" ref="F239" si="79">F240+F241+F242+F243+F244+F245+F246</f>
        <v>1974553</v>
      </c>
      <c r="G239" s="143">
        <f t="shared" si="66"/>
        <v>-2785.5930570000783</v>
      </c>
      <c r="H239" s="155"/>
      <c r="I239" s="143">
        <f>I240+I241+I242+I243+I244+I245+I246</f>
        <v>1979553</v>
      </c>
      <c r="J239" s="143">
        <f t="shared" si="67"/>
        <v>5000</v>
      </c>
      <c r="K239" s="155"/>
      <c r="L239" s="143">
        <f>L240+L241+L242+L243+L244+L245+L246</f>
        <v>1990205</v>
      </c>
      <c r="M239" s="143">
        <f t="shared" si="68"/>
        <v>10652</v>
      </c>
      <c r="N239" s="155"/>
      <c r="O239" s="143">
        <f>O240+O241+O242+O243+O244+O245+O246</f>
        <v>1993905</v>
      </c>
      <c r="P239" s="143">
        <f t="shared" si="69"/>
        <v>3700</v>
      </c>
      <c r="Q239" s="155"/>
    </row>
    <row r="240" spans="2:17" s="28" customFormat="1" ht="17.25" customHeight="1" x14ac:dyDescent="0.25">
      <c r="B240" s="46" t="s">
        <v>580</v>
      </c>
      <c r="C240" s="140" t="s">
        <v>581</v>
      </c>
      <c r="D240" s="103" t="s">
        <v>541</v>
      </c>
      <c r="E240" s="32">
        <v>926167</v>
      </c>
      <c r="F240" s="32">
        <f>ROUND(E240,0)</f>
        <v>926167</v>
      </c>
      <c r="G240" s="31">
        <f t="shared" si="66"/>
        <v>0</v>
      </c>
      <c r="H240" s="49"/>
      <c r="I240" s="31">
        <f>ROUND(F240,0)</f>
        <v>926167</v>
      </c>
      <c r="J240" s="31">
        <f t="shared" si="67"/>
        <v>0</v>
      </c>
      <c r="K240" s="49"/>
      <c r="L240" s="31">
        <f>ROUND(I240,0)+10652</f>
        <v>936819</v>
      </c>
      <c r="M240" s="31">
        <f t="shared" si="68"/>
        <v>10652</v>
      </c>
      <c r="N240" s="49" t="s">
        <v>143</v>
      </c>
      <c r="O240" s="31">
        <f>ROUND(L240,0)</f>
        <v>936819</v>
      </c>
      <c r="P240" s="31">
        <f t="shared" si="69"/>
        <v>0</v>
      </c>
      <c r="Q240" s="49"/>
    </row>
    <row r="241" spans="2:17" s="28" customFormat="1" x14ac:dyDescent="0.25">
      <c r="B241" s="28" t="s">
        <v>580</v>
      </c>
      <c r="C241" s="140" t="s">
        <v>582</v>
      </c>
      <c r="D241" s="103" t="s">
        <v>583</v>
      </c>
      <c r="E241" s="32">
        <v>74869</v>
      </c>
      <c r="F241" s="32">
        <f>ROUND(E241,0)</f>
        <v>74869</v>
      </c>
      <c r="G241" s="31">
        <f t="shared" si="66"/>
        <v>0</v>
      </c>
      <c r="H241" s="49"/>
      <c r="I241" s="31">
        <f>ROUND(F241,0)</f>
        <v>74869</v>
      </c>
      <c r="J241" s="31">
        <f t="shared" si="67"/>
        <v>0</v>
      </c>
      <c r="K241" s="49"/>
      <c r="L241" s="31">
        <f t="shared" ref="L241:L247" si="80">ROUND(I241,0)</f>
        <v>74869</v>
      </c>
      <c r="M241" s="31">
        <f t="shared" si="68"/>
        <v>0</v>
      </c>
      <c r="N241" s="49"/>
      <c r="O241" s="31">
        <f t="shared" ref="O241:O246" si="81">ROUND(L241,0)</f>
        <v>74869</v>
      </c>
      <c r="P241" s="31">
        <f t="shared" si="69"/>
        <v>0</v>
      </c>
      <c r="Q241" s="49"/>
    </row>
    <row r="242" spans="2:17" s="28" customFormat="1" ht="17.25" customHeight="1" x14ac:dyDescent="0.25">
      <c r="B242" s="46" t="s">
        <v>584</v>
      </c>
      <c r="C242" s="140" t="s">
        <v>585</v>
      </c>
      <c r="D242" s="103" t="s">
        <v>544</v>
      </c>
      <c r="E242" s="32">
        <v>682154.59305699996</v>
      </c>
      <c r="F242" s="32">
        <f t="shared" ref="F242:F247" si="82">ROUND(E242,0)</f>
        <v>682155</v>
      </c>
      <c r="G242" s="31">
        <f t="shared" si="66"/>
        <v>0.40694300003815442</v>
      </c>
      <c r="H242" s="49"/>
      <c r="I242" s="31">
        <f>ROUND(F242,0)</f>
        <v>682155</v>
      </c>
      <c r="J242" s="31">
        <f t="shared" si="67"/>
        <v>0</v>
      </c>
      <c r="K242" s="49"/>
      <c r="L242" s="31">
        <f t="shared" si="80"/>
        <v>682155</v>
      </c>
      <c r="M242" s="31">
        <f t="shared" si="68"/>
        <v>0</v>
      </c>
      <c r="N242" s="49"/>
      <c r="O242" s="31">
        <f t="shared" si="81"/>
        <v>682155</v>
      </c>
      <c r="P242" s="31">
        <f t="shared" si="69"/>
        <v>0</v>
      </c>
      <c r="Q242" s="49"/>
    </row>
    <row r="243" spans="2:17" s="28" customFormat="1" ht="43.15" customHeight="1" x14ac:dyDescent="0.25">
      <c r="B243" s="46"/>
      <c r="C243" s="140" t="s">
        <v>586</v>
      </c>
      <c r="D243" s="103" t="s">
        <v>559</v>
      </c>
      <c r="E243" s="32">
        <v>241081</v>
      </c>
      <c r="F243" s="32">
        <f t="shared" si="82"/>
        <v>241081</v>
      </c>
      <c r="G243" s="31">
        <f t="shared" si="66"/>
        <v>0</v>
      </c>
      <c r="H243" s="49"/>
      <c r="I243" s="31">
        <f>ROUND(F243,0)</f>
        <v>241081</v>
      </c>
      <c r="J243" s="31">
        <f t="shared" si="67"/>
        <v>0</v>
      </c>
      <c r="K243" s="49"/>
      <c r="L243" s="31">
        <f t="shared" si="80"/>
        <v>241081</v>
      </c>
      <c r="M243" s="31">
        <f t="shared" si="68"/>
        <v>0</v>
      </c>
      <c r="N243" s="49"/>
      <c r="O243" s="31">
        <f>ROUND(L243,0)+3700</f>
        <v>244781</v>
      </c>
      <c r="P243" s="31">
        <f t="shared" si="69"/>
        <v>3700</v>
      </c>
      <c r="Q243" s="352" t="s">
        <v>890</v>
      </c>
    </row>
    <row r="244" spans="2:17" s="28" customFormat="1" ht="16.899999999999999" customHeight="1" x14ac:dyDescent="0.25">
      <c r="B244" s="46" t="s">
        <v>587</v>
      </c>
      <c r="C244" s="140" t="s">
        <v>588</v>
      </c>
      <c r="D244" s="103" t="s">
        <v>589</v>
      </c>
      <c r="E244" s="32">
        <v>6454</v>
      </c>
      <c r="F244" s="32">
        <f>ROUND(E244,0)-2786</f>
        <v>3668</v>
      </c>
      <c r="G244" s="31">
        <f t="shared" si="66"/>
        <v>-2786</v>
      </c>
      <c r="H244" s="33" t="s">
        <v>163</v>
      </c>
      <c r="I244" s="31">
        <f>ROUND(F244,0)</f>
        <v>3668</v>
      </c>
      <c r="J244" s="31">
        <f t="shared" si="67"/>
        <v>0</v>
      </c>
      <c r="K244" s="33"/>
      <c r="L244" s="31">
        <f t="shared" si="80"/>
        <v>3668</v>
      </c>
      <c r="M244" s="31">
        <f t="shared" si="68"/>
        <v>0</v>
      </c>
      <c r="N244" s="33"/>
      <c r="O244" s="31">
        <f t="shared" si="81"/>
        <v>3668</v>
      </c>
      <c r="P244" s="31">
        <f t="shared" si="69"/>
        <v>0</v>
      </c>
      <c r="Q244" s="33"/>
    </row>
    <row r="245" spans="2:17" s="124" customFormat="1" ht="13.9" customHeight="1" x14ac:dyDescent="0.25">
      <c r="B245" s="64" t="s">
        <v>590</v>
      </c>
      <c r="C245" s="140" t="s">
        <v>591</v>
      </c>
      <c r="D245" s="103" t="s">
        <v>592</v>
      </c>
      <c r="E245" s="32">
        <v>46613</v>
      </c>
      <c r="F245" s="32">
        <f t="shared" si="82"/>
        <v>46613</v>
      </c>
      <c r="G245" s="31">
        <f t="shared" si="66"/>
        <v>0</v>
      </c>
      <c r="H245" s="33"/>
      <c r="I245" s="31">
        <f>ROUND(F245,0)+5000</f>
        <v>51613</v>
      </c>
      <c r="J245" s="31">
        <f t="shared" si="67"/>
        <v>5000</v>
      </c>
      <c r="K245" s="71" t="s">
        <v>229</v>
      </c>
      <c r="L245" s="31">
        <f t="shared" si="80"/>
        <v>51613</v>
      </c>
      <c r="M245" s="31">
        <f t="shared" si="68"/>
        <v>0</v>
      </c>
      <c r="N245" s="71"/>
      <c r="O245" s="31">
        <f t="shared" si="81"/>
        <v>51613</v>
      </c>
      <c r="P245" s="31">
        <f t="shared" si="69"/>
        <v>0</v>
      </c>
      <c r="Q245" s="71"/>
    </row>
    <row r="246" spans="2:17" s="124" customFormat="1" ht="15" customHeight="1" x14ac:dyDescent="0.25">
      <c r="B246" s="64" t="s">
        <v>593</v>
      </c>
      <c r="C246" s="140" t="s">
        <v>594</v>
      </c>
      <c r="D246" s="103" t="s">
        <v>595</v>
      </c>
      <c r="E246" s="32">
        <v>0</v>
      </c>
      <c r="F246" s="32">
        <f t="shared" si="82"/>
        <v>0</v>
      </c>
      <c r="G246" s="31">
        <f t="shared" si="66"/>
        <v>0</v>
      </c>
      <c r="H246" s="33"/>
      <c r="I246" s="31">
        <f>ROUND(F246,0)</f>
        <v>0</v>
      </c>
      <c r="J246" s="31">
        <f t="shared" si="67"/>
        <v>0</v>
      </c>
      <c r="K246" s="33"/>
      <c r="L246" s="31">
        <f t="shared" si="80"/>
        <v>0</v>
      </c>
      <c r="M246" s="31">
        <f t="shared" si="68"/>
        <v>0</v>
      </c>
      <c r="N246" s="33"/>
      <c r="O246" s="31">
        <f t="shared" si="81"/>
        <v>0</v>
      </c>
      <c r="P246" s="31">
        <f t="shared" si="69"/>
        <v>0</v>
      </c>
      <c r="Q246" s="33"/>
    </row>
    <row r="247" spans="2:17" s="28" customFormat="1" ht="15.6" customHeight="1" x14ac:dyDescent="0.25">
      <c r="B247" s="64" t="s">
        <v>596</v>
      </c>
      <c r="C247" s="187" t="s">
        <v>597</v>
      </c>
      <c r="D247" s="142" t="s">
        <v>310</v>
      </c>
      <c r="E247" s="144">
        <v>836633.39</v>
      </c>
      <c r="F247" s="144">
        <f t="shared" si="82"/>
        <v>836633</v>
      </c>
      <c r="G247" s="143">
        <f>F247-E247</f>
        <v>-0.39000000001396984</v>
      </c>
      <c r="H247" s="67"/>
      <c r="I247" s="143">
        <f>ROUND(F247,0)</f>
        <v>836633</v>
      </c>
      <c r="J247" s="143">
        <f t="shared" si="67"/>
        <v>0</v>
      </c>
      <c r="K247" s="67"/>
      <c r="L247" s="143">
        <f t="shared" si="80"/>
        <v>836633</v>
      </c>
      <c r="M247" s="143">
        <f t="shared" si="68"/>
        <v>0</v>
      </c>
      <c r="N247" s="67"/>
      <c r="O247" s="143">
        <f>ROUND(L247,0)</f>
        <v>836633</v>
      </c>
      <c r="P247" s="143">
        <f t="shared" si="69"/>
        <v>0</v>
      </c>
      <c r="Q247" s="67"/>
    </row>
    <row r="248" spans="2:17" s="28" customFormat="1" ht="15.75" customHeight="1" x14ac:dyDescent="0.25">
      <c r="B248" s="46"/>
      <c r="C248" s="187" t="s">
        <v>598</v>
      </c>
      <c r="D248" s="142" t="s">
        <v>599</v>
      </c>
      <c r="E248" s="144">
        <v>7240446.2743386505</v>
      </c>
      <c r="F248" s="144">
        <f>F249+F250+F251+F252+F253+F254+F255+F256</f>
        <v>7249299</v>
      </c>
      <c r="G248" s="143">
        <f t="shared" si="66"/>
        <v>8852.7256613494828</v>
      </c>
      <c r="H248" s="67"/>
      <c r="I248" s="143">
        <f>I249+I250+I251+I252+I253+I254+I255+I256</f>
        <v>7335799</v>
      </c>
      <c r="J248" s="143">
        <f t="shared" si="67"/>
        <v>86500</v>
      </c>
      <c r="K248" s="67"/>
      <c r="L248" s="143">
        <f>L249+L250+L251+L252+L253+L254+L255+L256</f>
        <v>7378123</v>
      </c>
      <c r="M248" s="143">
        <f t="shared" si="68"/>
        <v>42324</v>
      </c>
      <c r="N248" s="67"/>
      <c r="O248" s="143">
        <f>O249+O250+O251+O252+O253+O254+O255+O256</f>
        <v>7378123</v>
      </c>
      <c r="P248" s="143">
        <f t="shared" si="69"/>
        <v>0</v>
      </c>
      <c r="Q248" s="67"/>
    </row>
    <row r="249" spans="2:17" s="28" customFormat="1" ht="17.25" customHeight="1" x14ac:dyDescent="0.25">
      <c r="B249" s="46" t="s">
        <v>600</v>
      </c>
      <c r="C249" s="140" t="s">
        <v>601</v>
      </c>
      <c r="D249" s="103" t="s">
        <v>541</v>
      </c>
      <c r="E249" s="32">
        <v>3750643</v>
      </c>
      <c r="F249" s="32">
        <f>ROUND(E249,0)</f>
        <v>3750643</v>
      </c>
      <c r="G249" s="31">
        <f t="shared" si="66"/>
        <v>0</v>
      </c>
      <c r="H249" s="49"/>
      <c r="I249" s="31">
        <f t="shared" ref="I249:I255" si="83">ROUND(F249,0)</f>
        <v>3750643</v>
      </c>
      <c r="J249" s="31">
        <f t="shared" si="67"/>
        <v>0</v>
      </c>
      <c r="K249" s="49"/>
      <c r="L249" s="31">
        <f>ROUND(I249,0)+41084</f>
        <v>3791727</v>
      </c>
      <c r="M249" s="31">
        <f t="shared" si="68"/>
        <v>41084</v>
      </c>
      <c r="N249" s="49" t="s">
        <v>143</v>
      </c>
      <c r="O249" s="31">
        <f>ROUND(L249,0)</f>
        <v>3791727</v>
      </c>
      <c r="P249" s="31">
        <f t="shared" si="69"/>
        <v>0</v>
      </c>
      <c r="Q249" s="49"/>
    </row>
    <row r="250" spans="2:17" s="28" customFormat="1" ht="18" customHeight="1" x14ac:dyDescent="0.25">
      <c r="B250" s="46" t="s">
        <v>602</v>
      </c>
      <c r="C250" s="140" t="s">
        <v>603</v>
      </c>
      <c r="D250" s="103" t="s">
        <v>544</v>
      </c>
      <c r="E250" s="32">
        <v>1425817.7494320502</v>
      </c>
      <c r="F250" s="32">
        <f>ROUND(E250,0)+10864</f>
        <v>1436682</v>
      </c>
      <c r="G250" s="31">
        <f t="shared" si="66"/>
        <v>10864.250567949843</v>
      </c>
      <c r="H250" s="49" t="s">
        <v>604</v>
      </c>
      <c r="I250" s="31">
        <f>ROUND(F250,0)+43000</f>
        <v>1479682</v>
      </c>
      <c r="J250" s="34">
        <f t="shared" si="67"/>
        <v>43000</v>
      </c>
      <c r="K250" s="50" t="s">
        <v>605</v>
      </c>
      <c r="L250" s="31">
        <f t="shared" ref="L250:L255" si="84">ROUND(I250,0)</f>
        <v>1479682</v>
      </c>
      <c r="M250" s="31">
        <f t="shared" si="68"/>
        <v>0</v>
      </c>
      <c r="N250" s="49"/>
      <c r="O250" s="31">
        <f t="shared" ref="O250:O255" si="85">ROUND(L250,0)</f>
        <v>1479682</v>
      </c>
      <c r="P250" s="31">
        <f t="shared" si="69"/>
        <v>0</v>
      </c>
      <c r="Q250" s="49"/>
    </row>
    <row r="251" spans="2:17" s="28" customFormat="1" ht="17.45" customHeight="1" x14ac:dyDescent="0.25">
      <c r="B251" s="28" t="s">
        <v>606</v>
      </c>
      <c r="C251" s="140" t="s">
        <v>607</v>
      </c>
      <c r="D251" s="103" t="s">
        <v>592</v>
      </c>
      <c r="E251" s="32">
        <v>250373</v>
      </c>
      <c r="F251" s="32">
        <f>ROUND(E251,0)</f>
        <v>250373</v>
      </c>
      <c r="G251" s="31">
        <f t="shared" si="66"/>
        <v>0</v>
      </c>
      <c r="H251" s="33"/>
      <c r="I251" s="31">
        <f t="shared" si="83"/>
        <v>250373</v>
      </c>
      <c r="J251" s="31">
        <f t="shared" si="67"/>
        <v>0</v>
      </c>
      <c r="K251" s="33"/>
      <c r="L251" s="31">
        <f t="shared" si="84"/>
        <v>250373</v>
      </c>
      <c r="M251" s="31">
        <f t="shared" si="68"/>
        <v>0</v>
      </c>
      <c r="N251" s="33"/>
      <c r="O251" s="31">
        <f t="shared" si="85"/>
        <v>250373</v>
      </c>
      <c r="P251" s="31">
        <f t="shared" si="69"/>
        <v>0</v>
      </c>
      <c r="Q251" s="33"/>
    </row>
    <row r="252" spans="2:17" s="28" customFormat="1" ht="16.149999999999999" customHeight="1" x14ac:dyDescent="0.25">
      <c r="B252" s="46" t="s">
        <v>608</v>
      </c>
      <c r="C252" s="140" t="s">
        <v>609</v>
      </c>
      <c r="D252" s="103" t="s">
        <v>589</v>
      </c>
      <c r="E252" s="32">
        <v>16158</v>
      </c>
      <c r="F252" s="32">
        <f>ROUND(E252,0)-2011</f>
        <v>14147</v>
      </c>
      <c r="G252" s="31">
        <f t="shared" si="66"/>
        <v>-2011</v>
      </c>
      <c r="H252" s="33" t="s">
        <v>163</v>
      </c>
      <c r="I252" s="31">
        <f t="shared" si="83"/>
        <v>14147</v>
      </c>
      <c r="J252" s="31">
        <f t="shared" si="67"/>
        <v>0</v>
      </c>
      <c r="K252" s="33"/>
      <c r="L252" s="31">
        <f t="shared" si="84"/>
        <v>14147</v>
      </c>
      <c r="M252" s="31">
        <f t="shared" si="68"/>
        <v>0</v>
      </c>
      <c r="N252" s="33"/>
      <c r="O252" s="31">
        <f t="shared" si="85"/>
        <v>14147</v>
      </c>
      <c r="P252" s="31">
        <f t="shared" si="69"/>
        <v>0</v>
      </c>
      <c r="Q252" s="33"/>
    </row>
    <row r="253" spans="2:17" s="192" customFormat="1" ht="42.6" customHeight="1" x14ac:dyDescent="0.25">
      <c r="B253" s="46" t="s">
        <v>602</v>
      </c>
      <c r="C253" s="140" t="s">
        <v>610</v>
      </c>
      <c r="D253" s="103" t="s">
        <v>312</v>
      </c>
      <c r="E253" s="32">
        <v>390000</v>
      </c>
      <c r="F253" s="32">
        <f>ROUND(E253,0)</f>
        <v>390000</v>
      </c>
      <c r="G253" s="31">
        <f t="shared" si="66"/>
        <v>0</v>
      </c>
      <c r="H253" s="49"/>
      <c r="I253" s="31">
        <f>ROUND(F253,0)+43500</f>
        <v>433500</v>
      </c>
      <c r="J253" s="34">
        <f t="shared" si="67"/>
        <v>43500</v>
      </c>
      <c r="K253" s="50" t="s">
        <v>611</v>
      </c>
      <c r="L253" s="31">
        <f t="shared" si="84"/>
        <v>433500</v>
      </c>
      <c r="M253" s="31">
        <f t="shared" si="68"/>
        <v>0</v>
      </c>
      <c r="N253" s="49"/>
      <c r="O253" s="31">
        <f t="shared" si="85"/>
        <v>433500</v>
      </c>
      <c r="P253" s="31">
        <f t="shared" si="69"/>
        <v>0</v>
      </c>
      <c r="Q253" s="49"/>
    </row>
    <row r="254" spans="2:17" s="192" customFormat="1" ht="19.149999999999999" customHeight="1" x14ac:dyDescent="0.25">
      <c r="B254" s="193" t="s">
        <v>612</v>
      </c>
      <c r="C254" s="140" t="s">
        <v>613</v>
      </c>
      <c r="D254" s="103" t="s">
        <v>614</v>
      </c>
      <c r="E254" s="32">
        <v>838367.24456400005</v>
      </c>
      <c r="F254" s="32">
        <f>ROUND(E254,0)</f>
        <v>838367</v>
      </c>
      <c r="G254" s="31">
        <f t="shared" si="66"/>
        <v>-0.24456400005146861</v>
      </c>
      <c r="H254" s="49" t="s">
        <v>615</v>
      </c>
      <c r="I254" s="31">
        <f t="shared" si="83"/>
        <v>838367</v>
      </c>
      <c r="J254" s="31">
        <f t="shared" si="67"/>
        <v>0</v>
      </c>
      <c r="K254" s="49"/>
      <c r="L254" s="31">
        <f t="shared" si="84"/>
        <v>838367</v>
      </c>
      <c r="M254" s="31">
        <f t="shared" si="68"/>
        <v>0</v>
      </c>
      <c r="N254" s="49"/>
      <c r="O254" s="31">
        <f t="shared" si="85"/>
        <v>838367</v>
      </c>
      <c r="P254" s="31">
        <f t="shared" si="69"/>
        <v>0</v>
      </c>
      <c r="Q254" s="49"/>
    </row>
    <row r="255" spans="2:17" s="192" customFormat="1" ht="15" customHeight="1" x14ac:dyDescent="0.25">
      <c r="B255" s="46" t="s">
        <v>600</v>
      </c>
      <c r="C255" s="140" t="s">
        <v>616</v>
      </c>
      <c r="D255" s="103" t="s">
        <v>617</v>
      </c>
      <c r="E255" s="32">
        <v>173758</v>
      </c>
      <c r="F255" s="32">
        <f>ROUND(E255,0)</f>
        <v>173758</v>
      </c>
      <c r="G255" s="31">
        <f t="shared" si="66"/>
        <v>0</v>
      </c>
      <c r="H255" s="33"/>
      <c r="I255" s="31">
        <f t="shared" si="83"/>
        <v>173758</v>
      </c>
      <c r="J255" s="31">
        <f t="shared" si="67"/>
        <v>0</v>
      </c>
      <c r="K255" s="33"/>
      <c r="L255" s="31">
        <f t="shared" si="84"/>
        <v>173758</v>
      </c>
      <c r="M255" s="31">
        <f t="shared" si="68"/>
        <v>0</v>
      </c>
      <c r="N255" s="33"/>
      <c r="O255" s="31">
        <f t="shared" si="85"/>
        <v>173758</v>
      </c>
      <c r="P255" s="31">
        <f t="shared" si="69"/>
        <v>0</v>
      </c>
      <c r="Q255" s="33"/>
    </row>
    <row r="256" spans="2:17" s="198" customFormat="1" ht="13.9" customHeight="1" x14ac:dyDescent="0.25">
      <c r="B256" s="193"/>
      <c r="C256" s="194" t="s">
        <v>618</v>
      </c>
      <c r="D256" s="195" t="s">
        <v>619</v>
      </c>
      <c r="E256" s="197">
        <v>395329.28034260002</v>
      </c>
      <c r="F256" s="197">
        <f t="shared" ref="F256:G256" si="86">F257+F258</f>
        <v>395329</v>
      </c>
      <c r="G256" s="196">
        <f t="shared" si="86"/>
        <v>-0.28034260001732036</v>
      </c>
      <c r="H256" s="196"/>
      <c r="I256" s="196">
        <f>I257+I258</f>
        <v>395329</v>
      </c>
      <c r="J256" s="196">
        <f t="shared" si="67"/>
        <v>0</v>
      </c>
      <c r="K256" s="196"/>
      <c r="L256" s="196">
        <f>L257+L258</f>
        <v>396569</v>
      </c>
      <c r="M256" s="196">
        <f t="shared" si="68"/>
        <v>1240</v>
      </c>
      <c r="N256" s="196"/>
      <c r="O256" s="196">
        <f>O257+O258</f>
        <v>396569</v>
      </c>
      <c r="P256" s="196">
        <f t="shared" si="69"/>
        <v>0</v>
      </c>
      <c r="Q256" s="196"/>
    </row>
    <row r="257" spans="2:17" s="192" customFormat="1" ht="12" customHeight="1" x14ac:dyDescent="0.25">
      <c r="B257" s="64" t="s">
        <v>620</v>
      </c>
      <c r="C257" s="199" t="s">
        <v>621</v>
      </c>
      <c r="D257" s="103" t="s">
        <v>622</v>
      </c>
      <c r="E257" s="32">
        <v>83788</v>
      </c>
      <c r="F257" s="32">
        <f>ROUND(E257,0)</f>
        <v>83788</v>
      </c>
      <c r="G257" s="31">
        <f t="shared" si="66"/>
        <v>0</v>
      </c>
      <c r="H257" s="49"/>
      <c r="I257" s="31">
        <f>ROUND(F257,0)</f>
        <v>83788</v>
      </c>
      <c r="J257" s="31">
        <f t="shared" si="67"/>
        <v>0</v>
      </c>
      <c r="K257" s="49"/>
      <c r="L257" s="31">
        <f>ROUND(I257,0)+1240</f>
        <v>85028</v>
      </c>
      <c r="M257" s="31">
        <f t="shared" si="68"/>
        <v>1240</v>
      </c>
      <c r="N257" s="49" t="s">
        <v>143</v>
      </c>
      <c r="O257" s="31">
        <f>ROUND(L257,0)</f>
        <v>85028</v>
      </c>
      <c r="P257" s="31">
        <f t="shared" si="69"/>
        <v>0</v>
      </c>
      <c r="Q257" s="49"/>
    </row>
    <row r="258" spans="2:17" s="124" customFormat="1" ht="12.6" customHeight="1" x14ac:dyDescent="0.25">
      <c r="B258" s="193" t="s">
        <v>623</v>
      </c>
      <c r="C258" s="199" t="s">
        <v>624</v>
      </c>
      <c r="D258" s="103" t="s">
        <v>625</v>
      </c>
      <c r="E258" s="32">
        <v>311541.28034260002</v>
      </c>
      <c r="F258" s="32">
        <f>ROUND(E258,0)</f>
        <v>311541</v>
      </c>
      <c r="G258" s="31">
        <f t="shared" si="66"/>
        <v>-0.28034260001732036</v>
      </c>
      <c r="H258" s="33"/>
      <c r="I258" s="31">
        <f>ROUND(F258,0)</f>
        <v>311541</v>
      </c>
      <c r="J258" s="31">
        <f t="shared" si="67"/>
        <v>0</v>
      </c>
      <c r="K258" s="33"/>
      <c r="L258" s="31">
        <f>ROUND(I258,0)</f>
        <v>311541</v>
      </c>
      <c r="M258" s="31">
        <f t="shared" si="68"/>
        <v>0</v>
      </c>
      <c r="N258" s="33"/>
      <c r="O258" s="31">
        <f>ROUND(L258,0)</f>
        <v>311541</v>
      </c>
      <c r="P258" s="31">
        <f t="shared" si="69"/>
        <v>0</v>
      </c>
      <c r="Q258" s="33"/>
    </row>
    <row r="259" spans="2:17" ht="18" customHeight="1" x14ac:dyDescent="0.25">
      <c r="C259" s="187" t="s">
        <v>626</v>
      </c>
      <c r="D259" s="142" t="s">
        <v>627</v>
      </c>
      <c r="E259" s="144">
        <v>1489092.9817770002</v>
      </c>
      <c r="F259" s="144">
        <f t="shared" ref="F259" si="87">F260+F261</f>
        <v>1541382</v>
      </c>
      <c r="G259" s="143">
        <f t="shared" si="66"/>
        <v>52289.018222999759</v>
      </c>
      <c r="H259" s="143"/>
      <c r="I259" s="143">
        <f>I260+I261</f>
        <v>1541382</v>
      </c>
      <c r="J259" s="143">
        <f t="shared" si="67"/>
        <v>0</v>
      </c>
      <c r="K259" s="143"/>
      <c r="L259" s="143">
        <f>L260+L261</f>
        <v>1541382</v>
      </c>
      <c r="M259" s="143">
        <f t="shared" si="68"/>
        <v>0</v>
      </c>
      <c r="N259" s="143"/>
      <c r="O259" s="143">
        <f>O260+O261</f>
        <v>1541382</v>
      </c>
      <c r="P259" s="143">
        <f t="shared" si="69"/>
        <v>0</v>
      </c>
      <c r="Q259" s="143"/>
    </row>
    <row r="260" spans="2:17" ht="13.5" customHeight="1" x14ac:dyDescent="0.25">
      <c r="C260" s="140" t="s">
        <v>628</v>
      </c>
      <c r="D260" s="103" t="s">
        <v>629</v>
      </c>
      <c r="E260" s="32">
        <v>593640</v>
      </c>
      <c r="F260" s="32">
        <f>ROUND(E260,0)+52289</f>
        <v>645929</v>
      </c>
      <c r="G260" s="31">
        <f t="shared" si="66"/>
        <v>52289</v>
      </c>
      <c r="H260" s="49" t="s">
        <v>131</v>
      </c>
      <c r="I260" s="31">
        <f>ROUND(F260,0)</f>
        <v>645929</v>
      </c>
      <c r="J260" s="31">
        <f t="shared" si="67"/>
        <v>0</v>
      </c>
      <c r="K260" s="49"/>
      <c r="L260" s="31">
        <f>ROUND(I260,0)</f>
        <v>645929</v>
      </c>
      <c r="M260" s="31">
        <f t="shared" si="68"/>
        <v>0</v>
      </c>
      <c r="N260" s="49"/>
      <c r="O260" s="31">
        <f>ROUND(L260,0)</f>
        <v>645929</v>
      </c>
      <c r="P260" s="31">
        <f t="shared" si="69"/>
        <v>0</v>
      </c>
      <c r="Q260" s="49"/>
    </row>
    <row r="261" spans="2:17" ht="28.9" customHeight="1" x14ac:dyDescent="0.25">
      <c r="C261" s="140" t="s">
        <v>630</v>
      </c>
      <c r="D261" s="103" t="s">
        <v>544</v>
      </c>
      <c r="E261" s="32">
        <v>895452.98177700012</v>
      </c>
      <c r="F261" s="32">
        <f>ROUND(E261,0)</f>
        <v>895453</v>
      </c>
      <c r="G261" s="31">
        <f t="shared" ref="G261:G279" si="88">F261-E261</f>
        <v>1.8222999875433743E-2</v>
      </c>
      <c r="H261" s="200"/>
      <c r="I261" s="31">
        <f>ROUND(F261,0)</f>
        <v>895453</v>
      </c>
      <c r="J261" s="31">
        <f t="shared" ref="J261:J279" si="89">I261-F261</f>
        <v>0</v>
      </c>
      <c r="K261" s="200"/>
      <c r="L261" s="31">
        <f>ROUND(I261,0)</f>
        <v>895453</v>
      </c>
      <c r="M261" s="31">
        <f t="shared" ref="M261:M279" si="90">L261-I261</f>
        <v>0</v>
      </c>
      <c r="N261" s="200"/>
      <c r="O261" s="31">
        <f>ROUND(L261,0)</f>
        <v>895453</v>
      </c>
      <c r="P261" s="31">
        <f t="shared" ref="P261:P279" si="91">O261-L261</f>
        <v>0</v>
      </c>
      <c r="Q261" s="200"/>
    </row>
    <row r="262" spans="2:17" ht="16.149999999999999" customHeight="1" x14ac:dyDescent="0.25">
      <c r="C262" s="201" t="s">
        <v>631</v>
      </c>
      <c r="D262" s="142" t="s">
        <v>632</v>
      </c>
      <c r="E262" s="144">
        <v>643256.80554049998</v>
      </c>
      <c r="F262" s="144">
        <f>F263+F264</f>
        <v>643257</v>
      </c>
      <c r="G262" s="143">
        <f t="shared" si="88"/>
        <v>0.19445950002409518</v>
      </c>
      <c r="H262" s="155"/>
      <c r="I262" s="143">
        <f>I263+I264</f>
        <v>643257</v>
      </c>
      <c r="J262" s="143">
        <f t="shared" si="89"/>
        <v>0</v>
      </c>
      <c r="K262" s="155"/>
      <c r="L262" s="143">
        <f>L263+L264</f>
        <v>643257</v>
      </c>
      <c r="M262" s="143">
        <f t="shared" si="90"/>
        <v>0</v>
      </c>
      <c r="N262" s="155"/>
      <c r="O262" s="143">
        <f>O263+O264</f>
        <v>643257</v>
      </c>
      <c r="P262" s="143">
        <f t="shared" si="91"/>
        <v>0</v>
      </c>
      <c r="Q262" s="155"/>
    </row>
    <row r="263" spans="2:17" ht="16.5" customHeight="1" x14ac:dyDescent="0.25">
      <c r="B263" s="64" t="s">
        <v>633</v>
      </c>
      <c r="C263" s="140" t="s">
        <v>634</v>
      </c>
      <c r="D263" s="103" t="s">
        <v>629</v>
      </c>
      <c r="E263" s="32">
        <v>299308</v>
      </c>
      <c r="F263" s="32">
        <f t="shared" ref="F263:F269" si="92">ROUND(E263,0)</f>
        <v>299308</v>
      </c>
      <c r="G263" s="31">
        <f t="shared" si="88"/>
        <v>0</v>
      </c>
      <c r="H263" s="33"/>
      <c r="I263" s="31">
        <f t="shared" ref="I263:I269" si="93">ROUND(F263,0)</f>
        <v>299308</v>
      </c>
      <c r="J263" s="31">
        <f t="shared" si="89"/>
        <v>0</v>
      </c>
      <c r="K263" s="33"/>
      <c r="L263" s="31">
        <f t="shared" ref="L263:L269" si="94">ROUND(I263,0)</f>
        <v>299308</v>
      </c>
      <c r="M263" s="31">
        <f t="shared" si="90"/>
        <v>0</v>
      </c>
      <c r="N263" s="33"/>
      <c r="O263" s="31">
        <f t="shared" ref="O263:O269" si="95">ROUND(L263,0)</f>
        <v>299308</v>
      </c>
      <c r="P263" s="31">
        <f t="shared" si="91"/>
        <v>0</v>
      </c>
      <c r="Q263" s="33"/>
    </row>
    <row r="264" spans="2:17" ht="16.5" customHeight="1" x14ac:dyDescent="0.25">
      <c r="B264" s="64" t="s">
        <v>635</v>
      </c>
      <c r="C264" s="140" t="s">
        <v>636</v>
      </c>
      <c r="D264" s="103" t="s">
        <v>637</v>
      </c>
      <c r="E264" s="32">
        <v>343948.80554049998</v>
      </c>
      <c r="F264" s="32">
        <f t="shared" si="92"/>
        <v>343949</v>
      </c>
      <c r="G264" s="31">
        <f t="shared" si="88"/>
        <v>0.19445950002409518</v>
      </c>
      <c r="H264" s="49"/>
      <c r="I264" s="31">
        <f t="shared" si="93"/>
        <v>343949</v>
      </c>
      <c r="J264" s="31">
        <f t="shared" si="89"/>
        <v>0</v>
      </c>
      <c r="K264" s="49"/>
      <c r="L264" s="31">
        <f t="shared" si="94"/>
        <v>343949</v>
      </c>
      <c r="M264" s="31">
        <f t="shared" si="90"/>
        <v>0</v>
      </c>
      <c r="N264" s="49"/>
      <c r="O264" s="31">
        <f t="shared" si="95"/>
        <v>343949</v>
      </c>
      <c r="P264" s="31">
        <f t="shared" si="91"/>
        <v>0</v>
      </c>
      <c r="Q264" s="49"/>
    </row>
    <row r="265" spans="2:17" ht="46.15" customHeight="1" x14ac:dyDescent="0.25">
      <c r="B265" s="64" t="s">
        <v>638</v>
      </c>
      <c r="C265" s="201" t="s">
        <v>639</v>
      </c>
      <c r="D265" s="142" t="s">
        <v>640</v>
      </c>
      <c r="E265" s="66">
        <v>316025.5193245</v>
      </c>
      <c r="F265" s="66">
        <f t="shared" si="92"/>
        <v>316026</v>
      </c>
      <c r="G265" s="54">
        <f t="shared" si="88"/>
        <v>0.48067550000268966</v>
      </c>
      <c r="H265" s="67"/>
      <c r="I265" s="54">
        <f t="shared" si="93"/>
        <v>316026</v>
      </c>
      <c r="J265" s="54">
        <f t="shared" si="89"/>
        <v>0</v>
      </c>
      <c r="K265" s="67"/>
      <c r="L265" s="54">
        <f t="shared" si="94"/>
        <v>316026</v>
      </c>
      <c r="M265" s="54">
        <f t="shared" si="90"/>
        <v>0</v>
      </c>
      <c r="N265" s="67"/>
      <c r="O265" s="54">
        <f>ROUND(L265,0)+9820</f>
        <v>325846</v>
      </c>
      <c r="P265" s="54">
        <f t="shared" si="91"/>
        <v>9820</v>
      </c>
      <c r="Q265" s="67" t="s">
        <v>500</v>
      </c>
    </row>
    <row r="266" spans="2:17" ht="32.450000000000003" customHeight="1" x14ac:dyDescent="0.25">
      <c r="B266" s="64"/>
      <c r="C266" s="201" t="s">
        <v>641</v>
      </c>
      <c r="D266" s="142" t="s">
        <v>642</v>
      </c>
      <c r="E266" s="66">
        <v>3000</v>
      </c>
      <c r="F266" s="66">
        <f t="shared" si="92"/>
        <v>3000</v>
      </c>
      <c r="G266" s="54"/>
      <c r="H266" s="67"/>
      <c r="I266" s="54">
        <f t="shared" si="93"/>
        <v>3000</v>
      </c>
      <c r="J266" s="54">
        <f t="shared" si="89"/>
        <v>0</v>
      </c>
      <c r="K266" s="67"/>
      <c r="L266" s="54">
        <f t="shared" si="94"/>
        <v>3000</v>
      </c>
      <c r="M266" s="54">
        <f t="shared" si="90"/>
        <v>0</v>
      </c>
      <c r="N266" s="67"/>
      <c r="O266" s="54">
        <f t="shared" si="95"/>
        <v>3000</v>
      </c>
      <c r="P266" s="54">
        <f t="shared" si="91"/>
        <v>0</v>
      </c>
      <c r="Q266" s="67"/>
    </row>
    <row r="267" spans="2:17" ht="31.9" customHeight="1" x14ac:dyDescent="0.25">
      <c r="B267" s="64" t="s">
        <v>643</v>
      </c>
      <c r="C267" s="201" t="s">
        <v>644</v>
      </c>
      <c r="D267" s="142" t="s">
        <v>645</v>
      </c>
      <c r="E267" s="66">
        <v>16292</v>
      </c>
      <c r="F267" s="66">
        <f t="shared" si="92"/>
        <v>16292</v>
      </c>
      <c r="G267" s="54">
        <f t="shared" si="88"/>
        <v>0</v>
      </c>
      <c r="H267" s="67"/>
      <c r="I267" s="54">
        <f t="shared" si="93"/>
        <v>16292</v>
      </c>
      <c r="J267" s="54">
        <f t="shared" si="89"/>
        <v>0</v>
      </c>
      <c r="K267" s="67"/>
      <c r="L267" s="54">
        <f t="shared" si="94"/>
        <v>16292</v>
      </c>
      <c r="M267" s="54">
        <f t="shared" si="90"/>
        <v>0</v>
      </c>
      <c r="N267" s="67"/>
      <c r="O267" s="54">
        <f t="shared" si="95"/>
        <v>16292</v>
      </c>
      <c r="P267" s="54">
        <f t="shared" si="91"/>
        <v>0</v>
      </c>
      <c r="Q267" s="67"/>
    </row>
    <row r="268" spans="2:17" ht="27" customHeight="1" x14ac:dyDescent="0.25">
      <c r="B268" s="64" t="s">
        <v>646</v>
      </c>
      <c r="C268" s="201" t="s">
        <v>647</v>
      </c>
      <c r="D268" s="142" t="s">
        <v>219</v>
      </c>
      <c r="E268" s="66">
        <v>1049</v>
      </c>
      <c r="F268" s="66">
        <f t="shared" si="92"/>
        <v>1049</v>
      </c>
      <c r="G268" s="54">
        <f t="shared" si="88"/>
        <v>0</v>
      </c>
      <c r="H268" s="67"/>
      <c r="I268" s="54">
        <f t="shared" si="93"/>
        <v>1049</v>
      </c>
      <c r="J268" s="54">
        <f t="shared" si="89"/>
        <v>0</v>
      </c>
      <c r="K268" s="67"/>
      <c r="L268" s="54">
        <f t="shared" si="94"/>
        <v>1049</v>
      </c>
      <c r="M268" s="54">
        <f t="shared" si="90"/>
        <v>0</v>
      </c>
      <c r="N268" s="67"/>
      <c r="O268" s="54">
        <f t="shared" si="95"/>
        <v>1049</v>
      </c>
      <c r="P268" s="54">
        <f t="shared" si="91"/>
        <v>0</v>
      </c>
      <c r="Q268" s="67"/>
    </row>
    <row r="269" spans="2:17" ht="57.6" customHeight="1" x14ac:dyDescent="0.25">
      <c r="B269" s="64" t="s">
        <v>648</v>
      </c>
      <c r="C269" s="201" t="s">
        <v>649</v>
      </c>
      <c r="D269" s="142" t="s">
        <v>650</v>
      </c>
      <c r="E269" s="66">
        <v>7000</v>
      </c>
      <c r="F269" s="66">
        <f t="shared" si="92"/>
        <v>7000</v>
      </c>
      <c r="G269" s="54">
        <f t="shared" si="88"/>
        <v>0</v>
      </c>
      <c r="H269" s="67"/>
      <c r="I269" s="54">
        <f t="shared" si="93"/>
        <v>7000</v>
      </c>
      <c r="J269" s="54">
        <f t="shared" si="89"/>
        <v>0</v>
      </c>
      <c r="K269" s="67"/>
      <c r="L269" s="54">
        <f t="shared" si="94"/>
        <v>7000</v>
      </c>
      <c r="M269" s="54">
        <f t="shared" si="90"/>
        <v>0</v>
      </c>
      <c r="N269" s="67"/>
      <c r="O269" s="54">
        <f t="shared" si="95"/>
        <v>7000</v>
      </c>
      <c r="P269" s="54">
        <f t="shared" si="91"/>
        <v>0</v>
      </c>
      <c r="Q269" s="67"/>
    </row>
    <row r="270" spans="2:17" ht="27" customHeight="1" x14ac:dyDescent="0.25">
      <c r="C270" s="187" t="s">
        <v>651</v>
      </c>
      <c r="D270" s="142" t="s">
        <v>207</v>
      </c>
      <c r="E270" s="178">
        <v>106243</v>
      </c>
      <c r="F270" s="178">
        <f>F271+F272</f>
        <v>106243</v>
      </c>
      <c r="G270" s="54">
        <f t="shared" si="88"/>
        <v>0</v>
      </c>
      <c r="H270" s="67"/>
      <c r="I270" s="177">
        <f>I271+I272</f>
        <v>106243</v>
      </c>
      <c r="J270" s="54">
        <f t="shared" si="89"/>
        <v>0</v>
      </c>
      <c r="K270" s="67"/>
      <c r="L270" s="177">
        <f>L271+L272</f>
        <v>106243</v>
      </c>
      <c r="M270" s="54">
        <f t="shared" si="90"/>
        <v>0</v>
      </c>
      <c r="N270" s="67"/>
      <c r="O270" s="177">
        <f>O271+O272</f>
        <v>106243</v>
      </c>
      <c r="P270" s="54">
        <f t="shared" si="91"/>
        <v>0</v>
      </c>
      <c r="Q270" s="67"/>
    </row>
    <row r="271" spans="2:17" ht="14.45" customHeight="1" x14ac:dyDescent="0.25">
      <c r="B271" s="64" t="s">
        <v>652</v>
      </c>
      <c r="C271" s="140" t="s">
        <v>653</v>
      </c>
      <c r="D271" s="103" t="s">
        <v>654</v>
      </c>
      <c r="E271" s="32">
        <v>70943</v>
      </c>
      <c r="F271" s="32">
        <f>ROUND(E271,0)</f>
        <v>70943</v>
      </c>
      <c r="G271" s="31">
        <f t="shared" si="88"/>
        <v>0</v>
      </c>
      <c r="H271" s="49"/>
      <c r="I271" s="31">
        <f>ROUND(F271,0)</f>
        <v>70943</v>
      </c>
      <c r="J271" s="31">
        <f t="shared" si="89"/>
        <v>0</v>
      </c>
      <c r="K271" s="49"/>
      <c r="L271" s="31">
        <f>ROUND(I271,0)</f>
        <v>70943</v>
      </c>
      <c r="M271" s="31">
        <f t="shared" si="90"/>
        <v>0</v>
      </c>
      <c r="N271" s="49"/>
      <c r="O271" s="31">
        <f>ROUND(L271,0)</f>
        <v>70943</v>
      </c>
      <c r="P271" s="31">
        <f t="shared" si="91"/>
        <v>0</v>
      </c>
      <c r="Q271" s="49"/>
    </row>
    <row r="272" spans="2:17" s="124" customFormat="1" ht="15" customHeight="1" thickBot="1" x14ac:dyDescent="0.3">
      <c r="B272" s="64" t="s">
        <v>655</v>
      </c>
      <c r="C272" s="140" t="s">
        <v>656</v>
      </c>
      <c r="D272" s="103" t="s">
        <v>657</v>
      </c>
      <c r="E272" s="32">
        <v>35300</v>
      </c>
      <c r="F272" s="32">
        <f>ROUND(E272,0)</f>
        <v>35300</v>
      </c>
      <c r="G272" s="31">
        <f t="shared" si="88"/>
        <v>0</v>
      </c>
      <c r="H272" s="49"/>
      <c r="I272" s="31">
        <f>ROUND(F272,0)</f>
        <v>35300</v>
      </c>
      <c r="J272" s="31">
        <f t="shared" si="89"/>
        <v>0</v>
      </c>
      <c r="K272" s="49"/>
      <c r="L272" s="31">
        <f>ROUND(I272,0)</f>
        <v>35300</v>
      </c>
      <c r="M272" s="31">
        <f t="shared" si="90"/>
        <v>0</v>
      </c>
      <c r="N272" s="49"/>
      <c r="O272" s="31">
        <f>ROUND(L272,0)</f>
        <v>35300</v>
      </c>
      <c r="P272" s="31">
        <f t="shared" si="91"/>
        <v>0</v>
      </c>
      <c r="Q272" s="49"/>
    </row>
    <row r="273" spans="3:17" s="124" customFormat="1" ht="17.45" hidden="1" customHeight="1" outlineLevel="1" thickBot="1" x14ac:dyDescent="0.25">
      <c r="C273" s="136" t="s">
        <v>658</v>
      </c>
      <c r="D273" s="137" t="s">
        <v>659</v>
      </c>
      <c r="E273" s="38">
        <v>0</v>
      </c>
      <c r="F273" s="38">
        <f>SUM(F274:F275)</f>
        <v>0</v>
      </c>
      <c r="G273" s="37">
        <f t="shared" si="88"/>
        <v>0</v>
      </c>
      <c r="H273" s="39"/>
      <c r="I273" s="37">
        <f>SUM(I274:I275)</f>
        <v>0</v>
      </c>
      <c r="J273" s="37">
        <f t="shared" si="89"/>
        <v>0</v>
      </c>
      <c r="K273" s="39"/>
      <c r="L273" s="37">
        <f>SUM(L274:L275)</f>
        <v>0</v>
      </c>
      <c r="M273" s="37">
        <f t="shared" si="90"/>
        <v>0</v>
      </c>
      <c r="N273" s="39"/>
      <c r="O273" s="37">
        <f>SUM(O274:O275)</f>
        <v>0</v>
      </c>
      <c r="P273" s="37">
        <f t="shared" si="91"/>
        <v>0</v>
      </c>
      <c r="Q273" s="39"/>
    </row>
    <row r="274" spans="3:17" ht="17.25" hidden="1" customHeight="1" outlineLevel="1" thickBot="1" x14ac:dyDescent="0.3">
      <c r="C274" s="131" t="s">
        <v>125</v>
      </c>
      <c r="D274" s="132" t="s">
        <v>660</v>
      </c>
      <c r="E274" s="66"/>
      <c r="F274" s="66"/>
      <c r="G274" s="54">
        <f t="shared" si="88"/>
        <v>0</v>
      </c>
      <c r="H274" s="67"/>
      <c r="I274" s="54"/>
      <c r="J274" s="54">
        <f t="shared" si="89"/>
        <v>0</v>
      </c>
      <c r="K274" s="67"/>
      <c r="L274" s="54"/>
      <c r="M274" s="54">
        <f t="shared" si="90"/>
        <v>0</v>
      </c>
      <c r="N274" s="67"/>
      <c r="O274" s="54"/>
      <c r="P274" s="54">
        <f t="shared" si="91"/>
        <v>0</v>
      </c>
      <c r="Q274" s="67"/>
    </row>
    <row r="275" spans="3:17" ht="15.75" hidden="1" outlineLevel="1" thickBot="1" x14ac:dyDescent="0.3">
      <c r="C275" s="131" t="s">
        <v>188</v>
      </c>
      <c r="D275" s="132" t="s">
        <v>661</v>
      </c>
      <c r="E275" s="66"/>
      <c r="F275" s="66"/>
      <c r="G275" s="54">
        <f t="shared" si="88"/>
        <v>0</v>
      </c>
      <c r="H275" s="67"/>
      <c r="I275" s="54"/>
      <c r="J275" s="54">
        <f t="shared" si="89"/>
        <v>0</v>
      </c>
      <c r="K275" s="67"/>
      <c r="L275" s="54"/>
      <c r="M275" s="54">
        <f t="shared" si="90"/>
        <v>0</v>
      </c>
      <c r="N275" s="67"/>
      <c r="O275" s="54"/>
      <c r="P275" s="54">
        <f t="shared" si="91"/>
        <v>0</v>
      </c>
      <c r="Q275" s="67"/>
    </row>
    <row r="276" spans="3:17" s="124" customFormat="1" ht="30" customHeight="1" collapsed="1" thickBot="1" x14ac:dyDescent="0.25">
      <c r="C276" s="202"/>
      <c r="D276" s="203" t="s">
        <v>662</v>
      </c>
      <c r="E276" s="205">
        <v>54533532.808720239</v>
      </c>
      <c r="F276" s="205">
        <f>F133+F143+F145+F146+F151+F153+F187+F200+F219+F273+0.5</f>
        <v>54591888.5</v>
      </c>
      <c r="G276" s="204">
        <f t="shared" si="88"/>
        <v>58355.691279761493</v>
      </c>
      <c r="H276" s="206"/>
      <c r="I276" s="204">
        <f>I133+I143+I145+I146+I151+I153+I187+I200+I219+I273+0.5</f>
        <v>55068746.5</v>
      </c>
      <c r="J276" s="204">
        <f t="shared" si="89"/>
        <v>476858</v>
      </c>
      <c r="K276" s="206"/>
      <c r="L276" s="204">
        <f>L133+L143+L145+L146+L151+L153+L187+L200+L219+L273+0.5</f>
        <v>55226538.5</v>
      </c>
      <c r="M276" s="204">
        <f t="shared" si="90"/>
        <v>157792</v>
      </c>
      <c r="N276" s="206"/>
      <c r="O276" s="204">
        <f>O133+O143+O145+O146+O151+O153+O187+O200+O219+O273+0.5</f>
        <v>55344618.5</v>
      </c>
      <c r="P276" s="204">
        <f t="shared" si="91"/>
        <v>118080</v>
      </c>
      <c r="Q276" s="206"/>
    </row>
    <row r="277" spans="3:17" s="28" customFormat="1" ht="15.75" customHeight="1" thickBot="1" x14ac:dyDescent="0.3">
      <c r="C277" s="136" t="s">
        <v>243</v>
      </c>
      <c r="D277" s="137" t="s">
        <v>663</v>
      </c>
      <c r="E277" s="38">
        <v>3601890.1379218102</v>
      </c>
      <c r="F277" s="38">
        <f>ROUND(E277,0)</f>
        <v>3601890</v>
      </c>
      <c r="G277" s="37">
        <f t="shared" si="88"/>
        <v>-0.13792181015014648</v>
      </c>
      <c r="H277" s="47"/>
      <c r="I277" s="37">
        <f>ROUND(F277,0)</f>
        <v>3601890</v>
      </c>
      <c r="J277" s="37">
        <f t="shared" si="89"/>
        <v>0</v>
      </c>
      <c r="K277" s="47"/>
      <c r="L277" s="37">
        <f>ROUND(I277,0)</f>
        <v>3601890</v>
      </c>
      <c r="M277" s="37">
        <f t="shared" si="90"/>
        <v>0</v>
      </c>
      <c r="N277" s="47"/>
      <c r="O277" s="37">
        <f>ROUND(L277,0)</f>
        <v>3601890</v>
      </c>
      <c r="P277" s="37">
        <f t="shared" si="91"/>
        <v>0</v>
      </c>
      <c r="Q277" s="47"/>
    </row>
    <row r="278" spans="3:17" ht="15.75" thickBot="1" x14ac:dyDescent="0.3">
      <c r="C278" s="202"/>
      <c r="D278" s="203" t="s">
        <v>664</v>
      </c>
      <c r="E278" s="208">
        <v>58135422.946642049</v>
      </c>
      <c r="F278" s="208">
        <f>F276+F277</f>
        <v>58193778.5</v>
      </c>
      <c r="G278" s="207">
        <f t="shared" si="88"/>
        <v>58355.553357951343</v>
      </c>
      <c r="H278" s="209"/>
      <c r="I278" s="207">
        <f>I276+I277</f>
        <v>58670636.5</v>
      </c>
      <c r="J278" s="207">
        <f t="shared" si="89"/>
        <v>476858</v>
      </c>
      <c r="K278" s="209"/>
      <c r="L278" s="207">
        <f>L276+L277</f>
        <v>58828428.5</v>
      </c>
      <c r="M278" s="207">
        <f t="shared" si="90"/>
        <v>157792</v>
      </c>
      <c r="N278" s="209"/>
      <c r="O278" s="207">
        <f>O276+O277</f>
        <v>58946508.5</v>
      </c>
      <c r="P278" s="207">
        <f t="shared" si="91"/>
        <v>118080</v>
      </c>
      <c r="Q278" s="209"/>
    </row>
    <row r="279" spans="3:17" ht="16.5" thickTop="1" thickBot="1" x14ac:dyDescent="0.3">
      <c r="C279" s="210" t="s">
        <v>665</v>
      </c>
      <c r="D279" s="211" t="s">
        <v>666</v>
      </c>
      <c r="E279" s="213">
        <v>26873.285557955503</v>
      </c>
      <c r="F279" s="213">
        <f>F127-F278-0.2</f>
        <v>26873.3</v>
      </c>
      <c r="G279" s="212">
        <f t="shared" si="88"/>
        <v>1.4442044495808659E-2</v>
      </c>
      <c r="H279" s="214"/>
      <c r="I279" s="212">
        <f>I127-I278-0.2</f>
        <v>43996.3</v>
      </c>
      <c r="J279" s="212">
        <f t="shared" si="89"/>
        <v>17123.000000000004</v>
      </c>
      <c r="K279" s="214"/>
      <c r="L279" s="212">
        <f>L127-L278-0.2</f>
        <v>47155.3</v>
      </c>
      <c r="M279" s="212">
        <f t="shared" si="90"/>
        <v>3159</v>
      </c>
      <c r="N279" s="214"/>
      <c r="O279" s="212">
        <f>O127-O278-0.2</f>
        <v>47075.3</v>
      </c>
      <c r="P279" s="212">
        <f t="shared" si="91"/>
        <v>-80</v>
      </c>
      <c r="Q279" s="214"/>
    </row>
  </sheetData>
  <mergeCells count="5">
    <mergeCell ref="C130:D130"/>
    <mergeCell ref="C131:D131"/>
    <mergeCell ref="K166:K167"/>
    <mergeCell ref="C2:D2"/>
    <mergeCell ref="C3:D3"/>
  </mergeCells>
  <conditionalFormatting sqref="E279:G279">
    <cfRule type="cellIs" dxfId="3" priority="5" operator="lessThan">
      <formula>0</formula>
    </cfRule>
  </conditionalFormatting>
  <conditionalFormatting sqref="I279:J279">
    <cfRule type="cellIs" dxfId="2" priority="3" operator="lessThan">
      <formula>0</formula>
    </cfRule>
  </conditionalFormatting>
  <conditionalFormatting sqref="L279:M279">
    <cfRule type="cellIs" dxfId="1" priority="2" operator="lessThan">
      <formula>0</formula>
    </cfRule>
  </conditionalFormatting>
  <conditionalFormatting sqref="O279:P279">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10A3-0A03-42E5-88C7-0CFD13165793}">
  <sheetPr>
    <tabColor rgb="FF00B050"/>
    <pageSetUpPr fitToPage="1"/>
  </sheetPr>
  <dimension ref="A1:Y214"/>
  <sheetViews>
    <sheetView zoomScale="122" zoomScaleNormal="122" workbookViewId="0">
      <pane ySplit="5" topLeftCell="A146" activePane="bottomLeft" state="frozen"/>
      <selection activeCell="A4" sqref="A4"/>
      <selection pane="bottomLeft" activeCell="G177" sqref="G177"/>
    </sheetView>
  </sheetViews>
  <sheetFormatPr defaultColWidth="9.140625" defaultRowHeight="12.75" outlineLevelRow="1" outlineLevelCol="1" x14ac:dyDescent="0.2"/>
  <cols>
    <col min="1" max="1" width="5.42578125" style="249" customWidth="1"/>
    <col min="2" max="2" width="26.7109375" style="243" customWidth="1"/>
    <col min="3" max="3" width="9.42578125" style="242" customWidth="1"/>
    <col min="4" max="4" width="9.42578125" style="243" customWidth="1"/>
    <col min="5" max="5" width="11" style="215" customWidth="1"/>
    <col min="6" max="6" width="6.28515625" style="243" customWidth="1"/>
    <col min="7" max="7" width="11.7109375" style="246" customWidth="1"/>
    <col min="8" max="9" width="11.7109375" style="246" customWidth="1" outlineLevel="1"/>
    <col min="10" max="15" width="11" style="246" customWidth="1" outlineLevel="1"/>
    <col min="16" max="16" width="9.140625" style="248"/>
    <col min="17" max="17" width="12.85546875" style="248" customWidth="1"/>
    <col min="18" max="18" width="14.42578125" style="243" customWidth="1"/>
    <col min="19" max="16384" width="9.140625" style="243"/>
  </cols>
  <sheetData>
    <row r="1" spans="1:25" ht="15" x14ac:dyDescent="0.25">
      <c r="A1" s="241" t="s">
        <v>667</v>
      </c>
      <c r="B1" s="241"/>
      <c r="E1" s="244"/>
      <c r="F1" s="245"/>
      <c r="N1" s="247"/>
    </row>
    <row r="2" spans="1:25" ht="15" x14ac:dyDescent="0.25">
      <c r="A2" s="241"/>
      <c r="E2" s="244"/>
      <c r="F2" s="245"/>
      <c r="N2" s="247"/>
    </row>
    <row r="3" spans="1:25" ht="12.75" customHeight="1" x14ac:dyDescent="0.2"/>
    <row r="4" spans="1:25" ht="4.5" customHeight="1" thickBot="1" x14ac:dyDescent="0.25"/>
    <row r="5" spans="1:25" s="255" customFormat="1" ht="36.75" customHeight="1" thickBot="1" x14ac:dyDescent="0.25">
      <c r="A5" s="359" t="s">
        <v>668</v>
      </c>
      <c r="B5" s="360"/>
      <c r="C5" s="250" t="s">
        <v>669</v>
      </c>
      <c r="D5" s="250" t="s">
        <v>670</v>
      </c>
      <c r="E5" s="251" t="s">
        <v>671</v>
      </c>
      <c r="F5" s="252" t="s">
        <v>672</v>
      </c>
      <c r="G5" s="253" t="s">
        <v>673</v>
      </c>
      <c r="H5" s="253" t="s">
        <v>674</v>
      </c>
      <c r="I5" s="253" t="s">
        <v>675</v>
      </c>
      <c r="J5" s="253" t="s">
        <v>676</v>
      </c>
      <c r="K5" s="253" t="s">
        <v>677</v>
      </c>
      <c r="L5" s="253" t="s">
        <v>678</v>
      </c>
      <c r="M5" s="253" t="s">
        <v>679</v>
      </c>
      <c r="N5" s="253" t="s">
        <v>680</v>
      </c>
      <c r="O5" s="253" t="s">
        <v>681</v>
      </c>
      <c r="P5" s="254"/>
    </row>
    <row r="6" spans="1:25" s="262" customFormat="1" x14ac:dyDescent="0.2">
      <c r="A6" s="256">
        <v>1</v>
      </c>
      <c r="B6" s="257" t="s">
        <v>682</v>
      </c>
      <c r="C6" s="258" t="s">
        <v>683</v>
      </c>
      <c r="D6" s="258" t="s">
        <v>684</v>
      </c>
      <c r="E6" s="216">
        <v>2099988.6170255151</v>
      </c>
      <c r="F6" s="259" t="s">
        <v>685</v>
      </c>
      <c r="G6" s="260">
        <v>97945.803956721895</v>
      </c>
      <c r="H6" s="260">
        <v>97946.803956721895</v>
      </c>
      <c r="I6" s="260">
        <v>97946.803956721895</v>
      </c>
      <c r="J6" s="260">
        <v>97946.803956721895</v>
      </c>
      <c r="K6" s="260">
        <v>97946.803956721895</v>
      </c>
      <c r="L6" s="260">
        <v>97946.803956721895</v>
      </c>
      <c r="M6" s="260">
        <v>97946.803956721895</v>
      </c>
      <c r="N6" s="260">
        <v>707172.96438950277</v>
      </c>
      <c r="O6" s="260">
        <f>SUM(G6:N6)</f>
        <v>1392799.5920865559</v>
      </c>
      <c r="P6" s="261"/>
      <c r="Q6" s="248"/>
      <c r="R6" s="243"/>
    </row>
    <row r="7" spans="1:25" s="269" customFormat="1" ht="13.5" thickBot="1" x14ac:dyDescent="0.25">
      <c r="A7" s="263"/>
      <c r="B7" s="264" t="s">
        <v>686</v>
      </c>
      <c r="C7" s="265"/>
      <c r="D7" s="266"/>
      <c r="E7" s="217"/>
      <c r="F7" s="267" t="s">
        <v>687</v>
      </c>
      <c r="G7" s="268">
        <v>24071.72</v>
      </c>
      <c r="H7" s="268">
        <v>50343.915282487949</v>
      </c>
      <c r="I7" s="268">
        <v>46535.743544650613</v>
      </c>
      <c r="J7" s="268">
        <v>42727.571806813263</v>
      </c>
      <c r="K7" s="268">
        <v>38919.40006897592</v>
      </c>
      <c r="L7" s="268">
        <v>35111.228331138569</v>
      </c>
      <c r="M7" s="268">
        <v>31303.056593301219</v>
      </c>
      <c r="N7" s="268">
        <v>178716.75156051517</v>
      </c>
      <c r="O7" s="268">
        <f t="shared" ref="O7:O70" si="0">SUM(G7:N7)</f>
        <v>447729.38718788279</v>
      </c>
      <c r="P7" s="261"/>
      <c r="Q7" s="248"/>
      <c r="R7" s="243"/>
    </row>
    <row r="8" spans="1:25" s="262" customFormat="1" x14ac:dyDescent="0.2">
      <c r="A8" s="270">
        <v>2</v>
      </c>
      <c r="B8" s="271" t="s">
        <v>682</v>
      </c>
      <c r="C8" s="272">
        <v>40808</v>
      </c>
      <c r="D8" s="272" t="s">
        <v>688</v>
      </c>
      <c r="E8" s="216">
        <v>6628760.3540983843</v>
      </c>
      <c r="F8" s="273" t="s">
        <v>685</v>
      </c>
      <c r="G8" s="260">
        <v>392598.78998981224</v>
      </c>
      <c r="H8" s="274">
        <v>392598.78998981224</v>
      </c>
      <c r="I8" s="274">
        <v>392598.78998981224</v>
      </c>
      <c r="J8" s="274">
        <v>392598.78998981201</v>
      </c>
      <c r="K8" s="274">
        <v>392598.78998981224</v>
      </c>
      <c r="L8" s="274">
        <v>392598.78998981224</v>
      </c>
      <c r="M8" s="274">
        <v>392598.78998981224</v>
      </c>
      <c r="N8" s="274">
        <v>785196.09009168996</v>
      </c>
      <c r="O8" s="274">
        <f t="shared" si="0"/>
        <v>3533387.6200203756</v>
      </c>
      <c r="P8" s="261"/>
      <c r="Q8" s="248"/>
      <c r="R8" s="243"/>
      <c r="S8" s="261"/>
      <c r="T8" s="261"/>
      <c r="U8" s="261"/>
      <c r="V8" s="261"/>
      <c r="W8" s="261"/>
      <c r="X8" s="261"/>
      <c r="Y8" s="261"/>
    </row>
    <row r="9" spans="1:25" s="269" customFormat="1" ht="13.5" thickBot="1" x14ac:dyDescent="0.25">
      <c r="A9" s="263"/>
      <c r="B9" s="264" t="s">
        <v>689</v>
      </c>
      <c r="C9" s="265"/>
      <c r="D9" s="266"/>
      <c r="E9" s="217"/>
      <c r="F9" s="267" t="s">
        <v>687</v>
      </c>
      <c r="G9" s="268">
        <v>61640.04</v>
      </c>
      <c r="H9" s="268">
        <v>81283.61492119098</v>
      </c>
      <c r="I9" s="268">
        <v>71123.158236254632</v>
      </c>
      <c r="J9" s="268">
        <v>60962.701551318292</v>
      </c>
      <c r="K9" s="268">
        <v>50802.24486638196</v>
      </c>
      <c r="L9" s="268">
        <v>40641.78818144562</v>
      </c>
      <c r="M9" s="268">
        <v>30481.33149650928</v>
      </c>
      <c r="N9" s="268">
        <v>20320.874811572936</v>
      </c>
      <c r="O9" s="268">
        <f t="shared" si="0"/>
        <v>417255.75406467373</v>
      </c>
      <c r="P9" s="261"/>
      <c r="Q9" s="248"/>
      <c r="R9" s="243"/>
    </row>
    <row r="10" spans="1:25" s="262" customFormat="1" x14ac:dyDescent="0.2">
      <c r="A10" s="256">
        <v>3</v>
      </c>
      <c r="B10" s="257" t="s">
        <v>690</v>
      </c>
      <c r="C10" s="272">
        <v>41096</v>
      </c>
      <c r="D10" s="272" t="s">
        <v>691</v>
      </c>
      <c r="E10" s="216">
        <v>871076.43098217994</v>
      </c>
      <c r="F10" s="259" t="s">
        <v>685</v>
      </c>
      <c r="G10" s="260">
        <v>53323.543975276181</v>
      </c>
      <c r="H10" s="260">
        <v>53323.543975276181</v>
      </c>
      <c r="I10" s="260">
        <v>53323.543975276181</v>
      </c>
      <c r="J10" s="260">
        <v>53323.543975276181</v>
      </c>
      <c r="K10" s="260">
        <v>53323.543975276181</v>
      </c>
      <c r="L10" s="260">
        <v>53323.543975276181</v>
      </c>
      <c r="M10" s="260">
        <v>53323.543975276181</v>
      </c>
      <c r="N10" s="260">
        <v>106647.54422251438</v>
      </c>
      <c r="O10" s="260">
        <f t="shared" si="0"/>
        <v>479912.35204944765</v>
      </c>
      <c r="P10" s="261"/>
      <c r="Q10" s="248"/>
      <c r="R10" s="243"/>
    </row>
    <row r="11" spans="1:25" s="269" customFormat="1" ht="13.5" thickBot="1" x14ac:dyDescent="0.25">
      <c r="A11" s="263"/>
      <c r="B11" s="264" t="s">
        <v>692</v>
      </c>
      <c r="C11" s="265"/>
      <c r="D11" s="266"/>
      <c r="E11" s="217"/>
      <c r="F11" s="267" t="s">
        <v>687</v>
      </c>
      <c r="G11" s="268">
        <v>8935.44</v>
      </c>
      <c r="H11" s="268">
        <v>18637.66502476055</v>
      </c>
      <c r="I11" s="268">
        <v>16307.959388480736</v>
      </c>
      <c r="J11" s="268">
        <v>13978.253752200917</v>
      </c>
      <c r="K11" s="268">
        <v>11648.548115921101</v>
      </c>
      <c r="L11" s="268">
        <v>9318.8424796412855</v>
      </c>
      <c r="M11" s="268">
        <v>6989.1368433614689</v>
      </c>
      <c r="N11" s="268">
        <v>13978.29362124496</v>
      </c>
      <c r="O11" s="268">
        <f t="shared" si="0"/>
        <v>99794.139225611012</v>
      </c>
      <c r="P11" s="261"/>
      <c r="Q11" s="248"/>
      <c r="R11" s="243"/>
    </row>
    <row r="12" spans="1:25" s="262" customFormat="1" x14ac:dyDescent="0.2">
      <c r="A12" s="256">
        <v>4</v>
      </c>
      <c r="B12" s="257" t="s">
        <v>693</v>
      </c>
      <c r="C12" s="272">
        <v>41604</v>
      </c>
      <c r="D12" s="275" t="s">
        <v>694</v>
      </c>
      <c r="E12" s="216">
        <v>520921.90710354527</v>
      </c>
      <c r="F12" s="259" t="s">
        <v>685</v>
      </c>
      <c r="G12" s="260">
        <v>57881</v>
      </c>
      <c r="H12" s="219">
        <v>0</v>
      </c>
      <c r="I12" s="219">
        <v>0</v>
      </c>
      <c r="J12" s="219">
        <v>0</v>
      </c>
      <c r="K12" s="219">
        <v>0</v>
      </c>
      <c r="L12" s="219">
        <v>0</v>
      </c>
      <c r="M12" s="219">
        <v>0</v>
      </c>
      <c r="N12" s="219">
        <v>0</v>
      </c>
      <c r="O12" s="219">
        <f t="shared" si="0"/>
        <v>57881</v>
      </c>
      <c r="P12" s="261"/>
      <c r="Q12" s="276"/>
      <c r="R12" s="255"/>
    </row>
    <row r="13" spans="1:25" s="269" customFormat="1" ht="13.5" thickBot="1" x14ac:dyDescent="0.25">
      <c r="A13" s="263"/>
      <c r="B13" s="264" t="s">
        <v>695</v>
      </c>
      <c r="C13" s="265"/>
      <c r="D13" s="266"/>
      <c r="E13" s="220"/>
      <c r="F13" s="267" t="s">
        <v>687</v>
      </c>
      <c r="G13" s="268">
        <v>1135.79</v>
      </c>
      <c r="H13" s="222">
        <v>0</v>
      </c>
      <c r="I13" s="222">
        <v>0</v>
      </c>
      <c r="J13" s="222">
        <v>0</v>
      </c>
      <c r="K13" s="222">
        <v>0</v>
      </c>
      <c r="L13" s="222">
        <v>0</v>
      </c>
      <c r="M13" s="222">
        <v>0</v>
      </c>
      <c r="N13" s="222">
        <v>0</v>
      </c>
      <c r="O13" s="268">
        <f t="shared" si="0"/>
        <v>1135.79</v>
      </c>
      <c r="P13" s="261"/>
      <c r="Q13" s="261"/>
      <c r="R13" s="262"/>
    </row>
    <row r="14" spans="1:25" s="262" customFormat="1" x14ac:dyDescent="0.2">
      <c r="A14" s="256">
        <v>5</v>
      </c>
      <c r="B14" s="257" t="s">
        <v>696</v>
      </c>
      <c r="C14" s="277" t="s">
        <v>697</v>
      </c>
      <c r="D14" s="278" t="s">
        <v>698</v>
      </c>
      <c r="E14" s="216">
        <v>1925611</v>
      </c>
      <c r="F14" s="259" t="s">
        <v>685</v>
      </c>
      <c r="G14" s="260">
        <v>132804</v>
      </c>
      <c r="H14" s="260">
        <v>132804</v>
      </c>
      <c r="I14" s="260">
        <v>132804</v>
      </c>
      <c r="J14" s="260">
        <v>132804</v>
      </c>
      <c r="K14" s="260">
        <v>132804</v>
      </c>
      <c r="L14" s="260">
        <v>132804</v>
      </c>
      <c r="M14" s="260">
        <v>132804</v>
      </c>
      <c r="N14" s="260">
        <v>332010</v>
      </c>
      <c r="O14" s="260">
        <f t="shared" si="0"/>
        <v>1261638</v>
      </c>
      <c r="P14" s="261"/>
      <c r="Q14" s="261"/>
      <c r="R14" s="269"/>
    </row>
    <row r="15" spans="1:25" s="269" customFormat="1" ht="13.5" thickBot="1" x14ac:dyDescent="0.25">
      <c r="A15" s="263"/>
      <c r="B15" s="264" t="s">
        <v>699</v>
      </c>
      <c r="C15" s="265"/>
      <c r="D15" s="266"/>
      <c r="E15" s="220"/>
      <c r="F15" s="267" t="s">
        <v>687</v>
      </c>
      <c r="G15" s="268">
        <v>18985.2</v>
      </c>
      <c r="H15" s="268">
        <v>45808.083720000002</v>
      </c>
      <c r="I15" s="268">
        <v>40418.897400000002</v>
      </c>
      <c r="J15" s="268">
        <v>35029.711080000001</v>
      </c>
      <c r="K15" s="268">
        <v>29640.524760000004</v>
      </c>
      <c r="L15" s="268">
        <v>24251.338440000003</v>
      </c>
      <c r="M15" s="268">
        <v>18862.152120000002</v>
      </c>
      <c r="N15" s="268">
        <v>40418.897400000002</v>
      </c>
      <c r="O15" s="268">
        <f t="shared" si="0"/>
        <v>253414.80492000002</v>
      </c>
      <c r="P15" s="261"/>
      <c r="Q15" s="261"/>
      <c r="R15" s="261"/>
    </row>
    <row r="16" spans="1:25" s="262" customFormat="1" x14ac:dyDescent="0.2">
      <c r="A16" s="256">
        <v>6</v>
      </c>
      <c r="B16" s="257" t="s">
        <v>700</v>
      </c>
      <c r="C16" s="279" t="s">
        <v>701</v>
      </c>
      <c r="D16" s="278" t="s">
        <v>702</v>
      </c>
      <c r="E16" s="216">
        <v>154450.12</v>
      </c>
      <c r="F16" s="259" t="s">
        <v>685</v>
      </c>
      <c r="G16" s="260">
        <v>10472</v>
      </c>
      <c r="H16" s="260">
        <v>10472</v>
      </c>
      <c r="I16" s="260">
        <v>10472</v>
      </c>
      <c r="J16" s="260">
        <v>10472</v>
      </c>
      <c r="K16" s="260">
        <v>10472</v>
      </c>
      <c r="L16" s="260">
        <v>10472</v>
      </c>
      <c r="M16" s="260">
        <v>10472</v>
      </c>
      <c r="N16" s="260">
        <v>28798</v>
      </c>
      <c r="O16" s="260">
        <f t="shared" si="0"/>
        <v>102102</v>
      </c>
      <c r="P16" s="261"/>
      <c r="Q16" s="261"/>
      <c r="R16" s="269"/>
    </row>
    <row r="17" spans="1:18" s="269" customFormat="1" ht="13.5" thickBot="1" x14ac:dyDescent="0.25">
      <c r="A17" s="263"/>
      <c r="B17" s="264" t="s">
        <v>703</v>
      </c>
      <c r="C17" s="265"/>
      <c r="D17" s="266"/>
      <c r="E17" s="220"/>
      <c r="F17" s="267" t="s">
        <v>687</v>
      </c>
      <c r="G17" s="268">
        <v>1519.8799999999999</v>
      </c>
      <c r="H17" s="268">
        <v>1282.82</v>
      </c>
      <c r="I17" s="268">
        <v>1136.212</v>
      </c>
      <c r="J17" s="268">
        <v>989.60400000000004</v>
      </c>
      <c r="K17" s="268">
        <v>842.99599999999998</v>
      </c>
      <c r="L17" s="268">
        <v>696.38800000000003</v>
      </c>
      <c r="M17" s="268">
        <v>549.78</v>
      </c>
      <c r="N17" s="268">
        <v>1209.5160000000001</v>
      </c>
      <c r="O17" s="268">
        <f t="shared" si="0"/>
        <v>8227.1959999999999</v>
      </c>
      <c r="P17" s="261"/>
      <c r="Q17" s="261"/>
      <c r="R17" s="262"/>
    </row>
    <row r="18" spans="1:18" s="269" customFormat="1" x14ac:dyDescent="0.2">
      <c r="A18" s="270">
        <v>7</v>
      </c>
      <c r="B18" s="271" t="s">
        <v>704</v>
      </c>
      <c r="C18" s="277" t="s">
        <v>705</v>
      </c>
      <c r="D18" s="278" t="s">
        <v>706</v>
      </c>
      <c r="E18" s="223">
        <v>134893</v>
      </c>
      <c r="F18" s="259" t="s">
        <v>685</v>
      </c>
      <c r="G18" s="260">
        <v>12848</v>
      </c>
      <c r="H18" s="219">
        <v>0</v>
      </c>
      <c r="I18" s="219">
        <v>0</v>
      </c>
      <c r="J18" s="219">
        <v>0</v>
      </c>
      <c r="K18" s="219">
        <v>0</v>
      </c>
      <c r="L18" s="219">
        <v>0</v>
      </c>
      <c r="M18" s="219">
        <v>0</v>
      </c>
      <c r="N18" s="219">
        <v>0</v>
      </c>
      <c r="O18" s="260">
        <f t="shared" si="0"/>
        <v>12848</v>
      </c>
      <c r="P18" s="261"/>
      <c r="Q18" s="261"/>
    </row>
    <row r="19" spans="1:18" s="269" customFormat="1" ht="13.5" thickBot="1" x14ac:dyDescent="0.25">
      <c r="A19" s="263"/>
      <c r="B19" s="264"/>
      <c r="C19" s="265" t="s">
        <v>707</v>
      </c>
      <c r="D19" s="266"/>
      <c r="E19" s="217" t="s">
        <v>708</v>
      </c>
      <c r="F19" s="267" t="s">
        <v>687</v>
      </c>
      <c r="G19" s="268">
        <v>114.2</v>
      </c>
      <c r="H19" s="222">
        <v>0</v>
      </c>
      <c r="I19" s="222">
        <v>0</v>
      </c>
      <c r="J19" s="222">
        <v>0</v>
      </c>
      <c r="K19" s="222">
        <v>0</v>
      </c>
      <c r="L19" s="222">
        <v>0</v>
      </c>
      <c r="M19" s="222">
        <v>0</v>
      </c>
      <c r="N19" s="222">
        <v>0</v>
      </c>
      <c r="O19" s="268">
        <f t="shared" si="0"/>
        <v>114.2</v>
      </c>
      <c r="P19" s="261"/>
      <c r="Q19" s="261"/>
      <c r="R19" s="262"/>
    </row>
    <row r="20" spans="1:18" s="269" customFormat="1" x14ac:dyDescent="0.2">
      <c r="A20" s="270" t="s">
        <v>116</v>
      </c>
      <c r="B20" s="257" t="s">
        <v>709</v>
      </c>
      <c r="C20" s="282" t="s">
        <v>710</v>
      </c>
      <c r="D20" s="283" t="s">
        <v>711</v>
      </c>
      <c r="E20" s="225">
        <v>11123368</v>
      </c>
      <c r="F20" s="259" t="s">
        <v>685</v>
      </c>
      <c r="G20" s="260">
        <v>379984</v>
      </c>
      <c r="H20" s="260">
        <v>379984</v>
      </c>
      <c r="I20" s="260">
        <v>379984</v>
      </c>
      <c r="J20" s="260">
        <v>379984</v>
      </c>
      <c r="K20" s="260">
        <v>379984</v>
      </c>
      <c r="L20" s="260">
        <v>379984</v>
      </c>
      <c r="M20" s="260">
        <v>379984</v>
      </c>
      <c r="N20" s="260">
        <v>6926878</v>
      </c>
      <c r="O20" s="260">
        <f t="shared" si="0"/>
        <v>9586766</v>
      </c>
      <c r="P20" s="261"/>
      <c r="Q20" s="262"/>
      <c r="R20" s="262"/>
    </row>
    <row r="21" spans="1:18" s="269" customFormat="1" ht="13.5" thickBot="1" x14ac:dyDescent="0.25">
      <c r="A21" s="263"/>
      <c r="B21" s="281" t="s">
        <v>712</v>
      </c>
      <c r="C21" s="265"/>
      <c r="D21" s="266"/>
      <c r="E21" s="220"/>
      <c r="F21" s="267" t="s">
        <v>687</v>
      </c>
      <c r="G21" s="268">
        <v>151604.29999999999</v>
      </c>
      <c r="H21" s="268">
        <v>356486.59904000006</v>
      </c>
      <c r="I21" s="268">
        <v>341773.61856000003</v>
      </c>
      <c r="J21" s="268">
        <v>327060.63808000006</v>
      </c>
      <c r="K21" s="268">
        <v>312347.65760000004</v>
      </c>
      <c r="L21" s="268">
        <v>297634.67712000001</v>
      </c>
      <c r="M21" s="268">
        <v>282921.69664000004</v>
      </c>
      <c r="N21" s="268">
        <v>4827756.8908799998</v>
      </c>
      <c r="O21" s="268">
        <f t="shared" si="0"/>
        <v>6897586.0779200001</v>
      </c>
      <c r="P21" s="261"/>
    </row>
    <row r="22" spans="1:18" s="269" customFormat="1" x14ac:dyDescent="0.2">
      <c r="A22" s="256" t="s">
        <v>118</v>
      </c>
      <c r="B22" s="257" t="s">
        <v>709</v>
      </c>
      <c r="C22" s="282" t="s">
        <v>713</v>
      </c>
      <c r="D22" s="283" t="s">
        <v>714</v>
      </c>
      <c r="E22" s="225">
        <v>2576367.7999999998</v>
      </c>
      <c r="F22" s="259" t="s">
        <v>685</v>
      </c>
      <c r="G22" s="260">
        <v>89924</v>
      </c>
      <c r="H22" s="260">
        <v>89924</v>
      </c>
      <c r="I22" s="260">
        <v>89924</v>
      </c>
      <c r="J22" s="260">
        <v>96316</v>
      </c>
      <c r="K22" s="260">
        <v>96316</v>
      </c>
      <c r="L22" s="260">
        <v>96316</v>
      </c>
      <c r="M22" s="260">
        <v>96316</v>
      </c>
      <c r="N22" s="260">
        <v>1801021.7999999998</v>
      </c>
      <c r="O22" s="260">
        <f t="shared" si="0"/>
        <v>2456057.7999999998</v>
      </c>
      <c r="P22" s="261"/>
    </row>
    <row r="23" spans="1:18" s="269" customFormat="1" ht="13.5" thickBot="1" x14ac:dyDescent="0.25">
      <c r="A23" s="263"/>
      <c r="B23" s="281" t="s">
        <v>715</v>
      </c>
      <c r="C23" s="265"/>
      <c r="D23" s="266"/>
      <c r="E23" s="220"/>
      <c r="F23" s="267" t="s">
        <v>687</v>
      </c>
      <c r="G23" s="268">
        <v>74448.81</v>
      </c>
      <c r="H23" s="268">
        <v>142512.238774</v>
      </c>
      <c r="I23" s="268">
        <v>137096.11625399999</v>
      </c>
      <c r="J23" s="268">
        <v>131679.99373399999</v>
      </c>
      <c r="K23" s="268">
        <v>125878.88105399998</v>
      </c>
      <c r="L23" s="268">
        <v>120077.76837399999</v>
      </c>
      <c r="M23" s="268">
        <v>114276.65569399999</v>
      </c>
      <c r="N23" s="268">
        <v>1952559.7742519996</v>
      </c>
      <c r="O23" s="268">
        <f t="shared" si="0"/>
        <v>2798530.2381359995</v>
      </c>
      <c r="P23" s="261"/>
    </row>
    <row r="24" spans="1:18" s="269" customFormat="1" x14ac:dyDescent="0.2">
      <c r="A24" s="256">
        <v>9</v>
      </c>
      <c r="B24" s="257" t="s">
        <v>716</v>
      </c>
      <c r="C24" s="284" t="s">
        <v>717</v>
      </c>
      <c r="D24" s="284" t="s">
        <v>718</v>
      </c>
      <c r="E24" s="226">
        <v>166837</v>
      </c>
      <c r="F24" s="259" t="s">
        <v>685</v>
      </c>
      <c r="G24" s="260">
        <v>37071</v>
      </c>
      <c r="H24" s="280">
        <v>37076</v>
      </c>
      <c r="I24" s="280">
        <v>37076</v>
      </c>
      <c r="J24" s="280">
        <v>37076</v>
      </c>
      <c r="K24" s="280">
        <v>18538</v>
      </c>
      <c r="L24" s="219">
        <v>0</v>
      </c>
      <c r="M24" s="219">
        <v>0</v>
      </c>
      <c r="N24" s="219">
        <v>0</v>
      </c>
      <c r="O24" s="260">
        <f t="shared" si="0"/>
        <v>166837</v>
      </c>
      <c r="P24" s="261"/>
      <c r="Q24" s="261"/>
    </row>
    <row r="25" spans="1:18" s="269" customFormat="1" ht="13.5" thickBot="1" x14ac:dyDescent="0.25">
      <c r="A25" s="263"/>
      <c r="B25" s="281"/>
      <c r="C25" s="285"/>
      <c r="D25" s="285"/>
      <c r="E25" s="220"/>
      <c r="F25" s="267" t="s">
        <v>687</v>
      </c>
      <c r="G25" s="268">
        <v>3624.6899999999996</v>
      </c>
      <c r="H25" s="268">
        <v>2414.9452600000004</v>
      </c>
      <c r="I25" s="268">
        <v>1724.9609</v>
      </c>
      <c r="J25" s="268">
        <v>1034.9765400000001</v>
      </c>
      <c r="K25" s="268">
        <v>344.99218000000002</v>
      </c>
      <c r="L25" s="222">
        <v>0</v>
      </c>
      <c r="M25" s="222">
        <v>0</v>
      </c>
      <c r="N25" s="222">
        <v>0</v>
      </c>
      <c r="O25" s="268">
        <f t="shared" si="0"/>
        <v>9144.5648799999999</v>
      </c>
      <c r="P25" s="261"/>
      <c r="Q25" s="261"/>
      <c r="R25" s="262"/>
    </row>
    <row r="26" spans="1:18" s="262" customFormat="1" x14ac:dyDescent="0.2">
      <c r="A26" s="256">
        <v>10</v>
      </c>
      <c r="B26" s="257" t="s">
        <v>719</v>
      </c>
      <c r="C26" s="277" t="s">
        <v>720</v>
      </c>
      <c r="D26" s="275" t="s">
        <v>721</v>
      </c>
      <c r="E26" s="216">
        <v>388132.51</v>
      </c>
      <c r="F26" s="259" t="s">
        <v>685</v>
      </c>
      <c r="G26" s="260">
        <v>38968</v>
      </c>
      <c r="H26" s="260">
        <v>38968</v>
      </c>
      <c r="I26" s="260">
        <v>38968</v>
      </c>
      <c r="J26" s="260">
        <v>38968</v>
      </c>
      <c r="K26" s="260">
        <v>38968</v>
      </c>
      <c r="L26" s="260">
        <v>29226</v>
      </c>
      <c r="M26" s="219">
        <v>0</v>
      </c>
      <c r="N26" s="219">
        <v>0</v>
      </c>
      <c r="O26" s="260">
        <f t="shared" si="0"/>
        <v>224066</v>
      </c>
      <c r="P26" s="261"/>
      <c r="Q26" s="261"/>
      <c r="R26" s="269"/>
    </row>
    <row r="27" spans="1:18" s="269" customFormat="1" ht="13.5" thickBot="1" x14ac:dyDescent="0.25">
      <c r="A27" s="263"/>
      <c r="B27" s="264"/>
      <c r="C27" s="265"/>
      <c r="D27" s="266"/>
      <c r="E27" s="220"/>
      <c r="F27" s="267" t="s">
        <v>687</v>
      </c>
      <c r="G27" s="268">
        <v>5757.87</v>
      </c>
      <c r="H27" s="268">
        <v>5314.1635799999995</v>
      </c>
      <c r="I27" s="268">
        <v>4195.3922999999995</v>
      </c>
      <c r="J27" s="268">
        <v>3076.62102</v>
      </c>
      <c r="K27" s="268">
        <v>1957.8497399999999</v>
      </c>
      <c r="L27" s="268">
        <v>839.07845999999995</v>
      </c>
      <c r="M27" s="222">
        <v>0</v>
      </c>
      <c r="N27" s="222">
        <v>0</v>
      </c>
      <c r="O27" s="268">
        <f t="shared" si="0"/>
        <v>21140.9751</v>
      </c>
      <c r="P27" s="261"/>
      <c r="Q27" s="261"/>
      <c r="R27" s="262"/>
    </row>
    <row r="28" spans="1:18" s="262" customFormat="1" x14ac:dyDescent="0.2">
      <c r="A28" s="256">
        <v>11</v>
      </c>
      <c r="B28" s="257" t="s">
        <v>722</v>
      </c>
      <c r="C28" s="287">
        <v>44020</v>
      </c>
      <c r="D28" s="275">
        <v>49480</v>
      </c>
      <c r="E28" s="216">
        <v>1410783</v>
      </c>
      <c r="F28" s="259" t="s">
        <v>685</v>
      </c>
      <c r="G28" s="260">
        <v>88284</v>
      </c>
      <c r="H28" s="260">
        <v>88284</v>
      </c>
      <c r="I28" s="260">
        <v>88284</v>
      </c>
      <c r="J28" s="260">
        <v>88284</v>
      </c>
      <c r="K28" s="260">
        <v>88284</v>
      </c>
      <c r="L28" s="260">
        <v>88284</v>
      </c>
      <c r="M28" s="260">
        <v>88284</v>
      </c>
      <c r="N28" s="260">
        <v>485562</v>
      </c>
      <c r="O28" s="260">
        <f t="shared" si="0"/>
        <v>1103550</v>
      </c>
      <c r="P28" s="261"/>
      <c r="Q28" s="261"/>
      <c r="R28" s="269"/>
    </row>
    <row r="29" spans="1:18" s="269" customFormat="1" ht="13.5" thickBot="1" x14ac:dyDescent="0.25">
      <c r="A29" s="263"/>
      <c r="B29" s="264"/>
      <c r="C29" s="265"/>
      <c r="D29" s="266"/>
      <c r="E29" s="220"/>
      <c r="F29" s="267" t="s">
        <v>687</v>
      </c>
      <c r="G29" s="268">
        <v>25967.769999999997</v>
      </c>
      <c r="H29" s="268">
        <v>16132.576740000002</v>
      </c>
      <c r="I29" s="268">
        <v>14729.743980000001</v>
      </c>
      <c r="J29" s="268">
        <v>13326.911220000002</v>
      </c>
      <c r="K29" s="268">
        <v>11924.078460000001</v>
      </c>
      <c r="L29" s="268">
        <v>10521.245700000001</v>
      </c>
      <c r="M29" s="268">
        <v>9118.4129400000002</v>
      </c>
      <c r="N29" s="268">
        <v>34720.110810000006</v>
      </c>
      <c r="O29" s="268">
        <f t="shared" si="0"/>
        <v>136440.84985</v>
      </c>
      <c r="P29" s="261"/>
      <c r="Q29" s="288"/>
    </row>
    <row r="30" spans="1:18" s="262" customFormat="1" x14ac:dyDescent="0.2">
      <c r="A30" s="256">
        <v>12</v>
      </c>
      <c r="B30" s="257" t="s">
        <v>723</v>
      </c>
      <c r="C30" s="277" t="s">
        <v>724</v>
      </c>
      <c r="D30" s="275" t="s">
        <v>725</v>
      </c>
      <c r="E30" s="216">
        <v>531484</v>
      </c>
      <c r="F30" s="259" t="s">
        <v>685</v>
      </c>
      <c r="G30" s="260">
        <v>36656</v>
      </c>
      <c r="H30" s="260">
        <v>36656</v>
      </c>
      <c r="I30" s="260">
        <v>36656</v>
      </c>
      <c r="J30" s="260">
        <v>36656</v>
      </c>
      <c r="K30" s="260">
        <v>36656</v>
      </c>
      <c r="L30" s="260">
        <v>36656</v>
      </c>
      <c r="M30" s="260">
        <v>36656</v>
      </c>
      <c r="N30" s="260">
        <v>162248</v>
      </c>
      <c r="O30" s="260">
        <f t="shared" si="0"/>
        <v>418840</v>
      </c>
      <c r="P30" s="261"/>
      <c r="Q30" s="261"/>
      <c r="R30" s="269"/>
    </row>
    <row r="31" spans="1:18" s="269" customFormat="1" ht="13.5" thickBot="1" x14ac:dyDescent="0.25">
      <c r="A31" s="263"/>
      <c r="B31" s="264" t="s">
        <v>726</v>
      </c>
      <c r="C31" s="265"/>
      <c r="D31" s="266"/>
      <c r="E31" s="220"/>
      <c r="F31" s="267" t="s">
        <v>687</v>
      </c>
      <c r="G31" s="268">
        <v>10431.01</v>
      </c>
      <c r="H31" s="268">
        <v>10395.4048</v>
      </c>
      <c r="I31" s="268">
        <v>9398.3616000000002</v>
      </c>
      <c r="J31" s="268">
        <v>8401.3184000000001</v>
      </c>
      <c r="K31" s="268">
        <v>7404.2752</v>
      </c>
      <c r="L31" s="268">
        <v>6407.232</v>
      </c>
      <c r="M31" s="268">
        <v>5410.1887999999999</v>
      </c>
      <c r="N31" s="268">
        <v>17652.582399999999</v>
      </c>
      <c r="O31" s="268">
        <f t="shared" si="0"/>
        <v>75500.373200000002</v>
      </c>
      <c r="P31" s="261"/>
      <c r="Q31" s="261"/>
      <c r="R31" s="262"/>
    </row>
    <row r="32" spans="1:18" s="262" customFormat="1" x14ac:dyDescent="0.2">
      <c r="A32" s="256" t="s">
        <v>295</v>
      </c>
      <c r="B32" s="257" t="s">
        <v>727</v>
      </c>
      <c r="C32" s="277" t="s">
        <v>729</v>
      </c>
      <c r="D32" s="275" t="s">
        <v>730</v>
      </c>
      <c r="E32" s="216">
        <v>1230506</v>
      </c>
      <c r="F32" s="273" t="s">
        <v>685</v>
      </c>
      <c r="G32" s="260">
        <v>64754</v>
      </c>
      <c r="H32" s="260">
        <v>86352</v>
      </c>
      <c r="I32" s="260">
        <v>86352</v>
      </c>
      <c r="J32" s="260">
        <v>86352</v>
      </c>
      <c r="K32" s="260">
        <v>86352</v>
      </c>
      <c r="L32" s="260">
        <v>86352</v>
      </c>
      <c r="M32" s="260">
        <v>86352</v>
      </c>
      <c r="N32" s="260">
        <v>647640</v>
      </c>
      <c r="O32" s="260">
        <f t="shared" si="0"/>
        <v>1230506</v>
      </c>
      <c r="P32" s="261"/>
    </row>
    <row r="33" spans="1:16" s="269" customFormat="1" ht="13.5" thickBot="1" x14ac:dyDescent="0.25">
      <c r="A33" s="263"/>
      <c r="B33" s="264" t="s">
        <v>728</v>
      </c>
      <c r="C33" s="265"/>
      <c r="D33" s="266"/>
      <c r="E33" s="227"/>
      <c r="F33" s="267" t="s">
        <v>687</v>
      </c>
      <c r="G33" s="268">
        <v>22457.79</v>
      </c>
      <c r="H33" s="268">
        <v>58905.448559999997</v>
      </c>
      <c r="I33" s="268">
        <v>54542.081999999995</v>
      </c>
      <c r="J33" s="268">
        <v>50178.71544</v>
      </c>
      <c r="K33" s="268">
        <v>45815.348879999998</v>
      </c>
      <c r="L33" s="268">
        <v>41451.982319999996</v>
      </c>
      <c r="M33" s="268">
        <v>37088.615760000001</v>
      </c>
      <c r="N33" s="268">
        <v>196351.4952</v>
      </c>
      <c r="O33" s="268">
        <f t="shared" si="0"/>
        <v>506791.47816</v>
      </c>
      <c r="P33" s="261"/>
    </row>
    <row r="34" spans="1:16" s="269" customFormat="1" ht="25.15" customHeight="1" x14ac:dyDescent="0.2">
      <c r="A34" s="289" t="s">
        <v>297</v>
      </c>
      <c r="B34" s="290" t="s">
        <v>731</v>
      </c>
      <c r="C34" s="277" t="s">
        <v>732</v>
      </c>
      <c r="D34" s="275" t="s">
        <v>733</v>
      </c>
      <c r="E34" s="216">
        <v>292889</v>
      </c>
      <c r="F34" s="273" t="s">
        <v>685</v>
      </c>
      <c r="G34" s="260">
        <v>10099</v>
      </c>
      <c r="H34" s="260">
        <v>20200</v>
      </c>
      <c r="I34" s="260">
        <v>20200</v>
      </c>
      <c r="J34" s="260">
        <v>20200</v>
      </c>
      <c r="K34" s="260">
        <v>20200</v>
      </c>
      <c r="L34" s="260">
        <v>20200</v>
      </c>
      <c r="M34" s="260">
        <v>20200</v>
      </c>
      <c r="N34" s="260">
        <v>161590</v>
      </c>
      <c r="O34" s="260">
        <f t="shared" si="0"/>
        <v>292889</v>
      </c>
      <c r="P34" s="261"/>
    </row>
    <row r="35" spans="1:16" s="269" customFormat="1" ht="23.25" thickBot="1" x14ac:dyDescent="0.25">
      <c r="A35" s="270"/>
      <c r="B35" s="291" t="s">
        <v>734</v>
      </c>
      <c r="C35" s="265"/>
      <c r="D35" s="278"/>
      <c r="E35" s="228"/>
      <c r="F35" s="267" t="s">
        <v>687</v>
      </c>
      <c r="G35" s="268">
        <v>116.38000000000001</v>
      </c>
      <c r="H35" s="268">
        <v>13036.619000000001</v>
      </c>
      <c r="I35" s="268">
        <v>12105.399000000001</v>
      </c>
      <c r="J35" s="268">
        <v>11174.179</v>
      </c>
      <c r="K35" s="268">
        <v>10242.959000000001</v>
      </c>
      <c r="L35" s="268">
        <v>9311.7389999999996</v>
      </c>
      <c r="M35" s="268">
        <v>8380.5190000000002</v>
      </c>
      <c r="N35" s="268">
        <v>52145.093000000001</v>
      </c>
      <c r="O35" s="268">
        <f t="shared" si="0"/>
        <v>116512.88700000002</v>
      </c>
      <c r="P35" s="261"/>
    </row>
    <row r="36" spans="1:16" s="269" customFormat="1" x14ac:dyDescent="0.2">
      <c r="A36" s="256">
        <v>14</v>
      </c>
      <c r="B36" s="257" t="s">
        <v>735</v>
      </c>
      <c r="C36" s="277" t="s">
        <v>736</v>
      </c>
      <c r="D36" s="275" t="s">
        <v>737</v>
      </c>
      <c r="E36" s="216">
        <v>1174140</v>
      </c>
      <c r="F36" s="273" t="s">
        <v>685</v>
      </c>
      <c r="G36" s="260">
        <v>80976</v>
      </c>
      <c r="H36" s="260">
        <v>80976</v>
      </c>
      <c r="I36" s="260">
        <v>80976</v>
      </c>
      <c r="J36" s="260">
        <v>80976</v>
      </c>
      <c r="K36" s="260">
        <v>80976</v>
      </c>
      <c r="L36" s="260">
        <v>80976</v>
      </c>
      <c r="M36" s="260">
        <v>80976</v>
      </c>
      <c r="N36" s="260">
        <v>303660</v>
      </c>
      <c r="O36" s="260">
        <f t="shared" si="0"/>
        <v>870492</v>
      </c>
      <c r="P36" s="261"/>
    </row>
    <row r="37" spans="1:16" s="269" customFormat="1" ht="13.5" thickBot="1" x14ac:dyDescent="0.25">
      <c r="A37" s="263"/>
      <c r="B37" s="264"/>
      <c r="C37" s="265"/>
      <c r="D37" s="266"/>
      <c r="E37" s="229"/>
      <c r="F37" s="267" t="s">
        <v>687</v>
      </c>
      <c r="G37" s="268">
        <v>17505.330000000002</v>
      </c>
      <c r="H37" s="268">
        <v>16998.279479999997</v>
      </c>
      <c r="I37" s="268">
        <v>15254.866199999999</v>
      </c>
      <c r="J37" s="268">
        <v>13511.452919999998</v>
      </c>
      <c r="K37" s="268">
        <v>11768.039639999999</v>
      </c>
      <c r="L37" s="268">
        <v>10024.626359999998</v>
      </c>
      <c r="M37" s="268">
        <v>8281.2130799999995</v>
      </c>
      <c r="N37" s="268">
        <v>26151.199199999995</v>
      </c>
      <c r="O37" s="268">
        <f t="shared" si="0"/>
        <v>119495.00687999997</v>
      </c>
      <c r="P37" s="261"/>
    </row>
    <row r="38" spans="1:16" s="269" customFormat="1" x14ac:dyDescent="0.2">
      <c r="A38" s="256">
        <v>15</v>
      </c>
      <c r="B38" s="257" t="s">
        <v>738</v>
      </c>
      <c r="C38" s="277" t="s">
        <v>739</v>
      </c>
      <c r="D38" s="275" t="s">
        <v>740</v>
      </c>
      <c r="E38" s="216">
        <v>186392</v>
      </c>
      <c r="F38" s="273" t="s">
        <v>685</v>
      </c>
      <c r="G38" s="260">
        <v>17360</v>
      </c>
      <c r="H38" s="260">
        <v>17360</v>
      </c>
      <c r="I38" s="260">
        <v>15080</v>
      </c>
      <c r="J38" s="260">
        <v>8240</v>
      </c>
      <c r="K38" s="260">
        <v>8240</v>
      </c>
      <c r="L38" s="260">
        <v>8240</v>
      </c>
      <c r="M38" s="260">
        <v>8240</v>
      </c>
      <c r="N38" s="260">
        <v>73732.399999999994</v>
      </c>
      <c r="O38" s="260">
        <f t="shared" si="0"/>
        <v>156492.4</v>
      </c>
      <c r="P38" s="261"/>
    </row>
    <row r="39" spans="1:16" s="269" customFormat="1" ht="13.5" thickBot="1" x14ac:dyDescent="0.25">
      <c r="A39" s="263"/>
      <c r="B39" s="264" t="s">
        <v>741</v>
      </c>
      <c r="C39" s="265"/>
      <c r="D39" s="266"/>
      <c r="E39" s="220"/>
      <c r="F39" s="273" t="s">
        <v>687</v>
      </c>
      <c r="G39" s="268">
        <v>4984.8999999999996</v>
      </c>
      <c r="H39" s="268">
        <v>4794.5025039999991</v>
      </c>
      <c r="I39" s="268">
        <v>4196.2769039999994</v>
      </c>
      <c r="J39" s="268">
        <v>3676.6201039999996</v>
      </c>
      <c r="K39" s="268">
        <v>3392.6697039999995</v>
      </c>
      <c r="L39" s="268">
        <v>3108.7193039999997</v>
      </c>
      <c r="M39" s="268">
        <v>2824.7689039999996</v>
      </c>
      <c r="N39" s="268">
        <v>25408.185039999997</v>
      </c>
      <c r="O39" s="268">
        <f t="shared" si="0"/>
        <v>52386.64246399999</v>
      </c>
      <c r="P39" s="261"/>
    </row>
    <row r="40" spans="1:16" s="269" customFormat="1" x14ac:dyDescent="0.2">
      <c r="A40" s="256">
        <v>16</v>
      </c>
      <c r="B40" s="292" t="s">
        <v>742</v>
      </c>
      <c r="C40" s="277" t="s">
        <v>743</v>
      </c>
      <c r="D40" s="275" t="s">
        <v>744</v>
      </c>
      <c r="E40" s="216">
        <v>46991.33</v>
      </c>
      <c r="F40" s="259" t="s">
        <v>685</v>
      </c>
      <c r="G40" s="260">
        <v>9896</v>
      </c>
      <c r="H40" s="260">
        <v>9896</v>
      </c>
      <c r="I40" s="260">
        <v>7420.33</v>
      </c>
      <c r="J40" s="219">
        <v>0</v>
      </c>
      <c r="K40" s="219">
        <v>0</v>
      </c>
      <c r="L40" s="219">
        <v>0</v>
      </c>
      <c r="M40" s="219">
        <v>0</v>
      </c>
      <c r="N40" s="219">
        <v>0</v>
      </c>
      <c r="O40" s="260">
        <f t="shared" si="0"/>
        <v>27212.33</v>
      </c>
      <c r="P40" s="261"/>
    </row>
    <row r="41" spans="1:16" s="269" customFormat="1" ht="13.5" thickBot="1" x14ac:dyDescent="0.25">
      <c r="A41" s="263"/>
      <c r="B41" s="264"/>
      <c r="C41" s="265" t="s">
        <v>745</v>
      </c>
      <c r="D41" s="266"/>
      <c r="E41" s="220"/>
      <c r="F41" s="267" t="s">
        <v>687</v>
      </c>
      <c r="G41" s="268">
        <v>65.03</v>
      </c>
      <c r="H41" s="268">
        <v>86.58165000000001</v>
      </c>
      <c r="I41" s="268">
        <v>37.101649999999999</v>
      </c>
      <c r="J41" s="222">
        <v>0</v>
      </c>
      <c r="K41" s="222">
        <v>0</v>
      </c>
      <c r="L41" s="222">
        <v>0</v>
      </c>
      <c r="M41" s="222">
        <v>0</v>
      </c>
      <c r="N41" s="222">
        <v>0</v>
      </c>
      <c r="O41" s="268">
        <f t="shared" si="0"/>
        <v>188.7133</v>
      </c>
      <c r="P41" s="261"/>
    </row>
    <row r="42" spans="1:16" s="293" customFormat="1" x14ac:dyDescent="0.2">
      <c r="A42" s="256">
        <v>17</v>
      </c>
      <c r="B42" s="292" t="s">
        <v>746</v>
      </c>
      <c r="C42" s="277" t="s">
        <v>739</v>
      </c>
      <c r="D42" s="275" t="s">
        <v>747</v>
      </c>
      <c r="E42" s="216">
        <v>581242</v>
      </c>
      <c r="F42" s="273" t="s">
        <v>685</v>
      </c>
      <c r="G42" s="260">
        <v>58116</v>
      </c>
      <c r="H42" s="260">
        <v>58116</v>
      </c>
      <c r="I42" s="260">
        <v>58116</v>
      </c>
      <c r="J42" s="260">
        <v>58116</v>
      </c>
      <c r="K42" s="260">
        <v>58116</v>
      </c>
      <c r="L42" s="260">
        <v>58116</v>
      </c>
      <c r="M42" s="260">
        <v>58116</v>
      </c>
      <c r="N42" s="260">
        <v>115550.12</v>
      </c>
      <c r="O42" s="260">
        <f t="shared" si="0"/>
        <v>522362.12</v>
      </c>
      <c r="P42" s="261"/>
    </row>
    <row r="43" spans="1:16" s="293" customFormat="1" ht="13.5" thickBot="1" x14ac:dyDescent="0.25">
      <c r="A43" s="263"/>
      <c r="B43" s="294"/>
      <c r="C43" s="265"/>
      <c r="D43" s="266"/>
      <c r="E43" s="220"/>
      <c r="F43" s="267" t="s">
        <v>687</v>
      </c>
      <c r="G43" s="268">
        <v>13684.4</v>
      </c>
      <c r="H43" s="268">
        <v>15329.406882400001</v>
      </c>
      <c r="I43" s="268">
        <v>13410.4165624</v>
      </c>
      <c r="J43" s="268">
        <v>11491.426242400001</v>
      </c>
      <c r="K43" s="268">
        <v>9572.4359224</v>
      </c>
      <c r="L43" s="268">
        <v>7653.4456024000001</v>
      </c>
      <c r="M43" s="268">
        <v>5734.4552824000002</v>
      </c>
      <c r="N43" s="268">
        <v>11446.3948872</v>
      </c>
      <c r="O43" s="268">
        <f t="shared" si="0"/>
        <v>88322.381381600004</v>
      </c>
      <c r="P43" s="261"/>
    </row>
    <row r="44" spans="1:16" s="293" customFormat="1" x14ac:dyDescent="0.2">
      <c r="A44" s="256">
        <v>18</v>
      </c>
      <c r="B44" s="292" t="s">
        <v>748</v>
      </c>
      <c r="C44" s="277" t="s">
        <v>749</v>
      </c>
      <c r="D44" s="275" t="s">
        <v>750</v>
      </c>
      <c r="E44" s="216">
        <v>141294</v>
      </c>
      <c r="F44" s="273" t="s">
        <v>685</v>
      </c>
      <c r="G44" s="260">
        <v>29748</v>
      </c>
      <c r="H44" s="260">
        <v>29748</v>
      </c>
      <c r="I44" s="260">
        <v>29748</v>
      </c>
      <c r="J44" s="260">
        <v>22311</v>
      </c>
      <c r="K44" s="219">
        <v>0</v>
      </c>
      <c r="L44" s="219">
        <v>0</v>
      </c>
      <c r="M44" s="219">
        <v>0</v>
      </c>
      <c r="N44" s="219">
        <v>0</v>
      </c>
      <c r="O44" s="260">
        <f t="shared" si="0"/>
        <v>111555</v>
      </c>
      <c r="P44" s="261"/>
    </row>
    <row r="45" spans="1:16" s="293" customFormat="1" ht="13.5" thickBot="1" x14ac:dyDescent="0.25">
      <c r="A45" s="263"/>
      <c r="B45" s="294"/>
      <c r="C45" s="265"/>
      <c r="D45" s="266"/>
      <c r="E45" s="220"/>
      <c r="F45" s="267" t="s">
        <v>687</v>
      </c>
      <c r="G45" s="268">
        <v>270.95</v>
      </c>
      <c r="H45" s="268">
        <v>204.51750000000001</v>
      </c>
      <c r="I45" s="268">
        <v>130.14750000000001</v>
      </c>
      <c r="J45" s="268">
        <v>55.777500000000003</v>
      </c>
      <c r="K45" s="222">
        <v>0</v>
      </c>
      <c r="L45" s="222">
        <v>0</v>
      </c>
      <c r="M45" s="222">
        <v>0</v>
      </c>
      <c r="N45" s="222">
        <v>0</v>
      </c>
      <c r="O45" s="268">
        <f t="shared" si="0"/>
        <v>661.39250000000004</v>
      </c>
      <c r="P45" s="261"/>
    </row>
    <row r="46" spans="1:16" s="293" customFormat="1" x14ac:dyDescent="0.2">
      <c r="A46" s="256">
        <v>19</v>
      </c>
      <c r="B46" s="292" t="s">
        <v>751</v>
      </c>
      <c r="C46" s="277" t="s">
        <v>739</v>
      </c>
      <c r="D46" s="275" t="s">
        <v>747</v>
      </c>
      <c r="E46" s="216">
        <v>697002</v>
      </c>
      <c r="F46" s="273" t="s">
        <v>685</v>
      </c>
      <c r="G46" s="260">
        <v>73372</v>
      </c>
      <c r="H46" s="260">
        <v>73372</v>
      </c>
      <c r="I46" s="260">
        <v>73372</v>
      </c>
      <c r="J46" s="260">
        <v>73372</v>
      </c>
      <c r="K46" s="260">
        <v>73372</v>
      </c>
      <c r="L46" s="260">
        <v>73372</v>
      </c>
      <c r="M46" s="260">
        <v>73372</v>
      </c>
      <c r="N46" s="260">
        <v>146744</v>
      </c>
      <c r="O46" s="260">
        <f t="shared" si="0"/>
        <v>660348</v>
      </c>
      <c r="P46" s="261"/>
    </row>
    <row r="47" spans="1:16" s="293" customFormat="1" ht="13.5" thickBot="1" x14ac:dyDescent="0.25">
      <c r="A47" s="263"/>
      <c r="B47" s="294"/>
      <c r="C47" s="265"/>
      <c r="D47" s="266"/>
      <c r="E47" s="220"/>
      <c r="F47" s="267" t="s">
        <v>687</v>
      </c>
      <c r="G47" s="268">
        <v>17927.87</v>
      </c>
      <c r="H47" s="268">
        <v>19381.947520000002</v>
      </c>
      <c r="I47" s="268">
        <v>16959.20408</v>
      </c>
      <c r="J47" s="268">
        <v>14536.460640000001</v>
      </c>
      <c r="K47" s="268">
        <v>12113.717200000001</v>
      </c>
      <c r="L47" s="268">
        <v>9690.9737600000008</v>
      </c>
      <c r="M47" s="268">
        <v>7268.2303200000006</v>
      </c>
      <c r="N47" s="268">
        <v>19381.947520000002</v>
      </c>
      <c r="O47" s="268">
        <f t="shared" si="0"/>
        <v>117260.35103999999</v>
      </c>
      <c r="P47" s="261"/>
    </row>
    <row r="48" spans="1:16" s="269" customFormat="1" ht="12.6" customHeight="1" x14ac:dyDescent="0.2">
      <c r="A48" s="256">
        <v>20</v>
      </c>
      <c r="B48" s="292" t="s">
        <v>752</v>
      </c>
      <c r="C48" s="277" t="s">
        <v>743</v>
      </c>
      <c r="D48" s="275" t="s">
        <v>744</v>
      </c>
      <c r="E48" s="216">
        <v>53218</v>
      </c>
      <c r="F48" s="273" t="s">
        <v>685</v>
      </c>
      <c r="G48" s="260">
        <v>11448</v>
      </c>
      <c r="H48" s="260">
        <v>11448</v>
      </c>
      <c r="I48" s="260">
        <v>7444</v>
      </c>
      <c r="J48" s="219">
        <v>0</v>
      </c>
      <c r="K48" s="219">
        <v>0</v>
      </c>
      <c r="L48" s="219">
        <v>0</v>
      </c>
      <c r="M48" s="219">
        <v>0</v>
      </c>
      <c r="N48" s="219">
        <v>0</v>
      </c>
      <c r="O48" s="260">
        <f t="shared" si="0"/>
        <v>30340</v>
      </c>
      <c r="P48" s="261"/>
    </row>
    <row r="49" spans="1:16" s="269" customFormat="1" ht="13.5" thickBot="1" x14ac:dyDescent="0.25">
      <c r="A49" s="263"/>
      <c r="B49" s="294"/>
      <c r="C49" s="265"/>
      <c r="D49" s="266"/>
      <c r="E49" s="220"/>
      <c r="F49" s="267" t="s">
        <v>687</v>
      </c>
      <c r="G49" s="268">
        <v>73.64</v>
      </c>
      <c r="H49" s="268">
        <v>47.230000000000004</v>
      </c>
      <c r="I49" s="268">
        <v>18.61</v>
      </c>
      <c r="J49" s="222">
        <v>0</v>
      </c>
      <c r="K49" s="222">
        <v>0</v>
      </c>
      <c r="L49" s="222">
        <v>0</v>
      </c>
      <c r="M49" s="222">
        <v>0</v>
      </c>
      <c r="N49" s="222">
        <v>0</v>
      </c>
      <c r="O49" s="268">
        <f t="shared" si="0"/>
        <v>139.48000000000002</v>
      </c>
      <c r="P49" s="261"/>
    </row>
    <row r="50" spans="1:16" s="269" customFormat="1" ht="12.6" customHeight="1" x14ac:dyDescent="0.2">
      <c r="A50" s="256">
        <v>21</v>
      </c>
      <c r="B50" s="292" t="s">
        <v>753</v>
      </c>
      <c r="C50" s="277" t="s">
        <v>754</v>
      </c>
      <c r="D50" s="275" t="s">
        <v>755</v>
      </c>
      <c r="E50" s="216">
        <v>496340</v>
      </c>
      <c r="F50" s="273" t="s">
        <v>685</v>
      </c>
      <c r="G50" s="260">
        <v>26815</v>
      </c>
      <c r="H50" s="260">
        <v>47782.7</v>
      </c>
      <c r="I50" s="260">
        <v>47782.7</v>
      </c>
      <c r="J50" s="260">
        <v>47782.7</v>
      </c>
      <c r="K50" s="260">
        <v>47782.7</v>
      </c>
      <c r="L50" s="260">
        <v>47782.7</v>
      </c>
      <c r="M50" s="260">
        <v>47782.7</v>
      </c>
      <c r="N50" s="260">
        <v>182828.79999999999</v>
      </c>
      <c r="O50" s="260">
        <f t="shared" si="0"/>
        <v>496340</v>
      </c>
      <c r="P50" s="261"/>
    </row>
    <row r="51" spans="1:16" s="269" customFormat="1" ht="13.5" thickBot="1" x14ac:dyDescent="0.25">
      <c r="A51" s="263"/>
      <c r="B51" s="294" t="s">
        <v>756</v>
      </c>
      <c r="C51" s="265"/>
      <c r="D51" s="266"/>
      <c r="E51" s="220"/>
      <c r="F51" s="267" t="s">
        <v>687</v>
      </c>
      <c r="G51" s="268">
        <v>13924.6</v>
      </c>
      <c r="H51" s="268">
        <v>11155.914000000001</v>
      </c>
      <c r="I51" s="268">
        <v>10020.597048</v>
      </c>
      <c r="J51" s="268">
        <v>8885.2800959999986</v>
      </c>
      <c r="K51" s="268">
        <v>7749.9631439999994</v>
      </c>
      <c r="L51" s="268">
        <v>6614.6461919999992</v>
      </c>
      <c r="M51" s="268">
        <v>5479.32924</v>
      </c>
      <c r="N51" s="268">
        <v>13032.036864</v>
      </c>
      <c r="O51" s="268">
        <f t="shared" si="0"/>
        <v>76862.366584000003</v>
      </c>
      <c r="P51" s="261"/>
    </row>
    <row r="52" spans="1:16" s="269" customFormat="1" ht="12.6" customHeight="1" x14ac:dyDescent="0.2">
      <c r="A52" s="256">
        <v>22</v>
      </c>
      <c r="B52" s="292" t="s">
        <v>757</v>
      </c>
      <c r="C52" s="277" t="s">
        <v>758</v>
      </c>
      <c r="D52" s="275" t="s">
        <v>759</v>
      </c>
      <c r="E52" s="216">
        <v>96800</v>
      </c>
      <c r="F52" s="273" t="s">
        <v>685</v>
      </c>
      <c r="G52" s="260">
        <v>20375</v>
      </c>
      <c r="H52" s="260">
        <v>20380</v>
      </c>
      <c r="I52" s="260">
        <v>20380</v>
      </c>
      <c r="J52" s="260">
        <v>20380</v>
      </c>
      <c r="K52" s="260">
        <v>15285</v>
      </c>
      <c r="L52" s="219">
        <v>0</v>
      </c>
      <c r="M52" s="219">
        <v>0</v>
      </c>
      <c r="N52" s="219">
        <v>0</v>
      </c>
      <c r="O52" s="260">
        <f t="shared" si="0"/>
        <v>96800</v>
      </c>
      <c r="P52" s="261"/>
    </row>
    <row r="53" spans="1:16" s="269" customFormat="1" ht="13.5" thickBot="1" x14ac:dyDescent="0.25">
      <c r="A53" s="263"/>
      <c r="B53" s="294" t="s">
        <v>760</v>
      </c>
      <c r="C53" s="265"/>
      <c r="D53" s="266"/>
      <c r="E53" s="220"/>
      <c r="F53" s="267" t="s">
        <v>687</v>
      </c>
      <c r="G53" s="268">
        <v>2368.89</v>
      </c>
      <c r="H53" s="268">
        <v>3990.1492499999999</v>
      </c>
      <c r="I53" s="268">
        <v>2926.1094499999999</v>
      </c>
      <c r="J53" s="268">
        <v>1862.0696499999999</v>
      </c>
      <c r="K53" s="268">
        <v>798.02985000000001</v>
      </c>
      <c r="L53" s="222">
        <v>0</v>
      </c>
      <c r="M53" s="222">
        <v>0</v>
      </c>
      <c r="N53" s="222">
        <v>0</v>
      </c>
      <c r="O53" s="268">
        <f t="shared" si="0"/>
        <v>11945.2482</v>
      </c>
      <c r="P53" s="261"/>
    </row>
    <row r="54" spans="1:16" s="269" customFormat="1" ht="13.15" customHeight="1" x14ac:dyDescent="0.2">
      <c r="A54" s="256">
        <v>23</v>
      </c>
      <c r="B54" s="372" t="s">
        <v>761</v>
      </c>
      <c r="C54" s="388" t="s">
        <v>762</v>
      </c>
      <c r="D54" s="381" t="s">
        <v>763</v>
      </c>
      <c r="E54" s="365">
        <v>5678344.2000000002</v>
      </c>
      <c r="F54" s="273" t="s">
        <v>685</v>
      </c>
      <c r="G54" s="260">
        <v>434960</v>
      </c>
      <c r="H54" s="260">
        <v>395316</v>
      </c>
      <c r="I54" s="260">
        <v>363420</v>
      </c>
      <c r="J54" s="260">
        <v>344336</v>
      </c>
      <c r="K54" s="260">
        <v>314856</v>
      </c>
      <c r="L54" s="260">
        <v>305080</v>
      </c>
      <c r="M54" s="260">
        <v>279984</v>
      </c>
      <c r="N54" s="260">
        <v>1029192</v>
      </c>
      <c r="O54" s="260">
        <f t="shared" si="0"/>
        <v>3467144</v>
      </c>
      <c r="P54" s="261"/>
    </row>
    <row r="55" spans="1:16" s="269" customFormat="1" ht="13.5" thickBot="1" x14ac:dyDescent="0.25">
      <c r="A55" s="263"/>
      <c r="B55" s="387"/>
      <c r="C55" s="369"/>
      <c r="D55" s="369"/>
      <c r="E55" s="376"/>
      <c r="F55" s="267" t="s">
        <v>687</v>
      </c>
      <c r="G55" s="268">
        <v>65376.100000000006</v>
      </c>
      <c r="H55" s="268">
        <v>117497.13</v>
      </c>
      <c r="I55" s="268">
        <v>102178.63499999999</v>
      </c>
      <c r="J55" s="268">
        <v>88096.11</v>
      </c>
      <c r="K55" s="268">
        <v>74753.09</v>
      </c>
      <c r="L55" s="268">
        <v>62552.42</v>
      </c>
      <c r="M55" s="268">
        <v>50730.57</v>
      </c>
      <c r="N55" s="268">
        <v>239287.14</v>
      </c>
      <c r="O55" s="268">
        <f t="shared" si="0"/>
        <v>800471.19499999995</v>
      </c>
      <c r="P55" s="261"/>
    </row>
    <row r="56" spans="1:16" s="269" customFormat="1" ht="13.15" customHeight="1" x14ac:dyDescent="0.2">
      <c r="A56" s="256">
        <v>24</v>
      </c>
      <c r="B56" s="383" t="s">
        <v>764</v>
      </c>
      <c r="C56" s="382" t="s">
        <v>765</v>
      </c>
      <c r="D56" s="385" t="s">
        <v>766</v>
      </c>
      <c r="E56" s="365">
        <v>2075409</v>
      </c>
      <c r="F56" s="273" t="s">
        <v>685</v>
      </c>
      <c r="G56" s="260">
        <v>150040</v>
      </c>
      <c r="H56" s="260">
        <v>128252</v>
      </c>
      <c r="I56" s="260">
        <v>123200</v>
      </c>
      <c r="J56" s="260">
        <v>121648</v>
      </c>
      <c r="K56" s="260">
        <v>117000</v>
      </c>
      <c r="L56" s="260">
        <v>117000</v>
      </c>
      <c r="M56" s="260">
        <v>117000</v>
      </c>
      <c r="N56" s="260">
        <v>687102</v>
      </c>
      <c r="O56" s="260">
        <f t="shared" si="0"/>
        <v>1561242</v>
      </c>
      <c r="P56" s="261"/>
    </row>
    <row r="57" spans="1:16" s="269" customFormat="1" ht="13.5" thickBot="1" x14ac:dyDescent="0.25">
      <c r="A57" s="263"/>
      <c r="B57" s="384"/>
      <c r="C57" s="375"/>
      <c r="D57" s="386"/>
      <c r="E57" s="376"/>
      <c r="F57" s="267" t="s">
        <v>687</v>
      </c>
      <c r="G57" s="268">
        <v>25821.599999999999</v>
      </c>
      <c r="H57" s="268">
        <v>57506.481500000002</v>
      </c>
      <c r="I57" s="268">
        <v>52280.212500000001</v>
      </c>
      <c r="J57" s="268">
        <v>47259.8125</v>
      </c>
      <c r="K57" s="268">
        <v>42302.656500000005</v>
      </c>
      <c r="L57" s="268">
        <v>37534.906500000005</v>
      </c>
      <c r="M57" s="268">
        <v>32767.156500000001</v>
      </c>
      <c r="N57" s="268">
        <v>237994.95525</v>
      </c>
      <c r="O57" s="268">
        <f t="shared" si="0"/>
        <v>533467.78125</v>
      </c>
      <c r="P57" s="261"/>
    </row>
    <row r="58" spans="1:16" s="269" customFormat="1" ht="13.15" customHeight="1" x14ac:dyDescent="0.2">
      <c r="A58" s="256">
        <v>25</v>
      </c>
      <c r="B58" s="372" t="s">
        <v>767</v>
      </c>
      <c r="C58" s="374" t="s">
        <v>768</v>
      </c>
      <c r="D58" s="363" t="s">
        <v>769</v>
      </c>
      <c r="E58" s="365">
        <v>484935.32</v>
      </c>
      <c r="F58" s="273" t="s">
        <v>685</v>
      </c>
      <c r="G58" s="260">
        <v>20312</v>
      </c>
      <c r="H58" s="260">
        <v>20312</v>
      </c>
      <c r="I58" s="260">
        <v>20312</v>
      </c>
      <c r="J58" s="260">
        <v>20312</v>
      </c>
      <c r="K58" s="260">
        <v>20312</v>
      </c>
      <c r="L58" s="260">
        <v>20312</v>
      </c>
      <c r="M58" s="260">
        <v>20312</v>
      </c>
      <c r="N58" s="260">
        <v>167574</v>
      </c>
      <c r="O58" s="260">
        <f t="shared" si="0"/>
        <v>309758</v>
      </c>
      <c r="P58" s="261"/>
    </row>
    <row r="59" spans="1:16" s="269" customFormat="1" ht="13.5" thickBot="1" x14ac:dyDescent="0.25">
      <c r="A59" s="263"/>
      <c r="B59" s="377"/>
      <c r="C59" s="375"/>
      <c r="D59" s="369"/>
      <c r="E59" s="376"/>
      <c r="F59" s="267" t="s">
        <v>687</v>
      </c>
      <c r="G59" s="268">
        <v>6913.95</v>
      </c>
      <c r="H59" s="268">
        <v>10457.68398</v>
      </c>
      <c r="I59" s="268">
        <v>9723.81142</v>
      </c>
      <c r="J59" s="268">
        <v>8989.9388600000002</v>
      </c>
      <c r="K59" s="268">
        <v>8256.0663000000004</v>
      </c>
      <c r="L59" s="268">
        <v>7522.1937400000006</v>
      </c>
      <c r="M59" s="268">
        <v>6788.3211800000008</v>
      </c>
      <c r="N59" s="268">
        <v>50251.923546000005</v>
      </c>
      <c r="O59" s="268">
        <f t="shared" si="0"/>
        <v>108903.889026</v>
      </c>
      <c r="P59" s="261"/>
    </row>
    <row r="60" spans="1:16" s="269" customFormat="1" ht="13.15" customHeight="1" x14ac:dyDescent="0.2">
      <c r="A60" s="256">
        <v>26</v>
      </c>
      <c r="B60" s="372" t="s">
        <v>770</v>
      </c>
      <c r="C60" s="374" t="s">
        <v>771</v>
      </c>
      <c r="D60" s="363" t="s">
        <v>772</v>
      </c>
      <c r="E60" s="365">
        <v>55899</v>
      </c>
      <c r="F60" s="273" t="s">
        <v>685</v>
      </c>
      <c r="G60" s="260">
        <v>8944</v>
      </c>
      <c r="H60" s="260">
        <v>8944</v>
      </c>
      <c r="I60" s="260">
        <v>4472</v>
      </c>
      <c r="J60" s="219">
        <v>0</v>
      </c>
      <c r="K60" s="219">
        <v>0</v>
      </c>
      <c r="L60" s="219">
        <v>0</v>
      </c>
      <c r="M60" s="219">
        <v>0</v>
      </c>
      <c r="N60" s="219">
        <v>0</v>
      </c>
      <c r="O60" s="260">
        <f t="shared" si="0"/>
        <v>22360</v>
      </c>
      <c r="P60" s="261"/>
    </row>
    <row r="61" spans="1:16" s="269" customFormat="1" ht="13.5" thickBot="1" x14ac:dyDescent="0.25">
      <c r="A61" s="263"/>
      <c r="B61" s="377"/>
      <c r="C61" s="375"/>
      <c r="D61" s="369"/>
      <c r="E61" s="376"/>
      <c r="F61" s="267" t="s">
        <v>687</v>
      </c>
      <c r="G61" s="268">
        <v>337.39</v>
      </c>
      <c r="H61" s="268">
        <v>544.28712000000007</v>
      </c>
      <c r="I61" s="268">
        <v>181.42904000000001</v>
      </c>
      <c r="J61" s="222">
        <v>0</v>
      </c>
      <c r="K61" s="222">
        <v>0</v>
      </c>
      <c r="L61" s="222">
        <v>0</v>
      </c>
      <c r="M61" s="222">
        <v>0</v>
      </c>
      <c r="N61" s="222">
        <v>0</v>
      </c>
      <c r="O61" s="268">
        <f t="shared" si="0"/>
        <v>1063.10616</v>
      </c>
      <c r="P61" s="261"/>
    </row>
    <row r="62" spans="1:16" s="269" customFormat="1" ht="13.15" customHeight="1" x14ac:dyDescent="0.2">
      <c r="A62" s="256">
        <v>27</v>
      </c>
      <c r="B62" s="372" t="s">
        <v>773</v>
      </c>
      <c r="C62" s="363" t="s">
        <v>771</v>
      </c>
      <c r="D62" s="363" t="s">
        <v>774</v>
      </c>
      <c r="E62" s="365">
        <v>8518.4</v>
      </c>
      <c r="F62" s="273" t="s">
        <v>685</v>
      </c>
      <c r="G62" s="260">
        <v>948</v>
      </c>
      <c r="H62" s="219">
        <v>0</v>
      </c>
      <c r="I62" s="219">
        <v>0</v>
      </c>
      <c r="J62" s="219">
        <v>0</v>
      </c>
      <c r="K62" s="219">
        <v>0</v>
      </c>
      <c r="L62" s="219">
        <v>0</v>
      </c>
      <c r="M62" s="219">
        <v>0</v>
      </c>
      <c r="N62" s="219">
        <v>0</v>
      </c>
      <c r="O62" s="260">
        <f t="shared" si="0"/>
        <v>948</v>
      </c>
      <c r="P62" s="261"/>
    </row>
    <row r="63" spans="1:16" s="269" customFormat="1" ht="13.5" thickBot="1" x14ac:dyDescent="0.25">
      <c r="A63" s="263"/>
      <c r="B63" s="373"/>
      <c r="C63" s="364"/>
      <c r="D63" s="369"/>
      <c r="E63" s="376"/>
      <c r="F63" s="267" t="s">
        <v>687</v>
      </c>
      <c r="G63" s="268">
        <v>3.7900000000000005</v>
      </c>
      <c r="H63" s="222">
        <v>0</v>
      </c>
      <c r="I63" s="222">
        <v>0</v>
      </c>
      <c r="J63" s="222">
        <v>0</v>
      </c>
      <c r="K63" s="222">
        <v>0</v>
      </c>
      <c r="L63" s="222">
        <v>0</v>
      </c>
      <c r="M63" s="222">
        <v>0</v>
      </c>
      <c r="N63" s="222">
        <v>0</v>
      </c>
      <c r="O63" s="268">
        <f t="shared" si="0"/>
        <v>3.7900000000000005</v>
      </c>
      <c r="P63" s="261"/>
    </row>
    <row r="64" spans="1:16" s="269" customFormat="1" ht="13.15" customHeight="1" x14ac:dyDescent="0.2">
      <c r="A64" s="256">
        <v>28</v>
      </c>
      <c r="B64" s="372" t="s">
        <v>775</v>
      </c>
      <c r="C64" s="374" t="s">
        <v>771</v>
      </c>
      <c r="D64" s="363" t="s">
        <v>776</v>
      </c>
      <c r="E64" s="365">
        <v>238897.15</v>
      </c>
      <c r="F64" s="273" t="s">
        <v>685</v>
      </c>
      <c r="G64" s="260">
        <v>10600</v>
      </c>
      <c r="H64" s="260">
        <v>10600</v>
      </c>
      <c r="I64" s="260">
        <v>10600</v>
      </c>
      <c r="J64" s="260">
        <v>10600</v>
      </c>
      <c r="K64" s="260">
        <v>10600</v>
      </c>
      <c r="L64" s="260">
        <v>10600</v>
      </c>
      <c r="M64" s="260">
        <v>10600</v>
      </c>
      <c r="N64" s="260">
        <v>90100</v>
      </c>
      <c r="O64" s="260">
        <f t="shared" si="0"/>
        <v>164300</v>
      </c>
      <c r="P64" s="261"/>
    </row>
    <row r="65" spans="1:16" s="269" customFormat="1" ht="13.5" thickBot="1" x14ac:dyDescent="0.25">
      <c r="A65" s="263"/>
      <c r="B65" s="377"/>
      <c r="C65" s="375"/>
      <c r="D65" s="369"/>
      <c r="E65" s="376"/>
      <c r="F65" s="267" t="s">
        <v>687</v>
      </c>
      <c r="G65" s="268">
        <v>2831.29</v>
      </c>
      <c r="H65" s="268">
        <v>6235.6090000000004</v>
      </c>
      <c r="I65" s="268">
        <v>5805.567</v>
      </c>
      <c r="J65" s="268">
        <v>5375.5250000000005</v>
      </c>
      <c r="K65" s="268">
        <v>4945.4830000000002</v>
      </c>
      <c r="L65" s="268">
        <v>4515.4409999999998</v>
      </c>
      <c r="M65" s="268">
        <v>4085.3990000000003</v>
      </c>
      <c r="N65" s="268">
        <v>31070.534500000002</v>
      </c>
      <c r="O65" s="268">
        <f t="shared" si="0"/>
        <v>64864.8485</v>
      </c>
      <c r="P65" s="261"/>
    </row>
    <row r="66" spans="1:16" s="269" customFormat="1" ht="13.15" customHeight="1" x14ac:dyDescent="0.2">
      <c r="A66" s="256">
        <v>29</v>
      </c>
      <c r="B66" s="372" t="s">
        <v>777</v>
      </c>
      <c r="C66" s="374" t="s">
        <v>771</v>
      </c>
      <c r="D66" s="363" t="s">
        <v>778</v>
      </c>
      <c r="E66" s="365">
        <v>49472</v>
      </c>
      <c r="F66" s="273" t="s">
        <v>685</v>
      </c>
      <c r="G66" s="260">
        <v>3472</v>
      </c>
      <c r="H66" s="260">
        <v>3472</v>
      </c>
      <c r="I66" s="260">
        <v>3472</v>
      </c>
      <c r="J66" s="260">
        <v>3472</v>
      </c>
      <c r="K66" s="260">
        <v>3472</v>
      </c>
      <c r="L66" s="260">
        <v>3472</v>
      </c>
      <c r="M66" s="260">
        <v>3472</v>
      </c>
      <c r="N66" s="260">
        <v>12152</v>
      </c>
      <c r="O66" s="260">
        <f t="shared" si="0"/>
        <v>36456</v>
      </c>
      <c r="P66" s="261"/>
    </row>
    <row r="67" spans="1:16" s="269" customFormat="1" ht="13.5" thickBot="1" x14ac:dyDescent="0.25">
      <c r="A67" s="263"/>
      <c r="B67" s="377"/>
      <c r="C67" s="375"/>
      <c r="D67" s="369"/>
      <c r="E67" s="376"/>
      <c r="F67" s="267" t="s">
        <v>687</v>
      </c>
      <c r="G67" s="268">
        <v>264.74</v>
      </c>
      <c r="H67" s="268">
        <v>1338.1608800000001</v>
      </c>
      <c r="I67" s="268">
        <v>1197.3018400000001</v>
      </c>
      <c r="J67" s="268">
        <v>1056.4428</v>
      </c>
      <c r="K67" s="268">
        <v>915.5837600000001</v>
      </c>
      <c r="L67" s="268">
        <v>774.72472000000005</v>
      </c>
      <c r="M67" s="268">
        <v>633.86568</v>
      </c>
      <c r="N67" s="268">
        <v>1725.52324</v>
      </c>
      <c r="O67" s="268">
        <f t="shared" si="0"/>
        <v>7906.342920000001</v>
      </c>
      <c r="P67" s="261"/>
    </row>
    <row r="68" spans="1:16" s="269" customFormat="1" ht="13.15" customHeight="1" x14ac:dyDescent="0.2">
      <c r="A68" s="256">
        <v>30</v>
      </c>
      <c r="B68" s="372" t="s">
        <v>779</v>
      </c>
      <c r="C68" s="374" t="s">
        <v>771</v>
      </c>
      <c r="D68" s="363" t="s">
        <v>776</v>
      </c>
      <c r="E68" s="365">
        <v>278611.39</v>
      </c>
      <c r="F68" s="273" t="s">
        <v>685</v>
      </c>
      <c r="G68" s="260">
        <v>14476</v>
      </c>
      <c r="H68" s="260">
        <v>14476</v>
      </c>
      <c r="I68" s="260">
        <v>14476</v>
      </c>
      <c r="J68" s="260">
        <v>14476</v>
      </c>
      <c r="K68" s="260">
        <v>14476</v>
      </c>
      <c r="L68" s="260">
        <v>14476</v>
      </c>
      <c r="M68" s="260">
        <v>14476</v>
      </c>
      <c r="N68" s="260">
        <v>123046</v>
      </c>
      <c r="O68" s="260">
        <f t="shared" si="0"/>
        <v>224378</v>
      </c>
      <c r="P68" s="261"/>
    </row>
    <row r="69" spans="1:16" s="269" customFormat="1" ht="13.5" thickBot="1" x14ac:dyDescent="0.25">
      <c r="A69" s="263"/>
      <c r="B69" s="377"/>
      <c r="C69" s="375"/>
      <c r="D69" s="369"/>
      <c r="E69" s="376"/>
      <c r="F69" s="267" t="s">
        <v>687</v>
      </c>
      <c r="G69" s="268">
        <v>3866.58</v>
      </c>
      <c r="H69" s="268">
        <v>8515.7241400000003</v>
      </c>
      <c r="I69" s="268">
        <v>7928.43282</v>
      </c>
      <c r="J69" s="268">
        <v>7341.1415000000006</v>
      </c>
      <c r="K69" s="268">
        <v>6753.8501800000004</v>
      </c>
      <c r="L69" s="268">
        <v>6166.5588600000001</v>
      </c>
      <c r="M69" s="268">
        <v>5579.2675399999998</v>
      </c>
      <c r="N69" s="268">
        <v>42431.797870000002</v>
      </c>
      <c r="O69" s="268">
        <f t="shared" si="0"/>
        <v>88583.352910000001</v>
      </c>
      <c r="P69" s="261"/>
    </row>
    <row r="70" spans="1:16" s="269" customFormat="1" ht="13.15" customHeight="1" x14ac:dyDescent="0.2">
      <c r="A70" s="256">
        <v>31</v>
      </c>
      <c r="B70" s="372" t="s">
        <v>780</v>
      </c>
      <c r="C70" s="374" t="s">
        <v>781</v>
      </c>
      <c r="D70" s="363" t="s">
        <v>782</v>
      </c>
      <c r="E70" s="365">
        <v>34291</v>
      </c>
      <c r="F70" s="273" t="s">
        <v>685</v>
      </c>
      <c r="G70" s="260">
        <v>3616</v>
      </c>
      <c r="H70" s="260">
        <v>3548</v>
      </c>
      <c r="I70" s="260">
        <v>3548</v>
      </c>
      <c r="J70" s="260">
        <v>3548</v>
      </c>
      <c r="K70" s="260">
        <v>3548</v>
      </c>
      <c r="L70" s="260">
        <v>1774</v>
      </c>
      <c r="M70" s="219">
        <v>0</v>
      </c>
      <c r="N70" s="219">
        <v>0</v>
      </c>
      <c r="O70" s="260">
        <f t="shared" si="0"/>
        <v>19582</v>
      </c>
      <c r="P70" s="261"/>
    </row>
    <row r="71" spans="1:16" s="269" customFormat="1" ht="13.5" thickBot="1" x14ac:dyDescent="0.25">
      <c r="A71" s="263"/>
      <c r="B71" s="377"/>
      <c r="C71" s="375"/>
      <c r="D71" s="369"/>
      <c r="E71" s="376"/>
      <c r="F71" s="267" t="s">
        <v>687</v>
      </c>
      <c r="G71" s="268">
        <v>336.07</v>
      </c>
      <c r="H71" s="268">
        <v>216.65862000000001</v>
      </c>
      <c r="I71" s="268">
        <v>168.51226</v>
      </c>
      <c r="J71" s="268">
        <v>120.36590000000001</v>
      </c>
      <c r="K71" s="268">
        <v>72.219540000000009</v>
      </c>
      <c r="L71" s="268">
        <v>24.073180000000001</v>
      </c>
      <c r="M71" s="222">
        <v>0</v>
      </c>
      <c r="N71" s="222">
        <v>0</v>
      </c>
      <c r="O71" s="268">
        <f t="shared" ref="O71:O134" si="1">SUM(G71:N71)</f>
        <v>937.89949999999999</v>
      </c>
      <c r="P71" s="261"/>
    </row>
    <row r="72" spans="1:16" s="269" customFormat="1" ht="13.15" customHeight="1" x14ac:dyDescent="0.2">
      <c r="A72" s="256">
        <v>32</v>
      </c>
      <c r="B72" s="372" t="s">
        <v>783</v>
      </c>
      <c r="C72" s="374" t="s">
        <v>784</v>
      </c>
      <c r="D72" s="363" t="s">
        <v>785</v>
      </c>
      <c r="E72" s="365">
        <v>3496295</v>
      </c>
      <c r="F72" s="273" t="s">
        <v>685</v>
      </c>
      <c r="G72" s="260">
        <v>125996</v>
      </c>
      <c r="H72" s="260">
        <v>125996</v>
      </c>
      <c r="I72" s="260">
        <v>125996</v>
      </c>
      <c r="J72" s="260">
        <v>125996</v>
      </c>
      <c r="K72" s="260">
        <v>125996</v>
      </c>
      <c r="L72" s="260">
        <v>125996</v>
      </c>
      <c r="M72" s="260">
        <v>125996</v>
      </c>
      <c r="N72" s="260">
        <v>2362425</v>
      </c>
      <c r="O72" s="260">
        <f t="shared" si="1"/>
        <v>3244397</v>
      </c>
      <c r="P72" s="261"/>
    </row>
    <row r="73" spans="1:16" s="269" customFormat="1" ht="13.5" thickBot="1" x14ac:dyDescent="0.25">
      <c r="A73" s="263"/>
      <c r="B73" s="377"/>
      <c r="C73" s="375"/>
      <c r="D73" s="369"/>
      <c r="E73" s="376"/>
      <c r="F73" s="267" t="s">
        <v>687</v>
      </c>
      <c r="G73" s="268">
        <v>50541.72</v>
      </c>
      <c r="H73" s="268">
        <v>136087.01964000001</v>
      </c>
      <c r="I73" s="268">
        <v>130588.55420000001</v>
      </c>
      <c r="J73" s="268">
        <v>125090.08876000001</v>
      </c>
      <c r="K73" s="268">
        <v>119591.62332000001</v>
      </c>
      <c r="L73" s="268">
        <v>114093.15788000001</v>
      </c>
      <c r="M73" s="268">
        <v>108594.69244000001</v>
      </c>
      <c r="N73" s="268">
        <v>1855732.0860000001</v>
      </c>
      <c r="O73" s="268">
        <f t="shared" si="1"/>
        <v>2640318.9422400002</v>
      </c>
      <c r="P73" s="261"/>
    </row>
    <row r="74" spans="1:16" s="269" customFormat="1" ht="13.15" customHeight="1" x14ac:dyDescent="0.2">
      <c r="A74" s="256">
        <v>33</v>
      </c>
      <c r="B74" s="372" t="s">
        <v>786</v>
      </c>
      <c r="C74" s="374" t="s">
        <v>784</v>
      </c>
      <c r="D74" s="363" t="s">
        <v>785</v>
      </c>
      <c r="E74" s="365">
        <v>2614009</v>
      </c>
      <c r="F74" s="273" t="s">
        <v>685</v>
      </c>
      <c r="G74" s="260">
        <v>94200</v>
      </c>
      <c r="H74" s="260">
        <v>94200</v>
      </c>
      <c r="I74" s="260">
        <v>94200</v>
      </c>
      <c r="J74" s="260">
        <v>94200</v>
      </c>
      <c r="K74" s="260">
        <v>94200</v>
      </c>
      <c r="L74" s="260">
        <v>94200</v>
      </c>
      <c r="M74" s="260">
        <v>94200</v>
      </c>
      <c r="N74" s="260">
        <v>1766250</v>
      </c>
      <c r="O74" s="260">
        <f t="shared" si="1"/>
        <v>2425650</v>
      </c>
      <c r="P74" s="261"/>
    </row>
    <row r="75" spans="1:16" s="269" customFormat="1" ht="13.5" thickBot="1" x14ac:dyDescent="0.25">
      <c r="A75" s="263"/>
      <c r="B75" s="377"/>
      <c r="C75" s="375"/>
      <c r="D75" s="369"/>
      <c r="E75" s="376"/>
      <c r="F75" s="267" t="s">
        <v>687</v>
      </c>
      <c r="G75" s="268">
        <v>41450.81</v>
      </c>
      <c r="H75" s="268">
        <v>101744.47800000002</v>
      </c>
      <c r="I75" s="268">
        <v>97633.590000000011</v>
      </c>
      <c r="J75" s="268">
        <v>93522.702000000005</v>
      </c>
      <c r="K75" s="268">
        <v>89411.814000000013</v>
      </c>
      <c r="L75" s="268">
        <v>85300.926000000007</v>
      </c>
      <c r="M75" s="268">
        <v>81190.038000000015</v>
      </c>
      <c r="N75" s="268">
        <v>1387424.7000000002</v>
      </c>
      <c r="O75" s="268">
        <f t="shared" si="1"/>
        <v>1977679.0580000002</v>
      </c>
      <c r="P75" s="261"/>
    </row>
    <row r="76" spans="1:16" s="269" customFormat="1" ht="13.15" customHeight="1" x14ac:dyDescent="0.2">
      <c r="A76" s="256">
        <v>34</v>
      </c>
      <c r="B76" s="372" t="s">
        <v>787</v>
      </c>
      <c r="C76" s="367" t="s">
        <v>788</v>
      </c>
      <c r="D76" s="363" t="s">
        <v>789</v>
      </c>
      <c r="E76" s="365">
        <v>190128</v>
      </c>
      <c r="F76" s="273" t="s">
        <v>685</v>
      </c>
      <c r="G76" s="260">
        <v>9752</v>
      </c>
      <c r="H76" s="260">
        <v>9752</v>
      </c>
      <c r="I76" s="260">
        <v>9752</v>
      </c>
      <c r="J76" s="260">
        <v>9752</v>
      </c>
      <c r="K76" s="260">
        <v>9752</v>
      </c>
      <c r="L76" s="260">
        <v>9752</v>
      </c>
      <c r="M76" s="260">
        <v>9752</v>
      </c>
      <c r="N76" s="260">
        <v>85330</v>
      </c>
      <c r="O76" s="260">
        <f t="shared" si="1"/>
        <v>153594</v>
      </c>
      <c r="P76" s="261"/>
    </row>
    <row r="77" spans="1:16" s="269" customFormat="1" ht="13.5" thickBot="1" x14ac:dyDescent="0.25">
      <c r="A77" s="263"/>
      <c r="B77" s="373"/>
      <c r="C77" s="382"/>
      <c r="D77" s="369"/>
      <c r="E77" s="376"/>
      <c r="F77" s="267" t="s">
        <v>687</v>
      </c>
      <c r="G77" s="268">
        <v>2630.76</v>
      </c>
      <c r="H77" s="268">
        <v>2491.3434399999996</v>
      </c>
      <c r="I77" s="268">
        <v>2322.4387999999999</v>
      </c>
      <c r="J77" s="268">
        <v>2153.5341599999997</v>
      </c>
      <c r="K77" s="268">
        <v>1984.6295199999997</v>
      </c>
      <c r="L77" s="268">
        <v>1815.7248799999998</v>
      </c>
      <c r="M77" s="268">
        <v>1646.8202399999998</v>
      </c>
      <c r="N77" s="268">
        <v>13005.657279999999</v>
      </c>
      <c r="O77" s="268">
        <f t="shared" si="1"/>
        <v>28050.908319999999</v>
      </c>
      <c r="P77" s="261"/>
    </row>
    <row r="78" spans="1:16" s="269" customFormat="1" ht="13.15" customHeight="1" x14ac:dyDescent="0.2">
      <c r="A78" s="256">
        <v>35</v>
      </c>
      <c r="B78" s="372" t="s">
        <v>790</v>
      </c>
      <c r="C78" s="374" t="s">
        <v>736</v>
      </c>
      <c r="D78" s="363" t="s">
        <v>789</v>
      </c>
      <c r="E78" s="365">
        <v>177076.43</v>
      </c>
      <c r="F78" s="273" t="s">
        <v>685</v>
      </c>
      <c r="G78" s="260">
        <v>9200</v>
      </c>
      <c r="H78" s="260">
        <v>9200</v>
      </c>
      <c r="I78" s="260">
        <v>9200</v>
      </c>
      <c r="J78" s="260">
        <v>9200</v>
      </c>
      <c r="K78" s="260">
        <v>9200</v>
      </c>
      <c r="L78" s="260">
        <v>9200</v>
      </c>
      <c r="M78" s="260">
        <v>9200</v>
      </c>
      <c r="N78" s="260">
        <v>80500</v>
      </c>
      <c r="O78" s="260">
        <f t="shared" si="1"/>
        <v>144900</v>
      </c>
      <c r="P78" s="261"/>
    </row>
    <row r="79" spans="1:16" s="269" customFormat="1" ht="13.5" thickBot="1" x14ac:dyDescent="0.25">
      <c r="A79" s="263"/>
      <c r="B79" s="377"/>
      <c r="C79" s="381"/>
      <c r="D79" s="369"/>
      <c r="E79" s="376"/>
      <c r="F79" s="267" t="s">
        <v>687</v>
      </c>
      <c r="G79" s="268">
        <v>2938.68</v>
      </c>
      <c r="H79" s="268">
        <v>2921.6209999999996</v>
      </c>
      <c r="I79" s="268">
        <v>2723.5449999999996</v>
      </c>
      <c r="J79" s="268">
        <v>2525.4689999999996</v>
      </c>
      <c r="K79" s="268">
        <v>2327.3929999999996</v>
      </c>
      <c r="L79" s="268">
        <v>2129.3169999999996</v>
      </c>
      <c r="M79" s="268">
        <v>1931.2409999999998</v>
      </c>
      <c r="N79" s="268">
        <v>15251.851999999999</v>
      </c>
      <c r="O79" s="268">
        <f t="shared" si="1"/>
        <v>32749.117999999995</v>
      </c>
      <c r="P79" s="261"/>
    </row>
    <row r="80" spans="1:16" s="269" customFormat="1" ht="13.15" customHeight="1" x14ac:dyDescent="0.2">
      <c r="A80" s="256">
        <v>36</v>
      </c>
      <c r="B80" s="372" t="s">
        <v>791</v>
      </c>
      <c r="C80" s="374" t="s">
        <v>792</v>
      </c>
      <c r="D80" s="363" t="s">
        <v>793</v>
      </c>
      <c r="E80" s="365">
        <v>160577.24</v>
      </c>
      <c r="F80" s="273" t="s">
        <v>685</v>
      </c>
      <c r="G80" s="260">
        <v>8236</v>
      </c>
      <c r="H80" s="260">
        <v>8236</v>
      </c>
      <c r="I80" s="260">
        <v>8236</v>
      </c>
      <c r="J80" s="260">
        <v>8236</v>
      </c>
      <c r="K80" s="260">
        <v>8236</v>
      </c>
      <c r="L80" s="260">
        <v>8236</v>
      </c>
      <c r="M80" s="260">
        <v>8236</v>
      </c>
      <c r="N80" s="260">
        <v>74124</v>
      </c>
      <c r="O80" s="260">
        <f t="shared" si="1"/>
        <v>131776</v>
      </c>
      <c r="P80" s="261"/>
    </row>
    <row r="81" spans="1:17" s="269" customFormat="1" ht="13.5" thickBot="1" x14ac:dyDescent="0.25">
      <c r="A81" s="263"/>
      <c r="B81" s="377"/>
      <c r="C81" s="378"/>
      <c r="D81" s="369"/>
      <c r="E81" s="376"/>
      <c r="F81" s="267" t="s">
        <v>687</v>
      </c>
      <c r="G81" s="268">
        <v>3502.54</v>
      </c>
      <c r="H81" s="268">
        <v>3970.5756000000001</v>
      </c>
      <c r="I81" s="268">
        <v>3705.8705600000003</v>
      </c>
      <c r="J81" s="268">
        <v>3441.16552</v>
      </c>
      <c r="K81" s="268">
        <v>3176.4604800000002</v>
      </c>
      <c r="L81" s="268">
        <v>2911.7554400000004</v>
      </c>
      <c r="M81" s="268">
        <v>2647.0504000000001</v>
      </c>
      <c r="N81" s="268">
        <v>20964.639168000005</v>
      </c>
      <c r="O81" s="268">
        <f t="shared" si="1"/>
        <v>44320.057168000007</v>
      </c>
      <c r="P81" s="261"/>
    </row>
    <row r="82" spans="1:17" s="269" customFormat="1" ht="13.15" customHeight="1" x14ac:dyDescent="0.2">
      <c r="A82" s="256">
        <v>37</v>
      </c>
      <c r="B82" s="361" t="s">
        <v>794</v>
      </c>
      <c r="C82" s="374" t="s">
        <v>795</v>
      </c>
      <c r="D82" s="363" t="s">
        <v>796</v>
      </c>
      <c r="E82" s="365">
        <v>131127</v>
      </c>
      <c r="F82" s="273" t="s">
        <v>685</v>
      </c>
      <c r="G82" s="260">
        <v>6728</v>
      </c>
      <c r="H82" s="260">
        <v>6728</v>
      </c>
      <c r="I82" s="260">
        <v>6728</v>
      </c>
      <c r="J82" s="260">
        <v>6728</v>
      </c>
      <c r="K82" s="260">
        <v>6728</v>
      </c>
      <c r="L82" s="260">
        <v>6728</v>
      </c>
      <c r="M82" s="260">
        <v>6728</v>
      </c>
      <c r="N82" s="260">
        <v>60552</v>
      </c>
      <c r="O82" s="260">
        <f t="shared" si="1"/>
        <v>107648</v>
      </c>
      <c r="P82" s="261"/>
    </row>
    <row r="83" spans="1:17" s="269" customFormat="1" ht="13.5" thickBot="1" x14ac:dyDescent="0.25">
      <c r="A83" s="263"/>
      <c r="B83" s="379"/>
      <c r="C83" s="378"/>
      <c r="D83" s="369"/>
      <c r="E83" s="380"/>
      <c r="F83" s="267" t="s">
        <v>687</v>
      </c>
      <c r="G83" s="268">
        <v>2829.01</v>
      </c>
      <c r="H83" s="268">
        <v>3266.7804000000001</v>
      </c>
      <c r="I83" s="268">
        <v>3048.9950400000002</v>
      </c>
      <c r="J83" s="268">
        <v>2831.2096800000004</v>
      </c>
      <c r="K83" s="268">
        <v>2613.4243200000001</v>
      </c>
      <c r="L83" s="268">
        <v>2395.6389600000002</v>
      </c>
      <c r="M83" s="268">
        <v>2177.8536000000004</v>
      </c>
      <c r="N83" s="268">
        <v>17640.614160000001</v>
      </c>
      <c r="O83" s="268">
        <f t="shared" si="1"/>
        <v>36803.526160000009</v>
      </c>
      <c r="P83" s="261"/>
    </row>
    <row r="84" spans="1:17" s="269" customFormat="1" ht="13.15" customHeight="1" x14ac:dyDescent="0.2">
      <c r="A84" s="256">
        <v>38</v>
      </c>
      <c r="B84" s="361" t="s">
        <v>797</v>
      </c>
      <c r="C84" s="374" t="s">
        <v>798</v>
      </c>
      <c r="D84" s="363" t="s">
        <v>799</v>
      </c>
      <c r="E84" s="365">
        <v>17365.23</v>
      </c>
      <c r="F84" s="273" t="s">
        <v>685</v>
      </c>
      <c r="G84" s="260">
        <v>1932</v>
      </c>
      <c r="H84" s="260">
        <v>1932</v>
      </c>
      <c r="I84" s="260">
        <v>1932</v>
      </c>
      <c r="J84" s="260">
        <v>1932</v>
      </c>
      <c r="K84" s="260">
        <v>1932</v>
      </c>
      <c r="L84" s="260">
        <v>1932</v>
      </c>
      <c r="M84" s="260">
        <v>483</v>
      </c>
      <c r="N84" s="219">
        <v>0</v>
      </c>
      <c r="O84" s="260">
        <f t="shared" si="1"/>
        <v>12075</v>
      </c>
      <c r="P84" s="261"/>
    </row>
    <row r="85" spans="1:17" s="269" customFormat="1" ht="13.5" thickBot="1" x14ac:dyDescent="0.25">
      <c r="A85" s="263"/>
      <c r="B85" s="379"/>
      <c r="C85" s="378"/>
      <c r="D85" s="369"/>
      <c r="E85" s="380"/>
      <c r="F85" s="267" t="s">
        <v>687</v>
      </c>
      <c r="G85" s="268">
        <v>252.02000000000004</v>
      </c>
      <c r="H85" s="268">
        <v>412.92153000000002</v>
      </c>
      <c r="I85" s="268">
        <v>334.26981000000001</v>
      </c>
      <c r="J85" s="268">
        <v>255.61809000000002</v>
      </c>
      <c r="K85" s="268">
        <v>176.96637000000001</v>
      </c>
      <c r="L85" s="268">
        <v>98.314650000000015</v>
      </c>
      <c r="M85" s="268">
        <v>19.662930000000003</v>
      </c>
      <c r="N85" s="222">
        <v>0</v>
      </c>
      <c r="O85" s="268">
        <f t="shared" si="1"/>
        <v>1549.7733800000001</v>
      </c>
      <c r="P85" s="261"/>
    </row>
    <row r="86" spans="1:17" s="269" customFormat="1" ht="13.15" customHeight="1" x14ac:dyDescent="0.2">
      <c r="A86" s="256">
        <v>39</v>
      </c>
      <c r="B86" s="361" t="s">
        <v>800</v>
      </c>
      <c r="C86" s="374" t="s">
        <v>801</v>
      </c>
      <c r="D86" s="363" t="s">
        <v>802</v>
      </c>
      <c r="E86" s="365">
        <v>2227434</v>
      </c>
      <c r="F86" s="273" t="s">
        <v>685</v>
      </c>
      <c r="G86" s="260">
        <v>78156</v>
      </c>
      <c r="H86" s="260">
        <v>78156</v>
      </c>
      <c r="I86" s="260">
        <v>78156</v>
      </c>
      <c r="J86" s="260">
        <v>78156</v>
      </c>
      <c r="K86" s="260">
        <v>78156</v>
      </c>
      <c r="L86" s="260">
        <v>78156</v>
      </c>
      <c r="M86" s="260">
        <v>78156</v>
      </c>
      <c r="N86" s="260">
        <v>1524042</v>
      </c>
      <c r="O86" s="260">
        <f t="shared" si="1"/>
        <v>2071134</v>
      </c>
      <c r="P86" s="261"/>
    </row>
    <row r="87" spans="1:17" s="269" customFormat="1" ht="13.5" thickBot="1" x14ac:dyDescent="0.25">
      <c r="A87" s="263"/>
      <c r="B87" s="379"/>
      <c r="C87" s="378"/>
      <c r="D87" s="369"/>
      <c r="E87" s="380"/>
      <c r="F87" s="267" t="s">
        <v>687</v>
      </c>
      <c r="G87" s="268">
        <v>31527.61</v>
      </c>
      <c r="H87" s="268">
        <v>83485.848420000009</v>
      </c>
      <c r="I87" s="268">
        <v>80211.893580000004</v>
      </c>
      <c r="J87" s="268">
        <v>76937.938740000012</v>
      </c>
      <c r="K87" s="268">
        <v>73663.983900000007</v>
      </c>
      <c r="L87" s="268">
        <v>70390.029060000001</v>
      </c>
      <c r="M87" s="268">
        <v>67116.07422000001</v>
      </c>
      <c r="N87" s="268">
        <v>1213000.26822</v>
      </c>
      <c r="O87" s="268">
        <f t="shared" si="1"/>
        <v>1696333.6461400001</v>
      </c>
      <c r="P87" s="261"/>
    </row>
    <row r="88" spans="1:17" s="269" customFormat="1" ht="13.15" customHeight="1" x14ac:dyDescent="0.2">
      <c r="A88" s="256">
        <v>40</v>
      </c>
      <c r="B88" s="372" t="s">
        <v>803</v>
      </c>
      <c r="C88" s="374" t="s">
        <v>804</v>
      </c>
      <c r="D88" s="363" t="s">
        <v>805</v>
      </c>
      <c r="E88" s="365">
        <v>605017</v>
      </c>
      <c r="F88" s="273" t="s">
        <v>685</v>
      </c>
      <c r="G88" s="260">
        <v>31568</v>
      </c>
      <c r="H88" s="260">
        <v>31568</v>
      </c>
      <c r="I88" s="260">
        <v>31568</v>
      </c>
      <c r="J88" s="260">
        <v>31568</v>
      </c>
      <c r="K88" s="260">
        <v>31568</v>
      </c>
      <c r="L88" s="260">
        <v>31568</v>
      </c>
      <c r="M88" s="260">
        <v>31568</v>
      </c>
      <c r="N88" s="260">
        <v>315680</v>
      </c>
      <c r="O88" s="260">
        <f t="shared" si="1"/>
        <v>536656</v>
      </c>
      <c r="P88" s="261"/>
    </row>
    <row r="89" spans="1:17" s="269" customFormat="1" ht="13.5" thickBot="1" x14ac:dyDescent="0.25">
      <c r="A89" s="263"/>
      <c r="B89" s="377"/>
      <c r="C89" s="378"/>
      <c r="D89" s="369"/>
      <c r="E89" s="376"/>
      <c r="F89" s="267" t="s">
        <v>687</v>
      </c>
      <c r="G89" s="268">
        <v>12347.48</v>
      </c>
      <c r="H89" s="268">
        <v>15460.74368</v>
      </c>
      <c r="I89" s="268">
        <v>14494.447199999999</v>
      </c>
      <c r="J89" s="268">
        <v>13528.15072</v>
      </c>
      <c r="K89" s="268">
        <v>12561.854239999999</v>
      </c>
      <c r="L89" s="268">
        <v>11595.55776</v>
      </c>
      <c r="M89" s="268">
        <v>10629.261279999999</v>
      </c>
      <c r="N89" s="268">
        <v>86966.683199999999</v>
      </c>
      <c r="O89" s="268">
        <f t="shared" si="1"/>
        <v>177584.17807999998</v>
      </c>
      <c r="P89" s="261"/>
    </row>
    <row r="90" spans="1:17" s="269" customFormat="1" ht="13.15" customHeight="1" x14ac:dyDescent="0.2">
      <c r="A90" s="256">
        <v>41</v>
      </c>
      <c r="B90" s="372" t="s">
        <v>806</v>
      </c>
      <c r="C90" s="374" t="s">
        <v>807</v>
      </c>
      <c r="D90" s="363" t="s">
        <v>808</v>
      </c>
      <c r="E90" s="365">
        <v>363119</v>
      </c>
      <c r="F90" s="273" t="s">
        <v>685</v>
      </c>
      <c r="G90" s="260">
        <v>18788</v>
      </c>
      <c r="H90" s="260">
        <v>18788</v>
      </c>
      <c r="I90" s="260">
        <v>18788</v>
      </c>
      <c r="J90" s="260">
        <v>18788</v>
      </c>
      <c r="K90" s="260">
        <v>18788</v>
      </c>
      <c r="L90" s="260">
        <v>18788</v>
      </c>
      <c r="M90" s="260">
        <v>18788</v>
      </c>
      <c r="N90" s="260">
        <v>201901</v>
      </c>
      <c r="O90" s="260">
        <f t="shared" si="1"/>
        <v>333417</v>
      </c>
      <c r="P90" s="261"/>
      <c r="Q90" s="261"/>
    </row>
    <row r="91" spans="1:17" s="269" customFormat="1" ht="13.5" thickBot="1" x14ac:dyDescent="0.25">
      <c r="A91" s="263"/>
      <c r="B91" s="373"/>
      <c r="C91" s="375"/>
      <c r="D91" s="369"/>
      <c r="E91" s="376"/>
      <c r="F91" s="267" t="s">
        <v>687</v>
      </c>
      <c r="G91" s="268">
        <v>10710.97</v>
      </c>
      <c r="H91" s="268">
        <v>10203.418470000001</v>
      </c>
      <c r="I91" s="268">
        <v>9594.12363</v>
      </c>
      <c r="J91" s="268">
        <v>8984.8287899999996</v>
      </c>
      <c r="K91" s="268">
        <v>8375.5339500000009</v>
      </c>
      <c r="L91" s="268">
        <v>7766.2391100000004</v>
      </c>
      <c r="M91" s="268">
        <v>7156.94427</v>
      </c>
      <c r="N91" s="268">
        <v>65476.494300000006</v>
      </c>
      <c r="O91" s="268">
        <f t="shared" si="1"/>
        <v>128268.55252000001</v>
      </c>
      <c r="P91" s="261"/>
      <c r="Q91" s="261"/>
    </row>
    <row r="92" spans="1:17" s="269" customFormat="1" ht="13.15" customHeight="1" x14ac:dyDescent="0.2">
      <c r="A92" s="256">
        <v>42</v>
      </c>
      <c r="B92" s="372" t="s">
        <v>809</v>
      </c>
      <c r="C92" s="374" t="s">
        <v>807</v>
      </c>
      <c r="D92" s="363" t="s">
        <v>810</v>
      </c>
      <c r="E92" s="365">
        <v>824810</v>
      </c>
      <c r="F92" s="273" t="s">
        <v>685</v>
      </c>
      <c r="G92" s="260">
        <v>29693</v>
      </c>
      <c r="H92" s="260">
        <v>29724</v>
      </c>
      <c r="I92" s="260">
        <v>29724</v>
      </c>
      <c r="J92" s="260">
        <v>29724</v>
      </c>
      <c r="K92" s="260">
        <v>29724</v>
      </c>
      <c r="L92" s="260">
        <v>29724</v>
      </c>
      <c r="M92" s="260">
        <v>29724</v>
      </c>
      <c r="N92" s="260">
        <v>616773</v>
      </c>
      <c r="O92" s="260">
        <f t="shared" si="1"/>
        <v>824810</v>
      </c>
      <c r="P92" s="261"/>
      <c r="Q92" s="261"/>
    </row>
    <row r="93" spans="1:17" s="269" customFormat="1" ht="13.5" thickBot="1" x14ac:dyDescent="0.25">
      <c r="A93" s="263"/>
      <c r="B93" s="373"/>
      <c r="C93" s="375"/>
      <c r="D93" s="369"/>
      <c r="E93" s="376"/>
      <c r="F93" s="267" t="s">
        <v>687</v>
      </c>
      <c r="G93" s="268">
        <v>28805.97</v>
      </c>
      <c r="H93" s="268">
        <v>27598.511069999997</v>
      </c>
      <c r="I93" s="268">
        <v>26566.791029999997</v>
      </c>
      <c r="J93" s="268">
        <v>25535.07099</v>
      </c>
      <c r="K93" s="268">
        <v>24503.35095</v>
      </c>
      <c r="L93" s="268">
        <v>23471.63091</v>
      </c>
      <c r="M93" s="268">
        <v>22439.91087</v>
      </c>
      <c r="N93" s="268">
        <v>428163.81660000002</v>
      </c>
      <c r="O93" s="268">
        <f t="shared" si="1"/>
        <v>607085.05241999996</v>
      </c>
      <c r="P93" s="261"/>
      <c r="Q93" s="261"/>
    </row>
    <row r="94" spans="1:17" s="269" customFormat="1" ht="13.15" customHeight="1" x14ac:dyDescent="0.2">
      <c r="A94" s="256">
        <v>43</v>
      </c>
      <c r="B94" s="370" t="s">
        <v>811</v>
      </c>
      <c r="C94" s="367" t="s">
        <v>812</v>
      </c>
      <c r="D94" s="363" t="s">
        <v>813</v>
      </c>
      <c r="E94" s="365">
        <v>9703992</v>
      </c>
      <c r="F94" s="273" t="s">
        <v>685</v>
      </c>
      <c r="G94" s="260">
        <v>343399</v>
      </c>
      <c r="H94" s="260">
        <v>343508</v>
      </c>
      <c r="I94" s="260">
        <v>343508</v>
      </c>
      <c r="J94" s="260">
        <v>343508</v>
      </c>
      <c r="K94" s="260">
        <v>343508</v>
      </c>
      <c r="L94" s="260">
        <v>343508</v>
      </c>
      <c r="M94" s="260">
        <v>343508</v>
      </c>
      <c r="N94" s="260">
        <v>7299545</v>
      </c>
      <c r="O94" s="260">
        <f t="shared" si="1"/>
        <v>9703992</v>
      </c>
      <c r="P94" s="261"/>
    </row>
    <row r="95" spans="1:17" s="269" customFormat="1" ht="13.5" thickBot="1" x14ac:dyDescent="0.25">
      <c r="A95" s="263"/>
      <c r="B95" s="371"/>
      <c r="C95" s="368"/>
      <c r="D95" s="369"/>
      <c r="E95" s="366"/>
      <c r="F95" s="267" t="s">
        <v>687</v>
      </c>
      <c r="G95" s="268">
        <v>243526.27000000002</v>
      </c>
      <c r="H95" s="268">
        <v>389026.24508000002</v>
      </c>
      <c r="I95" s="268">
        <v>374750.0526</v>
      </c>
      <c r="J95" s="268">
        <v>360473.86012000003</v>
      </c>
      <c r="K95" s="268">
        <v>346197.66764</v>
      </c>
      <c r="L95" s="268">
        <v>331921.47515999997</v>
      </c>
      <c r="M95" s="268">
        <v>317645.28268</v>
      </c>
      <c r="N95" s="268">
        <v>6370750.894199999</v>
      </c>
      <c r="O95" s="268">
        <f t="shared" si="1"/>
        <v>8734291.7474799994</v>
      </c>
      <c r="P95" s="261"/>
    </row>
    <row r="96" spans="1:17" s="269" customFormat="1" ht="13.15" customHeight="1" x14ac:dyDescent="0.2">
      <c r="A96" s="256">
        <v>44</v>
      </c>
      <c r="B96" s="370" t="s">
        <v>814</v>
      </c>
      <c r="C96" s="367" t="s">
        <v>812</v>
      </c>
      <c r="D96" s="363" t="s">
        <v>815</v>
      </c>
      <c r="E96" s="365">
        <v>43430</v>
      </c>
      <c r="F96" s="273" t="s">
        <v>685</v>
      </c>
      <c r="G96" s="260">
        <v>4696</v>
      </c>
      <c r="H96" s="260">
        <v>4696</v>
      </c>
      <c r="I96" s="260">
        <v>4696</v>
      </c>
      <c r="J96" s="260">
        <v>4696</v>
      </c>
      <c r="K96" s="260">
        <v>4696</v>
      </c>
      <c r="L96" s="260">
        <v>4696</v>
      </c>
      <c r="M96" s="260">
        <v>4696</v>
      </c>
      <c r="N96" s="260">
        <v>5870</v>
      </c>
      <c r="O96" s="260">
        <f t="shared" si="1"/>
        <v>38742</v>
      </c>
      <c r="P96" s="261"/>
    </row>
    <row r="97" spans="1:18" s="269" customFormat="1" ht="13.5" thickBot="1" x14ac:dyDescent="0.25">
      <c r="A97" s="263"/>
      <c r="B97" s="371"/>
      <c r="C97" s="368"/>
      <c r="D97" s="369"/>
      <c r="E97" s="366"/>
      <c r="F97" s="267" t="s">
        <v>687</v>
      </c>
      <c r="G97" s="268">
        <v>17.400000000000002</v>
      </c>
      <c r="H97" s="268">
        <v>85.114999999999995</v>
      </c>
      <c r="I97" s="268">
        <v>73.375</v>
      </c>
      <c r="J97" s="268">
        <v>61.634999999999998</v>
      </c>
      <c r="K97" s="268">
        <v>49.895000000000003</v>
      </c>
      <c r="L97" s="268">
        <v>38.155000000000001</v>
      </c>
      <c r="M97" s="268">
        <v>26.414999999999999</v>
      </c>
      <c r="N97" s="268">
        <v>29.35</v>
      </c>
      <c r="O97" s="268">
        <f t="shared" si="1"/>
        <v>381.34</v>
      </c>
      <c r="P97" s="261"/>
    </row>
    <row r="98" spans="1:18" s="269" customFormat="1" ht="13.15" customHeight="1" x14ac:dyDescent="0.2">
      <c r="A98" s="256">
        <v>45</v>
      </c>
      <c r="B98" s="361" t="s">
        <v>816</v>
      </c>
      <c r="C98" s="367" t="s">
        <v>817</v>
      </c>
      <c r="D98" s="363" t="s">
        <v>818</v>
      </c>
      <c r="E98" s="365">
        <v>195366</v>
      </c>
      <c r="F98" s="273" t="s">
        <v>685</v>
      </c>
      <c r="G98" s="260">
        <v>86832</v>
      </c>
      <c r="H98" s="260">
        <v>21708</v>
      </c>
      <c r="I98" s="219">
        <v>0</v>
      </c>
      <c r="J98" s="219">
        <v>0</v>
      </c>
      <c r="K98" s="219">
        <v>0</v>
      </c>
      <c r="L98" s="219">
        <v>0</v>
      </c>
      <c r="M98" s="219">
        <v>0</v>
      </c>
      <c r="N98" s="219">
        <v>0</v>
      </c>
      <c r="O98" s="260">
        <f t="shared" si="1"/>
        <v>108540</v>
      </c>
      <c r="P98" s="261"/>
    </row>
    <row r="99" spans="1:18" s="269" customFormat="1" ht="13.5" thickBot="1" x14ac:dyDescent="0.25">
      <c r="A99" s="263"/>
      <c r="B99" s="362"/>
      <c r="C99" s="368"/>
      <c r="D99" s="369"/>
      <c r="E99" s="366"/>
      <c r="F99" s="267" t="s">
        <v>687</v>
      </c>
      <c r="G99" s="268">
        <v>234.35999999999999</v>
      </c>
      <c r="H99" s="268">
        <v>54.27</v>
      </c>
      <c r="I99" s="222">
        <v>0</v>
      </c>
      <c r="J99" s="222">
        <v>0</v>
      </c>
      <c r="K99" s="222">
        <v>0</v>
      </c>
      <c r="L99" s="222">
        <v>0</v>
      </c>
      <c r="M99" s="222">
        <v>0</v>
      </c>
      <c r="N99" s="222">
        <v>0</v>
      </c>
      <c r="O99" s="268">
        <f t="shared" si="1"/>
        <v>288.63</v>
      </c>
      <c r="P99" s="261"/>
    </row>
    <row r="100" spans="1:18" s="269" customFormat="1" ht="13.15" customHeight="1" x14ac:dyDescent="0.2">
      <c r="A100" s="256">
        <v>46</v>
      </c>
      <c r="B100" s="370" t="s">
        <v>819</v>
      </c>
      <c r="C100" s="367" t="s">
        <v>820</v>
      </c>
      <c r="D100" s="363" t="s">
        <v>821</v>
      </c>
      <c r="E100" s="365">
        <v>617703</v>
      </c>
      <c r="F100" s="273" t="s">
        <v>685</v>
      </c>
      <c r="G100" s="260">
        <v>20940</v>
      </c>
      <c r="H100" s="260">
        <v>20940</v>
      </c>
      <c r="I100" s="260">
        <v>20940</v>
      </c>
      <c r="J100" s="260">
        <v>20940</v>
      </c>
      <c r="K100" s="260">
        <v>20940</v>
      </c>
      <c r="L100" s="260">
        <v>20940</v>
      </c>
      <c r="M100" s="260">
        <v>20940</v>
      </c>
      <c r="N100" s="260">
        <v>450210</v>
      </c>
      <c r="O100" s="260">
        <f t="shared" si="1"/>
        <v>596790</v>
      </c>
      <c r="P100" s="261"/>
    </row>
    <row r="101" spans="1:18" s="269" customFormat="1" ht="13.5" thickBot="1" x14ac:dyDescent="0.25">
      <c r="A101" s="263"/>
      <c r="B101" s="371"/>
      <c r="C101" s="368"/>
      <c r="D101" s="369"/>
      <c r="E101" s="366"/>
      <c r="F101" s="267" t="s">
        <v>687</v>
      </c>
      <c r="G101" s="268">
        <v>12096.7</v>
      </c>
      <c r="H101" s="268">
        <v>25942.0425</v>
      </c>
      <c r="I101" s="268">
        <v>24998.695500000002</v>
      </c>
      <c r="J101" s="268">
        <v>24055.3485</v>
      </c>
      <c r="K101" s="268">
        <v>23112.001499999998</v>
      </c>
      <c r="L101" s="268">
        <v>22168.654500000001</v>
      </c>
      <c r="M101" s="268">
        <v>21225.307499999999</v>
      </c>
      <c r="N101" s="268">
        <v>425921.17050000001</v>
      </c>
      <c r="O101" s="268">
        <f t="shared" si="1"/>
        <v>579519.92050000001</v>
      </c>
      <c r="P101" s="261"/>
    </row>
    <row r="102" spans="1:18" s="269" customFormat="1" ht="13.15" customHeight="1" x14ac:dyDescent="0.2">
      <c r="A102" s="256">
        <v>47</v>
      </c>
      <c r="B102" s="370" t="s">
        <v>822</v>
      </c>
      <c r="C102" s="367" t="s">
        <v>823</v>
      </c>
      <c r="D102" s="363" t="s">
        <v>824</v>
      </c>
      <c r="E102" s="365">
        <v>145332</v>
      </c>
      <c r="F102" s="273" t="s">
        <v>685</v>
      </c>
      <c r="G102" s="260">
        <v>7456</v>
      </c>
      <c r="H102" s="260">
        <v>7456</v>
      </c>
      <c r="I102" s="260">
        <v>7456</v>
      </c>
      <c r="J102" s="260">
        <v>7456</v>
      </c>
      <c r="K102" s="260">
        <v>7456</v>
      </c>
      <c r="L102" s="260">
        <v>7456</v>
      </c>
      <c r="M102" s="260">
        <v>7456</v>
      </c>
      <c r="N102" s="260">
        <v>85744</v>
      </c>
      <c r="O102" s="260">
        <f t="shared" si="1"/>
        <v>137936</v>
      </c>
      <c r="P102" s="261"/>
      <c r="Q102" s="293"/>
      <c r="R102" s="293"/>
    </row>
    <row r="103" spans="1:18" s="269" customFormat="1" ht="13.5" thickBot="1" x14ac:dyDescent="0.25">
      <c r="A103" s="263"/>
      <c r="B103" s="371"/>
      <c r="C103" s="368"/>
      <c r="D103" s="369"/>
      <c r="E103" s="366"/>
      <c r="F103" s="267" t="s">
        <v>687</v>
      </c>
      <c r="G103" s="268">
        <v>2834.62</v>
      </c>
      <c r="H103" s="268">
        <v>5754.1679999999997</v>
      </c>
      <c r="I103" s="268">
        <v>5425.3584000000001</v>
      </c>
      <c r="J103" s="268">
        <v>5096.5488000000005</v>
      </c>
      <c r="K103" s="268">
        <v>4767.7392</v>
      </c>
      <c r="L103" s="268">
        <v>4438.9296000000004</v>
      </c>
      <c r="M103" s="268">
        <v>4110.12</v>
      </c>
      <c r="N103" s="268">
        <v>41594.414400000001</v>
      </c>
      <c r="O103" s="268">
        <f t="shared" si="1"/>
        <v>74021.898400000005</v>
      </c>
      <c r="P103" s="261"/>
      <c r="Q103" s="293"/>
      <c r="R103" s="293"/>
    </row>
    <row r="104" spans="1:18" s="269" customFormat="1" ht="13.9" customHeight="1" x14ac:dyDescent="0.2">
      <c r="A104" s="256">
        <v>48</v>
      </c>
      <c r="B104" s="370" t="s">
        <v>825</v>
      </c>
      <c r="C104" s="367" t="s">
        <v>823</v>
      </c>
      <c r="D104" s="363" t="s">
        <v>824</v>
      </c>
      <c r="E104" s="365">
        <v>132027</v>
      </c>
      <c r="F104" s="273" t="s">
        <v>685</v>
      </c>
      <c r="G104" s="260">
        <v>6772</v>
      </c>
      <c r="H104" s="260">
        <v>6772</v>
      </c>
      <c r="I104" s="260">
        <v>6772</v>
      </c>
      <c r="J104" s="260">
        <v>6772</v>
      </c>
      <c r="K104" s="260">
        <v>6772</v>
      </c>
      <c r="L104" s="260">
        <v>6772</v>
      </c>
      <c r="M104" s="260">
        <v>6772</v>
      </c>
      <c r="N104" s="260">
        <v>77878</v>
      </c>
      <c r="O104" s="260">
        <f t="shared" si="1"/>
        <v>125282</v>
      </c>
      <c r="P104" s="261"/>
      <c r="Q104" s="293"/>
      <c r="R104" s="293"/>
    </row>
    <row r="105" spans="1:18" s="269" customFormat="1" ht="13.5" thickBot="1" x14ac:dyDescent="0.25">
      <c r="A105" s="263"/>
      <c r="B105" s="371"/>
      <c r="C105" s="368"/>
      <c r="D105" s="369"/>
      <c r="E105" s="366"/>
      <c r="F105" s="267" t="s">
        <v>687</v>
      </c>
      <c r="G105" s="268">
        <v>2572.4699999999998</v>
      </c>
      <c r="H105" s="268">
        <v>5226.2910000000002</v>
      </c>
      <c r="I105" s="268">
        <v>4927.6458000000002</v>
      </c>
      <c r="J105" s="268">
        <v>4629.0006000000003</v>
      </c>
      <c r="K105" s="268">
        <v>4330.3554000000004</v>
      </c>
      <c r="L105" s="268">
        <v>4031.7102</v>
      </c>
      <c r="M105" s="268">
        <v>3733.0650000000001</v>
      </c>
      <c r="N105" s="268">
        <v>37778.6178</v>
      </c>
      <c r="O105" s="268">
        <f t="shared" si="1"/>
        <v>67229.155800000008</v>
      </c>
      <c r="P105" s="261"/>
      <c r="Q105" s="293"/>
      <c r="R105" s="293"/>
    </row>
    <row r="106" spans="1:18" s="269" customFormat="1" ht="13.15" customHeight="1" x14ac:dyDescent="0.2">
      <c r="A106" s="256">
        <v>49</v>
      </c>
      <c r="B106" s="361" t="s">
        <v>826</v>
      </c>
      <c r="C106" s="367" t="s">
        <v>827</v>
      </c>
      <c r="D106" s="363" t="s">
        <v>828</v>
      </c>
      <c r="E106" s="365">
        <v>279650</v>
      </c>
      <c r="F106" s="273" t="s">
        <v>685</v>
      </c>
      <c r="G106" s="260">
        <v>9564</v>
      </c>
      <c r="H106" s="260">
        <v>9564</v>
      </c>
      <c r="I106" s="260">
        <v>9564</v>
      </c>
      <c r="J106" s="260">
        <v>9564</v>
      </c>
      <c r="K106" s="260">
        <v>9564</v>
      </c>
      <c r="L106" s="260">
        <v>9564</v>
      </c>
      <c r="M106" s="260">
        <v>9564</v>
      </c>
      <c r="N106" s="260">
        <v>203235</v>
      </c>
      <c r="O106" s="260">
        <f t="shared" si="1"/>
        <v>270183</v>
      </c>
      <c r="P106" s="261"/>
      <c r="Q106" s="293"/>
      <c r="R106" s="293"/>
    </row>
    <row r="107" spans="1:18" s="269" customFormat="1" ht="13.5" thickBot="1" x14ac:dyDescent="0.25">
      <c r="A107" s="263"/>
      <c r="B107" s="362"/>
      <c r="C107" s="368"/>
      <c r="D107" s="369"/>
      <c r="E107" s="366"/>
      <c r="F107" s="267" t="s">
        <v>687</v>
      </c>
      <c r="G107" s="268">
        <v>6277.3099999999995</v>
      </c>
      <c r="H107" s="268">
        <v>10953.816569999999</v>
      </c>
      <c r="I107" s="268">
        <v>10551.84165</v>
      </c>
      <c r="J107" s="268">
        <v>10149.86673</v>
      </c>
      <c r="K107" s="268">
        <v>9747.8918099999992</v>
      </c>
      <c r="L107" s="268">
        <v>9345.9168900000004</v>
      </c>
      <c r="M107" s="268">
        <v>8943.9419699999999</v>
      </c>
      <c r="N107" s="268">
        <v>179381.30804999999</v>
      </c>
      <c r="O107" s="268">
        <f t="shared" si="1"/>
        <v>245351.89366999999</v>
      </c>
      <c r="P107" s="261"/>
      <c r="Q107" s="293"/>
      <c r="R107" s="293"/>
    </row>
    <row r="108" spans="1:18" s="269" customFormat="1" ht="13.9" customHeight="1" x14ac:dyDescent="0.2">
      <c r="A108" s="256">
        <v>50</v>
      </c>
      <c r="B108" s="361" t="s">
        <v>829</v>
      </c>
      <c r="C108" s="367" t="s">
        <v>830</v>
      </c>
      <c r="D108" s="363" t="s">
        <v>831</v>
      </c>
      <c r="E108" s="365">
        <v>400000</v>
      </c>
      <c r="F108" s="273" t="s">
        <v>685</v>
      </c>
      <c r="G108" s="260">
        <v>13676</v>
      </c>
      <c r="H108" s="260">
        <v>13676</v>
      </c>
      <c r="I108" s="260">
        <v>13676</v>
      </c>
      <c r="J108" s="260">
        <v>13676</v>
      </c>
      <c r="K108" s="260">
        <v>13676</v>
      </c>
      <c r="L108" s="260">
        <v>13676</v>
      </c>
      <c r="M108" s="260">
        <v>13676</v>
      </c>
      <c r="N108" s="260">
        <v>290615</v>
      </c>
      <c r="O108" s="260">
        <f t="shared" si="1"/>
        <v>386347</v>
      </c>
      <c r="P108" s="261"/>
    </row>
    <row r="109" spans="1:18" s="269" customFormat="1" ht="13.5" thickBot="1" x14ac:dyDescent="0.25">
      <c r="A109" s="263"/>
      <c r="B109" s="362"/>
      <c r="C109" s="368"/>
      <c r="D109" s="369"/>
      <c r="E109" s="366"/>
      <c r="F109" s="267" t="s">
        <v>687</v>
      </c>
      <c r="G109" s="268">
        <v>8267.34</v>
      </c>
      <c r="H109" s="268">
        <v>15808.703820000001</v>
      </c>
      <c r="I109" s="268">
        <v>15228.5679</v>
      </c>
      <c r="J109" s="268">
        <v>14648.431979999999</v>
      </c>
      <c r="K109" s="268">
        <v>14068.296060000001</v>
      </c>
      <c r="L109" s="268">
        <v>13488.16014</v>
      </c>
      <c r="M109" s="268">
        <v>12908.024219999999</v>
      </c>
      <c r="N109" s="268">
        <v>258885.65430000002</v>
      </c>
      <c r="O109" s="268">
        <f t="shared" si="1"/>
        <v>353303.17842000001</v>
      </c>
      <c r="P109" s="261"/>
    </row>
    <row r="110" spans="1:18" s="269" customFormat="1" ht="12.6" customHeight="1" x14ac:dyDescent="0.2">
      <c r="A110" s="256">
        <v>51</v>
      </c>
      <c r="B110" s="361" t="s">
        <v>832</v>
      </c>
      <c r="C110" s="367" t="s">
        <v>833</v>
      </c>
      <c r="D110" s="363" t="s">
        <v>834</v>
      </c>
      <c r="E110" s="365">
        <v>247902</v>
      </c>
      <c r="F110" s="273" t="s">
        <v>685</v>
      </c>
      <c r="G110" s="260">
        <v>61974</v>
      </c>
      <c r="H110" s="260">
        <v>61976</v>
      </c>
      <c r="I110" s="260">
        <v>61976</v>
      </c>
      <c r="J110" s="260">
        <v>61976</v>
      </c>
      <c r="K110" s="219">
        <v>0</v>
      </c>
      <c r="L110" s="219">
        <v>0</v>
      </c>
      <c r="M110" s="219">
        <v>0</v>
      </c>
      <c r="N110" s="219">
        <v>0</v>
      </c>
      <c r="O110" s="260">
        <f t="shared" si="1"/>
        <v>247902</v>
      </c>
      <c r="P110" s="261"/>
    </row>
    <row r="111" spans="1:18" s="269" customFormat="1" ht="13.5" thickBot="1" x14ac:dyDescent="0.25">
      <c r="A111" s="263"/>
      <c r="B111" s="362"/>
      <c r="C111" s="368"/>
      <c r="D111" s="364"/>
      <c r="E111" s="366"/>
      <c r="F111" s="267" t="s">
        <v>687</v>
      </c>
      <c r="G111" s="268">
        <v>6665.2900000000009</v>
      </c>
      <c r="H111" s="268">
        <v>6743.6085599999997</v>
      </c>
      <c r="I111" s="268">
        <v>4495.7390399999995</v>
      </c>
      <c r="J111" s="268">
        <v>2247.8695199999997</v>
      </c>
      <c r="K111" s="222">
        <v>0</v>
      </c>
      <c r="L111" s="222">
        <v>0</v>
      </c>
      <c r="M111" s="222">
        <v>0</v>
      </c>
      <c r="N111" s="222">
        <v>0</v>
      </c>
      <c r="O111" s="268">
        <f t="shared" si="1"/>
        <v>20152.507120000002</v>
      </c>
      <c r="P111" s="261"/>
    </row>
    <row r="112" spans="1:18" s="269" customFormat="1" ht="12.6" customHeight="1" x14ac:dyDescent="0.2">
      <c r="A112" s="256">
        <v>52</v>
      </c>
      <c r="B112" s="361" t="s">
        <v>835</v>
      </c>
      <c r="C112" s="367" t="s">
        <v>836</v>
      </c>
      <c r="D112" s="363" t="s">
        <v>837</v>
      </c>
      <c r="E112" s="365">
        <v>54624</v>
      </c>
      <c r="F112" s="273" t="s">
        <v>685</v>
      </c>
      <c r="G112" s="260">
        <v>8064</v>
      </c>
      <c r="H112" s="260">
        <v>8064</v>
      </c>
      <c r="I112" s="260">
        <v>8064</v>
      </c>
      <c r="J112" s="260">
        <v>8064</v>
      </c>
      <c r="K112" s="260">
        <v>8064</v>
      </c>
      <c r="L112" s="260">
        <v>8064</v>
      </c>
      <c r="M112" s="260">
        <v>2480</v>
      </c>
      <c r="N112" s="219">
        <v>0</v>
      </c>
      <c r="O112" s="260">
        <f t="shared" si="1"/>
        <v>50864</v>
      </c>
      <c r="P112" s="261"/>
    </row>
    <row r="113" spans="1:17" s="269" customFormat="1" ht="13.5" thickBot="1" x14ac:dyDescent="0.25">
      <c r="A113" s="263"/>
      <c r="B113" s="362"/>
      <c r="C113" s="368"/>
      <c r="D113" s="369"/>
      <c r="E113" s="366"/>
      <c r="F113" s="267" t="s">
        <v>687</v>
      </c>
      <c r="G113" s="268">
        <v>279.3</v>
      </c>
      <c r="H113" s="268">
        <v>1595.1559999999999</v>
      </c>
      <c r="I113" s="268">
        <v>1294.6107199999999</v>
      </c>
      <c r="J113" s="268">
        <v>994.06543999999997</v>
      </c>
      <c r="K113" s="268">
        <v>693.52015999999992</v>
      </c>
      <c r="L113" s="268">
        <v>392.97487999999998</v>
      </c>
      <c r="M113" s="268">
        <v>92.429599999999994</v>
      </c>
      <c r="N113" s="222">
        <v>0</v>
      </c>
      <c r="O113" s="268">
        <f t="shared" si="1"/>
        <v>5342.0568000000003</v>
      </c>
      <c r="P113" s="261"/>
    </row>
    <row r="114" spans="1:17" s="269" customFormat="1" ht="12.6" customHeight="1" x14ac:dyDescent="0.2">
      <c r="A114" s="256">
        <v>53</v>
      </c>
      <c r="B114" s="361" t="s">
        <v>838</v>
      </c>
      <c r="C114" s="367">
        <v>44594</v>
      </c>
      <c r="D114" s="363" t="s">
        <v>839</v>
      </c>
      <c r="E114" s="365">
        <v>178121</v>
      </c>
      <c r="F114" s="273" t="s">
        <v>685</v>
      </c>
      <c r="G114" s="260">
        <v>84838</v>
      </c>
      <c r="H114" s="260">
        <v>12500</v>
      </c>
      <c r="I114" s="260">
        <v>12500</v>
      </c>
      <c r="J114" s="260">
        <v>12500</v>
      </c>
      <c r="K114" s="260">
        <v>12500</v>
      </c>
      <c r="L114" s="260">
        <v>12500</v>
      </c>
      <c r="M114" s="260">
        <v>12500</v>
      </c>
      <c r="N114" s="219">
        <v>18283</v>
      </c>
      <c r="O114" s="260">
        <f t="shared" si="1"/>
        <v>178121</v>
      </c>
      <c r="P114" s="261"/>
    </row>
    <row r="115" spans="1:17" s="269" customFormat="1" ht="13.5" thickBot="1" x14ac:dyDescent="0.25">
      <c r="A115" s="263"/>
      <c r="B115" s="362"/>
      <c r="C115" s="368"/>
      <c r="D115" s="369"/>
      <c r="E115" s="366"/>
      <c r="F115" s="267" t="s">
        <v>687</v>
      </c>
      <c r="G115" s="268">
        <v>2796.1099999999997</v>
      </c>
      <c r="H115" s="268">
        <v>3639.9026599999997</v>
      </c>
      <c r="I115" s="268">
        <v>3152.1526599999997</v>
      </c>
      <c r="J115" s="268">
        <v>2664.4026599999997</v>
      </c>
      <c r="K115" s="268">
        <v>2176.6526599999997</v>
      </c>
      <c r="L115" s="268">
        <v>1688.90266</v>
      </c>
      <c r="M115" s="268">
        <v>1201.15266</v>
      </c>
      <c r="N115" s="268">
        <v>4993.81862</v>
      </c>
      <c r="O115" s="268">
        <f t="shared" si="1"/>
        <v>22313.094579999997</v>
      </c>
      <c r="P115" s="261"/>
    </row>
    <row r="116" spans="1:17" s="269" customFormat="1" ht="12.6" customHeight="1" x14ac:dyDescent="0.2">
      <c r="A116" s="256">
        <v>54</v>
      </c>
      <c r="B116" s="361" t="s">
        <v>838</v>
      </c>
      <c r="C116" s="367">
        <v>44781</v>
      </c>
      <c r="D116" s="363" t="s">
        <v>840</v>
      </c>
      <c r="E116" s="365">
        <v>39831</v>
      </c>
      <c r="F116" s="273" t="s">
        <v>685</v>
      </c>
      <c r="G116" s="260">
        <v>39831</v>
      </c>
      <c r="H116" s="260"/>
      <c r="I116" s="260"/>
      <c r="J116" s="260"/>
      <c r="K116" s="260"/>
      <c r="L116" s="260"/>
      <c r="M116" s="260"/>
      <c r="N116" s="219"/>
      <c r="O116" s="260">
        <f t="shared" si="1"/>
        <v>39831</v>
      </c>
      <c r="P116" s="261"/>
    </row>
    <row r="117" spans="1:17" s="269" customFormat="1" ht="13.5" thickBot="1" x14ac:dyDescent="0.25">
      <c r="A117" s="263"/>
      <c r="B117" s="362"/>
      <c r="C117" s="368"/>
      <c r="D117" s="369"/>
      <c r="E117" s="366"/>
      <c r="F117" s="267" t="s">
        <v>687</v>
      </c>
      <c r="G117" s="268">
        <v>301.77000000000004</v>
      </c>
      <c r="H117" s="268">
        <v>0</v>
      </c>
      <c r="I117" s="268">
        <v>0</v>
      </c>
      <c r="J117" s="268">
        <v>0</v>
      </c>
      <c r="K117" s="268">
        <v>0</v>
      </c>
      <c r="L117" s="268">
        <v>0</v>
      </c>
      <c r="M117" s="268">
        <v>0</v>
      </c>
      <c r="N117" s="268">
        <v>0</v>
      </c>
      <c r="O117" s="268">
        <f t="shared" si="1"/>
        <v>301.77000000000004</v>
      </c>
      <c r="P117" s="261"/>
    </row>
    <row r="118" spans="1:17" s="269" customFormat="1" ht="12.6" customHeight="1" x14ac:dyDescent="0.2">
      <c r="A118" s="256">
        <v>55</v>
      </c>
      <c r="B118" s="361" t="s">
        <v>841</v>
      </c>
      <c r="C118" s="367">
        <v>44894</v>
      </c>
      <c r="D118" s="363" t="s">
        <v>842</v>
      </c>
      <c r="E118" s="365">
        <v>503660</v>
      </c>
      <c r="F118" s="273" t="s">
        <v>685</v>
      </c>
      <c r="G118" s="260">
        <v>8788</v>
      </c>
      <c r="H118" s="260">
        <v>35348</v>
      </c>
      <c r="I118" s="260">
        <v>35348</v>
      </c>
      <c r="J118" s="260">
        <v>35348</v>
      </c>
      <c r="K118" s="260">
        <v>35348</v>
      </c>
      <c r="L118" s="260">
        <v>35348</v>
      </c>
      <c r="M118" s="260">
        <v>35348</v>
      </c>
      <c r="N118" s="219">
        <v>282784</v>
      </c>
      <c r="O118" s="260">
        <f t="shared" si="1"/>
        <v>503660</v>
      </c>
      <c r="P118" s="261"/>
    </row>
    <row r="119" spans="1:17" s="269" customFormat="1" ht="13.5" thickBot="1" x14ac:dyDescent="0.25">
      <c r="A119" s="263"/>
      <c r="B119" s="362"/>
      <c r="C119" s="368"/>
      <c r="D119" s="369"/>
      <c r="E119" s="366"/>
      <c r="F119" s="267" t="s">
        <v>687</v>
      </c>
      <c r="G119" s="268">
        <v>14042.900000000001</v>
      </c>
      <c r="H119" s="268">
        <v>22823.496640000001</v>
      </c>
      <c r="I119" s="268">
        <v>21193.246879999999</v>
      </c>
      <c r="J119" s="268">
        <v>19562.99712</v>
      </c>
      <c r="K119" s="268">
        <v>17932.747360000001</v>
      </c>
      <c r="L119" s="268">
        <v>16302.497600000001</v>
      </c>
      <c r="M119" s="268">
        <v>14672.24784</v>
      </c>
      <c r="N119" s="268">
        <v>91293.986560000005</v>
      </c>
      <c r="O119" s="268">
        <f t="shared" si="1"/>
        <v>217824.12</v>
      </c>
      <c r="P119" s="261"/>
    </row>
    <row r="120" spans="1:17" s="269" customFormat="1" ht="12.6" customHeight="1" x14ac:dyDescent="0.2">
      <c r="A120" s="256">
        <v>56</v>
      </c>
      <c r="B120" s="361" t="s">
        <v>843</v>
      </c>
      <c r="C120" s="367">
        <v>44894</v>
      </c>
      <c r="D120" s="363" t="s">
        <v>844</v>
      </c>
      <c r="E120" s="365">
        <v>300000</v>
      </c>
      <c r="F120" s="273" t="s">
        <v>685</v>
      </c>
      <c r="G120" s="260">
        <v>11724</v>
      </c>
      <c r="H120" s="260">
        <v>32436</v>
      </c>
      <c r="I120" s="260">
        <v>32436</v>
      </c>
      <c r="J120" s="260">
        <v>32436</v>
      </c>
      <c r="K120" s="260">
        <v>32436</v>
      </c>
      <c r="L120" s="260">
        <v>32436</v>
      </c>
      <c r="M120" s="260">
        <v>32436</v>
      </c>
      <c r="N120" s="219">
        <v>97308</v>
      </c>
      <c r="O120" s="260">
        <f t="shared" si="1"/>
        <v>303648</v>
      </c>
      <c r="P120" s="261"/>
    </row>
    <row r="121" spans="1:17" s="269" customFormat="1" ht="13.5" thickBot="1" x14ac:dyDescent="0.25">
      <c r="A121" s="263"/>
      <c r="B121" s="362"/>
      <c r="C121" s="368"/>
      <c r="D121" s="369"/>
      <c r="E121" s="366"/>
      <c r="F121" s="267" t="s">
        <v>687</v>
      </c>
      <c r="G121" s="268">
        <v>10913.66</v>
      </c>
      <c r="H121" s="268">
        <v>12838.817519999999</v>
      </c>
      <c r="I121" s="268">
        <v>11412.28224</v>
      </c>
      <c r="J121" s="268">
        <v>9985.7469600000004</v>
      </c>
      <c r="K121" s="268">
        <v>8559.2116800000003</v>
      </c>
      <c r="L121" s="268">
        <v>7132.6763999999994</v>
      </c>
      <c r="M121" s="268">
        <v>5706.1411200000002</v>
      </c>
      <c r="N121" s="268">
        <v>8559.2116800000003</v>
      </c>
      <c r="O121" s="268">
        <f t="shared" si="1"/>
        <v>75107.747600000002</v>
      </c>
      <c r="P121" s="261"/>
    </row>
    <row r="122" spans="1:17" s="269" customFormat="1" ht="12.6" customHeight="1" x14ac:dyDescent="0.2">
      <c r="A122" s="256">
        <v>57</v>
      </c>
      <c r="B122" s="361" t="s">
        <v>231</v>
      </c>
      <c r="C122" s="363">
        <v>2023</v>
      </c>
      <c r="D122" s="363">
        <v>2028</v>
      </c>
      <c r="E122" s="365">
        <v>59922</v>
      </c>
      <c r="F122" s="273" t="s">
        <v>685</v>
      </c>
      <c r="G122" s="260">
        <v>0</v>
      </c>
      <c r="H122" s="260">
        <v>11984.4</v>
      </c>
      <c r="I122" s="260">
        <v>11984.4</v>
      </c>
      <c r="J122" s="260">
        <v>11984.4</v>
      </c>
      <c r="K122" s="260">
        <v>11984.4</v>
      </c>
      <c r="L122" s="260">
        <v>11984.4</v>
      </c>
      <c r="M122" s="260"/>
      <c r="N122" s="219"/>
      <c r="O122" s="260">
        <f t="shared" si="1"/>
        <v>59922</v>
      </c>
      <c r="P122" s="261"/>
    </row>
    <row r="123" spans="1:17" s="269" customFormat="1" ht="13.5" thickBot="1" x14ac:dyDescent="0.25">
      <c r="A123" s="263"/>
      <c r="B123" s="362"/>
      <c r="C123" s="364"/>
      <c r="D123" s="364"/>
      <c r="E123" s="366"/>
      <c r="F123" s="267" t="s">
        <v>687</v>
      </c>
      <c r="G123" s="268">
        <v>0</v>
      </c>
      <c r="H123" s="268">
        <v>1742.5317599999998</v>
      </c>
      <c r="I123" s="268">
        <v>1394.025408</v>
      </c>
      <c r="J123" s="268">
        <v>1045.5190559999999</v>
      </c>
      <c r="K123" s="268">
        <v>697.01270399999999</v>
      </c>
      <c r="L123" s="268">
        <v>348.50635199999999</v>
      </c>
      <c r="M123" s="268">
        <v>0</v>
      </c>
      <c r="N123" s="268">
        <v>0</v>
      </c>
      <c r="O123" s="268">
        <f t="shared" si="1"/>
        <v>5227.5952799999995</v>
      </c>
      <c r="P123" s="261"/>
    </row>
    <row r="124" spans="1:17" s="269" customFormat="1" ht="12.6" customHeight="1" x14ac:dyDescent="0.2">
      <c r="A124" s="256">
        <v>58</v>
      </c>
      <c r="B124" s="361" t="s">
        <v>233</v>
      </c>
      <c r="C124" s="363">
        <v>2023</v>
      </c>
      <c r="D124" s="363">
        <v>2033</v>
      </c>
      <c r="E124" s="365">
        <v>207089</v>
      </c>
      <c r="F124" s="273" t="s">
        <v>685</v>
      </c>
      <c r="G124" s="260">
        <v>0</v>
      </c>
      <c r="H124" s="260">
        <v>20708.900000000001</v>
      </c>
      <c r="I124" s="260">
        <v>20708.900000000001</v>
      </c>
      <c r="J124" s="260">
        <v>20708.900000000001</v>
      </c>
      <c r="K124" s="260">
        <v>20708.900000000001</v>
      </c>
      <c r="L124" s="260">
        <v>20708.900000000001</v>
      </c>
      <c r="M124" s="260">
        <v>20708.900000000001</v>
      </c>
      <c r="N124" s="219">
        <v>82835.600000000006</v>
      </c>
      <c r="O124" s="260">
        <f t="shared" si="1"/>
        <v>207089</v>
      </c>
      <c r="P124" s="261"/>
      <c r="Q124" s="261"/>
    </row>
    <row r="125" spans="1:17" s="269" customFormat="1" ht="13.5" thickBot="1" x14ac:dyDescent="0.25">
      <c r="A125" s="263"/>
      <c r="B125" s="362"/>
      <c r="C125" s="364"/>
      <c r="D125" s="364"/>
      <c r="E125" s="366"/>
      <c r="F125" s="267" t="s">
        <v>687</v>
      </c>
      <c r="G125" s="268">
        <v>0</v>
      </c>
      <c r="H125" s="268">
        <v>6022.1481199999998</v>
      </c>
      <c r="I125" s="268">
        <v>5419.9333079999997</v>
      </c>
      <c r="J125" s="268">
        <v>4817.7184960000004</v>
      </c>
      <c r="K125" s="268">
        <v>4215.5036840000002</v>
      </c>
      <c r="L125" s="268">
        <v>3613.2888720000001</v>
      </c>
      <c r="M125" s="268">
        <v>3011.0740599999999</v>
      </c>
      <c r="N125" s="268">
        <v>4817.7184960000004</v>
      </c>
      <c r="O125" s="268">
        <f t="shared" si="1"/>
        <v>31917.385036</v>
      </c>
      <c r="P125" s="261"/>
      <c r="Q125" s="261"/>
    </row>
    <row r="126" spans="1:17" s="269" customFormat="1" ht="18.600000000000001" customHeight="1" x14ac:dyDescent="0.2">
      <c r="A126" s="256">
        <v>59</v>
      </c>
      <c r="B126" s="361" t="s">
        <v>845</v>
      </c>
      <c r="C126" s="363">
        <v>2023</v>
      </c>
      <c r="D126" s="363">
        <v>2035</v>
      </c>
      <c r="E126" s="365">
        <v>167687</v>
      </c>
      <c r="F126" s="273" t="s">
        <v>685</v>
      </c>
      <c r="G126" s="260">
        <v>0</v>
      </c>
      <c r="H126" s="260">
        <v>50307</v>
      </c>
      <c r="I126" s="260">
        <v>67076</v>
      </c>
      <c r="J126" s="260">
        <v>50304</v>
      </c>
      <c r="K126" s="260"/>
      <c r="L126" s="260"/>
      <c r="M126" s="260"/>
      <c r="N126" s="219"/>
      <c r="O126" s="260">
        <f t="shared" si="1"/>
        <v>167687</v>
      </c>
      <c r="P126" s="261"/>
      <c r="Q126" s="261"/>
    </row>
    <row r="127" spans="1:17" s="269" customFormat="1" ht="18.600000000000001" customHeight="1" thickBot="1" x14ac:dyDescent="0.25">
      <c r="A127" s="263"/>
      <c r="B127" s="362"/>
      <c r="C127" s="364"/>
      <c r="D127" s="364"/>
      <c r="E127" s="366"/>
      <c r="F127" s="267" t="s">
        <v>687</v>
      </c>
      <c r="G127" s="268">
        <v>0</v>
      </c>
      <c r="H127" s="268">
        <v>4876.3379599999998</v>
      </c>
      <c r="I127" s="268">
        <v>3413.4103999999998</v>
      </c>
      <c r="J127" s="268">
        <v>1462.84032</v>
      </c>
      <c r="K127" s="268">
        <v>0</v>
      </c>
      <c r="L127" s="268">
        <v>0</v>
      </c>
      <c r="M127" s="268">
        <v>0</v>
      </c>
      <c r="N127" s="268">
        <v>0</v>
      </c>
      <c r="O127" s="268">
        <f t="shared" si="1"/>
        <v>9752.5886799999989</v>
      </c>
      <c r="P127" s="261"/>
      <c r="Q127" s="261"/>
    </row>
    <row r="128" spans="1:17" s="269" customFormat="1" ht="18.600000000000001" customHeight="1" x14ac:dyDescent="0.2">
      <c r="A128" s="256">
        <v>60</v>
      </c>
      <c r="B128" s="361" t="s">
        <v>198</v>
      </c>
      <c r="C128" s="363" t="s">
        <v>846</v>
      </c>
      <c r="D128" s="363" t="s">
        <v>847</v>
      </c>
      <c r="E128" s="365">
        <v>37335</v>
      </c>
      <c r="F128" s="273" t="s">
        <v>685</v>
      </c>
      <c r="G128" s="260">
        <v>0</v>
      </c>
      <c r="H128" s="260">
        <v>37335</v>
      </c>
      <c r="I128" s="260"/>
      <c r="J128" s="260"/>
      <c r="K128" s="260"/>
      <c r="L128" s="260"/>
      <c r="M128" s="260"/>
      <c r="N128" s="219"/>
      <c r="O128" s="260">
        <f t="shared" si="1"/>
        <v>37335</v>
      </c>
      <c r="P128" s="261"/>
      <c r="Q128" s="261"/>
    </row>
    <row r="129" spans="1:17" s="269" customFormat="1" ht="18.600000000000001" customHeight="1" thickBot="1" x14ac:dyDescent="0.25">
      <c r="A129" s="263"/>
      <c r="B129" s="362"/>
      <c r="C129" s="364"/>
      <c r="D129" s="364"/>
      <c r="E129" s="366"/>
      <c r="F129" s="267" t="s">
        <v>687</v>
      </c>
      <c r="G129" s="268">
        <v>463.59999999999997</v>
      </c>
      <c r="H129" s="268">
        <v>1345.9267499999999</v>
      </c>
      <c r="I129" s="268">
        <v>0</v>
      </c>
      <c r="J129" s="268">
        <v>0</v>
      </c>
      <c r="K129" s="268">
        <v>0</v>
      </c>
      <c r="L129" s="268">
        <v>0</v>
      </c>
      <c r="M129" s="268">
        <v>0</v>
      </c>
      <c r="N129" s="268">
        <v>0</v>
      </c>
      <c r="O129" s="268">
        <f t="shared" si="1"/>
        <v>1809.5267499999998</v>
      </c>
      <c r="P129" s="261"/>
      <c r="Q129" s="261"/>
    </row>
    <row r="130" spans="1:17" s="269" customFormat="1" ht="14.45" customHeight="1" x14ac:dyDescent="0.2">
      <c r="A130" s="256">
        <v>61</v>
      </c>
      <c r="B130" s="361" t="s">
        <v>310</v>
      </c>
      <c r="C130" s="363" t="s">
        <v>848</v>
      </c>
      <c r="D130" s="363" t="s">
        <v>849</v>
      </c>
      <c r="E130" s="365">
        <v>495501</v>
      </c>
      <c r="F130" s="273" t="s">
        <v>685</v>
      </c>
      <c r="G130" s="260">
        <v>0</v>
      </c>
      <c r="H130" s="260">
        <v>26079</v>
      </c>
      <c r="I130" s="260">
        <v>34772</v>
      </c>
      <c r="J130" s="260">
        <v>34772</v>
      </c>
      <c r="K130" s="260">
        <v>34772</v>
      </c>
      <c r="L130" s="260">
        <v>34772</v>
      </c>
      <c r="M130" s="260">
        <v>34772</v>
      </c>
      <c r="N130" s="219">
        <v>295562</v>
      </c>
      <c r="O130" s="260">
        <f t="shared" si="1"/>
        <v>495501</v>
      </c>
      <c r="P130" s="261"/>
      <c r="Q130" s="261"/>
    </row>
    <row r="131" spans="1:17" s="269" customFormat="1" ht="14.45" customHeight="1" thickBot="1" x14ac:dyDescent="0.25">
      <c r="A131" s="263"/>
      <c r="B131" s="362"/>
      <c r="C131" s="364"/>
      <c r="D131" s="364"/>
      <c r="E131" s="366"/>
      <c r="F131" s="267" t="s">
        <v>687</v>
      </c>
      <c r="G131" s="268">
        <v>1145.8900000000001</v>
      </c>
      <c r="H131" s="268">
        <v>27371.47524</v>
      </c>
      <c r="I131" s="268">
        <v>25930.871279999999</v>
      </c>
      <c r="J131" s="268">
        <v>24010.065999999999</v>
      </c>
      <c r="K131" s="268">
        <v>22089.260719999998</v>
      </c>
      <c r="L131" s="268">
        <v>20168.455439999998</v>
      </c>
      <c r="M131" s="268">
        <v>18247.650159999997</v>
      </c>
      <c r="N131" s="268">
        <v>130614.75903999999</v>
      </c>
      <c r="O131" s="268">
        <f t="shared" si="1"/>
        <v>269578.42787999997</v>
      </c>
      <c r="P131" s="261"/>
      <c r="Q131" s="261"/>
    </row>
    <row r="132" spans="1:17" s="269" customFormat="1" ht="14.45" customHeight="1" x14ac:dyDescent="0.2">
      <c r="A132" s="256">
        <v>62</v>
      </c>
      <c r="B132" s="361" t="s">
        <v>312</v>
      </c>
      <c r="C132" s="363">
        <v>2023</v>
      </c>
      <c r="D132" s="363">
        <v>2035</v>
      </c>
      <c r="E132" s="365">
        <v>390000</v>
      </c>
      <c r="F132" s="273" t="s">
        <v>685</v>
      </c>
      <c r="G132" s="260">
        <v>0</v>
      </c>
      <c r="H132" s="260">
        <v>32500</v>
      </c>
      <c r="I132" s="260">
        <v>32500</v>
      </c>
      <c r="J132" s="260">
        <v>32500</v>
      </c>
      <c r="K132" s="260">
        <v>32500</v>
      </c>
      <c r="L132" s="260">
        <v>32500</v>
      </c>
      <c r="M132" s="260">
        <v>32500</v>
      </c>
      <c r="N132" s="219">
        <v>195000</v>
      </c>
      <c r="O132" s="260">
        <f t="shared" si="1"/>
        <v>390000</v>
      </c>
      <c r="P132" s="261"/>
      <c r="Q132" s="261"/>
    </row>
    <row r="133" spans="1:17" s="269" customFormat="1" ht="14.45" customHeight="1" thickBot="1" x14ac:dyDescent="0.25">
      <c r="A133" s="263"/>
      <c r="B133" s="362"/>
      <c r="C133" s="364"/>
      <c r="D133" s="364"/>
      <c r="E133" s="366"/>
      <c r="F133" s="267" t="s">
        <v>687</v>
      </c>
      <c r="G133" s="268">
        <v>0</v>
      </c>
      <c r="H133" s="268">
        <v>11341.199999999999</v>
      </c>
      <c r="I133" s="268">
        <v>10396.099999999999</v>
      </c>
      <c r="J133" s="268">
        <v>9451</v>
      </c>
      <c r="K133" s="268">
        <v>8505.9</v>
      </c>
      <c r="L133" s="268">
        <v>7560.7999999999993</v>
      </c>
      <c r="M133" s="268">
        <v>6615.7</v>
      </c>
      <c r="N133" s="268">
        <v>11341.199999999999</v>
      </c>
      <c r="O133" s="268">
        <f t="shared" si="1"/>
        <v>65211.899999999994</v>
      </c>
      <c r="P133" s="261"/>
      <c r="Q133" s="261"/>
    </row>
    <row r="134" spans="1:17" s="269" customFormat="1" ht="14.45" customHeight="1" x14ac:dyDescent="0.2">
      <c r="A134" s="256">
        <v>63</v>
      </c>
      <c r="B134" s="361" t="s">
        <v>314</v>
      </c>
      <c r="C134" s="363">
        <v>2023</v>
      </c>
      <c r="D134" s="363">
        <v>2038</v>
      </c>
      <c r="E134" s="365">
        <v>709447</v>
      </c>
      <c r="F134" s="273" t="s">
        <v>685</v>
      </c>
      <c r="G134" s="260">
        <v>0</v>
      </c>
      <c r="H134" s="260">
        <v>47296.466666666667</v>
      </c>
      <c r="I134" s="260">
        <v>47296.466666666667</v>
      </c>
      <c r="J134" s="260">
        <v>47296.466666666667</v>
      </c>
      <c r="K134" s="260">
        <v>47296.466666666667</v>
      </c>
      <c r="L134" s="260">
        <v>47296.466666666667</v>
      </c>
      <c r="M134" s="260">
        <v>47296.466666666667</v>
      </c>
      <c r="N134" s="219">
        <v>425668.2</v>
      </c>
      <c r="O134" s="260">
        <f t="shared" si="1"/>
        <v>709447</v>
      </c>
      <c r="P134" s="261"/>
      <c r="Q134" s="261"/>
    </row>
    <row r="135" spans="1:17" s="269" customFormat="1" ht="14.45" customHeight="1" thickBot="1" x14ac:dyDescent="0.25">
      <c r="A135" s="263"/>
      <c r="B135" s="362"/>
      <c r="C135" s="364"/>
      <c r="D135" s="364"/>
      <c r="E135" s="366"/>
      <c r="F135" s="267" t="s">
        <v>687</v>
      </c>
      <c r="G135" s="268">
        <v>0</v>
      </c>
      <c r="H135" s="268">
        <v>20630.71876</v>
      </c>
      <c r="I135" s="268">
        <v>19255.337509333331</v>
      </c>
      <c r="J135" s="268">
        <v>17879.956258666665</v>
      </c>
      <c r="K135" s="268">
        <v>16504.575008</v>
      </c>
      <c r="L135" s="268">
        <v>15129.193757333333</v>
      </c>
      <c r="M135" s="268">
        <v>13753.812506666667</v>
      </c>
      <c r="N135" s="268">
        <v>24756.862512</v>
      </c>
      <c r="O135" s="268">
        <f t="shared" ref="O135:O146" si="2">SUM(G135:N135)</f>
        <v>127910.45631199999</v>
      </c>
      <c r="P135" s="261"/>
      <c r="Q135" s="261"/>
    </row>
    <row r="136" spans="1:17" s="269" customFormat="1" ht="14.45" customHeight="1" x14ac:dyDescent="0.2">
      <c r="A136" s="256">
        <v>64</v>
      </c>
      <c r="B136" s="361" t="s">
        <v>237</v>
      </c>
      <c r="C136" s="363">
        <v>2023</v>
      </c>
      <c r="D136" s="363">
        <v>2028</v>
      </c>
      <c r="E136" s="365">
        <v>164032</v>
      </c>
      <c r="F136" s="273" t="s">
        <v>685</v>
      </c>
      <c r="G136" s="260">
        <v>0</v>
      </c>
      <c r="H136" s="260">
        <v>32806.400000000001</v>
      </c>
      <c r="I136" s="260">
        <v>32806.400000000001</v>
      </c>
      <c r="J136" s="260">
        <v>32806.400000000001</v>
      </c>
      <c r="K136" s="260">
        <v>32806.400000000001</v>
      </c>
      <c r="L136" s="260">
        <v>32806.400000000001</v>
      </c>
      <c r="M136" s="260"/>
      <c r="N136" s="219"/>
      <c r="O136" s="260">
        <f t="shared" si="2"/>
        <v>164032</v>
      </c>
      <c r="P136" s="261"/>
      <c r="Q136" s="261"/>
    </row>
    <row r="137" spans="1:17" s="269" customFormat="1" ht="14.45" customHeight="1" thickBot="1" x14ac:dyDescent="0.25">
      <c r="A137" s="263"/>
      <c r="B137" s="362"/>
      <c r="C137" s="364"/>
      <c r="D137" s="364"/>
      <c r="E137" s="366"/>
      <c r="F137" s="267" t="s">
        <v>687</v>
      </c>
      <c r="G137" s="268">
        <v>0</v>
      </c>
      <c r="H137" s="268">
        <v>4770.0505599999997</v>
      </c>
      <c r="I137" s="268">
        <v>3816.0404479999997</v>
      </c>
      <c r="J137" s="268">
        <v>2862.0303360000003</v>
      </c>
      <c r="K137" s="268">
        <v>1908.0202239999999</v>
      </c>
      <c r="L137" s="268">
        <v>954.01011199999994</v>
      </c>
      <c r="M137" s="268">
        <v>0</v>
      </c>
      <c r="N137" s="268">
        <v>0</v>
      </c>
      <c r="O137" s="268">
        <f t="shared" si="2"/>
        <v>14310.151679999999</v>
      </c>
      <c r="P137" s="261"/>
      <c r="Q137" s="261"/>
    </row>
    <row r="138" spans="1:17" s="269" customFormat="1" ht="14.45" customHeight="1" x14ac:dyDescent="0.2">
      <c r="A138" s="256">
        <v>65</v>
      </c>
      <c r="B138" s="361" t="s">
        <v>239</v>
      </c>
      <c r="C138" s="363">
        <v>2023</v>
      </c>
      <c r="D138" s="363">
        <v>2038</v>
      </c>
      <c r="E138" s="365">
        <v>907235</v>
      </c>
      <c r="F138" s="273" t="s">
        <v>685</v>
      </c>
      <c r="G138" s="260">
        <v>0</v>
      </c>
      <c r="H138" s="260">
        <v>60482.333333333336</v>
      </c>
      <c r="I138" s="260">
        <v>60482.333333333336</v>
      </c>
      <c r="J138" s="260">
        <v>60482.333333333336</v>
      </c>
      <c r="K138" s="260">
        <v>60482.333333333336</v>
      </c>
      <c r="L138" s="260">
        <v>60482.333333333336</v>
      </c>
      <c r="M138" s="260">
        <v>60482.333333333336</v>
      </c>
      <c r="N138" s="219">
        <v>544341</v>
      </c>
      <c r="O138" s="260">
        <f t="shared" si="2"/>
        <v>907235</v>
      </c>
      <c r="P138" s="261"/>
      <c r="Q138" s="261"/>
    </row>
    <row r="139" spans="1:17" s="269" customFormat="1" ht="14.45" customHeight="1" thickBot="1" x14ac:dyDescent="0.25">
      <c r="A139" s="263"/>
      <c r="B139" s="362"/>
      <c r="C139" s="364"/>
      <c r="D139" s="364"/>
      <c r="E139" s="366"/>
      <c r="F139" s="267" t="s">
        <v>687</v>
      </c>
      <c r="G139" s="268">
        <v>0</v>
      </c>
      <c r="H139" s="268">
        <v>26382.393799999998</v>
      </c>
      <c r="I139" s="268">
        <v>24623.567546666669</v>
      </c>
      <c r="J139" s="268">
        <v>22864.741293333333</v>
      </c>
      <c r="K139" s="268">
        <v>21105.91504</v>
      </c>
      <c r="L139" s="268">
        <v>19347.088786666664</v>
      </c>
      <c r="M139" s="268">
        <v>17588.262533333334</v>
      </c>
      <c r="N139" s="268">
        <v>31658.87256</v>
      </c>
      <c r="O139" s="268">
        <f t="shared" si="2"/>
        <v>163570.84155999997</v>
      </c>
      <c r="P139" s="261"/>
      <c r="Q139" s="261"/>
    </row>
    <row r="140" spans="1:17" s="269" customFormat="1" ht="14.45" customHeight="1" x14ac:dyDescent="0.2">
      <c r="A140" s="256">
        <v>66</v>
      </c>
      <c r="B140" s="361" t="s">
        <v>318</v>
      </c>
      <c r="C140" s="363">
        <v>2023</v>
      </c>
      <c r="D140" s="363">
        <v>2038</v>
      </c>
      <c r="E140" s="365">
        <v>287500</v>
      </c>
      <c r="F140" s="273" t="s">
        <v>685</v>
      </c>
      <c r="G140" s="260">
        <v>0</v>
      </c>
      <c r="H140" s="260">
        <v>19166.666666666668</v>
      </c>
      <c r="I140" s="260">
        <v>19166.666666666668</v>
      </c>
      <c r="J140" s="260">
        <v>19166.666666666668</v>
      </c>
      <c r="K140" s="260">
        <v>19166.666666666668</v>
      </c>
      <c r="L140" s="260">
        <v>19166.666666666668</v>
      </c>
      <c r="M140" s="260">
        <v>19166.666666666668</v>
      </c>
      <c r="N140" s="219">
        <v>172500</v>
      </c>
      <c r="O140" s="260">
        <f t="shared" si="2"/>
        <v>287500</v>
      </c>
      <c r="P140" s="261"/>
      <c r="Q140" s="261"/>
    </row>
    <row r="141" spans="1:17" s="269" customFormat="1" ht="14.45" customHeight="1" thickBot="1" x14ac:dyDescent="0.25">
      <c r="A141" s="263"/>
      <c r="B141" s="362"/>
      <c r="C141" s="364"/>
      <c r="D141" s="364"/>
      <c r="E141" s="366"/>
      <c r="F141" s="267" t="s">
        <v>687</v>
      </c>
      <c r="G141" s="268">
        <v>0</v>
      </c>
      <c r="H141" s="268">
        <v>8360.5</v>
      </c>
      <c r="I141" s="268">
        <v>7803.1333333333341</v>
      </c>
      <c r="J141" s="268">
        <v>7245.7666666666664</v>
      </c>
      <c r="K141" s="268">
        <v>6688.4</v>
      </c>
      <c r="L141" s="268">
        <v>6131.0333333333328</v>
      </c>
      <c r="M141" s="268">
        <v>5573.6666666666661</v>
      </c>
      <c r="N141" s="268">
        <v>10032.599999999999</v>
      </c>
      <c r="O141" s="268">
        <f t="shared" si="2"/>
        <v>51835.1</v>
      </c>
      <c r="P141" s="261"/>
      <c r="Q141" s="261"/>
    </row>
    <row r="142" spans="1:17" s="269" customFormat="1" ht="14.45" customHeight="1" x14ac:dyDescent="0.2">
      <c r="A142" s="256">
        <v>67</v>
      </c>
      <c r="B142" s="361" t="s">
        <v>321</v>
      </c>
      <c r="C142" s="363">
        <v>2023</v>
      </c>
      <c r="D142" s="363">
        <v>2030</v>
      </c>
      <c r="E142" s="365">
        <v>126000</v>
      </c>
      <c r="F142" s="273" t="s">
        <v>685</v>
      </c>
      <c r="G142" s="260">
        <v>0</v>
      </c>
      <c r="H142" s="260">
        <v>18000</v>
      </c>
      <c r="I142" s="260">
        <v>18000</v>
      </c>
      <c r="J142" s="260">
        <v>18000</v>
      </c>
      <c r="K142" s="260">
        <v>18000</v>
      </c>
      <c r="L142" s="260">
        <v>18000</v>
      </c>
      <c r="M142" s="260">
        <v>18000</v>
      </c>
      <c r="N142" s="219">
        <v>18000</v>
      </c>
      <c r="O142" s="260">
        <f t="shared" si="2"/>
        <v>126000</v>
      </c>
      <c r="P142" s="261"/>
      <c r="Q142" s="261"/>
    </row>
    <row r="143" spans="1:17" s="269" customFormat="1" ht="14.45" customHeight="1" thickBot="1" x14ac:dyDescent="0.25">
      <c r="A143" s="263"/>
      <c r="B143" s="362"/>
      <c r="C143" s="364"/>
      <c r="D143" s="364"/>
      <c r="E143" s="366"/>
      <c r="F143" s="267" t="s">
        <v>687</v>
      </c>
      <c r="G143" s="268">
        <v>0</v>
      </c>
      <c r="H143" s="268">
        <v>3664.08</v>
      </c>
      <c r="I143" s="268">
        <v>3140.64</v>
      </c>
      <c r="J143" s="268">
        <v>2617.1999999999998</v>
      </c>
      <c r="K143" s="268">
        <v>2093.7599999999998</v>
      </c>
      <c r="L143" s="268">
        <v>1570.32</v>
      </c>
      <c r="M143" s="268">
        <v>1046.8799999999999</v>
      </c>
      <c r="N143" s="268">
        <v>1046.8799999999999</v>
      </c>
      <c r="O143" s="268">
        <f t="shared" si="2"/>
        <v>15179.759999999997</v>
      </c>
      <c r="P143" s="261"/>
      <c r="Q143" s="261"/>
    </row>
    <row r="144" spans="1:17" s="269" customFormat="1" ht="14.45" customHeight="1" x14ac:dyDescent="0.2">
      <c r="A144" s="256">
        <v>68</v>
      </c>
      <c r="B144" s="361" t="s">
        <v>323</v>
      </c>
      <c r="C144" s="363">
        <v>2023</v>
      </c>
      <c r="D144" s="363">
        <v>2030</v>
      </c>
      <c r="E144" s="365">
        <v>126000</v>
      </c>
      <c r="F144" s="273" t="s">
        <v>685</v>
      </c>
      <c r="G144" s="260">
        <v>0</v>
      </c>
      <c r="H144" s="260">
        <v>18000</v>
      </c>
      <c r="I144" s="260">
        <v>18000</v>
      </c>
      <c r="J144" s="260">
        <v>18000</v>
      </c>
      <c r="K144" s="260">
        <v>18000</v>
      </c>
      <c r="L144" s="260">
        <v>18000</v>
      </c>
      <c r="M144" s="260">
        <v>18000</v>
      </c>
      <c r="N144" s="219">
        <v>18000</v>
      </c>
      <c r="O144" s="260">
        <f t="shared" si="2"/>
        <v>126000</v>
      </c>
      <c r="P144" s="261"/>
      <c r="Q144" s="261"/>
    </row>
    <row r="145" spans="1:17" s="269" customFormat="1" ht="14.45" customHeight="1" thickBot="1" x14ac:dyDescent="0.25">
      <c r="A145" s="263"/>
      <c r="B145" s="362"/>
      <c r="C145" s="364"/>
      <c r="D145" s="364"/>
      <c r="E145" s="366"/>
      <c r="F145" s="267" t="s">
        <v>687</v>
      </c>
      <c r="G145" s="268">
        <v>0</v>
      </c>
      <c r="H145" s="268">
        <v>3664.08</v>
      </c>
      <c r="I145" s="268">
        <v>3140.64</v>
      </c>
      <c r="J145" s="268">
        <v>2617.1999999999998</v>
      </c>
      <c r="K145" s="268">
        <v>2093.7599999999998</v>
      </c>
      <c r="L145" s="268">
        <v>1570.32</v>
      </c>
      <c r="M145" s="268">
        <v>1046.8799999999999</v>
      </c>
      <c r="N145" s="268">
        <v>1046.8799999999999</v>
      </c>
      <c r="O145" s="268">
        <f t="shared" si="2"/>
        <v>15179.759999999997</v>
      </c>
      <c r="P145" s="261"/>
      <c r="Q145" s="261"/>
    </row>
    <row r="146" spans="1:17" s="269" customFormat="1" x14ac:dyDescent="0.2">
      <c r="A146" s="295"/>
      <c r="B146" s="296"/>
      <c r="C146" s="297"/>
      <c r="D146" s="298"/>
      <c r="E146" s="230"/>
      <c r="F146" s="299" t="s">
        <v>850</v>
      </c>
      <c r="G146" s="300">
        <v>4689230.7079218114</v>
      </c>
      <c r="H146" s="300">
        <v>5851338.7008673167</v>
      </c>
      <c r="I146" s="300">
        <v>5632983.9974995973</v>
      </c>
      <c r="J146" s="300">
        <v>5435917.2122318782</v>
      </c>
      <c r="K146" s="300">
        <v>5112524.6851541577</v>
      </c>
      <c r="L146" s="300">
        <v>4932078.4035464386</v>
      </c>
      <c r="M146" s="300">
        <v>4700652.9299687156</v>
      </c>
      <c r="N146" s="300">
        <v>53499544.446202263</v>
      </c>
      <c r="O146" s="300">
        <f t="shared" si="2"/>
        <v>89854271.083392173</v>
      </c>
      <c r="P146" s="301"/>
      <c r="Q146" s="261"/>
    </row>
    <row r="147" spans="1:17" x14ac:dyDescent="0.2">
      <c r="E147" s="233"/>
      <c r="H147" s="302"/>
      <c r="I147" s="302"/>
      <c r="J147" s="302"/>
      <c r="K147" s="302"/>
      <c r="L147" s="302"/>
      <c r="M147" s="302"/>
      <c r="N147" s="302"/>
      <c r="O147" s="302"/>
      <c r="Q147" s="261"/>
    </row>
    <row r="148" spans="1:17" s="269" customFormat="1" ht="14.25" thickBot="1" x14ac:dyDescent="0.3">
      <c r="A148" s="241" t="s">
        <v>852</v>
      </c>
      <c r="B148" s="296"/>
      <c r="C148" s="297"/>
      <c r="D148" s="298"/>
      <c r="E148" s="221"/>
      <c r="F148" s="298"/>
      <c r="G148" s="303"/>
      <c r="H148" s="305">
        <v>0.69109913897698383</v>
      </c>
      <c r="I148" s="305">
        <v>0.67880182761653007</v>
      </c>
      <c r="J148" s="305">
        <v>0.64957685944221566</v>
      </c>
      <c r="K148" s="305">
        <v>0.65161058870301047</v>
      </c>
      <c r="L148" s="305">
        <v>0.61652461853288887</v>
      </c>
      <c r="M148" s="305">
        <v>0.59077754234817526</v>
      </c>
      <c r="N148" s="305">
        <v>0.72886608203222802</v>
      </c>
      <c r="O148" s="303"/>
      <c r="P148" s="301"/>
      <c r="Q148" s="261"/>
    </row>
    <row r="149" spans="1:17" s="255" customFormat="1" ht="52.5" customHeight="1" thickBot="1" x14ac:dyDescent="0.25">
      <c r="A149" s="359" t="s">
        <v>853</v>
      </c>
      <c r="B149" s="360"/>
      <c r="C149" s="250" t="s">
        <v>669</v>
      </c>
      <c r="D149" s="250" t="s">
        <v>670</v>
      </c>
      <c r="E149" s="251" t="s">
        <v>671</v>
      </c>
      <c r="F149" s="252" t="s">
        <v>672</v>
      </c>
      <c r="G149" s="253" t="s">
        <v>673</v>
      </c>
      <c r="H149" s="253" t="s">
        <v>674</v>
      </c>
      <c r="I149" s="253" t="s">
        <v>675</v>
      </c>
      <c r="J149" s="253" t="s">
        <v>676</v>
      </c>
      <c r="K149" s="253" t="s">
        <v>677</v>
      </c>
      <c r="L149" s="253" t="s">
        <v>678</v>
      </c>
      <c r="M149" s="253" t="s">
        <v>679</v>
      </c>
      <c r="N149" s="253" t="s">
        <v>680</v>
      </c>
      <c r="O149" s="253" t="s">
        <v>681</v>
      </c>
      <c r="P149" s="254"/>
      <c r="Q149" s="261"/>
    </row>
    <row r="150" spans="1:17" s="269" customFormat="1" ht="9" customHeight="1" thickBot="1" x14ac:dyDescent="0.25">
      <c r="A150" s="306"/>
      <c r="B150" s="307"/>
      <c r="C150" s="308"/>
      <c r="D150" s="309"/>
      <c r="E150" s="224"/>
      <c r="F150" s="309"/>
      <c r="G150" s="310"/>
      <c r="H150" s="310"/>
      <c r="I150" s="310"/>
      <c r="J150" s="310"/>
      <c r="K150" s="310"/>
      <c r="L150" s="310"/>
      <c r="M150" s="310"/>
      <c r="N150" s="310"/>
      <c r="O150" s="310"/>
      <c r="P150" s="301"/>
      <c r="Q150" s="261"/>
    </row>
    <row r="151" spans="1:17" s="262" customFormat="1" x14ac:dyDescent="0.2">
      <c r="A151" s="231">
        <v>1</v>
      </c>
      <c r="B151" s="311" t="s">
        <v>854</v>
      </c>
      <c r="C151" s="287" t="s">
        <v>855</v>
      </c>
      <c r="D151" s="272" t="s">
        <v>856</v>
      </c>
      <c r="E151" s="232">
        <v>129553</v>
      </c>
      <c r="F151" s="273" t="s">
        <v>685</v>
      </c>
      <c r="G151" s="274">
        <v>8936</v>
      </c>
      <c r="H151" s="274">
        <v>8936</v>
      </c>
      <c r="I151" s="274">
        <v>8936</v>
      </c>
      <c r="J151" s="274">
        <v>8936</v>
      </c>
      <c r="K151" s="274">
        <v>8936</v>
      </c>
      <c r="L151" s="274">
        <v>8936</v>
      </c>
      <c r="M151" s="274">
        <v>8936</v>
      </c>
      <c r="N151" s="274">
        <v>29042</v>
      </c>
      <c r="O151" s="274">
        <f t="shared" ref="O151:O165" si="3">SUM(G151:N151)</f>
        <v>91594</v>
      </c>
      <c r="P151" s="296"/>
      <c r="Q151" s="261"/>
    </row>
    <row r="152" spans="1:17" s="269" customFormat="1" ht="11.45" customHeight="1" thickBot="1" x14ac:dyDescent="0.25">
      <c r="A152" s="263"/>
      <c r="B152" s="312"/>
      <c r="C152" s="265"/>
      <c r="D152" s="266"/>
      <c r="E152" s="218"/>
      <c r="F152" s="267" t="s">
        <v>687</v>
      </c>
      <c r="G152" s="286">
        <v>2756.0634599999998</v>
      </c>
      <c r="H152" s="286">
        <v>2487.17922</v>
      </c>
      <c r="I152" s="286">
        <v>2218.2949800000001</v>
      </c>
      <c r="J152" s="286">
        <v>1949.4107399999998</v>
      </c>
      <c r="K152" s="286">
        <v>1680.5264999999999</v>
      </c>
      <c r="L152" s="286">
        <v>1411.6422599999999</v>
      </c>
      <c r="M152" s="286">
        <v>1142.75802</v>
      </c>
      <c r="N152" s="286">
        <v>2621.6213400000001</v>
      </c>
      <c r="O152" s="286">
        <f t="shared" si="3"/>
        <v>16267.496519999999</v>
      </c>
      <c r="P152" s="301"/>
      <c r="Q152" s="261"/>
    </row>
    <row r="153" spans="1:17" s="262" customFormat="1" x14ac:dyDescent="0.2">
      <c r="A153" s="270">
        <v>2</v>
      </c>
      <c r="B153" s="311" t="s">
        <v>857</v>
      </c>
      <c r="C153" s="287" t="s">
        <v>858</v>
      </c>
      <c r="D153" s="272" t="s">
        <v>859</v>
      </c>
      <c r="E153" s="232">
        <v>44681</v>
      </c>
      <c r="F153" s="273" t="s">
        <v>685</v>
      </c>
      <c r="G153" s="274">
        <v>5976</v>
      </c>
      <c r="H153" s="274">
        <v>5976</v>
      </c>
      <c r="I153" s="280">
        <v>446.95</v>
      </c>
      <c r="J153" s="313">
        <v>0</v>
      </c>
      <c r="K153" s="313">
        <v>0</v>
      </c>
      <c r="L153" s="313">
        <v>0</v>
      </c>
      <c r="M153" s="313">
        <v>0</v>
      </c>
      <c r="N153" s="313">
        <v>0</v>
      </c>
      <c r="O153" s="313">
        <f t="shared" si="3"/>
        <v>12398.95</v>
      </c>
      <c r="P153" s="296"/>
      <c r="Q153" s="261"/>
    </row>
    <row r="154" spans="1:17" s="269" customFormat="1" ht="13.5" thickBot="1" x14ac:dyDescent="0.25">
      <c r="A154" s="263"/>
      <c r="B154" s="312" t="s">
        <v>860</v>
      </c>
      <c r="C154" s="265"/>
      <c r="D154" s="266"/>
      <c r="E154" s="218"/>
      <c r="F154" s="267" t="s">
        <v>687</v>
      </c>
      <c r="G154" s="286"/>
      <c r="H154" s="286"/>
      <c r="I154" s="286"/>
      <c r="J154" s="286"/>
      <c r="K154" s="286"/>
      <c r="L154" s="286"/>
      <c r="M154" s="286"/>
      <c r="N154" s="286"/>
      <c r="O154" s="286">
        <f t="shared" si="3"/>
        <v>0</v>
      </c>
      <c r="P154" s="301"/>
      <c r="Q154" s="261"/>
    </row>
    <row r="155" spans="1:17" s="262" customFormat="1" x14ac:dyDescent="0.2">
      <c r="A155" s="270">
        <v>3</v>
      </c>
      <c r="B155" s="311" t="s">
        <v>861</v>
      </c>
      <c r="C155" s="287" t="s">
        <v>862</v>
      </c>
      <c r="D155" s="272" t="s">
        <v>863</v>
      </c>
      <c r="E155" s="232">
        <v>82111</v>
      </c>
      <c r="F155" s="273" t="s">
        <v>685</v>
      </c>
      <c r="G155" s="274">
        <v>15204.36</v>
      </c>
      <c r="H155" s="274">
        <v>15204.36</v>
      </c>
      <c r="I155" s="280">
        <v>13937.16</v>
      </c>
      <c r="J155" s="313">
        <v>0</v>
      </c>
      <c r="K155" s="313">
        <v>0</v>
      </c>
      <c r="L155" s="313">
        <v>0</v>
      </c>
      <c r="M155" s="313">
        <v>0</v>
      </c>
      <c r="N155" s="313">
        <v>0</v>
      </c>
      <c r="O155" s="313">
        <f t="shared" si="3"/>
        <v>44345.880000000005</v>
      </c>
      <c r="P155" s="296"/>
      <c r="Q155" s="261"/>
    </row>
    <row r="156" spans="1:17" s="269" customFormat="1" ht="13.5" thickBot="1" x14ac:dyDescent="0.25">
      <c r="A156" s="263"/>
      <c r="B156" s="312"/>
      <c r="C156" s="265"/>
      <c r="D156" s="266"/>
      <c r="E156" s="218"/>
      <c r="F156" s="267" t="s">
        <v>687</v>
      </c>
      <c r="G156" s="286"/>
      <c r="H156" s="286"/>
      <c r="I156" s="286"/>
      <c r="J156" s="286"/>
      <c r="K156" s="286"/>
      <c r="L156" s="286"/>
      <c r="M156" s="286"/>
      <c r="N156" s="286"/>
      <c r="O156" s="286">
        <f t="shared" si="3"/>
        <v>0</v>
      </c>
      <c r="P156" s="301"/>
      <c r="Q156" s="261"/>
    </row>
    <row r="157" spans="1:17" s="262" customFormat="1" x14ac:dyDescent="0.2">
      <c r="A157" s="270">
        <v>4</v>
      </c>
      <c r="B157" s="311" t="s">
        <v>864</v>
      </c>
      <c r="C157" s="287" t="s">
        <v>865</v>
      </c>
      <c r="D157" s="272" t="s">
        <v>866</v>
      </c>
      <c r="E157" s="232">
        <v>33649.81</v>
      </c>
      <c r="F157" s="273" t="s">
        <v>685</v>
      </c>
      <c r="G157" s="274">
        <v>8424</v>
      </c>
      <c r="H157" s="274">
        <v>8424</v>
      </c>
      <c r="I157" s="274">
        <v>2808</v>
      </c>
      <c r="J157" s="274">
        <v>0</v>
      </c>
      <c r="K157" s="274">
        <v>0</v>
      </c>
      <c r="L157" s="274">
        <v>0</v>
      </c>
      <c r="M157" s="274">
        <v>0</v>
      </c>
      <c r="N157" s="274">
        <v>0</v>
      </c>
      <c r="O157" s="274">
        <f t="shared" si="3"/>
        <v>19656</v>
      </c>
      <c r="P157" s="314"/>
      <c r="Q157" s="261"/>
    </row>
    <row r="158" spans="1:17" s="269" customFormat="1" ht="13.5" thickBot="1" x14ac:dyDescent="0.25">
      <c r="A158" s="263"/>
      <c r="B158" s="312"/>
      <c r="C158" s="265"/>
      <c r="D158" s="266"/>
      <c r="E158" s="218"/>
      <c r="F158" s="267" t="s">
        <v>687</v>
      </c>
      <c r="G158" s="286"/>
      <c r="H158" s="286"/>
      <c r="I158" s="286"/>
      <c r="J158" s="286"/>
      <c r="K158" s="286"/>
      <c r="L158" s="286"/>
      <c r="M158" s="286"/>
      <c r="N158" s="286"/>
      <c r="O158" s="286">
        <f t="shared" si="3"/>
        <v>0</v>
      </c>
      <c r="P158" s="301"/>
      <c r="Q158" s="261"/>
    </row>
    <row r="159" spans="1:17" s="262" customFormat="1" outlineLevel="1" x14ac:dyDescent="0.2">
      <c r="A159" s="270">
        <v>5</v>
      </c>
      <c r="B159" s="311" t="s">
        <v>854</v>
      </c>
      <c r="C159" s="287" t="s">
        <v>867</v>
      </c>
      <c r="D159" s="272" t="s">
        <v>868</v>
      </c>
      <c r="E159" s="232">
        <v>2209678</v>
      </c>
      <c r="F159" s="273" t="s">
        <v>685</v>
      </c>
      <c r="G159" s="274">
        <v>0</v>
      </c>
      <c r="H159" s="274"/>
      <c r="I159" s="274">
        <v>67990</v>
      </c>
      <c r="J159" s="274">
        <v>81588</v>
      </c>
      <c r="K159" s="274">
        <v>81588</v>
      </c>
      <c r="L159" s="274">
        <v>81588</v>
      </c>
      <c r="M159" s="274">
        <v>81588</v>
      </c>
      <c r="N159" s="274">
        <v>1896924</v>
      </c>
      <c r="O159" s="274">
        <f t="shared" si="3"/>
        <v>2291266</v>
      </c>
      <c r="P159" s="296"/>
      <c r="Q159" s="261"/>
    </row>
    <row r="160" spans="1:17" s="269" customFormat="1" ht="13.5" outlineLevel="1" thickBot="1" x14ac:dyDescent="0.25">
      <c r="A160" s="263"/>
      <c r="B160" s="312"/>
      <c r="C160" s="265"/>
      <c r="D160" s="266"/>
      <c r="E160" s="218"/>
      <c r="F160" s="267" t="s">
        <v>687</v>
      </c>
      <c r="G160" s="286">
        <v>46207.281279999996</v>
      </c>
      <c r="H160" s="286">
        <v>68921.281279999996</v>
      </c>
      <c r="I160" s="286">
        <v>68921.281279999996</v>
      </c>
      <c r="J160" s="286">
        <v>66876.142080000005</v>
      </c>
      <c r="K160" s="286">
        <v>64421.975039999998</v>
      </c>
      <c r="L160" s="286">
        <v>61967.807999999997</v>
      </c>
      <c r="M160" s="286">
        <v>59513.640959999997</v>
      </c>
      <c r="N160" s="286">
        <v>1198248.9523199999</v>
      </c>
      <c r="O160" s="286">
        <f t="shared" si="3"/>
        <v>1635078.3622399999</v>
      </c>
      <c r="P160" s="315"/>
      <c r="Q160" s="261"/>
    </row>
    <row r="161" spans="1:17" s="262" customFormat="1" outlineLevel="1" x14ac:dyDescent="0.2">
      <c r="A161" s="270">
        <v>6</v>
      </c>
      <c r="B161" s="311" t="s">
        <v>869</v>
      </c>
      <c r="C161" s="287" t="s">
        <v>870</v>
      </c>
      <c r="D161" s="272">
        <v>46904</v>
      </c>
      <c r="E161" s="232">
        <v>134432.07999999999</v>
      </c>
      <c r="F161" s="273" t="s">
        <v>685</v>
      </c>
      <c r="G161" s="274">
        <v>27121</v>
      </c>
      <c r="H161" s="274">
        <v>24300</v>
      </c>
      <c r="I161" s="274">
        <v>24300</v>
      </c>
      <c r="J161" s="274">
        <v>24300</v>
      </c>
      <c r="K161" s="274">
        <v>24300</v>
      </c>
      <c r="L161" s="274">
        <v>10125</v>
      </c>
      <c r="M161" s="274"/>
      <c r="N161" s="274"/>
      <c r="O161" s="274">
        <f t="shared" si="3"/>
        <v>134446</v>
      </c>
      <c r="P161" s="296"/>
      <c r="Q161" s="261"/>
    </row>
    <row r="162" spans="1:17" s="269" customFormat="1" ht="13.5" outlineLevel="1" thickBot="1" x14ac:dyDescent="0.25">
      <c r="A162" s="263"/>
      <c r="B162" s="312"/>
      <c r="C162" s="265"/>
      <c r="D162" s="266"/>
      <c r="E162" s="218"/>
      <c r="F162" s="267" t="s">
        <v>687</v>
      </c>
      <c r="G162" s="286"/>
      <c r="H162" s="286"/>
      <c r="I162" s="286"/>
      <c r="J162" s="286"/>
      <c r="K162" s="286"/>
      <c r="L162" s="286"/>
      <c r="M162" s="286"/>
      <c r="N162" s="286"/>
      <c r="O162" s="286">
        <f t="shared" si="3"/>
        <v>0</v>
      </c>
      <c r="P162" s="315"/>
      <c r="Q162" s="261"/>
    </row>
    <row r="163" spans="1:17" s="269" customFormat="1" outlineLevel="1" x14ac:dyDescent="0.2">
      <c r="A163" s="295"/>
      <c r="B163" s="301"/>
      <c r="C163" s="299"/>
      <c r="D163" s="316"/>
      <c r="E163" s="230"/>
      <c r="F163" s="299" t="s">
        <v>871</v>
      </c>
      <c r="G163" s="303">
        <v>114624.70473999999</v>
      </c>
      <c r="H163" s="303">
        <v>134248.8205</v>
      </c>
      <c r="I163" s="303">
        <v>189557.68625999999</v>
      </c>
      <c r="J163" s="303">
        <v>183649.55281999998</v>
      </c>
      <c r="K163" s="303">
        <v>180926.50154</v>
      </c>
      <c r="L163" s="303">
        <v>164028.45025999998</v>
      </c>
      <c r="M163" s="303">
        <v>151180.39898</v>
      </c>
      <c r="N163" s="303">
        <v>3126836.5736600002</v>
      </c>
      <c r="O163" s="303">
        <f t="shared" si="3"/>
        <v>4245052.6887600003</v>
      </c>
      <c r="P163" s="301"/>
      <c r="Q163" s="296"/>
    </row>
    <row r="164" spans="1:17" s="262" customFormat="1" ht="13.5" thickBot="1" x14ac:dyDescent="0.25">
      <c r="A164" s="295"/>
      <c r="B164" s="296"/>
      <c r="C164" s="297"/>
      <c r="D164" s="296"/>
      <c r="E164" s="317"/>
      <c r="F164" s="296"/>
      <c r="G164" s="301"/>
      <c r="H164" s="301"/>
      <c r="I164" s="301"/>
      <c r="J164" s="301"/>
      <c r="K164" s="301"/>
      <c r="L164" s="301"/>
      <c r="M164" s="318"/>
      <c r="N164" s="318"/>
      <c r="O164" s="318">
        <f t="shared" si="3"/>
        <v>0</v>
      </c>
      <c r="P164" s="296"/>
      <c r="Q164" s="296"/>
    </row>
    <row r="165" spans="1:17" s="262" customFormat="1" ht="13.5" thickBot="1" x14ac:dyDescent="0.25">
      <c r="A165" s="319"/>
      <c r="B165" s="320" t="s">
        <v>872</v>
      </c>
      <c r="C165" s="321"/>
      <c r="D165" s="322" t="s">
        <v>873</v>
      </c>
      <c r="E165" s="323"/>
      <c r="F165" s="324"/>
      <c r="G165" s="325">
        <v>4803855.4126618113</v>
      </c>
      <c r="H165" s="325">
        <v>5985587.5213673171</v>
      </c>
      <c r="I165" s="325">
        <v>5822541.6837595971</v>
      </c>
      <c r="J165" s="325">
        <v>5619566.7650518781</v>
      </c>
      <c r="K165" s="325">
        <v>5293451.1866941573</v>
      </c>
      <c r="L165" s="325">
        <v>5096106.8538064389</v>
      </c>
      <c r="M165" s="325">
        <v>4851833.3289487157</v>
      </c>
      <c r="N165" s="325">
        <v>56626381.019862264</v>
      </c>
      <c r="O165" s="325">
        <f t="shared" si="3"/>
        <v>94099323.772152185</v>
      </c>
      <c r="P165" s="296"/>
      <c r="Q165" s="296"/>
    </row>
    <row r="166" spans="1:17" s="246" customFormat="1" ht="24" x14ac:dyDescent="0.2">
      <c r="A166" s="249"/>
      <c r="B166" s="326" t="s">
        <v>874</v>
      </c>
      <c r="G166" s="327">
        <v>0.14903732956597812</v>
      </c>
      <c r="H166" s="327">
        <v>0.18570000623181299</v>
      </c>
      <c r="I166" s="327">
        <v>0.18064158666117938</v>
      </c>
      <c r="J166" s="327">
        <v>0.17434438633884328</v>
      </c>
      <c r="K166" s="327">
        <v>0.16422680561395461</v>
      </c>
      <c r="L166" s="327">
        <v>0.15810429153889674</v>
      </c>
      <c r="M166" s="327">
        <v>0.15052582160149885</v>
      </c>
      <c r="N166" s="328"/>
      <c r="O166" s="329"/>
    </row>
    <row r="167" spans="1:17" x14ac:dyDescent="0.2">
      <c r="E167" s="233"/>
    </row>
    <row r="168" spans="1:17" s="262" customFormat="1" ht="13.5" hidden="1" customHeight="1" outlineLevel="1" x14ac:dyDescent="0.2">
      <c r="A168" s="295"/>
      <c r="B168" s="301" t="s">
        <v>875</v>
      </c>
      <c r="C168" s="299"/>
      <c r="D168" s="316" t="s">
        <v>873</v>
      </c>
      <c r="E168" s="230"/>
      <c r="F168" s="316"/>
      <c r="G168" s="330"/>
      <c r="H168" s="330"/>
      <c r="I168" s="330"/>
      <c r="J168" s="330"/>
      <c r="K168" s="330"/>
      <c r="L168" s="330"/>
      <c r="M168" s="330"/>
      <c r="N168" s="330"/>
      <c r="O168" s="330"/>
      <c r="P168" s="296"/>
      <c r="Q168" s="296"/>
    </row>
    <row r="169" spans="1:17" s="262" customFormat="1" ht="13.5" hidden="1" customHeight="1" outlineLevel="1" x14ac:dyDescent="0.2">
      <c r="A169" s="295"/>
      <c r="B169" s="301" t="s">
        <v>876</v>
      </c>
      <c r="C169" s="299"/>
      <c r="D169" s="316" t="s">
        <v>873</v>
      </c>
      <c r="E169" s="230"/>
      <c r="F169" s="316"/>
      <c r="G169" s="330"/>
      <c r="H169" s="330"/>
      <c r="I169" s="330"/>
      <c r="J169" s="330"/>
      <c r="K169" s="330"/>
      <c r="L169" s="330"/>
      <c r="M169" s="330"/>
      <c r="N169" s="330"/>
      <c r="O169" s="330"/>
      <c r="P169" s="296"/>
      <c r="Q169" s="296"/>
    </row>
    <row r="170" spans="1:17" s="246" customFormat="1" ht="24" hidden="1" outlineLevel="1" x14ac:dyDescent="0.2">
      <c r="A170" s="249"/>
      <c r="B170" s="331" t="s">
        <v>874</v>
      </c>
      <c r="C170" s="304"/>
      <c r="E170" s="234"/>
      <c r="G170" s="235"/>
      <c r="H170" s="235"/>
      <c r="I170" s="235"/>
      <c r="J170" s="235"/>
      <c r="K170" s="235"/>
      <c r="L170" s="235"/>
      <c r="M170" s="235"/>
      <c r="N170" s="235"/>
      <c r="O170" s="235"/>
      <c r="P170" s="332"/>
      <c r="Q170" s="248"/>
    </row>
    <row r="171" spans="1:17" collapsed="1" x14ac:dyDescent="0.2">
      <c r="C171" s="243"/>
      <c r="D171" s="242" t="s">
        <v>877</v>
      </c>
      <c r="E171" s="333"/>
      <c r="G171" s="236"/>
      <c r="H171" s="237"/>
      <c r="I171" s="237"/>
      <c r="J171" s="237"/>
      <c r="K171" s="243"/>
      <c r="L171" s="243"/>
      <c r="M171" s="243"/>
      <c r="N171" s="243"/>
      <c r="O171" s="243"/>
    </row>
    <row r="172" spans="1:17" x14ac:dyDescent="0.2">
      <c r="D172" s="242" t="s">
        <v>878</v>
      </c>
      <c r="E172" s="334">
        <v>32232565</v>
      </c>
      <c r="F172" s="242"/>
      <c r="G172" s="243"/>
      <c r="H172" s="243"/>
      <c r="I172" s="243"/>
      <c r="J172" s="243"/>
      <c r="K172" s="243"/>
      <c r="L172" s="243"/>
      <c r="M172" s="243"/>
      <c r="N172" s="243"/>
      <c r="O172" s="243"/>
    </row>
    <row r="173" spans="1:17" x14ac:dyDescent="0.2">
      <c r="D173" s="242"/>
      <c r="E173" s="335"/>
      <c r="F173" s="335"/>
      <c r="G173" s="248"/>
      <c r="H173" s="336"/>
      <c r="I173" s="336"/>
      <c r="J173" s="336"/>
      <c r="K173" s="336"/>
      <c r="L173" s="336"/>
      <c r="M173" s="336"/>
      <c r="N173" s="336"/>
      <c r="O173" s="336"/>
    </row>
    <row r="174" spans="1:17" ht="27.75" customHeight="1" thickBot="1" x14ac:dyDescent="0.25">
      <c r="E174" s="337"/>
      <c r="F174" s="338"/>
      <c r="G174" s="339" t="s">
        <v>879</v>
      </c>
      <c r="H174" s="340" t="s">
        <v>880</v>
      </c>
      <c r="I174" s="340" t="s">
        <v>881</v>
      </c>
      <c r="J174" s="340" t="s">
        <v>882</v>
      </c>
      <c r="K174" s="340" t="s">
        <v>883</v>
      </c>
      <c r="L174" s="340" t="s">
        <v>884</v>
      </c>
      <c r="M174" s="340" t="s">
        <v>885</v>
      </c>
      <c r="N174" s="340" t="s">
        <v>680</v>
      </c>
      <c r="O174" s="339" t="s">
        <v>681</v>
      </c>
    </row>
    <row r="175" spans="1:17" x14ac:dyDescent="0.2">
      <c r="E175" s="238"/>
      <c r="F175" s="304" t="s">
        <v>886</v>
      </c>
      <c r="G175" s="342">
        <v>3601890.1379218102</v>
      </c>
      <c r="H175" s="342">
        <v>3766178.0045884768</v>
      </c>
      <c r="I175" s="342">
        <v>3682417.3345884769</v>
      </c>
      <c r="J175" s="342">
        <v>3617788.0045884768</v>
      </c>
      <c r="K175" s="342">
        <v>3425436.0045884768</v>
      </c>
      <c r="L175" s="342">
        <v>3370321.0045884768</v>
      </c>
      <c r="M175" s="342">
        <v>3262401.204588477</v>
      </c>
      <c r="N175" s="342">
        <v>32727401.518703707</v>
      </c>
      <c r="O175" s="342">
        <f t="shared" ref="O175:O178" si="4">SUM(G175:N175)</f>
        <v>57453833.214156374</v>
      </c>
    </row>
    <row r="176" spans="1:17" x14ac:dyDescent="0.2">
      <c r="B176" s="343"/>
      <c r="C176" s="243"/>
      <c r="E176" s="238"/>
      <c r="F176" s="304" t="s">
        <v>887</v>
      </c>
      <c r="G176" s="342">
        <v>1087340</v>
      </c>
      <c r="H176" s="342">
        <v>2085160.6962788398</v>
      </c>
      <c r="I176" s="342">
        <v>1950566.6629111185</v>
      </c>
      <c r="J176" s="342">
        <v>1818129.2076433988</v>
      </c>
      <c r="K176" s="342">
        <v>1687088.6805656792</v>
      </c>
      <c r="L176" s="342">
        <v>1561757.3989579587</v>
      </c>
      <c r="M176" s="342">
        <v>1438251.7253802388</v>
      </c>
      <c r="N176" s="342">
        <v>20772142.927498523</v>
      </c>
      <c r="O176" s="342">
        <f t="shared" si="4"/>
        <v>32400437.299235754</v>
      </c>
    </row>
    <row r="177" spans="1:17" ht="13.5" customHeight="1" thickBot="1" x14ac:dyDescent="0.25">
      <c r="E177" s="239"/>
      <c r="F177" s="344" t="s">
        <v>888</v>
      </c>
      <c r="G177" s="345">
        <v>114624.70473999999</v>
      </c>
      <c r="H177" s="345">
        <v>134248.8205</v>
      </c>
      <c r="I177" s="345">
        <v>189557.68625999999</v>
      </c>
      <c r="J177" s="345">
        <v>183649.55281999998</v>
      </c>
      <c r="K177" s="345">
        <v>180926.50154</v>
      </c>
      <c r="L177" s="345">
        <v>164028.45025999998</v>
      </c>
      <c r="M177" s="345">
        <v>151180.39898</v>
      </c>
      <c r="N177" s="345">
        <v>3126836.5736600002</v>
      </c>
      <c r="O177" s="345">
        <f t="shared" si="4"/>
        <v>4245052.6887600003</v>
      </c>
    </row>
    <row r="178" spans="1:17" x14ac:dyDescent="0.2">
      <c r="B178" s="240"/>
      <c r="E178" s="248"/>
      <c r="F178" s="304" t="s">
        <v>851</v>
      </c>
      <c r="G178" s="342">
        <v>4803855.4126618104</v>
      </c>
      <c r="H178" s="341">
        <v>5985587.5213673171</v>
      </c>
      <c r="I178" s="341">
        <v>5822541.6837595953</v>
      </c>
      <c r="J178" s="341">
        <v>5619566.7650518753</v>
      </c>
      <c r="K178" s="341">
        <v>5293451.1866941554</v>
      </c>
      <c r="L178" s="341">
        <v>5096106.8538064361</v>
      </c>
      <c r="M178" s="341">
        <v>4851833.3289487157</v>
      </c>
      <c r="N178" s="341">
        <v>56626381.019862235</v>
      </c>
      <c r="O178" s="342">
        <f t="shared" si="4"/>
        <v>94099323.772152141</v>
      </c>
    </row>
    <row r="179" spans="1:17" x14ac:dyDescent="0.2">
      <c r="B179" s="346"/>
      <c r="F179" s="304"/>
      <c r="H179" s="302"/>
      <c r="I179" s="302"/>
      <c r="J179" s="302"/>
      <c r="K179" s="302"/>
      <c r="L179" s="302"/>
      <c r="M179" s="302"/>
      <c r="N179" s="302"/>
      <c r="O179" s="302"/>
    </row>
    <row r="180" spans="1:17" s="348" customFormat="1" x14ac:dyDescent="0.2">
      <c r="A180" s="347"/>
      <c r="C180" s="349"/>
      <c r="E180" s="215"/>
      <c r="F180" s="304"/>
      <c r="G180" s="246"/>
      <c r="H180" s="302"/>
      <c r="I180" s="302"/>
      <c r="J180" s="302"/>
      <c r="K180" s="302"/>
      <c r="L180" s="302"/>
      <c r="M180" s="302"/>
      <c r="N180" s="302"/>
      <c r="O180" s="302"/>
      <c r="P180" s="350"/>
      <c r="Q180" s="350"/>
    </row>
    <row r="181" spans="1:17" s="348" customFormat="1" x14ac:dyDescent="0.2">
      <c r="A181" s="347"/>
      <c r="C181" s="349"/>
      <c r="E181" s="215"/>
      <c r="G181" s="302"/>
      <c r="H181" s="302"/>
      <c r="I181" s="302"/>
      <c r="J181" s="302"/>
      <c r="K181" s="302"/>
      <c r="L181" s="302"/>
      <c r="M181" s="302"/>
      <c r="N181" s="302"/>
      <c r="O181" s="302"/>
      <c r="P181" s="350"/>
      <c r="Q181" s="350"/>
    </row>
    <row r="182" spans="1:17" s="348" customFormat="1" x14ac:dyDescent="0.2">
      <c r="A182" s="347"/>
      <c r="C182" s="349"/>
      <c r="E182" s="215"/>
      <c r="G182" s="302"/>
      <c r="H182" s="302"/>
      <c r="I182" s="302"/>
      <c r="J182" s="302"/>
      <c r="K182" s="302"/>
      <c r="L182" s="302"/>
      <c r="M182" s="302"/>
      <c r="N182" s="302"/>
      <c r="O182" s="302"/>
      <c r="P182" s="350"/>
      <c r="Q182" s="350"/>
    </row>
    <row r="183" spans="1:17" s="348" customFormat="1" x14ac:dyDescent="0.2">
      <c r="A183" s="347"/>
      <c r="C183" s="349"/>
      <c r="E183" s="215"/>
      <c r="G183" s="302"/>
      <c r="H183" s="302"/>
      <c r="I183" s="302"/>
      <c r="J183" s="302"/>
      <c r="K183" s="302"/>
      <c r="L183" s="302"/>
      <c r="M183" s="302"/>
      <c r="N183" s="302"/>
      <c r="O183" s="302"/>
      <c r="P183" s="350"/>
      <c r="Q183" s="350"/>
    </row>
    <row r="184" spans="1:17" s="348" customFormat="1" x14ac:dyDescent="0.2">
      <c r="A184" s="347"/>
      <c r="C184" s="349"/>
      <c r="E184" s="215"/>
      <c r="G184" s="246"/>
      <c r="H184" s="351"/>
      <c r="I184" s="351"/>
      <c r="J184" s="351"/>
      <c r="K184" s="351"/>
      <c r="L184" s="351"/>
      <c r="M184" s="351"/>
      <c r="N184" s="246"/>
      <c r="O184" s="246"/>
      <c r="P184" s="350"/>
      <c r="Q184" s="350"/>
    </row>
    <row r="185" spans="1:17" s="348" customFormat="1" x14ac:dyDescent="0.2">
      <c r="A185" s="347"/>
      <c r="C185" s="349"/>
      <c r="E185" s="215"/>
      <c r="G185" s="246"/>
      <c r="H185" s="351"/>
      <c r="I185" s="351"/>
      <c r="J185" s="351"/>
      <c r="K185" s="351"/>
      <c r="L185" s="351"/>
      <c r="M185" s="351"/>
      <c r="N185" s="246"/>
      <c r="O185" s="246"/>
      <c r="P185" s="350"/>
      <c r="Q185" s="350"/>
    </row>
    <row r="186" spans="1:17" s="348" customFormat="1" x14ac:dyDescent="0.2">
      <c r="A186" s="347"/>
      <c r="C186" s="349"/>
      <c r="E186" s="215"/>
      <c r="G186" s="246"/>
      <c r="H186" s="351"/>
      <c r="I186" s="351"/>
      <c r="J186" s="351"/>
      <c r="K186" s="351"/>
      <c r="L186" s="351"/>
      <c r="M186" s="351"/>
      <c r="N186" s="246"/>
      <c r="O186" s="246"/>
      <c r="P186" s="350"/>
      <c r="Q186" s="350"/>
    </row>
    <row r="187" spans="1:17" s="348" customFormat="1" x14ac:dyDescent="0.2">
      <c r="A187" s="347"/>
      <c r="C187" s="349"/>
      <c r="E187" s="215"/>
      <c r="G187" s="246"/>
      <c r="H187" s="351"/>
      <c r="I187" s="351"/>
      <c r="J187" s="351"/>
      <c r="K187" s="351"/>
      <c r="L187" s="351"/>
      <c r="M187" s="351"/>
      <c r="N187" s="246"/>
      <c r="O187" s="246"/>
      <c r="P187" s="350"/>
      <c r="Q187" s="350"/>
    </row>
    <row r="188" spans="1:17" s="348" customFormat="1" x14ac:dyDescent="0.2">
      <c r="A188" s="347"/>
      <c r="C188" s="349"/>
      <c r="E188" s="215"/>
      <c r="G188" s="246"/>
      <c r="H188" s="351"/>
      <c r="I188" s="351"/>
      <c r="J188" s="351"/>
      <c r="K188" s="351"/>
      <c r="L188" s="351"/>
      <c r="M188" s="351"/>
      <c r="N188" s="246"/>
      <c r="O188" s="246"/>
      <c r="P188" s="350"/>
      <c r="Q188" s="350"/>
    </row>
    <row r="189" spans="1:17" s="348" customFormat="1" x14ac:dyDescent="0.2">
      <c r="A189" s="347"/>
      <c r="C189" s="349"/>
      <c r="E189" s="215"/>
      <c r="G189" s="246"/>
      <c r="H189" s="351"/>
      <c r="I189" s="351"/>
      <c r="J189" s="351"/>
      <c r="K189" s="351"/>
      <c r="L189" s="351"/>
      <c r="M189" s="351"/>
      <c r="N189" s="246"/>
      <c r="O189" s="246"/>
      <c r="P189" s="350"/>
      <c r="Q189" s="350"/>
    </row>
    <row r="190" spans="1:17" s="348" customFormat="1" x14ac:dyDescent="0.2">
      <c r="A190" s="347"/>
      <c r="C190" s="349"/>
      <c r="E190" s="215"/>
      <c r="G190" s="246"/>
      <c r="H190" s="351"/>
      <c r="I190" s="351"/>
      <c r="J190" s="351"/>
      <c r="K190" s="351"/>
      <c r="L190" s="351"/>
      <c r="M190" s="351"/>
      <c r="N190" s="246"/>
      <c r="O190" s="246"/>
      <c r="P190" s="350"/>
      <c r="Q190" s="350"/>
    </row>
    <row r="191" spans="1:17" s="348" customFormat="1" x14ac:dyDescent="0.2">
      <c r="A191" s="347"/>
      <c r="C191" s="349"/>
      <c r="E191" s="215"/>
      <c r="G191" s="246"/>
      <c r="H191" s="351"/>
      <c r="I191" s="351"/>
      <c r="J191" s="351"/>
      <c r="K191" s="351"/>
      <c r="L191" s="351"/>
      <c r="M191" s="351"/>
      <c r="N191" s="246"/>
      <c r="O191" s="246"/>
      <c r="P191" s="350"/>
      <c r="Q191" s="350"/>
    </row>
    <row r="192" spans="1:17" s="348" customFormat="1" x14ac:dyDescent="0.2">
      <c r="A192" s="347"/>
      <c r="C192" s="349"/>
      <c r="E192" s="215"/>
      <c r="G192" s="246"/>
      <c r="H192" s="351"/>
      <c r="I192" s="351"/>
      <c r="J192" s="351"/>
      <c r="K192" s="351"/>
      <c r="L192" s="351"/>
      <c r="M192" s="351"/>
      <c r="N192" s="246"/>
      <c r="O192" s="246"/>
      <c r="P192" s="350"/>
      <c r="Q192" s="350"/>
    </row>
    <row r="193" spans="1:17" s="348" customFormat="1" x14ac:dyDescent="0.2">
      <c r="A193" s="347"/>
      <c r="C193" s="349"/>
      <c r="E193" s="215"/>
      <c r="G193" s="246"/>
      <c r="H193" s="351"/>
      <c r="I193" s="351"/>
      <c r="J193" s="351"/>
      <c r="K193" s="351"/>
      <c r="L193" s="351"/>
      <c r="M193" s="351"/>
      <c r="N193" s="246"/>
      <c r="O193" s="246"/>
      <c r="P193" s="350"/>
      <c r="Q193" s="350"/>
    </row>
    <row r="194" spans="1:17" s="348" customFormat="1" x14ac:dyDescent="0.2">
      <c r="A194" s="347"/>
      <c r="C194" s="349"/>
      <c r="E194" s="215"/>
      <c r="G194" s="246"/>
      <c r="H194" s="351"/>
      <c r="I194" s="351"/>
      <c r="J194" s="351"/>
      <c r="K194" s="351"/>
      <c r="L194" s="351"/>
      <c r="M194" s="351"/>
      <c r="N194" s="246"/>
      <c r="O194" s="246"/>
      <c r="P194" s="350"/>
      <c r="Q194" s="350"/>
    </row>
    <row r="195" spans="1:17" s="348" customFormat="1" x14ac:dyDescent="0.2">
      <c r="A195" s="347"/>
      <c r="C195" s="349"/>
      <c r="E195" s="215"/>
      <c r="G195" s="246"/>
      <c r="H195" s="351"/>
      <c r="I195" s="351"/>
      <c r="J195" s="351"/>
      <c r="K195" s="351"/>
      <c r="L195" s="351"/>
      <c r="M195" s="351"/>
      <c r="N195" s="246"/>
      <c r="O195" s="246"/>
      <c r="P195" s="350"/>
      <c r="Q195" s="350"/>
    </row>
    <row r="196" spans="1:17" s="348" customFormat="1" x14ac:dyDescent="0.2">
      <c r="A196" s="347"/>
      <c r="C196" s="349"/>
      <c r="E196" s="215"/>
      <c r="G196" s="246"/>
      <c r="H196" s="351"/>
      <c r="I196" s="351"/>
      <c r="J196" s="351"/>
      <c r="K196" s="351"/>
      <c r="L196" s="351"/>
      <c r="M196" s="351"/>
      <c r="N196" s="246"/>
      <c r="O196" s="246"/>
      <c r="P196" s="350"/>
      <c r="Q196" s="350"/>
    </row>
    <row r="197" spans="1:17" s="348" customFormat="1" x14ac:dyDescent="0.2">
      <c r="A197" s="347"/>
      <c r="C197" s="349"/>
      <c r="E197" s="215"/>
      <c r="G197" s="246"/>
      <c r="H197" s="351"/>
      <c r="I197" s="351"/>
      <c r="J197" s="351"/>
      <c r="K197" s="351"/>
      <c r="L197" s="351"/>
      <c r="M197" s="351"/>
      <c r="N197" s="246"/>
      <c r="O197" s="246"/>
      <c r="P197" s="350"/>
      <c r="Q197" s="350"/>
    </row>
    <row r="198" spans="1:17" s="348" customFormat="1" x14ac:dyDescent="0.2">
      <c r="A198" s="347"/>
      <c r="C198" s="349"/>
      <c r="E198" s="215"/>
      <c r="G198" s="246"/>
      <c r="H198" s="351"/>
      <c r="I198" s="351"/>
      <c r="J198" s="351"/>
      <c r="K198" s="351"/>
      <c r="L198" s="351"/>
      <c r="M198" s="351"/>
      <c r="N198" s="246"/>
      <c r="O198" s="246"/>
      <c r="P198" s="350"/>
      <c r="Q198" s="350"/>
    </row>
    <row r="199" spans="1:17" s="348" customFormat="1" x14ac:dyDescent="0.2">
      <c r="A199" s="347"/>
      <c r="C199" s="349"/>
      <c r="E199" s="215"/>
      <c r="G199" s="246"/>
      <c r="H199" s="351"/>
      <c r="I199" s="351"/>
      <c r="J199" s="351"/>
      <c r="K199" s="351"/>
      <c r="L199" s="351"/>
      <c r="M199" s="351"/>
      <c r="N199" s="246"/>
      <c r="O199" s="246"/>
      <c r="P199" s="350"/>
      <c r="Q199" s="350"/>
    </row>
    <row r="200" spans="1:17" s="348" customFormat="1" x14ac:dyDescent="0.2">
      <c r="A200" s="347"/>
      <c r="C200" s="349"/>
      <c r="E200" s="215"/>
      <c r="G200" s="246"/>
      <c r="H200" s="351"/>
      <c r="I200" s="351"/>
      <c r="J200" s="351"/>
      <c r="K200" s="351"/>
      <c r="L200" s="351"/>
      <c r="M200" s="351"/>
      <c r="N200" s="246"/>
      <c r="O200" s="246"/>
      <c r="P200" s="350"/>
      <c r="Q200" s="350"/>
    </row>
    <row r="201" spans="1:17" s="348" customFormat="1" x14ac:dyDescent="0.2">
      <c r="A201" s="347"/>
      <c r="C201" s="349"/>
      <c r="E201" s="215"/>
      <c r="G201" s="246"/>
      <c r="H201" s="351"/>
      <c r="I201" s="351"/>
      <c r="J201" s="351"/>
      <c r="K201" s="351"/>
      <c r="L201" s="351"/>
      <c r="M201" s="351"/>
      <c r="N201" s="246"/>
      <c r="O201" s="246"/>
      <c r="P201" s="350"/>
      <c r="Q201" s="350"/>
    </row>
    <row r="202" spans="1:17" s="348" customFormat="1" x14ac:dyDescent="0.2">
      <c r="A202" s="347"/>
      <c r="C202" s="349"/>
      <c r="E202" s="215"/>
      <c r="G202" s="246"/>
      <c r="H202" s="351"/>
      <c r="I202" s="351"/>
      <c r="J202" s="351"/>
      <c r="K202" s="351"/>
      <c r="L202" s="351"/>
      <c r="M202" s="351"/>
      <c r="N202" s="246"/>
      <c r="O202" s="246"/>
      <c r="P202" s="350"/>
      <c r="Q202" s="350"/>
    </row>
    <row r="203" spans="1:17" s="348" customFormat="1" x14ac:dyDescent="0.2">
      <c r="A203" s="347"/>
      <c r="C203" s="349"/>
      <c r="E203" s="215"/>
      <c r="G203" s="246"/>
      <c r="H203" s="351"/>
      <c r="I203" s="351"/>
      <c r="J203" s="351"/>
      <c r="K203" s="351"/>
      <c r="L203" s="351"/>
      <c r="M203" s="351"/>
      <c r="N203" s="246"/>
      <c r="O203" s="246"/>
      <c r="P203" s="350"/>
      <c r="Q203" s="350"/>
    </row>
    <row r="204" spans="1:17" s="348" customFormat="1" x14ac:dyDescent="0.2">
      <c r="A204" s="347"/>
      <c r="C204" s="349"/>
      <c r="E204" s="215"/>
      <c r="G204" s="246"/>
      <c r="H204" s="351"/>
      <c r="I204" s="351"/>
      <c r="J204" s="351"/>
      <c r="K204" s="351"/>
      <c r="L204" s="351"/>
      <c r="M204" s="351"/>
      <c r="N204" s="246"/>
      <c r="O204" s="246"/>
      <c r="P204" s="350"/>
      <c r="Q204" s="350"/>
    </row>
    <row r="205" spans="1:17" s="348" customFormat="1" x14ac:dyDescent="0.2">
      <c r="A205" s="347"/>
      <c r="C205" s="349"/>
      <c r="E205" s="215"/>
      <c r="G205" s="246"/>
      <c r="H205" s="351"/>
      <c r="I205" s="351"/>
      <c r="J205" s="351"/>
      <c r="K205" s="351"/>
      <c r="L205" s="351"/>
      <c r="M205" s="351"/>
      <c r="N205" s="246"/>
      <c r="O205" s="246"/>
      <c r="P205" s="350"/>
      <c r="Q205" s="350"/>
    </row>
    <row r="206" spans="1:17" s="348" customFormat="1" x14ac:dyDescent="0.2">
      <c r="A206" s="347"/>
      <c r="C206" s="349"/>
      <c r="E206" s="215"/>
      <c r="G206" s="246"/>
      <c r="H206" s="351"/>
      <c r="I206" s="351"/>
      <c r="J206" s="351"/>
      <c r="K206" s="351"/>
      <c r="L206" s="351"/>
      <c r="M206" s="351"/>
      <c r="N206" s="246"/>
      <c r="O206" s="246"/>
      <c r="P206" s="350"/>
      <c r="Q206" s="350"/>
    </row>
    <row r="207" spans="1:17" s="348" customFormat="1" x14ac:dyDescent="0.2">
      <c r="A207" s="347"/>
      <c r="C207" s="349"/>
      <c r="E207" s="215"/>
      <c r="G207" s="246"/>
      <c r="H207" s="351"/>
      <c r="I207" s="351"/>
      <c r="J207" s="351"/>
      <c r="K207" s="351"/>
      <c r="L207" s="351"/>
      <c r="M207" s="351"/>
      <c r="N207" s="246"/>
      <c r="O207" s="246"/>
      <c r="P207" s="350"/>
      <c r="Q207" s="350"/>
    </row>
    <row r="208" spans="1:17" s="348" customFormat="1" x14ac:dyDescent="0.2">
      <c r="A208" s="347"/>
      <c r="C208" s="349"/>
      <c r="E208" s="215"/>
      <c r="G208" s="246"/>
      <c r="H208" s="351"/>
      <c r="I208" s="351"/>
      <c r="J208" s="351"/>
      <c r="K208" s="351"/>
      <c r="L208" s="351"/>
      <c r="M208" s="351"/>
      <c r="N208" s="246"/>
      <c r="O208" s="246"/>
      <c r="P208" s="350"/>
      <c r="Q208" s="350"/>
    </row>
    <row r="209" spans="1:17" s="348" customFormat="1" x14ac:dyDescent="0.2">
      <c r="A209" s="347"/>
      <c r="C209" s="349"/>
      <c r="E209" s="215"/>
      <c r="G209" s="246"/>
      <c r="H209" s="351"/>
      <c r="I209" s="351"/>
      <c r="J209" s="351"/>
      <c r="K209" s="351"/>
      <c r="L209" s="351"/>
      <c r="M209" s="351"/>
      <c r="N209" s="246"/>
      <c r="O209" s="246"/>
      <c r="P209" s="350"/>
      <c r="Q209" s="350"/>
    </row>
    <row r="210" spans="1:17" s="348" customFormat="1" x14ac:dyDescent="0.2">
      <c r="A210" s="347"/>
      <c r="C210" s="349"/>
      <c r="E210" s="215"/>
      <c r="G210" s="246"/>
      <c r="H210" s="351"/>
      <c r="I210" s="351"/>
      <c r="J210" s="351"/>
      <c r="K210" s="351"/>
      <c r="L210" s="351"/>
      <c r="M210" s="351"/>
      <c r="N210" s="246"/>
      <c r="O210" s="246"/>
      <c r="P210" s="350"/>
      <c r="Q210" s="350"/>
    </row>
    <row r="211" spans="1:17" s="348" customFormat="1" x14ac:dyDescent="0.2">
      <c r="A211" s="347"/>
      <c r="C211" s="349"/>
      <c r="E211" s="215"/>
      <c r="G211" s="246"/>
      <c r="H211" s="351"/>
      <c r="I211" s="351"/>
      <c r="J211" s="351"/>
      <c r="K211" s="351"/>
      <c r="L211" s="351"/>
      <c r="M211" s="351"/>
      <c r="N211" s="246"/>
      <c r="O211" s="246"/>
      <c r="P211" s="350"/>
      <c r="Q211" s="350"/>
    </row>
    <row r="212" spans="1:17" s="348" customFormat="1" x14ac:dyDescent="0.2">
      <c r="A212" s="347"/>
      <c r="C212" s="349"/>
      <c r="E212" s="215"/>
      <c r="G212" s="246"/>
      <c r="H212" s="351"/>
      <c r="I212" s="351"/>
      <c r="J212" s="351"/>
      <c r="K212" s="351"/>
      <c r="L212" s="351"/>
      <c r="M212" s="351"/>
      <c r="N212" s="246"/>
      <c r="O212" s="246"/>
      <c r="P212" s="350"/>
      <c r="Q212" s="350"/>
    </row>
    <row r="213" spans="1:17" s="348" customFormat="1" x14ac:dyDescent="0.2">
      <c r="A213" s="347"/>
      <c r="C213" s="349"/>
      <c r="E213" s="215"/>
      <c r="G213" s="246"/>
      <c r="H213" s="351"/>
      <c r="I213" s="351"/>
      <c r="J213" s="351"/>
      <c r="K213" s="351"/>
      <c r="L213" s="351"/>
      <c r="M213" s="351"/>
      <c r="N213" s="246"/>
      <c r="O213" s="246"/>
      <c r="P213" s="350"/>
      <c r="Q213" s="350"/>
    </row>
    <row r="214" spans="1:17" s="348" customFormat="1" x14ac:dyDescent="0.2">
      <c r="A214" s="347"/>
      <c r="C214" s="349"/>
      <c r="E214" s="215"/>
      <c r="G214" s="246"/>
      <c r="H214" s="351"/>
      <c r="I214" s="351"/>
      <c r="J214" s="351"/>
      <c r="K214" s="351"/>
      <c r="L214" s="351"/>
      <c r="M214" s="351"/>
      <c r="N214" s="246"/>
      <c r="O214" s="246"/>
      <c r="P214" s="350"/>
      <c r="Q214" s="350"/>
    </row>
  </sheetData>
  <mergeCells count="186">
    <mergeCell ref="E54:E55"/>
    <mergeCell ref="B56:B57"/>
    <mergeCell ref="C56:C57"/>
    <mergeCell ref="D56:D57"/>
    <mergeCell ref="E56:E57"/>
    <mergeCell ref="A5:B5"/>
    <mergeCell ref="B54:B55"/>
    <mergeCell ref="C54:C55"/>
    <mergeCell ref="D54:D55"/>
    <mergeCell ref="B62:B63"/>
    <mergeCell ref="C62:C63"/>
    <mergeCell ref="D62:D63"/>
    <mergeCell ref="E62:E63"/>
    <mergeCell ref="B60:B61"/>
    <mergeCell ref="C60:C61"/>
    <mergeCell ref="D60:D61"/>
    <mergeCell ref="E60:E61"/>
    <mergeCell ref="B58:B59"/>
    <mergeCell ref="C58:C59"/>
    <mergeCell ref="D58:D59"/>
    <mergeCell ref="E58:E59"/>
    <mergeCell ref="B68:B69"/>
    <mergeCell ref="C68:C69"/>
    <mergeCell ref="D68:D69"/>
    <mergeCell ref="E68:E69"/>
    <mergeCell ref="B66:B67"/>
    <mergeCell ref="C66:C67"/>
    <mergeCell ref="D66:D67"/>
    <mergeCell ref="E66:E67"/>
    <mergeCell ref="B64:B65"/>
    <mergeCell ref="C64:C65"/>
    <mergeCell ref="D64:D65"/>
    <mergeCell ref="E64:E65"/>
    <mergeCell ref="B74:B75"/>
    <mergeCell ref="C74:C75"/>
    <mergeCell ref="D74:D75"/>
    <mergeCell ref="E74:E75"/>
    <mergeCell ref="B72:B73"/>
    <mergeCell ref="C72:C73"/>
    <mergeCell ref="D72:D73"/>
    <mergeCell ref="E72:E73"/>
    <mergeCell ref="B70:B71"/>
    <mergeCell ref="C70:C71"/>
    <mergeCell ref="D70:D71"/>
    <mergeCell ref="E70:E71"/>
    <mergeCell ref="B80:B81"/>
    <mergeCell ref="C80:C81"/>
    <mergeCell ref="D80:D81"/>
    <mergeCell ref="E80:E81"/>
    <mergeCell ref="B78:B79"/>
    <mergeCell ref="C78:C79"/>
    <mergeCell ref="D78:D79"/>
    <mergeCell ref="E78:E79"/>
    <mergeCell ref="B76:B77"/>
    <mergeCell ref="C76:C77"/>
    <mergeCell ref="D76:D77"/>
    <mergeCell ref="E76:E77"/>
    <mergeCell ref="B86:B87"/>
    <mergeCell ref="C86:C87"/>
    <mergeCell ref="D86:D87"/>
    <mergeCell ref="E86:E87"/>
    <mergeCell ref="B84:B85"/>
    <mergeCell ref="C84:C85"/>
    <mergeCell ref="D84:D85"/>
    <mergeCell ref="E84:E85"/>
    <mergeCell ref="B82:B83"/>
    <mergeCell ref="C82:C83"/>
    <mergeCell ref="D82:D83"/>
    <mergeCell ref="E82:E83"/>
    <mergeCell ref="B92:B93"/>
    <mergeCell ref="C92:C93"/>
    <mergeCell ref="D92:D93"/>
    <mergeCell ref="E92:E93"/>
    <mergeCell ref="B90:B91"/>
    <mergeCell ref="C90:C91"/>
    <mergeCell ref="D90:D91"/>
    <mergeCell ref="E90:E91"/>
    <mergeCell ref="B88:B89"/>
    <mergeCell ref="C88:C89"/>
    <mergeCell ref="D88:D89"/>
    <mergeCell ref="E88:E89"/>
    <mergeCell ref="B98:B99"/>
    <mergeCell ref="C98:C99"/>
    <mergeCell ref="D98:D99"/>
    <mergeCell ref="E98:E99"/>
    <mergeCell ref="B96:B97"/>
    <mergeCell ref="C96:C97"/>
    <mergeCell ref="D96:D97"/>
    <mergeCell ref="E96:E97"/>
    <mergeCell ref="B94:B95"/>
    <mergeCell ref="C94:C95"/>
    <mergeCell ref="D94:D95"/>
    <mergeCell ref="E94:E95"/>
    <mergeCell ref="B104:B105"/>
    <mergeCell ref="C104:C105"/>
    <mergeCell ref="D104:D105"/>
    <mergeCell ref="E104:E105"/>
    <mergeCell ref="B102:B103"/>
    <mergeCell ref="C102:C103"/>
    <mergeCell ref="D102:D103"/>
    <mergeCell ref="E102:E103"/>
    <mergeCell ref="B100:B101"/>
    <mergeCell ref="C100:C101"/>
    <mergeCell ref="D100:D101"/>
    <mergeCell ref="E100:E101"/>
    <mergeCell ref="B110:B111"/>
    <mergeCell ref="C110:C111"/>
    <mergeCell ref="D110:D111"/>
    <mergeCell ref="E110:E111"/>
    <mergeCell ref="B108:B109"/>
    <mergeCell ref="C108:C109"/>
    <mergeCell ref="D108:D109"/>
    <mergeCell ref="E108:E109"/>
    <mergeCell ref="B106:B107"/>
    <mergeCell ref="C106:C107"/>
    <mergeCell ref="D106:D107"/>
    <mergeCell ref="E106:E107"/>
    <mergeCell ref="B116:B117"/>
    <mergeCell ref="C116:C117"/>
    <mergeCell ref="D116:D117"/>
    <mergeCell ref="E116:E117"/>
    <mergeCell ref="B114:B115"/>
    <mergeCell ref="C114:C115"/>
    <mergeCell ref="D114:D115"/>
    <mergeCell ref="E114:E115"/>
    <mergeCell ref="B112:B113"/>
    <mergeCell ref="C112:C113"/>
    <mergeCell ref="D112:D113"/>
    <mergeCell ref="E112:E113"/>
    <mergeCell ref="B122:B123"/>
    <mergeCell ref="C122:C123"/>
    <mergeCell ref="D122:D123"/>
    <mergeCell ref="E122:E123"/>
    <mergeCell ref="B120:B121"/>
    <mergeCell ref="C120:C121"/>
    <mergeCell ref="D120:D121"/>
    <mergeCell ref="E120:E121"/>
    <mergeCell ref="B118:B119"/>
    <mergeCell ref="C118:C119"/>
    <mergeCell ref="D118:D119"/>
    <mergeCell ref="E118:E119"/>
    <mergeCell ref="B128:B129"/>
    <mergeCell ref="C128:C129"/>
    <mergeCell ref="D128:D129"/>
    <mergeCell ref="E128:E129"/>
    <mergeCell ref="B126:B127"/>
    <mergeCell ref="C126:C127"/>
    <mergeCell ref="D126:D127"/>
    <mergeCell ref="E126:E127"/>
    <mergeCell ref="B124:B125"/>
    <mergeCell ref="C124:C125"/>
    <mergeCell ref="D124:D125"/>
    <mergeCell ref="E124:E125"/>
    <mergeCell ref="B134:B135"/>
    <mergeCell ref="C134:C135"/>
    <mergeCell ref="D134:D135"/>
    <mergeCell ref="E134:E135"/>
    <mergeCell ref="B132:B133"/>
    <mergeCell ref="C132:C133"/>
    <mergeCell ref="D132:D133"/>
    <mergeCell ref="E132:E133"/>
    <mergeCell ref="B130:B131"/>
    <mergeCell ref="C130:C131"/>
    <mergeCell ref="D130:D131"/>
    <mergeCell ref="E130:E131"/>
    <mergeCell ref="B140:B141"/>
    <mergeCell ref="C140:C141"/>
    <mergeCell ref="D140:D141"/>
    <mergeCell ref="E140:E141"/>
    <mergeCell ref="B138:B139"/>
    <mergeCell ref="C138:C139"/>
    <mergeCell ref="D138:D139"/>
    <mergeCell ref="E138:E139"/>
    <mergeCell ref="B136:B137"/>
    <mergeCell ref="C136:C137"/>
    <mergeCell ref="D136:D137"/>
    <mergeCell ref="E136:E137"/>
    <mergeCell ref="A149:B149"/>
    <mergeCell ref="B144:B145"/>
    <mergeCell ref="C144:C145"/>
    <mergeCell ref="D144:D145"/>
    <mergeCell ref="E144:E145"/>
    <mergeCell ref="B142:B143"/>
    <mergeCell ref="C142:C143"/>
    <mergeCell ref="D142:D143"/>
    <mergeCell ref="E142:E143"/>
  </mergeCells>
  <pageMargins left="0.23622047244094491" right="0.23622047244094491" top="0.74803149606299213" bottom="0.74803149606299213" header="0.31496062992125984" footer="0.31496062992125984"/>
  <pageSetup paperSize="9" scale="85"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2023.gada budzeta plans_apvieno</vt:lpstr>
      <vt:lpstr>4.piel_Saistibas</vt:lpstr>
      <vt:lpstr>'2023.gada budzeta plans_apvieno'!Print_Area</vt:lpstr>
      <vt:lpstr>'4.piel_Saistibas'!Print_Area</vt:lpstr>
      <vt:lpstr>'2023.gada budzeta plans_apvieno'!Print_Titles</vt:lpstr>
      <vt:lpstr>'4.piel_Saistibas'!Print_Titles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Linda Pavlovska</cp:lastModifiedBy>
  <dcterms:created xsi:type="dcterms:W3CDTF">2023-08-17T13:08:14Z</dcterms:created>
  <dcterms:modified xsi:type="dcterms:W3CDTF">2023-09-13T07:46:01Z</dcterms:modified>
</cp:coreProperties>
</file>