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Sintija.Tenisa\Nextcloud\Domes lēmui un protokoli\2023\08_AUGUSTS\23.08.2023\dokumentu PROJEKTI\"/>
    </mc:Choice>
  </mc:AlternateContent>
  <xr:revisionPtr revIDLastSave="0" documentId="8_{77D86DA1-2891-4E40-B7D8-3E39D3B7E1D3}" xr6:coauthVersionLast="47" xr6:coauthVersionMax="47" xr10:uidLastSave="{00000000-0000-0000-0000-000000000000}"/>
  <bookViews>
    <workbookView xWindow="-108" yWindow="-108" windowWidth="23256" windowHeight="12576" xr2:uid="{C690D6A9-8E0C-47DC-9586-E70829AF746F}"/>
  </bookViews>
  <sheets>
    <sheet name="2023.gada budzeta plans_apv" sheetId="3" r:id="rId1"/>
    <sheet name="Saistibas" sheetId="2" r:id="rId2"/>
  </sheets>
  <externalReferences>
    <externalReference r:id="rId3"/>
    <externalReference r:id="rId4"/>
    <externalReference r:id="rId5"/>
    <externalReference r:id="rId6"/>
  </externalReferences>
  <definedNames>
    <definedName name="_0812" localSheetId="0">[1]Groz_NIN_12_2014!#REF!</definedName>
    <definedName name="_0812" localSheetId="1">[1]Groz_NIN_12_2014!#REF!</definedName>
    <definedName name="_0812">[1]Groz_NIN_12_2014!#REF!</definedName>
    <definedName name="_xlnm._FilterDatabase" localSheetId="0" hidden="1">'2023.gada budzeta plans_apv'!#REF!</definedName>
    <definedName name="Apmaksa" localSheetId="0">[2]Apmaksa!$A:$A</definedName>
    <definedName name="Apmaksa" localSheetId="1">[3]Apmaksa!$A$1:$A$65536</definedName>
    <definedName name="Apmaksa">[3]Apmaksa!$A$1:$A$65536</definedName>
    <definedName name="Darijums" localSheetId="0">[2]Darijums!$A:$A</definedName>
    <definedName name="Darijums" localSheetId="1">[3]Darijums!$A$1:$A$65536</definedName>
    <definedName name="Darijums">[3]Darijums!$A$1:$A$65536</definedName>
    <definedName name="Excel_BuiltIn__FilterDatabase" localSheetId="0">[1]Groz_NIN_12_2014!#REF!</definedName>
    <definedName name="Excel_BuiltIn__FilterDatabase" localSheetId="1">[1]Groz_NIN_12_2014!#REF!</definedName>
    <definedName name="Excel_BuiltIn__FilterDatabase">[1]Groz_NIN_12_2014!#REF!</definedName>
    <definedName name="Firmas" localSheetId="0">[2]Firma!$A:$A</definedName>
    <definedName name="Firmas" localSheetId="1">[3]Firma!$A$1:$A$65536</definedName>
    <definedName name="Firmas">[3]Firma!$A$1:$A$65536</definedName>
    <definedName name="KolonnasNosaukums1" localSheetId="1">[4]!Piedāvājums[[#Headers],[Apraksts]]</definedName>
    <definedName name="KolonnasNosaukums1">[4]!Piedāvājums[[#Headers],[Apraksts]]</definedName>
    <definedName name="Parvadataji" localSheetId="0">[2]Ligumi!$A:$A</definedName>
    <definedName name="Parvadataji" localSheetId="1">[3]Ligumi!$A$1:$A$65536</definedName>
    <definedName name="Parvadataji">[3]Ligumi!$A$1:$A$65536</definedName>
    <definedName name="_xlnm.Print_Area" localSheetId="0">'2023.gada budzeta plans_apv'!$A$1:$I$279</definedName>
    <definedName name="_xlnm.Print_Area" localSheetId="1">Saistibas!$A$1:$R$178</definedName>
    <definedName name="_xlnm.Print_Titles" localSheetId="0">'2023.gada budzeta plans_apv'!$5:$5</definedName>
    <definedName name="_xlnm.Print_Titles" localSheetId="1">Saistibas!$6:$6</definedName>
    <definedName name="Saist_apmers_ar_galvojumu">[3]Ligumi!$A$1:$A$65536</definedName>
    <definedName name="Z_1893421C_DBAA_4C10_AA6C_4D0F39122205_.wvu.FilterData" localSheetId="0">[1]Groz_NIN_12_2014!#REF!</definedName>
    <definedName name="Z_1893421C_DBAA_4C10_AA6C_4D0F39122205_.wvu.FilterData" localSheetId="1">[1]Groz_NIN_12_2014!#REF!</definedName>
    <definedName name="Z_1893421C_DBAA_4C10_AA6C_4D0F39122205_.wvu.FilterData">[1]Groz_NIN_12_2014!#REF!</definedName>
    <definedName name="Z_483F8D4B_D649_4D59_A67B_5E8B6C0D2E28_.wvu.FilterData" localSheetId="0">[1]Groz_NIN_12_2014!#REF!</definedName>
    <definedName name="Z_483F8D4B_D649_4D59_A67B_5E8B6C0D2E28_.wvu.FilterData" localSheetId="1">[1]Groz_NIN_12_2014!#REF!</definedName>
    <definedName name="Z_483F8D4B_D649_4D59_A67B_5E8B6C0D2E28_.wvu.FilterData">[1]Groz_NIN_12_2014!#REF!</definedName>
    <definedName name="Z_56A06D27_97E5_4D01_ADCE_F8E0A2A870EF_.wvu.FilterData" localSheetId="0">[1]Groz_NIN_12_2014!#REF!</definedName>
    <definedName name="Z_56A06D27_97E5_4D01_ADCE_F8E0A2A870EF_.wvu.FilterData" localSheetId="1">[1]Groz_NIN_12_2014!#REF!</definedName>
    <definedName name="Z_56A06D27_97E5_4D01_ADCE_F8E0A2A870EF_.wvu.FilterData">[1]Groz_NIN_12_2014!#REF!</definedName>
    <definedName name="Z_81EB1DB6_89AB_4045_90FA_EF2BA7E792F9_.wvu.FilterData" localSheetId="0">[1]Groz_NIN_12_2014!#REF!</definedName>
    <definedName name="Z_81EB1DB6_89AB_4045_90FA_EF2BA7E792F9_.wvu.FilterData" localSheetId="1">[1]Groz_NIN_12_2014!#REF!</definedName>
    <definedName name="Z_81EB1DB6_89AB_4045_90FA_EF2BA7E792F9_.wvu.FilterData">[1]Groz_NIN_12_2014!#REF!</definedName>
    <definedName name="Z_81EB1DB6_89AB_4045_90FA_EF2BA7E792F9_.wvu.PrintArea" localSheetId="0">[1]Groz_NIN_12_2014!#REF!</definedName>
    <definedName name="Z_81EB1DB6_89AB_4045_90FA_EF2BA7E792F9_.wvu.PrintArea" localSheetId="1">[1]Groz_NIN_12_2014!#REF!</definedName>
    <definedName name="Z_81EB1DB6_89AB_4045_90FA_EF2BA7E792F9_.wvu.PrintArea">[1]Groz_NIN_12_2014!#REF!</definedName>
    <definedName name="Z_8545B4E6_A517_4BD7_BFB7_42FEB5F229AD_.wvu.FilterData" localSheetId="0">[1]Groz_NIN_12_2014!#REF!</definedName>
    <definedName name="Z_8545B4E6_A517_4BD7_BFB7_42FEB5F229AD_.wvu.FilterData" localSheetId="1">[1]Groz_NIN_12_2014!#REF!</definedName>
    <definedName name="Z_8545B4E6_A517_4BD7_BFB7_42FEB5F229AD_.wvu.FilterData">[1]Groz_NIN_12_2014!#REF!</definedName>
    <definedName name="Z_877A1030_2452_46B0_88DF_8A068656C08E_.wvu.FilterData" localSheetId="0">[1]Groz_NIN_12_2014!#REF!</definedName>
    <definedName name="Z_877A1030_2452_46B0_88DF_8A068656C08E_.wvu.FilterData" localSheetId="1">[1]Groz_NIN_12_2014!#REF!</definedName>
    <definedName name="Z_877A1030_2452_46B0_88DF_8A068656C08E_.wvu.FilterData">[1]Groz_NIN_12_2014!#REF!</definedName>
    <definedName name="Z_ABD8A783_3A6C_4629_9559_1E4E89E80131_.wvu.FilterData" localSheetId="0">[1]Groz_NIN_12_2014!#REF!</definedName>
    <definedName name="Z_ABD8A783_3A6C_4629_9559_1E4E89E80131_.wvu.FilterData" localSheetId="1">[1]Groz_NIN_12_2014!#REF!</definedName>
    <definedName name="Z_ABD8A783_3A6C_4629_9559_1E4E89E80131_.wvu.FilterData">[1]Groz_NIN_12_2014!#REF!</definedName>
    <definedName name="Z_AF277C95_CBD9_4696_AC72_D010599E9831_.wvu.FilterData" localSheetId="0">[1]Groz_NIN_12_2014!#REF!</definedName>
    <definedName name="Z_AF277C95_CBD9_4696_AC72_D010599E9831_.wvu.FilterData" localSheetId="1">[1]Groz_NIN_12_2014!#REF!</definedName>
    <definedName name="Z_AF277C95_CBD9_4696_AC72_D010599E9831_.wvu.FilterData">[1]Groz_NIN_12_2014!#REF!</definedName>
    <definedName name="Z_B7CBCF06_FF41_423A_9AB3_E1D1F70C6FC5_.wvu.FilterData" localSheetId="0">[1]Groz_NIN_12_2014!#REF!</definedName>
    <definedName name="Z_B7CBCF06_FF41_423A_9AB3_E1D1F70C6FC5_.wvu.FilterData" localSheetId="1">[1]Groz_NIN_12_2014!#REF!</definedName>
    <definedName name="Z_B7CBCF06_FF41_423A_9AB3_E1D1F70C6FC5_.wvu.FilterData">[1]Groz_NIN_12_2014!#REF!</definedName>
    <definedName name="Z_C5511FB8_86C5_41F3_ADCD_B10310F066F5_.wvu.FilterData" localSheetId="0">[1]Groz_NIN_12_2014!#REF!</definedName>
    <definedName name="Z_C5511FB8_86C5_41F3_ADCD_B10310F066F5_.wvu.FilterData" localSheetId="1">[1]Groz_NIN_12_2014!#REF!</definedName>
    <definedName name="Z_C5511FB8_86C5_41F3_ADCD_B10310F066F5_.wvu.FilterData">[1]Groz_NIN_12_2014!#REF!</definedName>
    <definedName name="Z_DB8ECBD1_2D44_4F97_BCC9_F610BA0A3109_.wvu.FilterData" localSheetId="0">[1]Groz_NIN_12_2014!#REF!</definedName>
    <definedName name="Z_DB8ECBD1_2D44_4F97_BCC9_F610BA0A3109_.wvu.FilterData" localSheetId="1">[1]Groz_NIN_12_2014!#REF!</definedName>
    <definedName name="Z_DB8ECBD1_2D44_4F97_BCC9_F610BA0A3109_.wvu.FilterData">[1]Groz_NIN_12_2014!#REF!</definedName>
    <definedName name="Z_DEE3A27E_689A_4E9F_A3EB_C84F1E3B413E_.wvu.FilterData" localSheetId="0">[1]Groz_NIN_12_2014!#REF!</definedName>
    <definedName name="Z_DEE3A27E_689A_4E9F_A3EB_C84F1E3B413E_.wvu.FilterData" localSheetId="1">[1]Groz_NIN_12_2014!#REF!</definedName>
    <definedName name="Z_DEE3A27E_689A_4E9F_A3EB_C84F1E3B413E_.wvu.FilterData">[1]Groz_NIN_12_2014!#REF!</definedName>
    <definedName name="Z_F1F489B9_0F61_4F1F_A151_75EF77465344_.wvu.Cols" localSheetId="0">[1]Groz_NIN_12_2014!#REF!</definedName>
    <definedName name="Z_F1F489B9_0F61_4F1F_A151_75EF77465344_.wvu.Cols" localSheetId="1">[1]Groz_NIN_12_2014!#REF!</definedName>
    <definedName name="Z_F1F489B9_0F61_4F1F_A151_75EF77465344_.wvu.Cols">[1]Groz_NIN_12_2014!#REF!</definedName>
    <definedName name="Z_F1F489B9_0F61_4F1F_A151_75EF77465344_.wvu.FilterData" localSheetId="0">[1]Groz_NIN_12_2014!#REF!</definedName>
    <definedName name="Z_F1F489B9_0F61_4F1F_A151_75EF77465344_.wvu.FilterData" localSheetId="1">[1]Groz_NIN_12_2014!#REF!</definedName>
    <definedName name="Z_F1F489B9_0F61_4F1F_A151_75EF77465344_.wvu.FilterData">[1]Groz_NIN_12_2014!#REF!</definedName>
    <definedName name="Z_F1F489B9_0F61_4F1F_A151_75EF77465344_.wvu.PrintArea" localSheetId="0">[1]Groz_NIN_12_2014!#REF!</definedName>
    <definedName name="Z_F1F489B9_0F61_4F1F_A151_75EF77465344_.wvu.PrintArea" localSheetId="1">[1]Groz_NIN_12_2014!#REF!</definedName>
    <definedName name="Z_F1F489B9_0F61_4F1F_A151_75EF77465344_.wvu.PrintArea">[1]Groz_NIN_12_2014!#REF!</definedName>
    <definedName name="Z_F1F489B9_0F61_4F1F_A151_75EF77465344_.wvu.PrintTitles" localSheetId="0">[1]Groz_NIN_12_2014!#REF!</definedName>
    <definedName name="Z_F1F489B9_0F61_4F1F_A151_75EF77465344_.wvu.PrintTitles" localSheetId="1">[1]Groz_NIN_12_2014!#REF!</definedName>
    <definedName name="Z_F1F489B9_0F61_4F1F_A151_75EF77465344_.wvu.PrintTitles">[1]Groz_NIN_12_2014!#REF!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47" i="3" l="1"/>
  <c r="M197" i="3"/>
  <c r="D277" i="3"/>
  <c r="N275" i="3"/>
  <c r="K275" i="3"/>
  <c r="H275" i="3"/>
  <c r="E275" i="3"/>
  <c r="N274" i="3"/>
  <c r="K274" i="3"/>
  <c r="H274" i="3"/>
  <c r="E274" i="3"/>
  <c r="M273" i="3"/>
  <c r="J273" i="3"/>
  <c r="G273" i="3"/>
  <c r="D273" i="3"/>
  <c r="E273" i="3" s="1"/>
  <c r="D272" i="3"/>
  <c r="G272" i="3" s="1"/>
  <c r="H272" i="3" s="1"/>
  <c r="D271" i="3"/>
  <c r="D269" i="3"/>
  <c r="D268" i="3"/>
  <c r="D267" i="3"/>
  <c r="G267" i="3" s="1"/>
  <c r="D266" i="3"/>
  <c r="G266" i="3" s="1"/>
  <c r="D265" i="3"/>
  <c r="E265" i="3" s="1"/>
  <c r="D264" i="3"/>
  <c r="G264" i="3" s="1"/>
  <c r="H264" i="3" s="1"/>
  <c r="D263" i="3"/>
  <c r="G263" i="3" s="1"/>
  <c r="J263" i="3" s="1"/>
  <c r="D261" i="3"/>
  <c r="D260" i="3"/>
  <c r="D258" i="3"/>
  <c r="G258" i="3" s="1"/>
  <c r="D257" i="3"/>
  <c r="G257" i="3" s="1"/>
  <c r="D255" i="3"/>
  <c r="G255" i="3" s="1"/>
  <c r="H255" i="3" s="1"/>
  <c r="D254" i="3"/>
  <c r="G254" i="3" s="1"/>
  <c r="H254" i="3" s="1"/>
  <c r="D253" i="3"/>
  <c r="G253" i="3" s="1"/>
  <c r="J253" i="3" s="1"/>
  <c r="D252" i="3"/>
  <c r="G252" i="3" s="1"/>
  <c r="D251" i="3"/>
  <c r="D250" i="3"/>
  <c r="G250" i="3" s="1"/>
  <c r="D249" i="3"/>
  <c r="G249" i="3" s="1"/>
  <c r="D247" i="3"/>
  <c r="G247" i="3" s="1"/>
  <c r="H247" i="3" s="1"/>
  <c r="D246" i="3"/>
  <c r="G246" i="3" s="1"/>
  <c r="D245" i="3"/>
  <c r="G245" i="3" s="1"/>
  <c r="H245" i="3" s="1"/>
  <c r="D244" i="3"/>
  <c r="G244" i="3" s="1"/>
  <c r="D243" i="3"/>
  <c r="G243" i="3" s="1"/>
  <c r="H243" i="3" s="1"/>
  <c r="D242" i="3"/>
  <c r="G242" i="3" s="1"/>
  <c r="H242" i="3" s="1"/>
  <c r="D241" i="3"/>
  <c r="E241" i="3" s="1"/>
  <c r="D240" i="3"/>
  <c r="E240" i="3" s="1"/>
  <c r="D238" i="3"/>
  <c r="G238" i="3" s="1"/>
  <c r="D237" i="3"/>
  <c r="E237" i="3" s="1"/>
  <c r="D236" i="3"/>
  <c r="E236" i="3" s="1"/>
  <c r="D234" i="3"/>
  <c r="D233" i="3"/>
  <c r="G233" i="3" s="1"/>
  <c r="H233" i="3" s="1"/>
  <c r="D232" i="3"/>
  <c r="E232" i="3" s="1"/>
  <c r="D230" i="3"/>
  <c r="G230" i="3" s="1"/>
  <c r="J230" i="3" s="1"/>
  <c r="D229" i="3"/>
  <c r="E229" i="3" s="1"/>
  <c r="D228" i="3"/>
  <c r="G228" i="3" s="1"/>
  <c r="D226" i="3"/>
  <c r="E226" i="3" s="1"/>
  <c r="D225" i="3"/>
  <c r="E225" i="3" s="1"/>
  <c r="D223" i="3"/>
  <c r="D222" i="3"/>
  <c r="G222" i="3" s="1"/>
  <c r="D220" i="3"/>
  <c r="E220" i="3" s="1"/>
  <c r="D218" i="3"/>
  <c r="G218" i="3" s="1"/>
  <c r="H218" i="3" s="1"/>
  <c r="D217" i="3"/>
  <c r="G217" i="3" s="1"/>
  <c r="H217" i="3" s="1"/>
  <c r="D216" i="3"/>
  <c r="G216" i="3" s="1"/>
  <c r="H216" i="3" s="1"/>
  <c r="D215" i="3"/>
  <c r="G215" i="3" s="1"/>
  <c r="D214" i="3"/>
  <c r="G214" i="3" s="1"/>
  <c r="D213" i="3"/>
  <c r="G213" i="3" s="1"/>
  <c r="D212" i="3"/>
  <c r="D211" i="3"/>
  <c r="G211" i="3" s="1"/>
  <c r="D209" i="3"/>
  <c r="G209" i="3" s="1"/>
  <c r="H209" i="3" s="1"/>
  <c r="D208" i="3"/>
  <c r="E208" i="3" s="1"/>
  <c r="D206" i="3"/>
  <c r="E206" i="3" s="1"/>
  <c r="D205" i="3"/>
  <c r="G205" i="3" s="1"/>
  <c r="D204" i="3"/>
  <c r="E204" i="3" s="1"/>
  <c r="D203" i="3"/>
  <c r="E203" i="3" s="1"/>
  <c r="D202" i="3"/>
  <c r="G202" i="3" s="1"/>
  <c r="H202" i="3" s="1"/>
  <c r="D199" i="3"/>
  <c r="D198" i="3"/>
  <c r="D197" i="3"/>
  <c r="D196" i="3"/>
  <c r="G196" i="3" s="1"/>
  <c r="D195" i="3"/>
  <c r="G195" i="3" s="1"/>
  <c r="H195" i="3" s="1"/>
  <c r="D194" i="3"/>
  <c r="G194" i="3" s="1"/>
  <c r="H194" i="3" s="1"/>
  <c r="D193" i="3"/>
  <c r="G193" i="3" s="1"/>
  <c r="H193" i="3" s="1"/>
  <c r="D192" i="3"/>
  <c r="G192" i="3" s="1"/>
  <c r="D191" i="3"/>
  <c r="G191" i="3" s="1"/>
  <c r="D190" i="3"/>
  <c r="D189" i="3"/>
  <c r="G189" i="3" s="1"/>
  <c r="D186" i="3"/>
  <c r="G186" i="3" s="1"/>
  <c r="J186" i="3" s="1"/>
  <c r="M186" i="3" s="1"/>
  <c r="N186" i="3" s="1"/>
  <c r="D185" i="3"/>
  <c r="G185" i="3" s="1"/>
  <c r="D184" i="3"/>
  <c r="D183" i="3"/>
  <c r="G183" i="3" s="1"/>
  <c r="D182" i="3"/>
  <c r="G182" i="3" s="1"/>
  <c r="D181" i="3"/>
  <c r="E181" i="3" s="1"/>
  <c r="D180" i="3"/>
  <c r="E180" i="3" s="1"/>
  <c r="D179" i="3"/>
  <c r="G179" i="3" s="1"/>
  <c r="J179" i="3" s="1"/>
  <c r="D178" i="3"/>
  <c r="E178" i="3" s="1"/>
  <c r="D177" i="3"/>
  <c r="E177" i="3" s="1"/>
  <c r="D176" i="3"/>
  <c r="E176" i="3" s="1"/>
  <c r="D175" i="3"/>
  <c r="G175" i="3" s="1"/>
  <c r="D173" i="3"/>
  <c r="D172" i="3"/>
  <c r="G172" i="3" s="1"/>
  <c r="J172" i="3" s="1"/>
  <c r="D171" i="3"/>
  <c r="E171" i="3" s="1"/>
  <c r="D170" i="3"/>
  <c r="G170" i="3" s="1"/>
  <c r="D169" i="3"/>
  <c r="G169" i="3" s="1"/>
  <c r="M167" i="3"/>
  <c r="N167" i="3" s="1"/>
  <c r="J167" i="3"/>
  <c r="G167" i="3"/>
  <c r="H167" i="3" s="1"/>
  <c r="E167" i="3"/>
  <c r="M166" i="3"/>
  <c r="J166" i="3"/>
  <c r="G166" i="3"/>
  <c r="H166" i="3" s="1"/>
  <c r="E166" i="3"/>
  <c r="M165" i="3"/>
  <c r="J165" i="3"/>
  <c r="G165" i="3"/>
  <c r="D165" i="3"/>
  <c r="E165" i="3" s="1"/>
  <c r="D164" i="3"/>
  <c r="E164" i="3" s="1"/>
  <c r="D163" i="3"/>
  <c r="E163" i="3" s="1"/>
  <c r="D162" i="3"/>
  <c r="G162" i="3" s="1"/>
  <c r="D161" i="3"/>
  <c r="E161" i="3" s="1"/>
  <c r="D160" i="3"/>
  <c r="D159" i="3"/>
  <c r="E159" i="3" s="1"/>
  <c r="D158" i="3"/>
  <c r="G158" i="3" s="1"/>
  <c r="D156" i="3"/>
  <c r="E156" i="3" s="1"/>
  <c r="D155" i="3"/>
  <c r="G155" i="3" s="1"/>
  <c r="D154" i="3"/>
  <c r="G154" i="3" s="1"/>
  <c r="J154" i="3" s="1"/>
  <c r="K154" i="3" s="1"/>
  <c r="D152" i="3"/>
  <c r="E152" i="3" s="1"/>
  <c r="D150" i="3"/>
  <c r="G150" i="3" s="1"/>
  <c r="D149" i="3"/>
  <c r="D148" i="3"/>
  <c r="E148" i="3" s="1"/>
  <c r="E147" i="3" s="1"/>
  <c r="D145" i="3"/>
  <c r="E145" i="3" s="1"/>
  <c r="D144" i="3"/>
  <c r="E144" i="3" s="1"/>
  <c r="D143" i="3"/>
  <c r="G143" i="3" s="1"/>
  <c r="D142" i="3"/>
  <c r="G142" i="3" s="1"/>
  <c r="J142" i="3" s="1"/>
  <c r="D141" i="3"/>
  <c r="G141" i="3" s="1"/>
  <c r="D140" i="3"/>
  <c r="G140" i="3" s="1"/>
  <c r="D139" i="3"/>
  <c r="E139" i="3" s="1"/>
  <c r="D138" i="3"/>
  <c r="G138" i="3" s="1"/>
  <c r="D137" i="3"/>
  <c r="E137" i="3" s="1"/>
  <c r="D136" i="3"/>
  <c r="G136" i="3" s="1"/>
  <c r="D135" i="3"/>
  <c r="G135" i="3" s="1"/>
  <c r="D134" i="3"/>
  <c r="E134" i="3" s="1"/>
  <c r="N126" i="3"/>
  <c r="D125" i="3"/>
  <c r="G125" i="3" s="1"/>
  <c r="D124" i="3"/>
  <c r="G124" i="3" s="1"/>
  <c r="E123" i="3"/>
  <c r="D123" i="3"/>
  <c r="G123" i="3" s="1"/>
  <c r="D122" i="3"/>
  <c r="G122" i="3" s="1"/>
  <c r="D121" i="3"/>
  <c r="G121" i="3" s="1"/>
  <c r="D120" i="3"/>
  <c r="G120" i="3" s="1"/>
  <c r="D119" i="3"/>
  <c r="G119" i="3" s="1"/>
  <c r="J119" i="3" s="1"/>
  <c r="D118" i="3"/>
  <c r="D117" i="3"/>
  <c r="D116" i="3"/>
  <c r="G116" i="3" s="1"/>
  <c r="D115" i="3"/>
  <c r="E115" i="3" s="1"/>
  <c r="D114" i="3"/>
  <c r="D113" i="3"/>
  <c r="E113" i="3" s="1"/>
  <c r="D111" i="3"/>
  <c r="D110" i="3"/>
  <c r="E110" i="3" s="1"/>
  <c r="D107" i="3"/>
  <c r="E107" i="3" s="1"/>
  <c r="D106" i="3"/>
  <c r="E106" i="3" s="1"/>
  <c r="D105" i="3"/>
  <c r="E105" i="3" s="1"/>
  <c r="D104" i="3"/>
  <c r="E104" i="3" s="1"/>
  <c r="D102" i="3"/>
  <c r="G102" i="3" s="1"/>
  <c r="D101" i="3"/>
  <c r="G101" i="3" s="1"/>
  <c r="D100" i="3"/>
  <c r="E100" i="3" s="1"/>
  <c r="D98" i="3"/>
  <c r="D96" i="3" s="1"/>
  <c r="E96" i="3" s="1"/>
  <c r="N97" i="3"/>
  <c r="K97" i="3"/>
  <c r="H97" i="3"/>
  <c r="E97" i="3"/>
  <c r="D95" i="3"/>
  <c r="D94" i="3"/>
  <c r="D91" i="3"/>
  <c r="E91" i="3" s="1"/>
  <c r="D90" i="3"/>
  <c r="D88" i="3"/>
  <c r="G88" i="3" s="1"/>
  <c r="D87" i="3"/>
  <c r="E87" i="3" s="1"/>
  <c r="D86" i="3"/>
  <c r="E86" i="3" s="1"/>
  <c r="D85" i="3"/>
  <c r="G85" i="3" s="1"/>
  <c r="D84" i="3"/>
  <c r="G84" i="3" s="1"/>
  <c r="D83" i="3"/>
  <c r="G83" i="3" s="1"/>
  <c r="D82" i="3"/>
  <c r="G82" i="3" s="1"/>
  <c r="D81" i="3"/>
  <c r="G81" i="3" s="1"/>
  <c r="D80" i="3"/>
  <c r="G80" i="3" s="1"/>
  <c r="D79" i="3"/>
  <c r="G79" i="3" s="1"/>
  <c r="D78" i="3"/>
  <c r="G78" i="3" s="1"/>
  <c r="D77" i="3"/>
  <c r="G77" i="3" s="1"/>
  <c r="D76" i="3"/>
  <c r="E76" i="3" s="1"/>
  <c r="D75" i="3"/>
  <c r="G75" i="3" s="1"/>
  <c r="H75" i="3" s="1"/>
  <c r="D74" i="3"/>
  <c r="E74" i="3" s="1"/>
  <c r="D73" i="3"/>
  <c r="E73" i="3" s="1"/>
  <c r="D72" i="3"/>
  <c r="G72" i="3" s="1"/>
  <c r="D71" i="3"/>
  <c r="G71" i="3" s="1"/>
  <c r="D70" i="3"/>
  <c r="E70" i="3" s="1"/>
  <c r="D69" i="3"/>
  <c r="G69" i="3" s="1"/>
  <c r="H69" i="3" s="1"/>
  <c r="D68" i="3"/>
  <c r="G68" i="3" s="1"/>
  <c r="D66" i="3"/>
  <c r="G66" i="3" s="1"/>
  <c r="D65" i="3"/>
  <c r="G65" i="3" s="1"/>
  <c r="J65" i="3" s="1"/>
  <c r="D64" i="3"/>
  <c r="E64" i="3" s="1"/>
  <c r="D63" i="3"/>
  <c r="G63" i="3" s="1"/>
  <c r="D62" i="3"/>
  <c r="G62" i="3" s="1"/>
  <c r="N61" i="3"/>
  <c r="K61" i="3"/>
  <c r="H61" i="3"/>
  <c r="D60" i="3"/>
  <c r="E60" i="3" s="1"/>
  <c r="D59" i="3"/>
  <c r="G59" i="3" s="1"/>
  <c r="D58" i="3"/>
  <c r="D57" i="3"/>
  <c r="G57" i="3" s="1"/>
  <c r="D56" i="3"/>
  <c r="D55" i="3"/>
  <c r="E55" i="3" s="1"/>
  <c r="D54" i="3"/>
  <c r="G54" i="3" s="1"/>
  <c r="J54" i="3" s="1"/>
  <c r="D53" i="3"/>
  <c r="E53" i="3" s="1"/>
  <c r="N51" i="3"/>
  <c r="K51" i="3"/>
  <c r="H51" i="3"/>
  <c r="E51" i="3"/>
  <c r="M50" i="3"/>
  <c r="N50" i="3" s="1"/>
  <c r="J50" i="3"/>
  <c r="K50" i="3" s="1"/>
  <c r="H50" i="3"/>
  <c r="E50" i="3"/>
  <c r="J49" i="3"/>
  <c r="G49" i="3"/>
  <c r="D49" i="3"/>
  <c r="E49" i="3" s="1"/>
  <c r="D48" i="3"/>
  <c r="G48" i="3" s="1"/>
  <c r="D47" i="3"/>
  <c r="G47" i="3" s="1"/>
  <c r="D46" i="3"/>
  <c r="G46" i="3" s="1"/>
  <c r="D43" i="3"/>
  <c r="G43" i="3" s="1"/>
  <c r="J43" i="3" s="1"/>
  <c r="D42" i="3"/>
  <c r="G42" i="3" s="1"/>
  <c r="J42" i="3" s="1"/>
  <c r="D41" i="3"/>
  <c r="G41" i="3" s="1"/>
  <c r="H41" i="3" s="1"/>
  <c r="D40" i="3"/>
  <c r="G40" i="3" s="1"/>
  <c r="J40" i="3" s="1"/>
  <c r="D38" i="3"/>
  <c r="D37" i="3"/>
  <c r="G37" i="3" s="1"/>
  <c r="D35" i="3"/>
  <c r="G35" i="3" s="1"/>
  <c r="D34" i="3"/>
  <c r="G34" i="3" s="1"/>
  <c r="H34" i="3" s="1"/>
  <c r="D33" i="3"/>
  <c r="G33" i="3" s="1"/>
  <c r="D32" i="3"/>
  <c r="E32" i="3" s="1"/>
  <c r="D31" i="3"/>
  <c r="G31" i="3" s="1"/>
  <c r="D30" i="3"/>
  <c r="G30" i="3" s="1"/>
  <c r="D29" i="3"/>
  <c r="D27" i="3"/>
  <c r="G27" i="3" s="1"/>
  <c r="D26" i="3"/>
  <c r="G26" i="3" s="1"/>
  <c r="D25" i="3"/>
  <c r="E25" i="3" s="1"/>
  <c r="D22" i="3"/>
  <c r="E22" i="3" s="1"/>
  <c r="D21" i="3"/>
  <c r="E21" i="3" s="1"/>
  <c r="D19" i="3"/>
  <c r="E19" i="3" s="1"/>
  <c r="D18" i="3"/>
  <c r="E18" i="3" s="1"/>
  <c r="D16" i="3"/>
  <c r="D15" i="3"/>
  <c r="D13" i="3"/>
  <c r="E13" i="3" s="1"/>
  <c r="D12" i="3"/>
  <c r="E12" i="3" s="1"/>
  <c r="M9" i="3"/>
  <c r="J9" i="3"/>
  <c r="G9" i="3"/>
  <c r="D9" i="3"/>
  <c r="E9" i="3" s="1"/>
  <c r="D8" i="3"/>
  <c r="E8" i="3" s="1"/>
  <c r="N165" i="3" l="1"/>
  <c r="K49" i="3"/>
  <c r="K273" i="3"/>
  <c r="D89" i="3"/>
  <c r="E89" i="3" s="1"/>
  <c r="N273" i="3"/>
  <c r="G206" i="3"/>
  <c r="J206" i="3" s="1"/>
  <c r="D7" i="3"/>
  <c r="E7" i="3" s="1"/>
  <c r="E243" i="3"/>
  <c r="E69" i="3"/>
  <c r="E119" i="3"/>
  <c r="G53" i="3"/>
  <c r="J53" i="3" s="1"/>
  <c r="M53" i="3" s="1"/>
  <c r="K166" i="3"/>
  <c r="E242" i="3"/>
  <c r="J247" i="3"/>
  <c r="E155" i="3"/>
  <c r="G237" i="3"/>
  <c r="J237" i="3" s="1"/>
  <c r="K237" i="3" s="1"/>
  <c r="G21" i="3"/>
  <c r="J21" i="3" s="1"/>
  <c r="E34" i="3"/>
  <c r="J254" i="3"/>
  <c r="H165" i="3"/>
  <c r="E238" i="3"/>
  <c r="G139" i="3"/>
  <c r="J139" i="3" s="1"/>
  <c r="N9" i="3"/>
  <c r="G152" i="3"/>
  <c r="G151" i="3" s="1"/>
  <c r="E183" i="3"/>
  <c r="M49" i="3"/>
  <c r="N49" i="3" s="1"/>
  <c r="E267" i="3"/>
  <c r="G22" i="3"/>
  <c r="J22" i="3" s="1"/>
  <c r="E121" i="3"/>
  <c r="E136" i="3"/>
  <c r="G148" i="3"/>
  <c r="H148" i="3" s="1"/>
  <c r="N166" i="3"/>
  <c r="E214" i="3"/>
  <c r="E272" i="3"/>
  <c r="E143" i="3"/>
  <c r="D151" i="3"/>
  <c r="E151" i="3" s="1"/>
  <c r="E193" i="3"/>
  <c r="D20" i="3"/>
  <c r="E20" i="3" s="1"/>
  <c r="K165" i="3"/>
  <c r="D201" i="3"/>
  <c r="G204" i="3"/>
  <c r="E252" i="3"/>
  <c r="E263" i="3"/>
  <c r="E142" i="3"/>
  <c r="D147" i="3"/>
  <c r="D146" i="3" s="1"/>
  <c r="E222" i="3"/>
  <c r="D224" i="3"/>
  <c r="E224" i="3" s="1"/>
  <c r="G226" i="3"/>
  <c r="H226" i="3" s="1"/>
  <c r="G8" i="3"/>
  <c r="J8" i="3" s="1"/>
  <c r="J7" i="3" s="1"/>
  <c r="E47" i="3"/>
  <c r="E59" i="3"/>
  <c r="E63" i="3"/>
  <c r="G76" i="3"/>
  <c r="J76" i="3" s="1"/>
  <c r="G12" i="3"/>
  <c r="J12" i="3" s="1"/>
  <c r="D28" i="3"/>
  <c r="E28" i="3" s="1"/>
  <c r="E66" i="3"/>
  <c r="E170" i="3"/>
  <c r="D270" i="3"/>
  <c r="E270" i="3" s="1"/>
  <c r="D11" i="3"/>
  <c r="E11" i="3" s="1"/>
  <c r="H49" i="3"/>
  <c r="G73" i="3"/>
  <c r="J73" i="3" s="1"/>
  <c r="K73" i="3" s="1"/>
  <c r="G100" i="3"/>
  <c r="J100" i="3" s="1"/>
  <c r="G113" i="3"/>
  <c r="H113" i="3" s="1"/>
  <c r="G164" i="3"/>
  <c r="H164" i="3" s="1"/>
  <c r="H9" i="3"/>
  <c r="E48" i="3"/>
  <c r="G110" i="3"/>
  <c r="J110" i="3" s="1"/>
  <c r="K167" i="3"/>
  <c r="G176" i="3"/>
  <c r="H176" i="3" s="1"/>
  <c r="G225" i="3"/>
  <c r="J225" i="3" s="1"/>
  <c r="J243" i="3"/>
  <c r="M243" i="3" s="1"/>
  <c r="N243" i="3" s="1"/>
  <c r="E247" i="3"/>
  <c r="G180" i="3"/>
  <c r="H180" i="3" s="1"/>
  <c r="G203" i="3"/>
  <c r="H203" i="3" s="1"/>
  <c r="E244" i="3"/>
  <c r="E255" i="3"/>
  <c r="G64" i="3"/>
  <c r="J64" i="3" s="1"/>
  <c r="H228" i="3"/>
  <c r="J228" i="3"/>
  <c r="M228" i="3" s="1"/>
  <c r="J136" i="3"/>
  <c r="K136" i="3" s="1"/>
  <c r="H136" i="3"/>
  <c r="J141" i="3"/>
  <c r="H141" i="3"/>
  <c r="H258" i="3"/>
  <c r="J258" i="3"/>
  <c r="M258" i="3" s="1"/>
  <c r="N258" i="3" s="1"/>
  <c r="H211" i="3"/>
  <c r="J211" i="3"/>
  <c r="M211" i="3" s="1"/>
  <c r="J138" i="3"/>
  <c r="H138" i="3"/>
  <c r="J252" i="3"/>
  <c r="K252" i="3" s="1"/>
  <c r="H252" i="3"/>
  <c r="H33" i="3"/>
  <c r="J33" i="3"/>
  <c r="H150" i="3"/>
  <c r="J150" i="3"/>
  <c r="K253" i="3"/>
  <c r="M253" i="3"/>
  <c r="N253" i="3" s="1"/>
  <c r="J135" i="3"/>
  <c r="H135" i="3"/>
  <c r="J140" i="3"/>
  <c r="H140" i="3"/>
  <c r="H43" i="3"/>
  <c r="E124" i="3"/>
  <c r="G177" i="3"/>
  <c r="E253" i="3"/>
  <c r="G19" i="3"/>
  <c r="E27" i="3"/>
  <c r="E33" i="3"/>
  <c r="D52" i="3"/>
  <c r="E52" i="3" s="1"/>
  <c r="E54" i="3"/>
  <c r="G87" i="3"/>
  <c r="G107" i="3"/>
  <c r="H107" i="3" s="1"/>
  <c r="E116" i="3"/>
  <c r="G137" i="3"/>
  <c r="G145" i="3"/>
  <c r="G149" i="3"/>
  <c r="E179" i="3"/>
  <c r="J209" i="3"/>
  <c r="J217" i="3"/>
  <c r="E230" i="3"/>
  <c r="D235" i="3"/>
  <c r="E235" i="3" s="1"/>
  <c r="G240" i="3"/>
  <c r="H240" i="3" s="1"/>
  <c r="J242" i="3"/>
  <c r="E264" i="3"/>
  <c r="E84" i="3"/>
  <c r="E209" i="3"/>
  <c r="E217" i="3"/>
  <c r="G232" i="3"/>
  <c r="J232" i="3" s="1"/>
  <c r="G105" i="3"/>
  <c r="H105" i="3" s="1"/>
  <c r="E122" i="3"/>
  <c r="E135" i="3"/>
  <c r="G171" i="3"/>
  <c r="H179" i="3"/>
  <c r="E205" i="3"/>
  <c r="E228" i="3"/>
  <c r="H230" i="3"/>
  <c r="E258" i="3"/>
  <c r="E140" i="3"/>
  <c r="G161" i="3"/>
  <c r="M179" i="3"/>
  <c r="N179" i="3" s="1"/>
  <c r="E182" i="3"/>
  <c r="D207" i="3"/>
  <c r="E207" i="3" s="1"/>
  <c r="E215" i="3"/>
  <c r="J233" i="3"/>
  <c r="K233" i="3" s="1"/>
  <c r="E245" i="3"/>
  <c r="D262" i="3"/>
  <c r="E262" i="3" s="1"/>
  <c r="G13" i="3"/>
  <c r="E31" i="3"/>
  <c r="E68" i="3"/>
  <c r="G74" i="3"/>
  <c r="J74" i="3" s="1"/>
  <c r="E85" i="3"/>
  <c r="E101" i="3"/>
  <c r="D103" i="3"/>
  <c r="E103" i="3" s="1"/>
  <c r="G156" i="3"/>
  <c r="J156" i="3" s="1"/>
  <c r="J193" i="3"/>
  <c r="E40" i="3"/>
  <c r="D17" i="3"/>
  <c r="E17" i="3" s="1"/>
  <c r="E41" i="3"/>
  <c r="E120" i="3"/>
  <c r="E125" i="3"/>
  <c r="D133" i="3"/>
  <c r="E133" i="3" s="1"/>
  <c r="E138" i="3"/>
  <c r="D256" i="3"/>
  <c r="G25" i="3"/>
  <c r="G24" i="3" s="1"/>
  <c r="G55" i="3"/>
  <c r="E90" i="3"/>
  <c r="G106" i="3"/>
  <c r="E162" i="3"/>
  <c r="E172" i="3"/>
  <c r="J176" i="3"/>
  <c r="G178" i="3"/>
  <c r="E213" i="3"/>
  <c r="J218" i="3"/>
  <c r="H225" i="3"/>
  <c r="D231" i="3"/>
  <c r="E231" i="3" s="1"/>
  <c r="G236" i="3"/>
  <c r="G241" i="3"/>
  <c r="E246" i="3"/>
  <c r="E249" i="3"/>
  <c r="E271" i="3"/>
  <c r="E102" i="3"/>
  <c r="G134" i="3"/>
  <c r="E141" i="3"/>
  <c r="G144" i="3"/>
  <c r="J144" i="3" s="1"/>
  <c r="K144" i="3" s="1"/>
  <c r="E150" i="3"/>
  <c r="D157" i="3"/>
  <c r="G163" i="3"/>
  <c r="H163" i="3" s="1"/>
  <c r="E186" i="3"/>
  <c r="H206" i="3"/>
  <c r="E211" i="3"/>
  <c r="G147" i="3"/>
  <c r="G146" i="3" s="1"/>
  <c r="H146" i="3" s="1"/>
  <c r="G32" i="3"/>
  <c r="E83" i="3"/>
  <c r="G18" i="3"/>
  <c r="J34" i="3"/>
  <c r="K34" i="3" s="1"/>
  <c r="G60" i="3"/>
  <c r="J60" i="3" s="1"/>
  <c r="M60" i="3" s="1"/>
  <c r="N60" i="3" s="1"/>
  <c r="G91" i="3"/>
  <c r="J91" i="3" s="1"/>
  <c r="M91" i="3" s="1"/>
  <c r="N91" i="3" s="1"/>
  <c r="G104" i="3"/>
  <c r="H104" i="3" s="1"/>
  <c r="G115" i="3"/>
  <c r="J115" i="3" s="1"/>
  <c r="J148" i="3"/>
  <c r="E160" i="3"/>
  <c r="H186" i="3"/>
  <c r="E194" i="3"/>
  <c r="G208" i="3"/>
  <c r="G207" i="3" s="1"/>
  <c r="E216" i="3"/>
  <c r="D239" i="3"/>
  <c r="E239" i="3" s="1"/>
  <c r="E257" i="3"/>
  <c r="G265" i="3"/>
  <c r="J265" i="3" s="1"/>
  <c r="E75" i="3"/>
  <c r="G86" i="3"/>
  <c r="J86" i="3" s="1"/>
  <c r="K86" i="3" s="1"/>
  <c r="G70" i="3"/>
  <c r="J70" i="3" s="1"/>
  <c r="M70" i="3" s="1"/>
  <c r="N70" i="3" s="1"/>
  <c r="K186" i="3"/>
  <c r="E202" i="3"/>
  <c r="G220" i="3"/>
  <c r="J220" i="3" s="1"/>
  <c r="M40" i="3"/>
  <c r="K40" i="3"/>
  <c r="M42" i="3"/>
  <c r="N42" i="3" s="1"/>
  <c r="K42" i="3"/>
  <c r="M65" i="3"/>
  <c r="N65" i="3" s="1"/>
  <c r="K65" i="3"/>
  <c r="M12" i="3"/>
  <c r="K12" i="3"/>
  <c r="J27" i="3"/>
  <c r="H27" i="3"/>
  <c r="J47" i="3"/>
  <c r="H47" i="3"/>
  <c r="H65" i="3"/>
  <c r="J80" i="3"/>
  <c r="H80" i="3"/>
  <c r="J59" i="3"/>
  <c r="H59" i="3"/>
  <c r="J69" i="3"/>
  <c r="J75" i="3"/>
  <c r="J85" i="3"/>
  <c r="H85" i="3"/>
  <c r="G38" i="3"/>
  <c r="E38" i="3"/>
  <c r="D36" i="3"/>
  <c r="E36" i="3" s="1"/>
  <c r="K9" i="3"/>
  <c r="G29" i="3"/>
  <c r="E29" i="3"/>
  <c r="H42" i="3"/>
  <c r="G56" i="3"/>
  <c r="E56" i="3"/>
  <c r="M73" i="3"/>
  <c r="N73" i="3" s="1"/>
  <c r="J78" i="3"/>
  <c r="H78" i="3"/>
  <c r="G94" i="3"/>
  <c r="E94" i="3"/>
  <c r="D93" i="3"/>
  <c r="M21" i="3"/>
  <c r="K21" i="3"/>
  <c r="J62" i="3"/>
  <c r="H62" i="3"/>
  <c r="J71" i="3"/>
  <c r="H71" i="3"/>
  <c r="J155" i="3"/>
  <c r="H155" i="3"/>
  <c r="D14" i="3"/>
  <c r="G15" i="3"/>
  <c r="E15" i="3"/>
  <c r="G16" i="3"/>
  <c r="E16" i="3"/>
  <c r="J83" i="3"/>
  <c r="H83" i="3"/>
  <c r="G114" i="3"/>
  <c r="E114" i="3"/>
  <c r="J30" i="3"/>
  <c r="H30" i="3"/>
  <c r="J48" i="3"/>
  <c r="H48" i="3"/>
  <c r="J57" i="3"/>
  <c r="H57" i="3"/>
  <c r="J63" i="3"/>
  <c r="H63" i="3"/>
  <c r="J72" i="3"/>
  <c r="H72" i="3"/>
  <c r="G261" i="3"/>
  <c r="E261" i="3"/>
  <c r="H40" i="3"/>
  <c r="G39" i="3"/>
  <c r="J82" i="3"/>
  <c r="H82" i="3"/>
  <c r="E30" i="3"/>
  <c r="J35" i="3"/>
  <c r="H35" i="3"/>
  <c r="E57" i="3"/>
  <c r="J81" i="3"/>
  <c r="H81" i="3"/>
  <c r="J46" i="3"/>
  <c r="H46" i="3"/>
  <c r="M54" i="3"/>
  <c r="N54" i="3" s="1"/>
  <c r="K54" i="3"/>
  <c r="H68" i="3"/>
  <c r="J88" i="3"/>
  <c r="H88" i="3"/>
  <c r="J116" i="3"/>
  <c r="H116" i="3"/>
  <c r="M43" i="3"/>
  <c r="N43" i="3" s="1"/>
  <c r="K43" i="3"/>
  <c r="E46" i="3"/>
  <c r="J79" i="3"/>
  <c r="H79" i="3"/>
  <c r="J102" i="3"/>
  <c r="H102" i="3"/>
  <c r="J26" i="3"/>
  <c r="H26" i="3"/>
  <c r="J37" i="3"/>
  <c r="H37" i="3"/>
  <c r="J41" i="3"/>
  <c r="G58" i="3"/>
  <c r="J66" i="3"/>
  <c r="H66" i="3"/>
  <c r="J68" i="3"/>
  <c r="M74" i="3"/>
  <c r="N74" i="3" s="1"/>
  <c r="J84" i="3"/>
  <c r="H84" i="3"/>
  <c r="J182" i="3"/>
  <c r="H182" i="3"/>
  <c r="E62" i="3"/>
  <c r="J31" i="3"/>
  <c r="H31" i="3"/>
  <c r="E58" i="3"/>
  <c r="J77" i="3"/>
  <c r="H77" i="3"/>
  <c r="J121" i="3"/>
  <c r="H121" i="3"/>
  <c r="J123" i="3"/>
  <c r="H123" i="3"/>
  <c r="J125" i="3"/>
  <c r="H125" i="3"/>
  <c r="E173" i="3"/>
  <c r="G173" i="3"/>
  <c r="E37" i="3"/>
  <c r="M136" i="3"/>
  <c r="N136" i="3" s="1"/>
  <c r="G95" i="3"/>
  <c r="E95" i="3"/>
  <c r="G111" i="3"/>
  <c r="G109" i="3" s="1"/>
  <c r="E111" i="3"/>
  <c r="M119" i="3"/>
  <c r="N119" i="3" s="1"/>
  <c r="K119" i="3"/>
  <c r="M142" i="3"/>
  <c r="N142" i="3" s="1"/>
  <c r="K142" i="3"/>
  <c r="G199" i="3"/>
  <c r="E199" i="3"/>
  <c r="G99" i="3"/>
  <c r="G117" i="3"/>
  <c r="E117" i="3"/>
  <c r="J143" i="3"/>
  <c r="H143" i="3"/>
  <c r="G190" i="3"/>
  <c r="E190" i="3"/>
  <c r="D112" i="3"/>
  <c r="E112" i="3" s="1"/>
  <c r="J162" i="3"/>
  <c r="H162" i="3"/>
  <c r="E175" i="3"/>
  <c r="D174" i="3"/>
  <c r="E174" i="3" s="1"/>
  <c r="H54" i="3"/>
  <c r="D67" i="3"/>
  <c r="E67" i="3" s="1"/>
  <c r="E71" i="3"/>
  <c r="E72" i="3"/>
  <c r="E77" i="3"/>
  <c r="E78" i="3"/>
  <c r="E79" i="3"/>
  <c r="E80" i="3"/>
  <c r="E81" i="3"/>
  <c r="E82" i="3"/>
  <c r="G90" i="3"/>
  <c r="D109" i="3"/>
  <c r="E109" i="3" s="1"/>
  <c r="E146" i="3"/>
  <c r="H154" i="3"/>
  <c r="H21" i="3"/>
  <c r="D24" i="3"/>
  <c r="E26" i="3"/>
  <c r="E35" i="3"/>
  <c r="D39" i="3"/>
  <c r="E39" i="3" s="1"/>
  <c r="G118" i="3"/>
  <c r="E118" i="3"/>
  <c r="J120" i="3"/>
  <c r="H120" i="3"/>
  <c r="J122" i="3"/>
  <c r="H122" i="3"/>
  <c r="J124" i="3"/>
  <c r="H124" i="3"/>
  <c r="M154" i="3"/>
  <c r="J101" i="3"/>
  <c r="H101" i="3"/>
  <c r="M135" i="3"/>
  <c r="N135" i="3" s="1"/>
  <c r="K135" i="3"/>
  <c r="K139" i="3"/>
  <c r="M141" i="3"/>
  <c r="N141" i="3" s="1"/>
  <c r="K141" i="3"/>
  <c r="E42" i="3"/>
  <c r="E43" i="3"/>
  <c r="E65" i="3"/>
  <c r="H70" i="3"/>
  <c r="H73" i="3"/>
  <c r="H74" i="3"/>
  <c r="H76" i="3"/>
  <c r="M144" i="3"/>
  <c r="N144" i="3" s="1"/>
  <c r="H158" i="3"/>
  <c r="J169" i="3"/>
  <c r="H169" i="3"/>
  <c r="D99" i="3"/>
  <c r="E99" i="3" s="1"/>
  <c r="J158" i="3"/>
  <c r="J205" i="3"/>
  <c r="H205" i="3"/>
  <c r="K230" i="3"/>
  <c r="M230" i="3"/>
  <c r="N230" i="3" s="1"/>
  <c r="J244" i="3"/>
  <c r="H244" i="3"/>
  <c r="E250" i="3"/>
  <c r="D248" i="3"/>
  <c r="E248" i="3" s="1"/>
  <c r="M252" i="3"/>
  <c r="N252" i="3" s="1"/>
  <c r="E88" i="3"/>
  <c r="J170" i="3"/>
  <c r="H170" i="3"/>
  <c r="J183" i="3"/>
  <c r="H183" i="3"/>
  <c r="J185" i="3"/>
  <c r="H185" i="3"/>
  <c r="G234" i="3"/>
  <c r="E234" i="3"/>
  <c r="J238" i="3"/>
  <c r="H238" i="3"/>
  <c r="J250" i="3"/>
  <c r="H250" i="3"/>
  <c r="M254" i="3"/>
  <c r="N254" i="3" s="1"/>
  <c r="K254" i="3"/>
  <c r="J189" i="3"/>
  <c r="H189" i="3"/>
  <c r="J191" i="3"/>
  <c r="H191" i="3"/>
  <c r="M206" i="3"/>
  <c r="N206" i="3" s="1"/>
  <c r="K206" i="3"/>
  <c r="M263" i="3"/>
  <c r="K263" i="3"/>
  <c r="G277" i="3"/>
  <c r="E277" i="3"/>
  <c r="E98" i="3"/>
  <c r="H110" i="3"/>
  <c r="H119" i="3"/>
  <c r="H142" i="3"/>
  <c r="K148" i="3"/>
  <c r="G160" i="3"/>
  <c r="K179" i="3"/>
  <c r="G181" i="3"/>
  <c r="E189" i="3"/>
  <c r="M218" i="3"/>
  <c r="N218" i="3" s="1"/>
  <c r="J236" i="3"/>
  <c r="H236" i="3"/>
  <c r="G98" i="3"/>
  <c r="H172" i="3"/>
  <c r="J214" i="3"/>
  <c r="H214" i="3"/>
  <c r="D259" i="3"/>
  <c r="E259" i="3" s="1"/>
  <c r="G260" i="3"/>
  <c r="E260" i="3"/>
  <c r="G268" i="3"/>
  <c r="E268" i="3"/>
  <c r="E154" i="3"/>
  <c r="E158" i="3"/>
  <c r="G159" i="3"/>
  <c r="K172" i="3"/>
  <c r="J204" i="3"/>
  <c r="H204" i="3"/>
  <c r="H273" i="3"/>
  <c r="M172" i="3"/>
  <c r="N172" i="3" s="1"/>
  <c r="H196" i="3"/>
  <c r="J196" i="3"/>
  <c r="J249" i="3"/>
  <c r="H249" i="3"/>
  <c r="G256" i="3"/>
  <c r="H256" i="3" s="1"/>
  <c r="J257" i="3"/>
  <c r="H257" i="3"/>
  <c r="J266" i="3"/>
  <c r="H266" i="3"/>
  <c r="G184" i="3"/>
  <c r="E184" i="3"/>
  <c r="D188" i="3"/>
  <c r="D187" i="3" s="1"/>
  <c r="J192" i="3"/>
  <c r="H192" i="3"/>
  <c r="E196" i="3"/>
  <c r="G223" i="3"/>
  <c r="E223" i="3"/>
  <c r="J264" i="3"/>
  <c r="J215" i="3"/>
  <c r="H215" i="3"/>
  <c r="G262" i="3"/>
  <c r="E218" i="3"/>
  <c r="D221" i="3"/>
  <c r="E254" i="3"/>
  <c r="H263" i="3"/>
  <c r="J222" i="3"/>
  <c r="H222" i="3"/>
  <c r="J246" i="3"/>
  <c r="H246" i="3"/>
  <c r="J267" i="3"/>
  <c r="H267" i="3"/>
  <c r="E169" i="3"/>
  <c r="E191" i="3"/>
  <c r="E192" i="3"/>
  <c r="E233" i="3"/>
  <c r="H253" i="3"/>
  <c r="E185" i="3"/>
  <c r="E195" i="3"/>
  <c r="M242" i="3"/>
  <c r="N242" i="3" s="1"/>
  <c r="K242" i="3"/>
  <c r="J195" i="3"/>
  <c r="G198" i="3"/>
  <c r="E198" i="3"/>
  <c r="J202" i="3"/>
  <c r="G212" i="3"/>
  <c r="E212" i="3"/>
  <c r="D210" i="3"/>
  <c r="J213" i="3"/>
  <c r="H213" i="3"/>
  <c r="G251" i="3"/>
  <c r="E251" i="3"/>
  <c r="J194" i="3"/>
  <c r="D227" i="3"/>
  <c r="E227" i="3" s="1"/>
  <c r="J245" i="3"/>
  <c r="G269" i="3"/>
  <c r="E269" i="3"/>
  <c r="J272" i="3"/>
  <c r="G197" i="3"/>
  <c r="E197" i="3"/>
  <c r="J216" i="3"/>
  <c r="G229" i="3"/>
  <c r="J255" i="3"/>
  <c r="G271" i="3"/>
  <c r="K53" i="3" l="1"/>
  <c r="K243" i="3"/>
  <c r="H53" i="3"/>
  <c r="H237" i="3"/>
  <c r="K211" i="3"/>
  <c r="E201" i="3"/>
  <c r="M237" i="3"/>
  <c r="N237" i="3" s="1"/>
  <c r="G235" i="3"/>
  <c r="H235" i="3" s="1"/>
  <c r="J105" i="3"/>
  <c r="H265" i="3"/>
  <c r="H152" i="3"/>
  <c r="G52" i="3"/>
  <c r="H52" i="3" s="1"/>
  <c r="M22" i="3"/>
  <c r="N22" i="3" s="1"/>
  <c r="H156" i="3"/>
  <c r="K258" i="3"/>
  <c r="J152" i="3"/>
  <c r="K156" i="3"/>
  <c r="J180" i="3"/>
  <c r="K74" i="3"/>
  <c r="K110" i="3"/>
  <c r="G17" i="3"/>
  <c r="H17" i="3" s="1"/>
  <c r="G11" i="3"/>
  <c r="H11" i="3" s="1"/>
  <c r="H139" i="3"/>
  <c r="K247" i="3"/>
  <c r="J163" i="3"/>
  <c r="K163" i="3" s="1"/>
  <c r="K228" i="3"/>
  <c r="M156" i="3"/>
  <c r="N156" i="3" s="1"/>
  <c r="H115" i="3"/>
  <c r="M64" i="3"/>
  <c r="N64" i="3" s="1"/>
  <c r="M148" i="3"/>
  <c r="N148" i="3" s="1"/>
  <c r="J20" i="3"/>
  <c r="M34" i="3"/>
  <c r="N34" i="3" s="1"/>
  <c r="H12" i="3"/>
  <c r="J113" i="3"/>
  <c r="H147" i="3"/>
  <c r="H220" i="3"/>
  <c r="M139" i="3"/>
  <c r="N139" i="3" s="1"/>
  <c r="H100" i="3"/>
  <c r="K64" i="3"/>
  <c r="N247" i="3"/>
  <c r="M110" i="3"/>
  <c r="J164" i="3"/>
  <c r="G239" i="3"/>
  <c r="H239" i="3" s="1"/>
  <c r="M150" i="3"/>
  <c r="N150" i="3" s="1"/>
  <c r="J240" i="3"/>
  <c r="M240" i="3" s="1"/>
  <c r="D200" i="3"/>
  <c r="E210" i="3"/>
  <c r="E200" i="3" s="1"/>
  <c r="K8" i="3"/>
  <c r="G224" i="3"/>
  <c r="H224" i="3" s="1"/>
  <c r="J104" i="3"/>
  <c r="M104" i="3" s="1"/>
  <c r="M8" i="3"/>
  <c r="N8" i="3" s="1"/>
  <c r="K22" i="3"/>
  <c r="H18" i="3"/>
  <c r="J226" i="3"/>
  <c r="M226" i="3" s="1"/>
  <c r="N226" i="3" s="1"/>
  <c r="J203" i="3"/>
  <c r="J201" i="3" s="1"/>
  <c r="K150" i="3"/>
  <c r="H151" i="3"/>
  <c r="H22" i="3"/>
  <c r="M76" i="3"/>
  <c r="N76" i="3" s="1"/>
  <c r="G20" i="3"/>
  <c r="H20" i="3" s="1"/>
  <c r="K138" i="3"/>
  <c r="H64" i="3"/>
  <c r="K76" i="3"/>
  <c r="H91" i="3"/>
  <c r="H207" i="3"/>
  <c r="H262" i="3"/>
  <c r="G201" i="3"/>
  <c r="H201" i="3" s="1"/>
  <c r="G7" i="3"/>
  <c r="H7" i="3" s="1"/>
  <c r="M138" i="3"/>
  <c r="N138" i="3" s="1"/>
  <c r="K70" i="3"/>
  <c r="J18" i="3"/>
  <c r="K18" i="3" s="1"/>
  <c r="H8" i="3"/>
  <c r="K217" i="3"/>
  <c r="H232" i="3"/>
  <c r="J208" i="3"/>
  <c r="K208" i="3" s="1"/>
  <c r="H144" i="3"/>
  <c r="G67" i="3"/>
  <c r="K209" i="3"/>
  <c r="M209" i="3"/>
  <c r="N209" i="3" s="1"/>
  <c r="J106" i="3"/>
  <c r="H106" i="3"/>
  <c r="J19" i="3"/>
  <c r="H19" i="3"/>
  <c r="K33" i="3"/>
  <c r="M86" i="3"/>
  <c r="N86" i="3" s="1"/>
  <c r="M33" i="3"/>
  <c r="N33" i="3" s="1"/>
  <c r="H241" i="3"/>
  <c r="J241" i="3"/>
  <c r="K193" i="3"/>
  <c r="M193" i="3"/>
  <c r="N193" i="3" s="1"/>
  <c r="J149" i="3"/>
  <c r="H149" i="3"/>
  <c r="D168" i="3"/>
  <c r="E168" i="3" s="1"/>
  <c r="K218" i="3"/>
  <c r="J55" i="3"/>
  <c r="H55" i="3"/>
  <c r="M233" i="3"/>
  <c r="N233" i="3" s="1"/>
  <c r="J145" i="3"/>
  <c r="H145" i="3"/>
  <c r="J137" i="3"/>
  <c r="H137" i="3"/>
  <c r="H177" i="3"/>
  <c r="J177" i="3"/>
  <c r="J32" i="3"/>
  <c r="H32" i="3"/>
  <c r="M225" i="3"/>
  <c r="H25" i="3"/>
  <c r="J25" i="3"/>
  <c r="J24" i="3" s="1"/>
  <c r="G103" i="3"/>
  <c r="H103" i="3" s="1"/>
  <c r="J107" i="3"/>
  <c r="K107" i="3" s="1"/>
  <c r="H60" i="3"/>
  <c r="H171" i="3"/>
  <c r="J171" i="3"/>
  <c r="J161" i="3"/>
  <c r="H161" i="3"/>
  <c r="H208" i="3"/>
  <c r="J13" i="3"/>
  <c r="H13" i="3"/>
  <c r="M217" i="3"/>
  <c r="N217" i="3" s="1"/>
  <c r="E157" i="3"/>
  <c r="K140" i="3"/>
  <c r="K60" i="3"/>
  <c r="K91" i="3"/>
  <c r="E256" i="3"/>
  <c r="J87" i="3"/>
  <c r="J67" i="3" s="1"/>
  <c r="K67" i="3" s="1"/>
  <c r="H87" i="3"/>
  <c r="K176" i="3"/>
  <c r="M176" i="3"/>
  <c r="N176" i="3" s="1"/>
  <c r="K226" i="3"/>
  <c r="K225" i="3"/>
  <c r="H86" i="3"/>
  <c r="H99" i="3"/>
  <c r="M140" i="3"/>
  <c r="N140" i="3" s="1"/>
  <c r="D45" i="3"/>
  <c r="G133" i="3"/>
  <c r="H133" i="3" s="1"/>
  <c r="J134" i="3"/>
  <c r="H134" i="3"/>
  <c r="H178" i="3"/>
  <c r="J178" i="3"/>
  <c r="M222" i="3"/>
  <c r="K222" i="3"/>
  <c r="M264" i="3"/>
  <c r="N264" i="3" s="1"/>
  <c r="K264" i="3"/>
  <c r="M257" i="3"/>
  <c r="J256" i="3"/>
  <c r="K257" i="3"/>
  <c r="M158" i="3"/>
  <c r="K158" i="3"/>
  <c r="N53" i="3"/>
  <c r="M194" i="3"/>
  <c r="N194" i="3" s="1"/>
  <c r="K194" i="3"/>
  <c r="J262" i="3"/>
  <c r="M204" i="3"/>
  <c r="N204" i="3" s="1"/>
  <c r="K204" i="3"/>
  <c r="H268" i="3"/>
  <c r="J268" i="3"/>
  <c r="H234" i="3"/>
  <c r="J234" i="3"/>
  <c r="J231" i="3" s="1"/>
  <c r="G231" i="3"/>
  <c r="H231" i="3" s="1"/>
  <c r="J95" i="3"/>
  <c r="H95" i="3"/>
  <c r="M121" i="3"/>
  <c r="N121" i="3" s="1"/>
  <c r="K121" i="3"/>
  <c r="H67" i="3"/>
  <c r="H261" i="3"/>
  <c r="J261" i="3"/>
  <c r="K78" i="3"/>
  <c r="M78" i="3"/>
  <c r="N78" i="3" s="1"/>
  <c r="M202" i="3"/>
  <c r="K202" i="3"/>
  <c r="K192" i="3"/>
  <c r="M192" i="3"/>
  <c r="N192" i="3" s="1"/>
  <c r="M183" i="3"/>
  <c r="N183" i="3" s="1"/>
  <c r="K183" i="3"/>
  <c r="J118" i="3"/>
  <c r="H118" i="3"/>
  <c r="K26" i="3"/>
  <c r="M26" i="3"/>
  <c r="N26" i="3" s="1"/>
  <c r="M83" i="3"/>
  <c r="N83" i="3" s="1"/>
  <c r="K83" i="3"/>
  <c r="M155" i="3"/>
  <c r="N155" i="3" s="1"/>
  <c r="K155" i="3"/>
  <c r="M59" i="3"/>
  <c r="N59" i="3" s="1"/>
  <c r="K59" i="3"/>
  <c r="J197" i="3"/>
  <c r="H197" i="3"/>
  <c r="J198" i="3"/>
  <c r="H198" i="3"/>
  <c r="J98" i="3"/>
  <c r="H98" i="3"/>
  <c r="G96" i="3"/>
  <c r="H96" i="3" s="1"/>
  <c r="J160" i="3"/>
  <c r="H160" i="3"/>
  <c r="M152" i="3"/>
  <c r="K152" i="3"/>
  <c r="J151" i="3"/>
  <c r="N154" i="3"/>
  <c r="M115" i="3"/>
  <c r="N115" i="3" s="1"/>
  <c r="K115" i="3"/>
  <c r="J199" i="3"/>
  <c r="H199" i="3"/>
  <c r="J58" i="3"/>
  <c r="H58" i="3"/>
  <c r="K79" i="3"/>
  <c r="M79" i="3"/>
  <c r="N79" i="3" s="1"/>
  <c r="K71" i="3"/>
  <c r="M71" i="3"/>
  <c r="N71" i="3" s="1"/>
  <c r="K27" i="3"/>
  <c r="M27" i="3"/>
  <c r="N27" i="3" s="1"/>
  <c r="M267" i="3"/>
  <c r="N267" i="3" s="1"/>
  <c r="K267" i="3"/>
  <c r="J114" i="3"/>
  <c r="H114" i="3"/>
  <c r="G112" i="3"/>
  <c r="H112" i="3" s="1"/>
  <c r="H251" i="3"/>
  <c r="J251" i="3"/>
  <c r="M213" i="3"/>
  <c r="N213" i="3" s="1"/>
  <c r="K213" i="3"/>
  <c r="J184" i="3"/>
  <c r="H184" i="3"/>
  <c r="G248" i="3"/>
  <c r="H248" i="3" s="1"/>
  <c r="M101" i="3"/>
  <c r="N101" i="3" s="1"/>
  <c r="K101" i="3"/>
  <c r="M182" i="3"/>
  <c r="N182" i="3" s="1"/>
  <c r="K182" i="3"/>
  <c r="M62" i="3"/>
  <c r="N62" i="3" s="1"/>
  <c r="K62" i="3"/>
  <c r="J56" i="3"/>
  <c r="H56" i="3"/>
  <c r="M272" i="3"/>
  <c r="N272" i="3" s="1"/>
  <c r="K272" i="3"/>
  <c r="M195" i="3"/>
  <c r="N195" i="3" s="1"/>
  <c r="K195" i="3"/>
  <c r="M170" i="3"/>
  <c r="N170" i="3" s="1"/>
  <c r="K170" i="3"/>
  <c r="M105" i="3"/>
  <c r="N105" i="3" s="1"/>
  <c r="K105" i="3"/>
  <c r="M57" i="3"/>
  <c r="N57" i="3" s="1"/>
  <c r="K57" i="3"/>
  <c r="J38" i="3"/>
  <c r="J36" i="3" s="1"/>
  <c r="H38" i="3"/>
  <c r="K80" i="3"/>
  <c r="M80" i="3"/>
  <c r="N80" i="3" s="1"/>
  <c r="J271" i="3"/>
  <c r="H271" i="3"/>
  <c r="G270" i="3"/>
  <c r="H270" i="3" s="1"/>
  <c r="J269" i="3"/>
  <c r="H269" i="3"/>
  <c r="H223" i="3"/>
  <c r="G221" i="3"/>
  <c r="J223" i="3"/>
  <c r="N228" i="3"/>
  <c r="J117" i="3"/>
  <c r="H117" i="3"/>
  <c r="H173" i="3"/>
  <c r="J173" i="3"/>
  <c r="K77" i="3"/>
  <c r="M77" i="3"/>
  <c r="N77" i="3" s="1"/>
  <c r="M41" i="3"/>
  <c r="N41" i="3" s="1"/>
  <c r="K41" i="3"/>
  <c r="K81" i="3"/>
  <c r="M81" i="3"/>
  <c r="N81" i="3" s="1"/>
  <c r="D44" i="3"/>
  <c r="E44" i="3" s="1"/>
  <c r="E45" i="3"/>
  <c r="N12" i="3"/>
  <c r="M255" i="3"/>
  <c r="N255" i="3" s="1"/>
  <c r="K255" i="3"/>
  <c r="M124" i="3"/>
  <c r="N124" i="3" s="1"/>
  <c r="K124" i="3"/>
  <c r="M84" i="3"/>
  <c r="N84" i="3" s="1"/>
  <c r="K84" i="3"/>
  <c r="G36" i="3"/>
  <c r="H36" i="3" s="1"/>
  <c r="M46" i="3"/>
  <c r="N46" i="3" s="1"/>
  <c r="K46" i="3"/>
  <c r="M244" i="3"/>
  <c r="N244" i="3" s="1"/>
  <c r="K244" i="3"/>
  <c r="E24" i="3"/>
  <c r="D23" i="3"/>
  <c r="M245" i="3"/>
  <c r="N245" i="3" s="1"/>
  <c r="K245" i="3"/>
  <c r="J212" i="3"/>
  <c r="H212" i="3"/>
  <c r="G210" i="3"/>
  <c r="H210" i="3" s="1"/>
  <c r="K215" i="3"/>
  <c r="M215" i="3"/>
  <c r="N215" i="3" s="1"/>
  <c r="M214" i="3"/>
  <c r="N214" i="3" s="1"/>
  <c r="K214" i="3"/>
  <c r="N211" i="3"/>
  <c r="M116" i="3"/>
  <c r="N116" i="3" s="1"/>
  <c r="K116" i="3"/>
  <c r="M20" i="3"/>
  <c r="N20" i="3" s="1"/>
  <c r="N21" i="3"/>
  <c r="M85" i="3"/>
  <c r="N85" i="3" s="1"/>
  <c r="K85" i="3"/>
  <c r="M47" i="3"/>
  <c r="N47" i="3" s="1"/>
  <c r="K47" i="3"/>
  <c r="M249" i="3"/>
  <c r="K249" i="3"/>
  <c r="J229" i="3"/>
  <c r="H229" i="3"/>
  <c r="G227" i="3"/>
  <c r="H227" i="3" s="1"/>
  <c r="M246" i="3"/>
  <c r="N246" i="3" s="1"/>
  <c r="K246" i="3"/>
  <c r="J159" i="3"/>
  <c r="H159" i="3"/>
  <c r="K265" i="3"/>
  <c r="M265" i="3"/>
  <c r="N265" i="3" s="1"/>
  <c r="K191" i="3"/>
  <c r="M191" i="3"/>
  <c r="N191" i="3" s="1"/>
  <c r="K169" i="3"/>
  <c r="M169" i="3"/>
  <c r="M122" i="3"/>
  <c r="N122" i="3" s="1"/>
  <c r="K122" i="3"/>
  <c r="M162" i="3"/>
  <c r="N162" i="3" s="1"/>
  <c r="K162" i="3"/>
  <c r="M100" i="3"/>
  <c r="K100" i="3"/>
  <c r="J99" i="3"/>
  <c r="K99" i="3" s="1"/>
  <c r="M68" i="3"/>
  <c r="K68" i="3"/>
  <c r="M37" i="3"/>
  <c r="K37" i="3"/>
  <c r="K72" i="3"/>
  <c r="M72" i="3"/>
  <c r="N72" i="3" s="1"/>
  <c r="M30" i="3"/>
  <c r="N30" i="3" s="1"/>
  <c r="K30" i="3"/>
  <c r="D92" i="3"/>
  <c r="E92" i="3" s="1"/>
  <c r="E93" i="3"/>
  <c r="M75" i="3"/>
  <c r="N75" i="3" s="1"/>
  <c r="K75" i="3"/>
  <c r="H277" i="3"/>
  <c r="J277" i="3"/>
  <c r="J16" i="3"/>
  <c r="H16" i="3"/>
  <c r="J207" i="3"/>
  <c r="M250" i="3"/>
  <c r="N250" i="3" s="1"/>
  <c r="K250" i="3"/>
  <c r="G157" i="3"/>
  <c r="J190" i="3"/>
  <c r="J188" i="3" s="1"/>
  <c r="H190" i="3"/>
  <c r="G188" i="3"/>
  <c r="M125" i="3"/>
  <c r="N125" i="3" s="1"/>
  <c r="K125" i="3"/>
  <c r="K88" i="3"/>
  <c r="M88" i="3"/>
  <c r="N88" i="3" s="1"/>
  <c r="K82" i="3"/>
  <c r="M82" i="3"/>
  <c r="N82" i="3" s="1"/>
  <c r="J15" i="3"/>
  <c r="H15" i="3"/>
  <c r="G14" i="3"/>
  <c r="H14" i="3" s="1"/>
  <c r="J39" i="3"/>
  <c r="J260" i="3"/>
  <c r="H260" i="3"/>
  <c r="G259" i="3"/>
  <c r="H259" i="3" s="1"/>
  <c r="K266" i="3"/>
  <c r="M266" i="3"/>
  <c r="N266" i="3" s="1"/>
  <c r="E188" i="3"/>
  <c r="E187" i="3" s="1"/>
  <c r="M189" i="3"/>
  <c r="K189" i="3"/>
  <c r="M185" i="3"/>
  <c r="N185" i="3" s="1"/>
  <c r="K185" i="3"/>
  <c r="H109" i="3"/>
  <c r="M220" i="3"/>
  <c r="K220" i="3"/>
  <c r="M120" i="3"/>
  <c r="N120" i="3" s="1"/>
  <c r="K120" i="3"/>
  <c r="J111" i="3"/>
  <c r="H111" i="3"/>
  <c r="M180" i="3"/>
  <c r="N180" i="3" s="1"/>
  <c r="K180" i="3"/>
  <c r="M107" i="3"/>
  <c r="N107" i="3" s="1"/>
  <c r="M66" i="3"/>
  <c r="N66" i="3" s="1"/>
  <c r="K66" i="3"/>
  <c r="H24" i="3"/>
  <c r="M102" i="3"/>
  <c r="N102" i="3" s="1"/>
  <c r="K102" i="3"/>
  <c r="H39" i="3"/>
  <c r="M63" i="3"/>
  <c r="N63" i="3" s="1"/>
  <c r="K63" i="3"/>
  <c r="N110" i="3"/>
  <c r="D10" i="3"/>
  <c r="E10" i="3" s="1"/>
  <c r="E14" i="3"/>
  <c r="D6" i="3"/>
  <c r="E6" i="3" s="1"/>
  <c r="J94" i="3"/>
  <c r="H94" i="3"/>
  <c r="G93" i="3"/>
  <c r="J29" i="3"/>
  <c r="H29" i="3"/>
  <c r="G28" i="3"/>
  <c r="H28" i="3" s="1"/>
  <c r="M69" i="3"/>
  <c r="N69" i="3" s="1"/>
  <c r="K69" i="3"/>
  <c r="N40" i="3"/>
  <c r="M39" i="3"/>
  <c r="K232" i="3"/>
  <c r="M232" i="3"/>
  <c r="K236" i="3"/>
  <c r="M236" i="3"/>
  <c r="J235" i="3"/>
  <c r="J175" i="3"/>
  <c r="H175" i="3"/>
  <c r="G174" i="3"/>
  <c r="M48" i="3"/>
  <c r="N48" i="3" s="1"/>
  <c r="K48" i="3"/>
  <c r="M216" i="3"/>
  <c r="N216" i="3" s="1"/>
  <c r="K216" i="3"/>
  <c r="D219" i="3"/>
  <c r="E221" i="3"/>
  <c r="E219" i="3" s="1"/>
  <c r="M196" i="3"/>
  <c r="N196" i="3" s="1"/>
  <c r="K196" i="3"/>
  <c r="J181" i="3"/>
  <c r="H181" i="3"/>
  <c r="N263" i="3"/>
  <c r="M238" i="3"/>
  <c r="N238" i="3" s="1"/>
  <c r="K238" i="3"/>
  <c r="M205" i="3"/>
  <c r="N205" i="3" s="1"/>
  <c r="K205" i="3"/>
  <c r="J90" i="3"/>
  <c r="H90" i="3"/>
  <c r="G89" i="3"/>
  <c r="H89" i="3" s="1"/>
  <c r="M143" i="3"/>
  <c r="N143" i="3" s="1"/>
  <c r="K143" i="3"/>
  <c r="M123" i="3"/>
  <c r="N123" i="3" s="1"/>
  <c r="K123" i="3"/>
  <c r="M31" i="3"/>
  <c r="N31" i="3" s="1"/>
  <c r="K31" i="3"/>
  <c r="M35" i="3"/>
  <c r="N35" i="3" s="1"/>
  <c r="K35" i="3"/>
  <c r="G45" i="3" l="1"/>
  <c r="K20" i="3"/>
  <c r="J103" i="3"/>
  <c r="K104" i="3"/>
  <c r="M18" i="3"/>
  <c r="J224" i="3"/>
  <c r="M163" i="3"/>
  <c r="N163" i="3" s="1"/>
  <c r="K240" i="3"/>
  <c r="J17" i="3"/>
  <c r="K17" i="3" s="1"/>
  <c r="J157" i="3"/>
  <c r="K157" i="3" s="1"/>
  <c r="E153" i="3"/>
  <c r="K113" i="3"/>
  <c r="M113" i="3"/>
  <c r="N113" i="3" s="1"/>
  <c r="M262" i="3"/>
  <c r="M203" i="3"/>
  <c r="N203" i="3" s="1"/>
  <c r="K203" i="3"/>
  <c r="M7" i="3"/>
  <c r="N7" i="3" s="1"/>
  <c r="M208" i="3"/>
  <c r="M207" i="3" s="1"/>
  <c r="N207" i="3" s="1"/>
  <c r="K7" i="3"/>
  <c r="D153" i="3"/>
  <c r="D276" i="3" s="1"/>
  <c r="M164" i="3"/>
  <c r="N164" i="3" s="1"/>
  <c r="K164" i="3"/>
  <c r="M137" i="3"/>
  <c r="N137" i="3" s="1"/>
  <c r="K137" i="3"/>
  <c r="M134" i="3"/>
  <c r="J133" i="3"/>
  <c r="K134" i="3"/>
  <c r="K25" i="3"/>
  <c r="M25" i="3"/>
  <c r="N25" i="3" s="1"/>
  <c r="K145" i="3"/>
  <c r="M145" i="3"/>
  <c r="N145" i="3" s="1"/>
  <c r="M241" i="3"/>
  <c r="N241" i="3" s="1"/>
  <c r="K241" i="3"/>
  <c r="K106" i="3"/>
  <c r="M106" i="3"/>
  <c r="N106" i="3" s="1"/>
  <c r="K149" i="3"/>
  <c r="J147" i="3"/>
  <c r="M149" i="3"/>
  <c r="G23" i="3"/>
  <c r="H23" i="3" s="1"/>
  <c r="J11" i="3"/>
  <c r="M13" i="3"/>
  <c r="K13" i="3"/>
  <c r="K178" i="3"/>
  <c r="M178" i="3"/>
  <c r="N178" i="3" s="1"/>
  <c r="N225" i="3"/>
  <c r="M224" i="3"/>
  <c r="K55" i="3"/>
  <c r="M55" i="3"/>
  <c r="J52" i="3"/>
  <c r="J239" i="3"/>
  <c r="K239" i="3" s="1"/>
  <c r="K161" i="3"/>
  <c r="M161" i="3"/>
  <c r="N161" i="3" s="1"/>
  <c r="M32" i="3"/>
  <c r="N32" i="3" s="1"/>
  <c r="K32" i="3"/>
  <c r="K19" i="3"/>
  <c r="M19" i="3"/>
  <c r="N19" i="3" s="1"/>
  <c r="K87" i="3"/>
  <c r="M87" i="3"/>
  <c r="N87" i="3" s="1"/>
  <c r="M171" i="3"/>
  <c r="N171" i="3" s="1"/>
  <c r="K171" i="3"/>
  <c r="K177" i="3"/>
  <c r="M177" i="3"/>
  <c r="N177" i="3" s="1"/>
  <c r="K98" i="3"/>
  <c r="J96" i="3"/>
  <c r="K96" i="3" s="1"/>
  <c r="M98" i="3"/>
  <c r="N158" i="3"/>
  <c r="N39" i="3"/>
  <c r="G92" i="3"/>
  <c r="H92" i="3" s="1"/>
  <c r="H93" i="3"/>
  <c r="N37" i="3"/>
  <c r="N100" i="3"/>
  <c r="M99" i="3"/>
  <c r="N99" i="3" s="1"/>
  <c r="G200" i="3"/>
  <c r="H200" i="3" s="1"/>
  <c r="N220" i="3"/>
  <c r="N240" i="3"/>
  <c r="K262" i="3"/>
  <c r="M181" i="3"/>
  <c r="N181" i="3" s="1"/>
  <c r="K181" i="3"/>
  <c r="H157" i="3"/>
  <c r="M234" i="3"/>
  <c r="N234" i="3" s="1"/>
  <c r="K234" i="3"/>
  <c r="K256" i="3"/>
  <c r="M90" i="3"/>
  <c r="K90" i="3"/>
  <c r="J89" i="3"/>
  <c r="M94" i="3"/>
  <c r="K94" i="3"/>
  <c r="J93" i="3"/>
  <c r="M111" i="3"/>
  <c r="K111" i="3"/>
  <c r="J109" i="3"/>
  <c r="G10" i="3"/>
  <c r="H10" i="3" s="1"/>
  <c r="N208" i="3"/>
  <c r="M114" i="3"/>
  <c r="K114" i="3"/>
  <c r="J112" i="3"/>
  <c r="K151" i="3"/>
  <c r="K251" i="3"/>
  <c r="M251" i="3"/>
  <c r="N251" i="3" s="1"/>
  <c r="M173" i="3"/>
  <c r="N173" i="3" s="1"/>
  <c r="K173" i="3"/>
  <c r="M175" i="3"/>
  <c r="K175" i="3"/>
  <c r="J174" i="3"/>
  <c r="N68" i="3"/>
  <c r="M67" i="3"/>
  <c r="N67" i="3" s="1"/>
  <c r="K229" i="3"/>
  <c r="M229" i="3"/>
  <c r="J227" i="3"/>
  <c r="M117" i="3"/>
  <c r="N117" i="3" s="1"/>
  <c r="K117" i="3"/>
  <c r="M223" i="3"/>
  <c r="N223" i="3" s="1"/>
  <c r="K223" i="3"/>
  <c r="M56" i="3"/>
  <c r="N56" i="3" s="1"/>
  <c r="K56" i="3"/>
  <c r="M58" i="3"/>
  <c r="N58" i="3" s="1"/>
  <c r="K58" i="3"/>
  <c r="M24" i="3"/>
  <c r="N257" i="3"/>
  <c r="M256" i="3"/>
  <c r="N256" i="3" s="1"/>
  <c r="N189" i="3"/>
  <c r="K231" i="3"/>
  <c r="J270" i="3"/>
  <c r="M271" i="3"/>
  <c r="K271" i="3"/>
  <c r="H174" i="3"/>
  <c r="G168" i="3"/>
  <c r="H168" i="3" s="1"/>
  <c r="M261" i="3"/>
  <c r="N261" i="3" s="1"/>
  <c r="K261" i="3"/>
  <c r="K235" i="3"/>
  <c r="N18" i="3"/>
  <c r="G187" i="3"/>
  <c r="H187" i="3" s="1"/>
  <c r="H188" i="3"/>
  <c r="M212" i="3"/>
  <c r="K212" i="3"/>
  <c r="J210" i="3"/>
  <c r="H221" i="3"/>
  <c r="G219" i="3"/>
  <c r="H219" i="3" s="1"/>
  <c r="N152" i="3"/>
  <c r="M151" i="3"/>
  <c r="N151" i="3" s="1"/>
  <c r="M198" i="3"/>
  <c r="N198" i="3" s="1"/>
  <c r="K198" i="3"/>
  <c r="K24" i="3"/>
  <c r="M38" i="3"/>
  <c r="N38" i="3" s="1"/>
  <c r="K38" i="3"/>
  <c r="M199" i="3"/>
  <c r="N199" i="3" s="1"/>
  <c r="K199" i="3"/>
  <c r="M268" i="3"/>
  <c r="N268" i="3" s="1"/>
  <c r="K268" i="3"/>
  <c r="M29" i="3"/>
  <c r="K29" i="3"/>
  <c r="J28" i="3"/>
  <c r="J23" i="3" s="1"/>
  <c r="E23" i="3"/>
  <c r="D108" i="3"/>
  <c r="M190" i="3"/>
  <c r="N190" i="3" s="1"/>
  <c r="K190" i="3"/>
  <c r="J248" i="3"/>
  <c r="M184" i="3"/>
  <c r="N184" i="3" s="1"/>
  <c r="K184" i="3"/>
  <c r="K197" i="3"/>
  <c r="N197" i="3"/>
  <c r="G6" i="3"/>
  <c r="H6" i="3" s="1"/>
  <c r="K36" i="3"/>
  <c r="M118" i="3"/>
  <c r="N118" i="3" s="1"/>
  <c r="K118" i="3"/>
  <c r="K39" i="3"/>
  <c r="K15" i="3"/>
  <c r="J14" i="3"/>
  <c r="M15" i="3"/>
  <c r="K103" i="3"/>
  <c r="G44" i="3"/>
  <c r="H44" i="3" s="1"/>
  <c r="H45" i="3"/>
  <c r="M260" i="3"/>
  <c r="J259" i="3"/>
  <c r="K260" i="3"/>
  <c r="M235" i="3"/>
  <c r="N235" i="3" s="1"/>
  <c r="N236" i="3"/>
  <c r="K207" i="3"/>
  <c r="N232" i="3"/>
  <c r="J187" i="3"/>
  <c r="K188" i="3"/>
  <c r="K16" i="3"/>
  <c r="M16" i="3"/>
  <c r="N16" i="3" s="1"/>
  <c r="N169" i="3"/>
  <c r="M159" i="3"/>
  <c r="K159" i="3"/>
  <c r="N249" i="3"/>
  <c r="M269" i="3"/>
  <c r="N269" i="3" s="1"/>
  <c r="K269" i="3"/>
  <c r="M160" i="3"/>
  <c r="N160" i="3" s="1"/>
  <c r="K160" i="3"/>
  <c r="N202" i="3"/>
  <c r="J221" i="3"/>
  <c r="N262" i="3"/>
  <c r="N104" i="3"/>
  <c r="M277" i="3"/>
  <c r="N277" i="3" s="1"/>
  <c r="K277" i="3"/>
  <c r="J168" i="3"/>
  <c r="K201" i="3"/>
  <c r="J200" i="3"/>
  <c r="M95" i="3"/>
  <c r="N95" i="3" s="1"/>
  <c r="K95" i="3"/>
  <c r="N222" i="3"/>
  <c r="K224" i="3" l="1"/>
  <c r="M239" i="3"/>
  <c r="N239" i="3" s="1"/>
  <c r="M221" i="3"/>
  <c r="N224" i="3"/>
  <c r="E276" i="3"/>
  <c r="D278" i="3"/>
  <c r="E278" i="3" s="1"/>
  <c r="M201" i="3"/>
  <c r="N201" i="3" s="1"/>
  <c r="M157" i="3"/>
  <c r="N157" i="3" s="1"/>
  <c r="K168" i="3"/>
  <c r="M103" i="3"/>
  <c r="N103" i="3" s="1"/>
  <c r="J153" i="3"/>
  <c r="K52" i="3"/>
  <c r="J45" i="3"/>
  <c r="K147" i="3"/>
  <c r="J146" i="3"/>
  <c r="K133" i="3"/>
  <c r="N149" i="3"/>
  <c r="M147" i="3"/>
  <c r="N55" i="3"/>
  <c r="M52" i="3"/>
  <c r="N52" i="3" s="1"/>
  <c r="M248" i="3"/>
  <c r="N248" i="3" s="1"/>
  <c r="M17" i="3"/>
  <c r="N17" i="3" s="1"/>
  <c r="N134" i="3"/>
  <c r="M133" i="3"/>
  <c r="N133" i="3" s="1"/>
  <c r="N13" i="3"/>
  <c r="M11" i="3"/>
  <c r="N11" i="3" s="1"/>
  <c r="K11" i="3"/>
  <c r="K23" i="3"/>
  <c r="K200" i="3"/>
  <c r="N29" i="3"/>
  <c r="M28" i="3"/>
  <c r="N28" i="3" s="1"/>
  <c r="N24" i="3"/>
  <c r="K227" i="3"/>
  <c r="J92" i="3"/>
  <c r="K93" i="3"/>
  <c r="M96" i="3"/>
  <c r="N96" i="3" s="1"/>
  <c r="N98" i="3"/>
  <c r="K187" i="3"/>
  <c r="N229" i="3"/>
  <c r="M227" i="3"/>
  <c r="N227" i="3" s="1"/>
  <c r="K259" i="3"/>
  <c r="M36" i="3"/>
  <c r="N36" i="3" s="1"/>
  <c r="K248" i="3"/>
  <c r="N94" i="3"/>
  <c r="M93" i="3"/>
  <c r="N159" i="3"/>
  <c r="K210" i="3"/>
  <c r="K14" i="3"/>
  <c r="J6" i="3"/>
  <c r="J10" i="3"/>
  <c r="M231" i="3"/>
  <c r="N231" i="3" s="1"/>
  <c r="M188" i="3"/>
  <c r="G153" i="3"/>
  <c r="K221" i="3"/>
  <c r="J219" i="3"/>
  <c r="K270" i="3"/>
  <c r="M259" i="3"/>
  <c r="N259" i="3" s="1"/>
  <c r="N260" i="3"/>
  <c r="N221" i="3"/>
  <c r="G108" i="3"/>
  <c r="N212" i="3"/>
  <c r="M210" i="3"/>
  <c r="N210" i="3" s="1"/>
  <c r="K89" i="3"/>
  <c r="K112" i="3"/>
  <c r="M270" i="3"/>
  <c r="N270" i="3" s="1"/>
  <c r="N271" i="3"/>
  <c r="N15" i="3"/>
  <c r="M14" i="3"/>
  <c r="E108" i="3"/>
  <c r="D127" i="3"/>
  <c r="K174" i="3"/>
  <c r="N111" i="3"/>
  <c r="M109" i="3"/>
  <c r="N109" i="3" s="1"/>
  <c r="N114" i="3"/>
  <c r="M112" i="3"/>
  <c r="N112" i="3" s="1"/>
  <c r="K109" i="3"/>
  <c r="N90" i="3"/>
  <c r="M89" i="3"/>
  <c r="N89" i="3" s="1"/>
  <c r="K28" i="3"/>
  <c r="M174" i="3"/>
  <c r="N174" i="3" s="1"/>
  <c r="N175" i="3"/>
  <c r="K153" i="3" l="1"/>
  <c r="N147" i="3"/>
  <c r="M146" i="3"/>
  <c r="N146" i="3" s="1"/>
  <c r="K146" i="3"/>
  <c r="K45" i="3"/>
  <c r="J44" i="3"/>
  <c r="M45" i="3"/>
  <c r="M44" i="3" s="1"/>
  <c r="N44" i="3" s="1"/>
  <c r="K219" i="3"/>
  <c r="M200" i="3"/>
  <c r="N200" i="3" s="1"/>
  <c r="K92" i="3"/>
  <c r="D279" i="3"/>
  <c r="E279" i="3" s="1"/>
  <c r="E127" i="3"/>
  <c r="H108" i="3"/>
  <c r="G127" i="3"/>
  <c r="H153" i="3"/>
  <c r="G276" i="3"/>
  <c r="M219" i="3"/>
  <c r="N219" i="3" s="1"/>
  <c r="M168" i="3"/>
  <c r="J276" i="3"/>
  <c r="N14" i="3"/>
  <c r="M6" i="3"/>
  <c r="N6" i="3" s="1"/>
  <c r="M10" i="3"/>
  <c r="N10" i="3" s="1"/>
  <c r="N93" i="3"/>
  <c r="M92" i="3"/>
  <c r="N92" i="3" s="1"/>
  <c r="K6" i="3"/>
  <c r="N188" i="3"/>
  <c r="M187" i="3"/>
  <c r="N187" i="3" s="1"/>
  <c r="K10" i="3"/>
  <c r="M23" i="3"/>
  <c r="N23" i="3" s="1"/>
  <c r="J108" i="3" l="1"/>
  <c r="K44" i="3"/>
  <c r="N45" i="3"/>
  <c r="G278" i="3"/>
  <c r="H278" i="3" s="1"/>
  <c r="H276" i="3"/>
  <c r="N168" i="3"/>
  <c r="M153" i="3"/>
  <c r="K276" i="3"/>
  <c r="J278" i="3"/>
  <c r="K278" i="3" s="1"/>
  <c r="H127" i="3"/>
  <c r="M108" i="3"/>
  <c r="K108" i="3" l="1"/>
  <c r="J127" i="3"/>
  <c r="N153" i="3"/>
  <c r="M276" i="3"/>
  <c r="J279" i="3"/>
  <c r="M127" i="3"/>
  <c r="N108" i="3"/>
  <c r="G279" i="3"/>
  <c r="K127" i="3" l="1"/>
  <c r="H279" i="3"/>
  <c r="K279" i="3"/>
  <c r="N127" i="3"/>
  <c r="N276" i="3"/>
  <c r="M278" i="3"/>
  <c r="N278" i="3" s="1"/>
  <c r="M279" i="3" l="1"/>
  <c r="N27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Baiba Kanča</author>
  </authors>
  <commentList>
    <comment ref="D43" authorId="0" shapeId="0" xr:uid="{677C17D0-C6DD-45B9-A29E-0FB288D6EE07}">
      <text>
        <r>
          <rPr>
            <b/>
            <sz val="9"/>
            <color indexed="81"/>
            <rFont val="Tahoma"/>
            <family val="2"/>
            <charset val="186"/>
          </rPr>
          <t>Sarmīte Mūze:</t>
        </r>
        <r>
          <rPr>
            <sz val="9"/>
            <color indexed="81"/>
            <rFont val="Tahoma"/>
            <family val="2"/>
            <charset val="186"/>
          </rPr>
          <t xml:space="preserve">
76'000 mežaudze vai koki; 46'000+73'000 Kadaga.</t>
        </r>
      </text>
    </comment>
    <comment ref="G43" authorId="0" shapeId="0" xr:uid="{094B9AAE-2CC8-4C40-9425-524C6BA254C8}">
      <text>
        <r>
          <rPr>
            <b/>
            <sz val="9"/>
            <color indexed="81"/>
            <rFont val="Tahoma"/>
            <family val="2"/>
            <charset val="186"/>
          </rPr>
          <t>Sarmīte Mūze:</t>
        </r>
        <r>
          <rPr>
            <sz val="9"/>
            <color indexed="81"/>
            <rFont val="Tahoma"/>
            <family val="2"/>
            <charset val="186"/>
          </rPr>
          <t xml:space="preserve">
76'000 mežaudze vai koki; 46'000+73'000 Kadaga.</t>
        </r>
      </text>
    </comment>
    <comment ref="J43" authorId="0" shapeId="0" xr:uid="{6B064B42-3A9C-4145-A626-7038B06F2EEB}">
      <text>
        <r>
          <rPr>
            <b/>
            <sz val="9"/>
            <color indexed="81"/>
            <rFont val="Tahoma"/>
            <family val="2"/>
            <charset val="186"/>
          </rPr>
          <t>Sarmīte Mūze:</t>
        </r>
        <r>
          <rPr>
            <sz val="9"/>
            <color indexed="81"/>
            <rFont val="Tahoma"/>
            <family val="2"/>
            <charset val="186"/>
          </rPr>
          <t xml:space="preserve">
76'000 mežaudze vai koki; 46'000+73'000 Kadaga.</t>
        </r>
      </text>
    </comment>
    <comment ref="M43" authorId="0" shapeId="0" xr:uid="{56ED8834-C1EC-48D9-AB5D-E3BA6FE8DC33}">
      <text>
        <r>
          <rPr>
            <b/>
            <sz val="9"/>
            <color indexed="81"/>
            <rFont val="Tahoma"/>
            <family val="2"/>
            <charset val="186"/>
          </rPr>
          <t>Sarmīte Mūze:</t>
        </r>
        <r>
          <rPr>
            <sz val="9"/>
            <color indexed="81"/>
            <rFont val="Tahoma"/>
            <family val="2"/>
            <charset val="186"/>
          </rPr>
          <t xml:space="preserve">
76'000 mežaudze vai koki; 46'000+73'000 Kadaga.</t>
        </r>
      </text>
    </comment>
    <comment ref="B266" authorId="1" shapeId="0" xr:uid="{E18479EA-BDD2-44D8-802C-32AEF5799964}">
      <text>
        <r>
          <rPr>
            <b/>
            <sz val="9"/>
            <color indexed="81"/>
            <rFont val="Tahoma"/>
            <family val="2"/>
            <charset val="186"/>
          </rPr>
          <t>Baiba Kanča:</t>
        </r>
        <r>
          <rPr>
            <sz val="9"/>
            <color indexed="81"/>
            <rFont val="Tahoma"/>
            <family val="2"/>
            <charset val="186"/>
          </rPr>
          <t xml:space="preserve">
Pārsaukt: Rezerve skolēnu līdzfinansējumam dalībai konkursos.</t>
        </r>
      </text>
    </comment>
    <comment ref="C269" authorId="0" shapeId="0" xr:uid="{453D26C4-A591-4A8A-AE20-A690740CAEA0}">
      <text>
        <r>
          <rPr>
            <b/>
            <sz val="9"/>
            <color indexed="81"/>
            <rFont val="Tahoma"/>
            <family val="2"/>
            <charset val="186"/>
          </rPr>
          <t>Sarmīte Mūze:</t>
        </r>
        <r>
          <rPr>
            <sz val="9"/>
            <color indexed="81"/>
            <rFont val="Tahoma"/>
            <family val="2"/>
            <charset val="186"/>
          </rPr>
          <t xml:space="preserve">
Šis ir jāizņem no 0930 un jāliek 0982 algā.
</t>
        </r>
      </text>
    </comment>
    <comment ref="D269" authorId="0" shapeId="0" xr:uid="{EA00AF6E-327C-4C5D-AFF7-80709D72ECCC}">
      <text>
        <r>
          <rPr>
            <b/>
            <sz val="9"/>
            <color indexed="81"/>
            <rFont val="Tahoma"/>
            <family val="2"/>
            <charset val="186"/>
          </rPr>
          <t>Sarmīte Mūze:</t>
        </r>
        <r>
          <rPr>
            <sz val="9"/>
            <color indexed="81"/>
            <rFont val="Tahoma"/>
            <family val="2"/>
            <charset val="186"/>
          </rPr>
          <t xml:space="preserve">
Šis ir jāizņem no 0930 un jāliek 0982 algā.
</t>
        </r>
      </text>
    </comment>
    <comment ref="G269" authorId="0" shapeId="0" xr:uid="{910D309C-5BB9-4594-98B5-5A4298293A27}">
      <text>
        <r>
          <rPr>
            <b/>
            <sz val="9"/>
            <color indexed="81"/>
            <rFont val="Tahoma"/>
            <family val="2"/>
            <charset val="186"/>
          </rPr>
          <t>Sarmīte Mūze:</t>
        </r>
        <r>
          <rPr>
            <sz val="9"/>
            <color indexed="81"/>
            <rFont val="Tahoma"/>
            <family val="2"/>
            <charset val="186"/>
          </rPr>
          <t xml:space="preserve">
Šis ir jāizņem no 0930 un jāliek 0982 algā.
</t>
        </r>
      </text>
    </comment>
    <comment ref="J269" authorId="0" shapeId="0" xr:uid="{D191C8E2-BD30-4332-9465-5AC980C93096}">
      <text>
        <r>
          <rPr>
            <b/>
            <sz val="9"/>
            <color indexed="81"/>
            <rFont val="Tahoma"/>
            <family val="2"/>
            <charset val="186"/>
          </rPr>
          <t>Sarmīte Mūze:</t>
        </r>
        <r>
          <rPr>
            <sz val="9"/>
            <color indexed="81"/>
            <rFont val="Tahoma"/>
            <family val="2"/>
            <charset val="186"/>
          </rPr>
          <t xml:space="preserve">
Šis ir jāizņem no 0930 un jāliek 0982 algā.
</t>
        </r>
      </text>
    </comment>
    <comment ref="M269" authorId="0" shapeId="0" xr:uid="{0CB76F36-3E56-4079-ABA6-679B070240C7}">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Sarmīte Mūze</author>
    <author>Baiba Kanča</author>
  </authors>
  <commentList>
    <comment ref="H27" authorId="0" shapeId="0" xr:uid="{43C5D19A-BF19-433B-A8D5-D734D3CF7195}">
      <text>
        <r>
          <rPr>
            <b/>
            <sz val="9"/>
            <color indexed="81"/>
            <rFont val="Tahoma"/>
            <family val="2"/>
            <charset val="186"/>
          </rPr>
          <t>Sarmīte Mūze:</t>
        </r>
        <r>
          <rPr>
            <sz val="9"/>
            <color indexed="81"/>
            <rFont val="Tahoma"/>
            <family val="2"/>
            <charset val="186"/>
          </rPr>
          <t xml:space="preserve">
EUR 236'297 ĀND daļa
</t>
        </r>
      </text>
    </comment>
    <comment ref="Q56" authorId="1" shapeId="0" xr:uid="{775EC52E-BB3C-43FF-8113-9635E575C0C1}">
      <text>
        <r>
          <rPr>
            <b/>
            <sz val="9"/>
            <color indexed="81"/>
            <rFont val="Tahoma"/>
            <family val="2"/>
            <charset val="186"/>
          </rPr>
          <t>Baiba Kanča:</t>
        </r>
        <r>
          <rPr>
            <sz val="9"/>
            <color indexed="81"/>
            <rFont val="Tahoma"/>
            <family val="2"/>
            <charset val="186"/>
          </rPr>
          <t xml:space="preserve">
samazinās uz pusi</t>
        </r>
      </text>
    </comment>
    <comment ref="Q58" authorId="1" shapeId="0" xr:uid="{41EF95D0-63B3-4BD0-8F78-ACE9A325CE9C}">
      <text>
        <r>
          <rPr>
            <b/>
            <sz val="9"/>
            <color indexed="81"/>
            <rFont val="Tahoma"/>
            <family val="2"/>
            <charset val="186"/>
          </rPr>
          <t>Baiba Kanča:</t>
        </r>
        <r>
          <rPr>
            <sz val="9"/>
            <color indexed="81"/>
            <rFont val="Tahoma"/>
            <family val="2"/>
            <charset val="186"/>
          </rPr>
          <t xml:space="preserve">
samazinās uz pusi
</t>
        </r>
      </text>
    </comment>
  </commentList>
</comments>
</file>

<file path=xl/sharedStrings.xml><?xml version="1.0" encoding="utf-8"?>
<sst xmlns="http://schemas.openxmlformats.org/spreadsheetml/2006/main" count="1206" uniqueCount="871">
  <si>
    <t>Ādažu pašvaldības apvienotais budžets</t>
  </si>
  <si>
    <t>2023. gads</t>
  </si>
  <si>
    <t xml:space="preserve">Ieņēmumu daļa </t>
  </si>
  <si>
    <t xml:space="preserve">N.p.k. </t>
  </si>
  <si>
    <t>Sadaļa</t>
  </si>
  <si>
    <t>2023. gada budžets</t>
  </si>
  <si>
    <t>23.03.2023. grozījumi</t>
  </si>
  <si>
    <t>Izmaiņa 23.03.2023. - 26.01.2023.</t>
  </si>
  <si>
    <t xml:space="preserve">Komentāri </t>
  </si>
  <si>
    <t>24.05.2023. grozījumi</t>
  </si>
  <si>
    <t>Izmaiņa 24.05.2023. -23.03.2023.</t>
  </si>
  <si>
    <t>28.06.2023. grozījumi</t>
  </si>
  <si>
    <t>Izmaiņa 28.06.2023. -24.05.2023.</t>
  </si>
  <si>
    <t>23.08.2023. grozījumi</t>
  </si>
  <si>
    <t>Izmaiņa 23.08.2023. -28.06.2023.</t>
  </si>
  <si>
    <t>1., 2., 3., 4., 5.1.</t>
  </si>
  <si>
    <t>Nodokļu ieņēmumi</t>
  </si>
  <si>
    <t>1.</t>
  </si>
  <si>
    <t>Iedzīvotāju ienākuma nodoklis</t>
  </si>
  <si>
    <t>1.1.</t>
  </si>
  <si>
    <t>pārskata gada</t>
  </si>
  <si>
    <t>Precizēta summa apstiprinātajos MK Nr.191 11.04.2023</t>
  </si>
  <si>
    <t>1.2.</t>
  </si>
  <si>
    <t>saņemts no Valsts kases sadales konta iepriekšējā gada nesadalītais iedzīvotāju ienākuma nodokļa atlikums</t>
  </si>
  <si>
    <t>1., 2., 3., 4.</t>
  </si>
  <si>
    <t>Nekustamā īpašuma nodokļu ieņēmumi</t>
  </si>
  <si>
    <t>2.</t>
  </si>
  <si>
    <t>Nekustamā īpašuma nodoklis par zemi</t>
  </si>
  <si>
    <t>2.1.</t>
  </si>
  <si>
    <t>2.2.</t>
  </si>
  <si>
    <t>iepriekšējo gadu parādi</t>
  </si>
  <si>
    <t>3.</t>
  </si>
  <si>
    <t>Nekustamā īpašuma nodoklis par ēkām</t>
  </si>
  <si>
    <t>3.1.</t>
  </si>
  <si>
    <t xml:space="preserve">pārskata gada </t>
  </si>
  <si>
    <t>3.2.</t>
  </si>
  <si>
    <t>4.</t>
  </si>
  <si>
    <t>Nekustamā īpašuma nodoklis par mājokļiem un inženierbūvēm</t>
  </si>
  <si>
    <t>4.1.</t>
  </si>
  <si>
    <t>4.2.</t>
  </si>
  <si>
    <t>5.</t>
  </si>
  <si>
    <t>Nodokļi un maksājumi par tiesībām lietot atsevišķas preces</t>
  </si>
  <si>
    <t>5.1.</t>
  </si>
  <si>
    <t>Azartspēļu nodoklis</t>
  </si>
  <si>
    <t>Dabas resursu nodoklis</t>
  </si>
  <si>
    <t>6.</t>
  </si>
  <si>
    <t>Valsts (pašvaldību) un kancelejas nodevas</t>
  </si>
  <si>
    <t>6.1.</t>
  </si>
  <si>
    <t>valsts nodevas</t>
  </si>
  <si>
    <t>6.1.1.</t>
  </si>
  <si>
    <t>t.sk.: - par apliecinājumiem un citu funkciju pildīšanu bāriņtiesā</t>
  </si>
  <si>
    <t>6.1.2.</t>
  </si>
  <si>
    <t>t.sk.: - par civilstāvokļa aktu reģistrēšanu, grozīšanu un papildināšanu</t>
  </si>
  <si>
    <t>6.1.3.</t>
  </si>
  <si>
    <t>t.sk.: - pārējās valsts nodevas, kuras ieskaita pašvaldību budžetā</t>
  </si>
  <si>
    <t>6.2.</t>
  </si>
  <si>
    <t>pašvaldību nodevas</t>
  </si>
  <si>
    <t>6.2.1.</t>
  </si>
  <si>
    <t>t.sk.: - nodeva par domes izstrādāto oficiālo dokumentu saņemšanu</t>
  </si>
  <si>
    <t>6.2.2.</t>
  </si>
  <si>
    <t>t.sk.: - nodeva par izklaidējoša rakstura pasākumu sarīkošanu publiskās vietās</t>
  </si>
  <si>
    <t>6.2.3.</t>
  </si>
  <si>
    <t>t.sk.: - nodeva par tirdzniecību publiskās vietās</t>
  </si>
  <si>
    <t>6.2.4.</t>
  </si>
  <si>
    <t>t.sk.: - nodeva par dzīvnieku turēšanu</t>
  </si>
  <si>
    <t>6.2.5.</t>
  </si>
  <si>
    <t>t.sk.: - nodeva par reklāmas, afišu un sludinājumu izvietošanu publiskās vietās</t>
  </si>
  <si>
    <t>6.2.6.</t>
  </si>
  <si>
    <t>t.sk.: - nodeva par būvatļaujas saņemšanu</t>
  </si>
  <si>
    <t>6.2.7.</t>
  </si>
  <si>
    <t>t.sk.: - pārējās nodevas</t>
  </si>
  <si>
    <t>7.</t>
  </si>
  <si>
    <t>Naudas sodi un sankcijas</t>
  </si>
  <si>
    <t>7.1.</t>
  </si>
  <si>
    <t>7.2.</t>
  </si>
  <si>
    <t>Naudas sodi, ko uzliek par pārkāpumiem ceļu satiksmē</t>
  </si>
  <si>
    <t>8.</t>
  </si>
  <si>
    <t>Pārējie nenodokļu ieņēmumi</t>
  </si>
  <si>
    <t>8.1.</t>
  </si>
  <si>
    <t>citi nenodokļu ieņēmumi</t>
  </si>
  <si>
    <t>SIA "Ādažu Namsaimnieks" dividendes, novirzīt caur 0950 izdevumi vidussk.apkures sist.pāreja uz atjaunoj.energoresursiem, Domes lēmums Nr.215.</t>
  </si>
  <si>
    <t>Ieņēmumi no apdrošināšanas prēmijas tiltam Carnikavā. (Liek CKS pie sevis)</t>
  </si>
  <si>
    <t>8.2.</t>
  </si>
  <si>
    <t>līgumsodi un procentu maksājumi par saistību neizpildi</t>
  </si>
  <si>
    <t>8.3.</t>
  </si>
  <si>
    <t>ieņēmumi no zvejas tiesību nomas</t>
  </si>
  <si>
    <t>9.</t>
  </si>
  <si>
    <t>Ieņēmumi no pašvaldības īpašuma pārdošana</t>
  </si>
  <si>
    <t>10.</t>
  </si>
  <si>
    <t>Valsts budžeta transferti un projektu finansējums</t>
  </si>
  <si>
    <t>10.1.</t>
  </si>
  <si>
    <t>Valsts budžeta transferti</t>
  </si>
  <si>
    <t>10.1.1.</t>
  </si>
  <si>
    <t>dotācija mākslas skolas algām</t>
  </si>
  <si>
    <t>Precizēts MD apjoms</t>
  </si>
  <si>
    <t>10.1.2.</t>
  </si>
  <si>
    <t>dotācija sporta skolai</t>
  </si>
  <si>
    <t>10.1.3.</t>
  </si>
  <si>
    <t>dotācija skolēnu ēdināšanai</t>
  </si>
  <si>
    <t>10.1.4.</t>
  </si>
  <si>
    <t>dotācija mācību līdzekļiem</t>
  </si>
  <si>
    <t xml:space="preserve">  10.1.4.1.</t>
  </si>
  <si>
    <t>t.sk.: - dotācija mācību grāmatām</t>
  </si>
  <si>
    <t>Valsts mērķdotācija mācību līdzekļiem izglītības iestādēs.</t>
  </si>
  <si>
    <t xml:space="preserve">  10.1.4.2.</t>
  </si>
  <si>
    <t>t.sk.: - dotācija digitālajiem mācību līdzekļiem</t>
  </si>
  <si>
    <t>10.1.5.</t>
  </si>
  <si>
    <t>dotācijas pedagogu algām (vsk., PII)</t>
  </si>
  <si>
    <t xml:space="preserve">  10.1.5.1.</t>
  </si>
  <si>
    <t>t.sk.: - piecgadīgo bērnu apmācība</t>
  </si>
  <si>
    <t xml:space="preserve">  10.1.5.2.</t>
  </si>
  <si>
    <t>t.sk.: - skolotāju algām</t>
  </si>
  <si>
    <t xml:space="preserve">  10.1.5.3.</t>
  </si>
  <si>
    <t>t.sk.: - interešu izglītība</t>
  </si>
  <si>
    <t>10.1.6.</t>
  </si>
  <si>
    <t>dotācija māksliniecisko kolektīvu vadītāju atalgojumam</t>
  </si>
  <si>
    <t>10.1.7.</t>
  </si>
  <si>
    <t>Projekts "Skolas soma" Ādaži</t>
  </si>
  <si>
    <t>Precizēta summa pēc līguma noslēgšanas</t>
  </si>
  <si>
    <t>10.1.8.</t>
  </si>
  <si>
    <t>Projekts "Skolas soma" Carnikava</t>
  </si>
  <si>
    <t>10.1.9.</t>
  </si>
  <si>
    <t>dotācija asistenta pakalpojumu nodrošināšanai</t>
  </si>
  <si>
    <t>10.1.10.</t>
  </si>
  <si>
    <t>dotācija sociālajiem darbiniekiem, kuri strādā ar ģimenēm un bērniem</t>
  </si>
  <si>
    <t>AM līdzfinansējums Mežaparka ceļa izbūvei</t>
  </si>
  <si>
    <t>10.1.11.</t>
  </si>
  <si>
    <t>valsts dotācija ceļu uzturēšanai</t>
  </si>
  <si>
    <t>Precizēts mērķdotācijas pajoms</t>
  </si>
  <si>
    <r>
      <t xml:space="preserve">Valsts finansējums projektu konkursā "Atbalsts jaunatnes politikas īstenošanai vietējā līmenī" </t>
    </r>
    <r>
      <rPr>
        <sz val="11"/>
        <color theme="8" tint="-0.249977111117893"/>
        <rFont val="Times New Roman"/>
        <family val="1"/>
        <charset val="186"/>
      </rPr>
      <t>Projekts "Mobilais darbs ar jaunatni Ādažu novadā"</t>
    </r>
  </si>
  <si>
    <t>10.1.12.</t>
  </si>
  <si>
    <t>Dotācijas Ukrainas pilsoņu atbalstam</t>
  </si>
  <si>
    <t>Precizēta summa balstoties uz faktisko izpildi</t>
  </si>
  <si>
    <t>10.1.13.</t>
  </si>
  <si>
    <t>Dotācijas "Energoresursu atbalsts"</t>
  </si>
  <si>
    <t>CKS precizēts kods ieņēmumiem - valsts atbalsts iedzīvotājiem</t>
  </si>
  <si>
    <t>10.1.14.</t>
  </si>
  <si>
    <t>pārējās dotācijas</t>
  </si>
  <si>
    <t>1) Noslēgts līgums par valsts līdzfinansējumu Dziesmu svētku dalībniekiem EUR 5840,91.
2) Apstiprināts dotācijas apjoms vienoto KAS uzturēšanai EUR 7'144.</t>
  </si>
  <si>
    <t>10.2.</t>
  </si>
  <si>
    <t>ES struktūrfondu līdzekļi un aktivitāšu līdzfinansējumi</t>
  </si>
  <si>
    <t>10.2.1.</t>
  </si>
  <si>
    <t>Dotācija nodarbinātības pasākumiem</t>
  </si>
  <si>
    <t>10.2.2.</t>
  </si>
  <si>
    <t>Plūdu risku projekts</t>
  </si>
  <si>
    <t>10.2.3.</t>
  </si>
  <si>
    <t>Apgaismojuma izbūve uz Salas aizsargdamja D-2 posmā, Carnikavas pagastā</t>
  </si>
  <si>
    <t>10.2.4.</t>
  </si>
  <si>
    <t>Auto stāvlaukuma Lilastē paplašināšanas un atpūtas vietu labiekārtojuma projektēšana un izbūve ©</t>
  </si>
  <si>
    <t>10.2.5.</t>
  </si>
  <si>
    <t>SAM 9.2.4.2. projekts "Pasākumi vietējās sabiedrības veselības veicināšanai Ādažu novadā"</t>
  </si>
  <si>
    <t>10.2.6.</t>
  </si>
  <si>
    <t>VISA projekts "Atbalsts izglītojamo individuālo kompetenču attīstībai"</t>
  </si>
  <si>
    <t>10.2.8.</t>
  </si>
  <si>
    <t>SAM 9311 Deinstitucionalizācija - Dienas centrs - specializētās darbnīcas</t>
  </si>
  <si>
    <t>10.2.9.</t>
  </si>
  <si>
    <t>Dienas centrs - pakalpojumi (Ā)</t>
  </si>
  <si>
    <t>10.2.10.</t>
  </si>
  <si>
    <t>LAD projekts "Laivu ielas un tai piegulošā auto stāvlaukuma projektēšana un būvniecība"</t>
  </si>
  <si>
    <t>10.2.11.</t>
  </si>
  <si>
    <t>KF Ūdenssaimniecība 3.kārta Carnikavā</t>
  </si>
  <si>
    <t>10.2.12.</t>
  </si>
  <si>
    <t>ESF projekts Karjeras atbalsts vispārējās un profesionālās izglītības iestādēs ©</t>
  </si>
  <si>
    <t>10.2.13.</t>
  </si>
  <si>
    <t>ESF projekts Atbalsts priekšlaicīgas mācību pārtraukšanas samazināšanai ©</t>
  </si>
  <si>
    <t>10.2.14.</t>
  </si>
  <si>
    <t>SAM 5.5.1. Kultūras objektu būvniecība ©</t>
  </si>
  <si>
    <t>10.2.15.</t>
  </si>
  <si>
    <t>ES projekts Eiropa pilsoņiem (diskriminētām personām) ©</t>
  </si>
  <si>
    <t>10.2.16.</t>
  </si>
  <si>
    <t>ERASMUS + projekti</t>
  </si>
  <si>
    <t>Precizēta projekta NP</t>
  </si>
  <si>
    <t>10.2.17.</t>
  </si>
  <si>
    <t xml:space="preserve"> ”Mobilitātes punkta infrastruktūras izveidošana Rīgas metropoles areālā – “Carnikava””</t>
  </si>
  <si>
    <t>10.2.18.</t>
  </si>
  <si>
    <t>Maģistrālā  veloceļa izbūve Rīga-Carnikava</t>
  </si>
  <si>
    <t>10.2.19.</t>
  </si>
  <si>
    <t>Ģimenes ārsta prakses izveide_Garā iela 20 (ERAF, SAM 9.3.2. 4.kārta)</t>
  </si>
  <si>
    <t>10.2.20.</t>
  </si>
  <si>
    <t>EKII projekts</t>
  </si>
  <si>
    <t>10.2.21.</t>
  </si>
  <si>
    <t>Katlu mājas pārbūve Carnikavā, Tulpju iela 5</t>
  </si>
  <si>
    <t>10.3.</t>
  </si>
  <si>
    <t>IIN budžeta dotācija</t>
  </si>
  <si>
    <t>11.</t>
  </si>
  <si>
    <t>Pašvaldību budžeta transferti</t>
  </si>
  <si>
    <t>11.1.</t>
  </si>
  <si>
    <t>no citām pašvaldībām izglītības funkciju nodrošināšanai</t>
  </si>
  <si>
    <t>11.2.</t>
  </si>
  <si>
    <t>citi ieņēmumi no citām pašvaldībam</t>
  </si>
  <si>
    <t>12.</t>
  </si>
  <si>
    <t>Budžeta iestāžu ieņēmumi</t>
  </si>
  <si>
    <t>12.1.</t>
  </si>
  <si>
    <t>maksa par izglītības pakalpojumiem</t>
  </si>
  <si>
    <t>12.1.1.</t>
  </si>
  <si>
    <t>ieņēmumi no vecāku maksām (PII)</t>
  </si>
  <si>
    <t>12.1.2.</t>
  </si>
  <si>
    <t>ieņēmumi no vecāku maksām (ĀMMS; BJSS)</t>
  </si>
  <si>
    <t>12.2.</t>
  </si>
  <si>
    <t>pārrobežu projektu ieņēmumi ©</t>
  </si>
  <si>
    <t>12.2.1.</t>
  </si>
  <si>
    <t>ES Padomes projekts LIFE COHABIT ©</t>
  </si>
  <si>
    <t>12.2.2.</t>
  </si>
  <si>
    <t>pārrobežu EST-LAT projekts "Militārais mantojums</t>
  </si>
  <si>
    <t>12.3.</t>
  </si>
  <si>
    <t>ieņēmumi par nomu un īri</t>
  </si>
  <si>
    <t>12.3.1.</t>
  </si>
  <si>
    <t>ieņēmumi par telpu nomu</t>
  </si>
  <si>
    <t>12.3.2.</t>
  </si>
  <si>
    <t>ieņēmumi par zemes nomu</t>
  </si>
  <si>
    <t>12.3.3.</t>
  </si>
  <si>
    <t>pārējie ieņēmumi par nomu ©</t>
  </si>
  <si>
    <t>12.4.</t>
  </si>
  <si>
    <t>budžeta iestāžu maksas pakalpojumi</t>
  </si>
  <si>
    <t>12.4.1.</t>
  </si>
  <si>
    <t>12.4.2.</t>
  </si>
  <si>
    <t>ieņēmumi no biļešu realizācijas</t>
  </si>
  <si>
    <t>12.4.3.</t>
  </si>
  <si>
    <t>ieņēmumi no dzīvokļu un komunālajiem pakalpojumiem ©</t>
  </si>
  <si>
    <t>12.6.</t>
  </si>
  <si>
    <t>pārējie ieņēmumi/stāvvietu ieņēmumi</t>
  </si>
  <si>
    <t>KOPĀ IEŅĒMUMI:</t>
  </si>
  <si>
    <t>13.</t>
  </si>
  <si>
    <t>Naudas līdzekļu atlikums gada sākumā</t>
  </si>
  <si>
    <t>13.1.</t>
  </si>
  <si>
    <t>Naudas atlikums iezīmētiem mērķiem</t>
  </si>
  <si>
    <t>13.2.</t>
  </si>
  <si>
    <t>Naudas atlikums pašvaldības līdzekļi</t>
  </si>
  <si>
    <t xml:space="preserve">14. </t>
  </si>
  <si>
    <t>Valsts Kases kredīti</t>
  </si>
  <si>
    <t>14.1.</t>
  </si>
  <si>
    <t>14.2.</t>
  </si>
  <si>
    <t>14.3.</t>
  </si>
  <si>
    <t xml:space="preserve"> "Auto stāvlaukuma Lilastē paplašināšana, atpūtas vietu, labiekārtojuma, labierīcību, kempinga iespēju projektēšana un izbūve" ©</t>
  </si>
  <si>
    <t>14.4.</t>
  </si>
  <si>
    <t>SAM 5.1.1. Pretplūdu pasākumi Ādažu centra polderī, Ādažu novadā</t>
  </si>
  <si>
    <t>14.5.</t>
  </si>
  <si>
    <t>14.6.</t>
  </si>
  <si>
    <t>Carnikavas stadiona rekonstrukcija</t>
  </si>
  <si>
    <t>14.7.</t>
  </si>
  <si>
    <t>Ādažu vidusskolas ēkas B korpusa un savienojuma daļas starp korpusiem (C un B) fasādes atjaunošana</t>
  </si>
  <si>
    <t>14.8.</t>
  </si>
  <si>
    <t>Kalngales NAI pārbūve</t>
  </si>
  <si>
    <t>14.9.</t>
  </si>
  <si>
    <t>14.10.</t>
  </si>
  <si>
    <t>14.11.</t>
  </si>
  <si>
    <t>Ķiršu ielas III kārta no Saules ielas līdz Attekas ielai 0.17km</t>
  </si>
  <si>
    <t xml:space="preserve">Noslēdzies iepirkums par EUR 57'326 lielāka summa, kā plānots. Naudas plūsma precizēta atbilstoši Budžeta likumam, ka pašvaldības līdzfinansējums nav mazāks par 15%, budžetā sākotnēji plānots 30% līdzfinansējums. </t>
  </si>
  <si>
    <t>14.12.</t>
  </si>
  <si>
    <t>Draudzības iela posmā no Saules ielai līdz Podnieku ielai ar ietvi 0.35km</t>
  </si>
  <si>
    <t>14.13.</t>
  </si>
  <si>
    <t>Liepu aleja</t>
  </si>
  <si>
    <t>Atbalstīta projekta realizācija</t>
  </si>
  <si>
    <t>14.14.</t>
  </si>
  <si>
    <t>Atpūtas ielas pārbūve</t>
  </si>
  <si>
    <t>Sākotnēji plānots no pašvaldības līdzekļiem, bet saskaņā ar likumu ir iespējams izmantot aizņēmuma līdzekļus.</t>
  </si>
  <si>
    <t>PAVISAM KOPĀ IEŅĒMUMI:</t>
  </si>
  <si>
    <t xml:space="preserve">Izdevumu daļa </t>
  </si>
  <si>
    <t>Komentāri</t>
  </si>
  <si>
    <t>Vispārējie valdības dienesti</t>
  </si>
  <si>
    <t>pārvalde</t>
  </si>
  <si>
    <t>EKK korekcija (algu ekonomija novirzīta uz KA, atbalstīto zemsvītras investīciju finansēšanai.)</t>
  </si>
  <si>
    <t>deputāti</t>
  </si>
  <si>
    <t>1.3.</t>
  </si>
  <si>
    <t>administratīvā komisija</t>
  </si>
  <si>
    <t>1.4.</t>
  </si>
  <si>
    <t>iepirkumu komisija</t>
  </si>
  <si>
    <t>1.5.</t>
  </si>
  <si>
    <t>vēlēšanu komisija</t>
  </si>
  <si>
    <t>1.6.</t>
  </si>
  <si>
    <t>pārējās komisijas</t>
  </si>
  <si>
    <t>EUR2000 uz PII Piejūra - balva par energotaupības rezultātiem</t>
  </si>
  <si>
    <t>1.7.</t>
  </si>
  <si>
    <t>aizņēmumu procentu maksājumi</t>
  </si>
  <si>
    <t>Lai kompensētu aizņēmumu likmju pieaugumu.</t>
  </si>
  <si>
    <t>1.8.</t>
  </si>
  <si>
    <t>Iemaksas PFIF</t>
  </si>
  <si>
    <t>1.9.</t>
  </si>
  <si>
    <t>Informācijas tehnoloģiju nodaļa, vispārējas nozīmes dienestu darbība un pakalpojumi - datortīkla uzturēšana ©</t>
  </si>
  <si>
    <t>Pārējie vispārēja rakstura transferti</t>
  </si>
  <si>
    <t>Izdevumi neparedzētiem gadījumiem</t>
  </si>
  <si>
    <t>Sabiedriskā kārtība un drošība</t>
  </si>
  <si>
    <t>Ekonomiskā darbība</t>
  </si>
  <si>
    <t>Sabiedriskās attiecības, laikraksts</t>
  </si>
  <si>
    <t>4.1.1.</t>
  </si>
  <si>
    <t>Sabiedrisko attiecību nodaļa</t>
  </si>
  <si>
    <t>4.1.2.</t>
  </si>
  <si>
    <t>Ādažu vēstis</t>
  </si>
  <si>
    <t>Autoceļu fonds</t>
  </si>
  <si>
    <t>Vides aizsardzība</t>
  </si>
  <si>
    <t>Dabas resursu nodokļa izlietojums</t>
  </si>
  <si>
    <t>Pašvaldības teritoriju un mājokļu apsaimniekošana</t>
  </si>
  <si>
    <t>Būvvalde</t>
  </si>
  <si>
    <t>+ EUR 15'000 arhitektu plenērs izglītības kvartālam</t>
  </si>
  <si>
    <t>6.3.</t>
  </si>
  <si>
    <t>Teritorijas plānošanas nodaļa</t>
  </si>
  <si>
    <t>6.4.</t>
  </si>
  <si>
    <t>Attīstības un projektu nodaļa</t>
  </si>
  <si>
    <t>6.4.1.</t>
  </si>
  <si>
    <t>nodaļa</t>
  </si>
  <si>
    <t>Life CoHabit projekts noslēdzies - 2) EUR 5033 Gaujas-Baltezera projekta realizācijai (Lēmums #82)</t>
  </si>
  <si>
    <t>Papildus ģimenes ārsta prakses projekta realizācijas prasība - informatīvās plāksnes izgatavošana no attīstības daļas budžeta</t>
  </si>
  <si>
    <t>6.4.2.</t>
  </si>
  <si>
    <t>Projekts "Sabiedrība ar dvēseli"</t>
  </si>
  <si>
    <t>Saskaņā ar lēmumu, novirzīt EUR 1'630 no 0630.2 Pārrobežu EST-LAT projekts "Militārais mantojums uz 0630.1/3263 Sabiedrība ar dvēseli projektu realizācijai</t>
  </si>
  <si>
    <t>6.4.3.</t>
  </si>
  <si>
    <t>Iedzīvotāju iniciatīvas un konkursi.</t>
  </si>
  <si>
    <t>6.4.4.</t>
  </si>
  <si>
    <t>TEP “Atjaunojamo energoresursu izmantošana Ādažu novadā” (EUCF)</t>
  </si>
  <si>
    <t>EUR 18'000 no atlikuma uz TEP “Atjaunojamo energoresursu izmantošana Ādažu novadā” (EUCF) projektu priekšfinansējumam. (Lēmums #164)</t>
  </si>
  <si>
    <t>6.4.5.</t>
  </si>
  <si>
    <t>”Mobilitātes punkta infrastruktūras izveidošana Rīgas metropoles areālā – “Carnikava””</t>
  </si>
  <si>
    <t>6.4.6.</t>
  </si>
  <si>
    <t>6.4.7.</t>
  </si>
  <si>
    <t>6.4.8.</t>
  </si>
  <si>
    <t xml:space="preserve">  ES Padomes projekts LIFE COHABIT ©</t>
  </si>
  <si>
    <t>Life CoHabit projekts noslēdzies - 1) EUR 18'000 no atlikuma uz TEP “Atjaunojamo energoresursu izmantošana Ādažu novadā” (EUCF) projektu priekšfinansējumam. (Lēmums #164)
2) EUR 5033 Gaujas-Baltezera projekta realizācijai (Lēmums #82)</t>
  </si>
  <si>
    <t>6.4.9.</t>
  </si>
  <si>
    <t>Pārrobežu EST-LAT projekts "Militārais mantojums ©</t>
  </si>
  <si>
    <t>Noslēdzies iepirkums par kopsummu EUR 16'298. EUR 1'298 novirzīt no projekta Militārais mantojums (0630.2/2239) uz Ģimenes ārsta prakses izveide (0633.5/5240).</t>
  </si>
  <si>
    <t>6.4.10.</t>
  </si>
  <si>
    <t>6.5.</t>
  </si>
  <si>
    <t>Objektu un teritorijas apsaimniekošana un uzturēšana</t>
  </si>
  <si>
    <t>6.5.1.</t>
  </si>
  <si>
    <t>Nekustamo īpašumu uzturēšana (Ā)</t>
  </si>
  <si>
    <t xml:space="preserve">Nekustamā īpašumas nodaļa </t>
  </si>
  <si>
    <t>6.5.2.</t>
  </si>
  <si>
    <t>Mežaparka ceļš (Ā)</t>
  </si>
  <si>
    <t>6.5.3.</t>
  </si>
  <si>
    <t>6.5.4.</t>
  </si>
  <si>
    <t>Pašvaldības aģentūra "Carnikavas Komunālserviss"</t>
  </si>
  <si>
    <t>6.5.5.</t>
  </si>
  <si>
    <t>P/A "Carnikavas komunālserviss" teritorijas un īpašumu apsaimniekošana</t>
  </si>
  <si>
    <t>6.5.5.1</t>
  </si>
  <si>
    <t>Dotācija CKS teritorijas uzturēšanai</t>
  </si>
  <si>
    <t>1.-  EUR 18'000 uz 30.04. ekonomija uz vakancēm.
2. + EUR 16'000 uz CKS Garā 20 apkopējas atalgojums.
3. + EUR 21'000 uz CKS ārstu prakse Garā iela 20
4. + EUR 30'000 Smilšu ielas izbūves projektēšana
5. + EUR 5'000 Vecštāles caurtekas remonts
6. + 30'000 Dzirnupes ielas tilta projektēšanai
7. + 12'000 Caurteku rekonstrukcija (sabrukušas) Medus ielā
8. + 36'000 2 dzīvokļu remonts
9. + 180'000 Liepu aleja (ir tehniskais projekts) (EUR 54'000 pašvaldības līdzekļi; EUR 126'000 VK aizņēmums)
10. + 15'597 noslēdzies dubultās virsmas apstrādes iepirkums (Gaujmalas, Dārza, Kastaņu un Lazdu ielām)</t>
  </si>
  <si>
    <t>No CKS dotācijas uz Teritorijas uzturēšanu (Dome) par apsaimniekošanas līgumiem, kas noslēgti ar Domi</t>
  </si>
  <si>
    <t>6.5.5.2.</t>
  </si>
  <si>
    <t>Dotācija CKS ceļu uzturēšanai</t>
  </si>
  <si>
    <t>6.5.5.3.</t>
  </si>
  <si>
    <t>Teritorijas uzturēšana (Dome)</t>
  </si>
  <si>
    <t>+ EUR 7'921 - Noslēdzies iepirkums autobusa iegādei 2023.gada maksājumi EUR 27'121 (budžetā EUR 19'200)</t>
  </si>
  <si>
    <t>1) EUR 50'936 no CKS dotācijas uz Teritorijas uzturēšanu (Dome) par apsaimniekošanas līgumiem, kas noslēgti ar Domi.
2) Saskaņā ar līdzfinansējuma vērtēšanas komisijas ierosinājumu palielināt finanšu apjomu par EUR 20'000 daudzdzīvokļu māju siltināšanas līdzfinansējumam.</t>
  </si>
  <si>
    <t>6.5.6.</t>
  </si>
  <si>
    <t>Ceļu, ielu infrastruktūras attīstības programma  - pašvaldības ieguldījums ©</t>
  </si>
  <si>
    <t>6.5.7.</t>
  </si>
  <si>
    <t>6.5.8.</t>
  </si>
  <si>
    <t>Rasiņu ielas seguma atjaunošana</t>
  </si>
  <si>
    <t>Realizēs caur Domes līgumu</t>
  </si>
  <si>
    <t>6.5.9.</t>
  </si>
  <si>
    <t>6.5.10.</t>
  </si>
  <si>
    <t>6.5.11.</t>
  </si>
  <si>
    <t>6.5.12.</t>
  </si>
  <si>
    <t>6.5.13.</t>
  </si>
  <si>
    <t>6.5.14.</t>
  </si>
  <si>
    <t>KF Ūdenssaimniecības projekts Carnikavā, 3.kārta ©</t>
  </si>
  <si>
    <t>Atpūta, kultūra un reliģija</t>
  </si>
  <si>
    <t>Kultūra</t>
  </si>
  <si>
    <t>7.1.1.</t>
  </si>
  <si>
    <t xml:space="preserve">Ādažu kultūras centrs </t>
  </si>
  <si>
    <t>+ EUR 2'498 (49 austas rakstainās jostas korim SAKNES)</t>
  </si>
  <si>
    <r>
      <t>1) Saskaņā ar 05.04.23. lēmumu #129 Gaujas svētku ieņēmumus EUR 17'000 apmērā novirzīt uz izdevumu segšanu.
2)</t>
    </r>
    <r>
      <rPr>
        <b/>
        <sz val="11"/>
        <rFont val="Times New Roman"/>
        <family val="1"/>
        <charset val="186"/>
      </rPr>
      <t xml:space="preserve"> Iekš. groz.:</t>
    </r>
    <r>
      <rPr>
        <sz val="11"/>
        <rFont val="Times New Roman"/>
        <family val="1"/>
        <charset val="186"/>
      </rPr>
      <t xml:space="preserve"> EUR 9 000 no ĀNKC vadītājas vietnieces algas ietaupījuma uz EKK 2239 Gaujas svētku cilvēkresursu u.c. izdevumu apmaksai</t>
    </r>
  </si>
  <si>
    <t>7.1.2.</t>
  </si>
  <si>
    <t>Tautas nams "Ozolaine" ©</t>
  </si>
  <si>
    <t>7.1.3.</t>
  </si>
  <si>
    <t>Muzejs un Carnikavas novadpētniecības centrs</t>
  </si>
  <si>
    <t>Dziesmu svētki 2023</t>
  </si>
  <si>
    <t>EUR 20'000 papildus atobusu īrei Dziesmu un deju svētkos</t>
  </si>
  <si>
    <t>7.3.</t>
  </si>
  <si>
    <t>SAM 5.5.1. Kultūras objektu būvniecība (maksājumi projekta partneriem) ©</t>
  </si>
  <si>
    <t>7.4.</t>
  </si>
  <si>
    <t>7.5.</t>
  </si>
  <si>
    <t xml:space="preserve">Ādažu bibliotēka </t>
  </si>
  <si>
    <t>Saskaņā ar maija sēdes lēmumu par bibliotēkas paplašināšanos</t>
  </si>
  <si>
    <t>7.6.</t>
  </si>
  <si>
    <t xml:space="preserve">Carnikavas bibliotēka </t>
  </si>
  <si>
    <t>Papildus finansējums pakomāta iegādei</t>
  </si>
  <si>
    <t>7.8.</t>
  </si>
  <si>
    <t>Sporta daļa</t>
  </si>
  <si>
    <t>7.9.</t>
  </si>
  <si>
    <t>Evaņģēliski luteriskās draudzes</t>
  </si>
  <si>
    <t>7.10.</t>
  </si>
  <si>
    <t>Multihalle</t>
  </si>
  <si>
    <t>Sociālā aizsardzība</t>
  </si>
  <si>
    <t>Sociālais dienests</t>
  </si>
  <si>
    <t>8.1.1.</t>
  </si>
  <si>
    <t xml:space="preserve">Sociālās funkcijas nodrošināšana </t>
  </si>
  <si>
    <t>Saskaņā ar domes 24.05.2023. lēmumu Nr. 196 pārcelt finansējumu vakancei "Bērnu brīvā laika organizators" no soc. Dienesta budžeta uz Izglītības un jaunatnes nodaļu</t>
  </si>
  <si>
    <t>8.1.2.</t>
  </si>
  <si>
    <t>Pabalsti</t>
  </si>
  <si>
    <t>8.1.3.</t>
  </si>
  <si>
    <t>Mērķdotācija</t>
  </si>
  <si>
    <t>8.1.5.</t>
  </si>
  <si>
    <t>Asistentu pakalpojumi</t>
  </si>
  <si>
    <t>8.1.6.</t>
  </si>
  <si>
    <t>Sociālā centra "Kadiķis" uzturēšana</t>
  </si>
  <si>
    <t>Stipendiāti / bezdarbnieki</t>
  </si>
  <si>
    <t>8.2.1.</t>
  </si>
  <si>
    <t>Domes finansējums</t>
  </si>
  <si>
    <t>8.2.2.</t>
  </si>
  <si>
    <t>NVA finansējums</t>
  </si>
  <si>
    <t>SAM 9311 Deinstitucionalizācija - Dienas centrs</t>
  </si>
  <si>
    <t>8.3.1.</t>
  </si>
  <si>
    <t>DI centra uzturēšanas izdevumi</t>
  </si>
  <si>
    <t>8.3.2.</t>
  </si>
  <si>
    <t>DI projekts- specializētās darbnīcas</t>
  </si>
  <si>
    <t>8.3.3.</t>
  </si>
  <si>
    <t>DI centra pakalpojumi (projekts)</t>
  </si>
  <si>
    <t>8.4.</t>
  </si>
  <si>
    <t>Bāriņtiesa</t>
  </si>
  <si>
    <t>8.5.</t>
  </si>
  <si>
    <t>8.6.</t>
  </si>
  <si>
    <t>8.7.</t>
  </si>
  <si>
    <t>SAM 9.2.4.2. projekts "Pasākumi vietējās sabiedrības veselības veicināšanai Ādažu novada pašvaldības Ādažu pagastā"</t>
  </si>
  <si>
    <t>8.8.</t>
  </si>
  <si>
    <t>SAM 9.2.4.2. projekts "Pasākumi vietējās sabiedrības veselības veicināšanai Ādažu novada pašvaldības Carnikavas pagastā"</t>
  </si>
  <si>
    <t>Izglītība</t>
  </si>
  <si>
    <t>9.1.</t>
  </si>
  <si>
    <t>Norēķini ar pašvaldību budžetiem par izglītības iestāžu pakalpojumiem</t>
  </si>
  <si>
    <t>9.2.</t>
  </si>
  <si>
    <t>Ādažu Pirmsskolas izglītības iestāde</t>
  </si>
  <si>
    <t>9.2.1.</t>
  </si>
  <si>
    <t>pedagogu algas, grāmatas (mērķdotācija)</t>
  </si>
  <si>
    <t>9.2.2.</t>
  </si>
  <si>
    <t>pārējās izmaksas</t>
  </si>
  <si>
    <t>1. - EUR 7'910 korekcija (algu ekonomija novirzīta uz KA, atbalstīto zemsvītras investīciju finansēšanai.)
2. + EUR 20'000 ĀPII rotaļu laukums</t>
  </si>
  <si>
    <t>9.3.</t>
  </si>
  <si>
    <t>Kadagas PII</t>
  </si>
  <si>
    <t>9.3.1.</t>
  </si>
  <si>
    <t>9.3.2.</t>
  </si>
  <si>
    <t>9.4.</t>
  </si>
  <si>
    <t>Pirmsskolas izglītības iestāde "Riekstiņš"</t>
  </si>
  <si>
    <t>9.4.1.</t>
  </si>
  <si>
    <t>9.4.2.</t>
  </si>
  <si>
    <t>9.4.3.</t>
  </si>
  <si>
    <t>uzturēšanas izmaksas (CKS)</t>
  </si>
  <si>
    <t>9.5.</t>
  </si>
  <si>
    <t>Pirmsskolas izglītības iestādes "Piejūra"</t>
  </si>
  <si>
    <t>9.5.1.</t>
  </si>
  <si>
    <t>9.5.2.</t>
  </si>
  <si>
    <t>EUR 2000 uz PII Piejūra - balva par energotaupības rezultātiem</t>
  </si>
  <si>
    <t>9.5.3.</t>
  </si>
  <si>
    <t>9.6.</t>
  </si>
  <si>
    <t>Privātās izglītības iestādes</t>
  </si>
  <si>
    <t>9.6.1.</t>
  </si>
  <si>
    <t>ĀBVS</t>
  </si>
  <si>
    <t>9.6.2.</t>
  </si>
  <si>
    <t>Privātās skolas</t>
  </si>
  <si>
    <t>9.6.3.</t>
  </si>
  <si>
    <t>Pārējās privātās PII</t>
  </si>
  <si>
    <t>9.7.</t>
  </si>
  <si>
    <t>Carnikavas pamatskola</t>
  </si>
  <si>
    <t>9.7.1.</t>
  </si>
  <si>
    <t>9.7.2.</t>
  </si>
  <si>
    <t>ēdināšana (mērķdotācija)</t>
  </si>
  <si>
    <t>9.7.3.</t>
  </si>
  <si>
    <t>9.7.4.</t>
  </si>
  <si>
    <t>9.7.5.</t>
  </si>
  <si>
    <t>projekts "Skolas soma"</t>
  </si>
  <si>
    <t>9.7.6.</t>
  </si>
  <si>
    <t>projekts Erasmus+</t>
  </si>
  <si>
    <t>9.7.7.</t>
  </si>
  <si>
    <t>mācību vides labiekārtošana</t>
  </si>
  <si>
    <t>9.8.</t>
  </si>
  <si>
    <t>9.9.</t>
  </si>
  <si>
    <t>Ādažu vidusskola</t>
  </si>
  <si>
    <t>9.9.1.</t>
  </si>
  <si>
    <t>9.9.2.</t>
  </si>
  <si>
    <t>1. EUR 7'900 IZM piegādāto ChromeBook (IZM projekts datori 7-9 kl. skolēniem) uzglabāšanas, uzlādes skapji 5 gb. (32 datori vienā skapī). Šos no EKK 5238 uz EKK 5240.
2. EUR 10'864 SIA "Ādažu Namsaimnieks" dividendes, novirzīt caur 0950 izdevumi vidussk.apkures sist.pāreja uz atjaunoj.energoresursiem, Domes lēmums Nr.215.</t>
  </si>
  <si>
    <t>Ugunsdrošības un apziņošanas sistēmas ierīkošana Ādažu vidusskolas korpusā -2023.gadā gala maksājums EUR 43000 no konta atlikuma (nebija iekļauts budžeta plānā)</t>
  </si>
  <si>
    <t>9.9.3.</t>
  </si>
  <si>
    <t>9.9.4.</t>
  </si>
  <si>
    <t>9.9.5.</t>
  </si>
  <si>
    <t>Ādažu vidusskolas ēkas B korpusa un savienojuma daļas starp korpusiem (C un B) fasādes atjaunošana - pašvaldības līdzfinansējuma daļa (aizņemšanās nosacījumi paredz 10% līdzfin.)</t>
  </si>
  <si>
    <t>9.9.6.</t>
  </si>
  <si>
    <t>sākumskolas uzturēšanas izmaksas</t>
  </si>
  <si>
    <t>1. EUR 7'000 no apkures izmaksām (EKK 2221) uz EKK 5239 boilera uzstādīšanai, SIA "Namsaimnieks" nenodrošina silto ūdeni ārpus apkures sezonai.
2. EUR 166'307 pusdienu līdzfinansējums 1.-4.kl. (EKK korekcija)</t>
  </si>
  <si>
    <t>9.9.7.</t>
  </si>
  <si>
    <t>sākumskolas ēdināšana (mērķdotācija)</t>
  </si>
  <si>
    <t>9.9.8.</t>
  </si>
  <si>
    <t xml:space="preserve">PII </t>
  </si>
  <si>
    <t>9.9.8.1.</t>
  </si>
  <si>
    <t>- pedagogu algas (mērķdotācija)</t>
  </si>
  <si>
    <t>9.9.8.2.</t>
  </si>
  <si>
    <t>-  uzturēšana</t>
  </si>
  <si>
    <t>9.10.</t>
  </si>
  <si>
    <t>Ādažu novada  Mākslu skola</t>
  </si>
  <si>
    <t>9.10.1.</t>
  </si>
  <si>
    <t>pedagogu algas (mērķdotācija)</t>
  </si>
  <si>
    <t>9.10.2.</t>
  </si>
  <si>
    <t>9.11.</t>
  </si>
  <si>
    <t>Sporta skola</t>
  </si>
  <si>
    <t>9.11.1.</t>
  </si>
  <si>
    <t>9.11.2.</t>
  </si>
  <si>
    <t>Pašvaldības finansējums</t>
  </si>
  <si>
    <t>9.12.</t>
  </si>
  <si>
    <t>Izglītības un jaunatnes nodaļa</t>
  </si>
  <si>
    <t>9.13.</t>
  </si>
  <si>
    <t>Līdzfinansējums skolēnu dalībai konkursos</t>
  </si>
  <si>
    <t>9.14.</t>
  </si>
  <si>
    <t>ESF projekts Atbalsts priekšlaicīgas mācību pārtraukšanas samazināšanai © (Pumpurs)</t>
  </si>
  <si>
    <t>9.15.</t>
  </si>
  <si>
    <t>9.16.</t>
  </si>
  <si>
    <t>Valsts finansējums projektu konkursā "Atbalsts jaunatnes politikas īstenošanai vietējā līmenī"  projekts "Mobilais darbs ar jaunatni Ādažu novadā"</t>
  </si>
  <si>
    <t>9.17.</t>
  </si>
  <si>
    <t>9.17.1.</t>
  </si>
  <si>
    <t>Ādaži</t>
  </si>
  <si>
    <t>9.17.2.</t>
  </si>
  <si>
    <t>Carnikava</t>
  </si>
  <si>
    <t>10</t>
  </si>
  <si>
    <t>Ieguldījumi uzņēmumu pamatkapitālā</t>
  </si>
  <si>
    <t>SIA "Ādažu ūdens"</t>
  </si>
  <si>
    <t>SIA "Garkalnes ūdens"</t>
  </si>
  <si>
    <t>KOPĀ IZDEVUMI:</t>
  </si>
  <si>
    <t>Kredītu pamatsummas atmaksa</t>
  </si>
  <si>
    <t>PAVISAM KOPĀ IZDEVUMI:</t>
  </si>
  <si>
    <t>-</t>
  </si>
  <si>
    <t>Naudas līdzekļu atlikums uz gada beigām</t>
  </si>
  <si>
    <t>Ādažu pašvaldības aizņēmumu un citu ilgtermiņa saistību pārskats</t>
  </si>
  <si>
    <t>Aizdevumu pamatsummu un procentu atmaksa faktiskajiem un plānotajiem aizņēmumiem.</t>
  </si>
  <si>
    <t>Aizdevuma mērķis</t>
  </si>
  <si>
    <t>Līguma Nr.</t>
  </si>
  <si>
    <t>Trānčes Nr.</t>
  </si>
  <si>
    <t>Līguma dat.</t>
  </si>
  <si>
    <t>Līguma termiņš</t>
  </si>
  <si>
    <t>Līgumsumma EUR</t>
  </si>
  <si>
    <t>Veids</t>
  </si>
  <si>
    <t>Kopā 2023. gadā</t>
  </si>
  <si>
    <t>Kopā 2024. gadā</t>
  </si>
  <si>
    <t>Kopā 2025. gadā</t>
  </si>
  <si>
    <t>Kopā 2026. gadā</t>
  </si>
  <si>
    <t>Kopā 2027. gadā</t>
  </si>
  <si>
    <t>Kopā 2028. gadā</t>
  </si>
  <si>
    <t>Kopā 2029. gadā</t>
  </si>
  <si>
    <t>No 2030. - 2051.</t>
  </si>
  <si>
    <t>Kopsumma no 2023. - 2051.</t>
  </si>
  <si>
    <t>Stabilizācijas aizdevums -</t>
  </si>
  <si>
    <t>A2/1/11/107</t>
  </si>
  <si>
    <t>P-50/2011</t>
  </si>
  <si>
    <t>01.03.2011</t>
  </si>
  <si>
    <t>11.04.2011.</t>
  </si>
  <si>
    <t>20.04.2036.</t>
  </si>
  <si>
    <t>pamats.</t>
  </si>
  <si>
    <t>1.kārtas 2.posms</t>
  </si>
  <si>
    <t>%</t>
  </si>
  <si>
    <t>A2/1/11/549</t>
  </si>
  <si>
    <t>P-350/2011</t>
  </si>
  <si>
    <t>20.12.2031.</t>
  </si>
  <si>
    <t xml:space="preserve"> 1.kārtas 3.posms</t>
  </si>
  <si>
    <t>Stabilizācijas aizdevums - 2.k. 1.p.</t>
  </si>
  <si>
    <t>A2/1/12/328</t>
  </si>
  <si>
    <t>P-219/2012</t>
  </si>
  <si>
    <t>25.03.2032.</t>
  </si>
  <si>
    <t>Kohēzijas projekts</t>
  </si>
  <si>
    <t>Stabilizācijas aizdevums - 2.k. 2.p.</t>
  </si>
  <si>
    <t>A2/1/13/1000</t>
  </si>
  <si>
    <t>P-441/2013</t>
  </si>
  <si>
    <t>25.11.2023.</t>
  </si>
  <si>
    <t>Kohēzijas projekts II kārta</t>
  </si>
  <si>
    <t xml:space="preserve">Gaujas ielas rekonstrukcija </t>
  </si>
  <si>
    <t>A2/1/17/301</t>
  </si>
  <si>
    <t>P-196/2017</t>
  </si>
  <si>
    <t>19.05.2017.</t>
  </si>
  <si>
    <t>20.05.2032.</t>
  </si>
  <si>
    <t>1.-3.kārta</t>
  </si>
  <si>
    <t>Gaujas ielas rekonstrukcijai</t>
  </si>
  <si>
    <t>A2/1/17/596</t>
  </si>
  <si>
    <t>P-450/2017</t>
  </si>
  <si>
    <t>21.08.2017.</t>
  </si>
  <si>
    <t>20.08.2032.</t>
  </si>
  <si>
    <t>4.kārta</t>
  </si>
  <si>
    <t>Ādažu vidusskolas remonts</t>
  </si>
  <si>
    <t>A2/1/17/468</t>
  </si>
  <si>
    <t>P-330/2017</t>
  </si>
  <si>
    <t>04.07.2017.</t>
  </si>
  <si>
    <t>20.06.2023</t>
  </si>
  <si>
    <t>30.08.2017.</t>
  </si>
  <si>
    <t>88'266+46'627</t>
  </si>
  <si>
    <t>Jaunās skolas būvniecībai</t>
  </si>
  <si>
    <t>A2/1/18/123</t>
  </si>
  <si>
    <t>P-94/2018</t>
  </si>
  <si>
    <t>03.04.2018.</t>
  </si>
  <si>
    <t>20.06.2048.</t>
  </si>
  <si>
    <t>Būvniecība 1.,2.kārta</t>
  </si>
  <si>
    <t>A2/1/18/123-V/18/2</t>
  </si>
  <si>
    <t>A2/1/20/158</t>
  </si>
  <si>
    <t>P-119/2020</t>
  </si>
  <si>
    <t>29.04.2020.</t>
  </si>
  <si>
    <t>20.04.2048.</t>
  </si>
  <si>
    <t>Būvniecība 3.kārta izsniegts</t>
  </si>
  <si>
    <t>Gaujas ielas gājēju celiņa izbūve</t>
  </si>
  <si>
    <t>A2/1/22/165</t>
  </si>
  <si>
    <t>P-112/2022</t>
  </si>
  <si>
    <t>04.07.2022.</t>
  </si>
  <si>
    <t>20.06.2027.</t>
  </si>
  <si>
    <t>Muižas ielas rekonstrukcijai</t>
  </si>
  <si>
    <t>A2/1/18/711</t>
  </si>
  <si>
    <t>P-580/2018</t>
  </si>
  <si>
    <t>10.10.2018.</t>
  </si>
  <si>
    <t>20.09.2028.</t>
  </si>
  <si>
    <t>Ataru ceļa rekonstrukcija</t>
  </si>
  <si>
    <t>A2/1/20/411</t>
  </si>
  <si>
    <t>P-177/2020</t>
  </si>
  <si>
    <t>SAM 4.2.2. ĀPII</t>
  </si>
  <si>
    <t>A2/1/19/370</t>
  </si>
  <si>
    <t>P-236/2019</t>
  </si>
  <si>
    <t>09.10.2019.</t>
  </si>
  <si>
    <t>20.09.2034.</t>
  </si>
  <si>
    <t>Remontdarbi</t>
  </si>
  <si>
    <t xml:space="preserve">SAM 5.1.1. Pretplūdu pasākumi </t>
  </si>
  <si>
    <t>A2/1/22/123</t>
  </si>
  <si>
    <t>P-70/2022</t>
  </si>
  <si>
    <t>31.05.2022.</t>
  </si>
  <si>
    <t>20.05.2037.</t>
  </si>
  <si>
    <t xml:space="preserve">Ādažu centra polderī, Ādažu novadā </t>
  </si>
  <si>
    <t xml:space="preserve">ERAF projekta (Nr.5.1.1.0/17/I/009) “Novērst plūdu un krasta erozijas </t>
  </si>
  <si>
    <t>A2/1/22/582</t>
  </si>
  <si>
    <t>P-389/2022</t>
  </si>
  <si>
    <t>23.12.2022.</t>
  </si>
  <si>
    <t>21.12.2037.</t>
  </si>
  <si>
    <t>risku apdraudējumu Ādažu novadā, pirmā daļa” īstenošanai</t>
  </si>
  <si>
    <t>Attekas ielas rekonstrukcija</t>
  </si>
  <si>
    <t>A2/1/18/644</t>
  </si>
  <si>
    <t>P-538/2018</t>
  </si>
  <si>
    <t>12.09.2018.</t>
  </si>
  <si>
    <t>20.09.2033.</t>
  </si>
  <si>
    <t xml:space="preserve">SAM 9311 Deinstitucionalizācija - </t>
  </si>
  <si>
    <t>A2/1/21/729</t>
  </si>
  <si>
    <t>P-556/2021</t>
  </si>
  <si>
    <t>02.12.2021.</t>
  </si>
  <si>
    <t>20.11.2040.</t>
  </si>
  <si>
    <t>Dienas centrs</t>
  </si>
  <si>
    <t xml:space="preserve"> Bukultu ielas rekonstrukcija</t>
  </si>
  <si>
    <t>A2/1/20/745</t>
  </si>
  <si>
    <t>P-393/2020</t>
  </si>
  <si>
    <t>13.10.2020.</t>
  </si>
  <si>
    <t>22.09.2025.</t>
  </si>
  <si>
    <t>03.11.2020.</t>
  </si>
  <si>
    <t>Ķiršu ielas rekonstrukcija</t>
  </si>
  <si>
    <t>A2/1/21/727</t>
  </si>
  <si>
    <t>P-558/2021</t>
  </si>
  <si>
    <t>20.11.2031.</t>
  </si>
  <si>
    <t>Pirmās ielas stāvlaukums pie ĀPII</t>
  </si>
  <si>
    <t>A2/1/21/632</t>
  </si>
  <si>
    <t>P-481/2021</t>
  </si>
  <si>
    <t>14.10.2021.</t>
  </si>
  <si>
    <t>21.09.2026.</t>
  </si>
  <si>
    <t>Mežaparka ceļa pārbūve</t>
  </si>
  <si>
    <t>A2/1/21/728</t>
  </si>
  <si>
    <t>P-557/2021</t>
  </si>
  <si>
    <t>Priežu ielas rekonstrukcija</t>
  </si>
  <si>
    <t>A2/1/20/746</t>
  </si>
  <si>
    <t>P-392/2020</t>
  </si>
  <si>
    <t xml:space="preserve">Skolas siltināšana un stadiona </t>
  </si>
  <si>
    <t>A2/1/22/250</t>
  </si>
  <si>
    <t xml:space="preserve">P-164/2022 </t>
  </si>
  <si>
    <t>03.08.2022.</t>
  </si>
  <si>
    <t>20.07.2032.</t>
  </si>
  <si>
    <t>rekonstrukcija</t>
  </si>
  <si>
    <t>PRIO</t>
  </si>
  <si>
    <t xml:space="preserve">Skolas ielas projektēšana izbūve - </t>
  </si>
  <si>
    <t>A2/1/22/239</t>
  </si>
  <si>
    <t>P-160/2022</t>
  </si>
  <si>
    <t>20.07.2022.</t>
  </si>
  <si>
    <t>20.07.2027.</t>
  </si>
  <si>
    <t>3.kārta</t>
  </si>
  <si>
    <t>Pārjaunojuma līgums visiem līgumiem līdz 2015.gadam</t>
  </si>
  <si>
    <r>
      <t xml:space="preserve">A2/1/19/50  </t>
    </r>
    <r>
      <rPr>
        <b/>
        <sz val="8"/>
        <rFont val="Times New Roman"/>
        <family val="1"/>
        <charset val="186"/>
      </rPr>
      <t xml:space="preserve"> </t>
    </r>
  </si>
  <si>
    <t>PP-5/2019</t>
  </si>
  <si>
    <t>05.03.2019.</t>
  </si>
  <si>
    <t>20.09.2035.</t>
  </si>
  <si>
    <t>Investīciju projektu īstenošanai (saistību pārjaunojums) Nr.A2/1/21/139 Trančes Nr.PP-14/2021</t>
  </si>
  <si>
    <t>A2/1/21/139</t>
  </si>
  <si>
    <t>PP-14/2021</t>
  </si>
  <si>
    <t>26.04.2021.</t>
  </si>
  <si>
    <t>21.06.2038.</t>
  </si>
  <si>
    <t xml:space="preserve">ELFLA projekts pievadceļu attīstība lauksaimniecības uzņēmumiem </t>
  </si>
  <si>
    <t>A2/1/18/139</t>
  </si>
  <si>
    <t>P-109/2018</t>
  </si>
  <si>
    <t>05.04.2018.</t>
  </si>
  <si>
    <t>22.03.2038.</t>
  </si>
  <si>
    <t xml:space="preserve">Komunālās saimniecības investīcijas transportam </t>
  </si>
  <si>
    <t>A2/1/18/252</t>
  </si>
  <si>
    <t>P-200/2018</t>
  </si>
  <si>
    <t>28.05.2018.</t>
  </si>
  <si>
    <t>20.05.2025.</t>
  </si>
  <si>
    <t>Būvprojekta "Kultūras un amatniecības centra pārbūve īpašumā "Blusas"" izstrāde</t>
  </si>
  <si>
    <t>A2/1/18/253</t>
  </si>
  <si>
    <t>P-201/2018</t>
  </si>
  <si>
    <t>22.05.2023.</t>
  </si>
  <si>
    <t>ERAF projekts Natura 2000 Atpūtas taka Carnikavā</t>
  </si>
  <si>
    <t>A2/1/18/254</t>
  </si>
  <si>
    <t>P-202/2018</t>
  </si>
  <si>
    <t>20.05.2038.</t>
  </si>
  <si>
    <t>ES Interreg Igaunijas - Latvijas projekts "Hiking Route Along the Baltic Sea Coastline in Latvia-Estonia"</t>
  </si>
  <si>
    <t>A2/1/18/255</t>
  </si>
  <si>
    <t>P-203/2018</t>
  </si>
  <si>
    <t>20.05.2033.</t>
  </si>
  <si>
    <t>Ceļu, ielu infrastruktūras programma1.kārta</t>
  </si>
  <si>
    <t>A2/1/18/251</t>
  </si>
  <si>
    <t>P-205/2018</t>
  </si>
  <si>
    <t>Prioritāro projektu īstenošana: bērnu rotaļu laukumi Carnikavas novadā</t>
  </si>
  <si>
    <t>A2/1/18/452</t>
  </si>
  <si>
    <t>P-374/2018</t>
  </si>
  <si>
    <t>12.07.2018.</t>
  </si>
  <si>
    <t>20.06.2028.</t>
  </si>
  <si>
    <t>Izglītības iestāžu investīciju projekts - Carnikavas izglītības iestādes būvniecība no moduļiem</t>
  </si>
  <si>
    <t>A2/1/18/528</t>
  </si>
  <si>
    <t>P-436/2018</t>
  </si>
  <si>
    <t>03.08.2018.</t>
  </si>
  <si>
    <t>20.07.2048.</t>
  </si>
  <si>
    <t>Izglītības iestāžu investīciju projekts - Piejūras PII būvniecība</t>
  </si>
  <si>
    <t>A2/1/18/529</t>
  </si>
  <si>
    <t>P-435/2018</t>
  </si>
  <si>
    <t>Ceļu, ielu infrastruktūras programma 2.kārta</t>
  </si>
  <si>
    <t>A2/1/18/611</t>
  </si>
  <si>
    <t>P-500/2018</t>
  </si>
  <si>
    <t>04.09.2018.</t>
  </si>
  <si>
    <t>20.08.2038.</t>
  </si>
  <si>
    <t>Ceļu, ielu infrastruktūras programma 3.kārta</t>
  </si>
  <si>
    <t>A2/1/18/643</t>
  </si>
  <si>
    <t>P-537/2018</t>
  </si>
  <si>
    <t>Ceļu, ielu infrastruktūras programma 4.kārta</t>
  </si>
  <si>
    <t>A2/1/18/777</t>
  </si>
  <si>
    <t>P-643/2018</t>
  </si>
  <si>
    <t>12.11.2018.</t>
  </si>
  <si>
    <t>20.10.2038.</t>
  </si>
  <si>
    <t xml:space="preserve">Prioritārais projekts Dambja būvniecība Valteru ielā </t>
  </si>
  <si>
    <t>A2/1/18/818</t>
  </si>
  <si>
    <t>P-666/2018</t>
  </si>
  <si>
    <t>21.11.2018.</t>
  </si>
  <si>
    <t>22.11.2038.</t>
  </si>
  <si>
    <t>ELFLA Eimuru - Mangaļu poldera meliorācijas grāvju atjaunošana Carnikavas novadā</t>
  </si>
  <si>
    <t>A2/1/19/57</t>
  </si>
  <si>
    <t>P-31/2019</t>
  </si>
  <si>
    <t>06.03.2019.</t>
  </si>
  <si>
    <t>20.02.2029.</t>
  </si>
  <si>
    <t>ERAF projekta SAM 3.3.1. Uzņēmējdarbības attīstībai nepieciešamās infrastruktūras attīstībai Carnikavas novada Garciemā" īstenošanai</t>
  </si>
  <si>
    <t>A2/1/19/225</t>
  </si>
  <si>
    <t>P-150/2019</t>
  </si>
  <si>
    <t>13.06.2019.</t>
  </si>
  <si>
    <t>20.05.2049.</t>
  </si>
  <si>
    <t>SAM 5.5.1. Kultūras objektu būvniecība</t>
  </si>
  <si>
    <t>A2/1/19/460</t>
  </si>
  <si>
    <t>P-292/2019</t>
  </si>
  <si>
    <t>11.12.2019.</t>
  </si>
  <si>
    <t>21.11.2039.</t>
  </si>
  <si>
    <t>Carnikavas novada pašvaldības transporta infrstruktūras attīstība</t>
  </si>
  <si>
    <t>A2/1/20/676</t>
  </si>
  <si>
    <t>P-338/2020</t>
  </si>
  <si>
    <t>01.10.2020.</t>
  </si>
  <si>
    <t>20.09.2040.</t>
  </si>
  <si>
    <t>KF projekts "Ūdenssaimniecības pakalpojumu attīstība Carnikavā III kārta"</t>
  </si>
  <si>
    <t>A2/1/20/675</t>
  </si>
  <si>
    <t>P-339/2020</t>
  </si>
  <si>
    <t>20.09.2050.</t>
  </si>
  <si>
    <t>ERAF "Carnikavas pamatskolas pārbūve"</t>
  </si>
  <si>
    <t>A2/1/21/10</t>
  </si>
  <si>
    <t>P-4/2021</t>
  </si>
  <si>
    <t>26.01.2021.</t>
  </si>
  <si>
    <t>20.01.2051.</t>
  </si>
  <si>
    <t>LAD  projekts koka laipu taka uz jūru</t>
  </si>
  <si>
    <t>A2/1/21/11</t>
  </si>
  <si>
    <t>P-3/2021</t>
  </si>
  <si>
    <t>20.01.2031.</t>
  </si>
  <si>
    <t>Budžeta un finanšu vadībai (Aprīkojums PII Piejūra)</t>
  </si>
  <si>
    <t>A2/1/21/96</t>
  </si>
  <si>
    <t>P-43/2021</t>
  </si>
  <si>
    <t>25.03.2021.</t>
  </si>
  <si>
    <t>20.03.2024.</t>
  </si>
  <si>
    <t>Stacijas ielas pārbūve</t>
  </si>
  <si>
    <t>A2/1/21/169</t>
  </si>
  <si>
    <t>P-89/2021 COVID</t>
  </si>
  <si>
    <t>30.04.2021.</t>
  </si>
  <si>
    <t>20.04.2051.</t>
  </si>
  <si>
    <t>Autostāvvietas izbūve Karlsona parkā, Garciemā, Carnikavas novadā</t>
  </si>
  <si>
    <t>A2/1/21/231</t>
  </si>
  <si>
    <t>P-164/2021 COVID</t>
  </si>
  <si>
    <t>27.05.2021.</t>
  </si>
  <si>
    <t>20.05.2041.</t>
  </si>
  <si>
    <t>Lielās ielas pārbūve</t>
  </si>
  <si>
    <t>A2/1/21/232</t>
  </si>
  <si>
    <t>P-163/2021 COVID</t>
  </si>
  <si>
    <t>PII Piejūra būvniecības pabeigšana</t>
  </si>
  <si>
    <t>A2/1/21/120</t>
  </si>
  <si>
    <t>P-69/2021 COVID PII</t>
  </si>
  <si>
    <t>08.04.2021.</t>
  </si>
  <si>
    <t>20.03.2051.</t>
  </si>
  <si>
    <t>Prioritārais projekts "PII "Piejūra" būvniecība"</t>
  </si>
  <si>
    <t>A2/1/21/41</t>
  </si>
  <si>
    <t>P-10/2021 PRIO</t>
  </si>
  <si>
    <t>24.02.2021.</t>
  </si>
  <si>
    <t>20.02.2051.</t>
  </si>
  <si>
    <t>Carnikavas pamatskolas infrastruktūras uzlabošana un mācību vides labiekārtošana</t>
  </si>
  <si>
    <t>A2/1/21/776</t>
  </si>
  <si>
    <t>P-583/2021</t>
  </si>
  <si>
    <t>23.12.2021.</t>
  </si>
  <si>
    <t>21.12.2026.</t>
  </si>
  <si>
    <t>Aizvēju ielas Garciemā, dubultā virsmas apstrāde</t>
  </si>
  <si>
    <t>A2/1/22/16
A2/1/22/265</t>
  </si>
  <si>
    <t>P-8/2022
P-175/2022</t>
  </si>
  <si>
    <t>02.02.2022
08.08.2022</t>
  </si>
  <si>
    <t>22.07.2029.</t>
  </si>
  <si>
    <t>Laivu ielas (no Cēlāju ciema līdz jūrai Carnikavā) un tai piegulošā auto stāvlaukuma projektēšana un būvniecība</t>
  </si>
  <si>
    <t>A2/1/22/15</t>
  </si>
  <si>
    <t>P-7/2022</t>
  </si>
  <si>
    <t>20.01.2037.</t>
  </si>
  <si>
    <t>A2/1/22/267</t>
  </si>
  <si>
    <t>P-163/2022</t>
  </si>
  <si>
    <t>20.07.2023.</t>
  </si>
  <si>
    <t>Carnikavas stadiona rekonstrukcija (Prioritārais)</t>
  </si>
  <si>
    <t>A2/1/22/536</t>
  </si>
  <si>
    <t>P-363/2022</t>
  </si>
  <si>
    <t>20.11.2037.</t>
  </si>
  <si>
    <t>Carnikavas stadiona rekonstrukcija (Covid19)</t>
  </si>
  <si>
    <t>A2/1/22/538</t>
  </si>
  <si>
    <t>P-361/2022</t>
  </si>
  <si>
    <t>22.11.2032.</t>
  </si>
  <si>
    <t>Plānots</t>
  </si>
  <si>
    <t xml:space="preserve"> "Auto stāvlaukuma Lilastē paplašināšana, atpūtas vietu, labiekārtojuma, labierīcību, kempinga iespēju projektēšana un izbūve"</t>
  </si>
  <si>
    <t>A2/1/23/103</t>
  </si>
  <si>
    <t>P-57/2023</t>
  </si>
  <si>
    <t>09.05.2023.</t>
  </si>
  <si>
    <t>20.04.2024.</t>
  </si>
  <si>
    <t>A2/1/23/156</t>
  </si>
  <si>
    <t>P-104/2023</t>
  </si>
  <si>
    <t>26.06.2023.</t>
  </si>
  <si>
    <t>20.06.2038.</t>
  </si>
  <si>
    <t>Pamatsumma un % kopā:</t>
  </si>
  <si>
    <t>Citas ilgtermiņa saistības.</t>
  </si>
  <si>
    <t>Saistību mērķis</t>
  </si>
  <si>
    <t>Galvojums SIA "Ādažu ūdens"</t>
  </si>
  <si>
    <t>03.2017.</t>
  </si>
  <si>
    <t>03.2032</t>
  </si>
  <si>
    <t xml:space="preserve">Līzings - jauna automašīna </t>
  </si>
  <si>
    <t>02.01.2020.</t>
  </si>
  <si>
    <t>30.12.2024.</t>
  </si>
  <si>
    <t>Volvo V60</t>
  </si>
  <si>
    <t>Līzings - frontālais iekrāvējs</t>
  </si>
  <si>
    <t>16.11.2020.</t>
  </si>
  <si>
    <t>20.11.2025.</t>
  </si>
  <si>
    <t>Līzings - mikroautobuss</t>
  </si>
  <si>
    <t>27.04.2021.</t>
  </si>
  <si>
    <t>27.04.2025.</t>
  </si>
  <si>
    <t>04.04.2022.</t>
  </si>
  <si>
    <t>20.03.2052.</t>
  </si>
  <si>
    <t>Līzings - skolēnu autobuss</t>
  </si>
  <si>
    <t>2023.</t>
  </si>
  <si>
    <t>Kopā citas ilgtermiņa saistības :</t>
  </si>
  <si>
    <t>Aizdevumi un citas ilgtemiņa sistības kopā:</t>
  </si>
  <si>
    <t>x</t>
  </si>
  <si>
    <t>Saistību apmērs % no pamatbudžeta ieņēmumiem</t>
  </si>
  <si>
    <t xml:space="preserve">Pašvaldības pamatbudžeta ieņēmumi bez mērķdotācijām un iemaksām pašvaldību </t>
  </si>
  <si>
    <t>finanšu  izlīdzināšanas fondā saimnieciskajā gadā:</t>
  </si>
  <si>
    <t>2023. gadā</t>
  </si>
  <si>
    <t>2024. gadā</t>
  </si>
  <si>
    <t xml:space="preserve"> 2025. gadā</t>
  </si>
  <si>
    <t>2026. gadā</t>
  </si>
  <si>
    <t>2027. gadā</t>
  </si>
  <si>
    <t xml:space="preserve"> 2028. gadā</t>
  </si>
  <si>
    <t>2029. gadā</t>
  </si>
  <si>
    <t>Aizņēmumu pamatsummas atmaksa - kopā</t>
  </si>
  <si>
    <t>Aizņēmumu procentu maksājumi - kopā</t>
  </si>
  <si>
    <t>Galvojumi un citas ilgtermiņa saistības - kopā:</t>
  </si>
  <si>
    <t>Aizņēmumu saistības kopā:</t>
  </si>
  <si>
    <t xml:space="preserve">ŠIS DOKUMENTS IR ELEKTRONISKI PARAKSTĪTS AR DROŠU ELEKTRONISKO PARAKSTU UN SATUR LAIKA ZĪMOGU      </t>
  </si>
  <si>
    <t>EUR 8'000 no Draudzības ielas būvniecības plānotās summas Krastupes ielas projektēšanai.</t>
  </si>
  <si>
    <t>1. Papildus ģimenes ārsta prakses projekta realizācijas prasība - informatīvās plāksnes izgatavošana no attīstības daļas budžeta. (EUR 73 no 0630 uz 0633.5)
2. Saskaņā ar Domes 26.07.2023. lēmumu Nr. 291:
2.1. EUR 27'000 no Ķiršu ielas būvniecības plānotās summas Krastupes ielas projektēšanai.
2.2. EUR 8'000 no Draudzības ielas būvniecības plānotās summas Krastupes ielas projektēšanai.
2.3. EUR 50'000 no Dadzīšu ielas projektēšanas plānotās summas Krastupes ielas projektēšanai.
3. EUR 1000 no projekta konta atlikuma (projekts noslēdzies) uz zemas cenas īres mājokļu būvniecībai paredzētās teritorijas novērtēšanai (EKK 0630 (2239))</t>
  </si>
  <si>
    <t>EUR 1000 no projekta konta atlikuma (projekts noslēdzies) uz zemas cenas īres mājokļu būvniecībai paredzētās teritorijas novērtēšanai (EKK 0630 (2239))</t>
  </si>
  <si>
    <t>1) EUR 50'000 no Dadzīšu ielas projektēšanas plānotās summas Krastupes ielas projektēšanai.
2) EUR 25'175 Atpūtas ielas rekonstrukcijai (Indikatīvās būvdarbu izmaksas saskaņā ar lēmumu)</t>
  </si>
  <si>
    <t>EUR 27'000 no Ķiršu ielas būvniecības plānotās summas Krastupes ielas projektēšanai. (Jūnija palielinājums EUR 57'326 no 0645/5240 uz 0645/7230)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</si>
</sst>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0.000"/>
  </numFmts>
  <fonts count="57"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name val="Times New Roman"/>
      <family val="1"/>
      <charset val="186"/>
    </font>
    <font>
      <b/>
      <sz val="20"/>
      <color indexed="8"/>
      <name val="Times New Roman"/>
      <family val="1"/>
      <charset val="186"/>
    </font>
    <font>
      <sz val="9"/>
      <color theme="1"/>
      <name val="Arial"/>
      <family val="2"/>
      <charset val="186"/>
    </font>
    <font>
      <sz val="11"/>
      <color indexed="8"/>
      <name val="Calibri"/>
      <family val="2"/>
      <charset val="186"/>
    </font>
    <font>
      <sz val="11"/>
      <color rgb="FF7030A0"/>
      <name val="Times New Roman"/>
      <family val="1"/>
      <charset val="186"/>
    </font>
    <font>
      <b/>
      <sz val="16"/>
      <color theme="1"/>
      <name val="Times New Roman"/>
      <family val="1"/>
      <charset val="186"/>
    </font>
    <font>
      <b/>
      <sz val="11"/>
      <name val="Times New Roman"/>
      <family val="1"/>
      <charset val="186"/>
    </font>
    <font>
      <b/>
      <sz val="11"/>
      <color rgb="FF7030A0"/>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1"/>
      <color theme="8" tint="-0.249977111117893"/>
      <name val="Times New Roman"/>
      <family val="1"/>
      <charset val="186"/>
    </font>
    <font>
      <sz val="11"/>
      <color rgb="FFFF0000"/>
      <name val="Times New Roman"/>
      <family val="1"/>
      <charset val="186"/>
    </font>
    <font>
      <sz val="11"/>
      <color indexed="10"/>
      <name val="Times New Roman"/>
      <family val="1"/>
      <charset val="186"/>
    </font>
    <font>
      <i/>
      <sz val="11"/>
      <name val="Times New Roman"/>
      <family val="1"/>
      <charset val="186"/>
    </font>
    <font>
      <i/>
      <sz val="11"/>
      <color rgb="FF7030A0"/>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b/>
      <sz val="9"/>
      <color indexed="81"/>
      <name val="Tahoma"/>
      <family val="2"/>
      <charset val="186"/>
    </font>
    <font>
      <sz val="9"/>
      <color indexed="81"/>
      <name val="Tahoma"/>
      <family val="2"/>
      <charset val="186"/>
    </font>
    <font>
      <b/>
      <sz val="10"/>
      <name val="Times New Roman"/>
      <family val="1"/>
      <charset val="186"/>
    </font>
    <font>
      <b/>
      <sz val="14"/>
      <color theme="1"/>
      <name val="Times New Roman"/>
      <family val="1"/>
      <charset val="186"/>
    </font>
    <font>
      <sz val="9"/>
      <name val="Times New Roman"/>
      <family val="1"/>
      <charset val="186"/>
    </font>
    <font>
      <sz val="8"/>
      <name val="Times New Roman"/>
      <family val="1"/>
    </font>
    <font>
      <b/>
      <sz val="9"/>
      <name val="Times New Roman"/>
      <family val="1"/>
      <charset val="186"/>
    </font>
    <font>
      <sz val="8"/>
      <name val="Times New Roman"/>
      <family val="1"/>
      <charset val="186"/>
    </font>
    <font>
      <b/>
      <i/>
      <sz val="10"/>
      <name val="Times New Roman"/>
      <family val="1"/>
      <charset val="186"/>
    </font>
    <font>
      <sz val="11"/>
      <name val="Calibri"/>
      <family val="2"/>
      <charset val="186"/>
      <scheme val="minor"/>
    </font>
    <font>
      <b/>
      <sz val="9"/>
      <color rgb="FFFF0000"/>
      <name val="Times New Roman"/>
      <family val="1"/>
      <charset val="186"/>
    </font>
    <font>
      <b/>
      <sz val="8"/>
      <name val="Times New Roman"/>
      <family val="1"/>
      <charset val="186"/>
    </font>
    <font>
      <b/>
      <sz val="8"/>
      <name val="Times New Roman"/>
      <family val="1"/>
    </font>
    <font>
      <i/>
      <sz val="8"/>
      <name val="Times New Roman"/>
      <family val="1"/>
      <charset val="186"/>
    </font>
    <font>
      <i/>
      <sz val="8"/>
      <name val="Times New Roman"/>
      <family val="1"/>
    </font>
    <font>
      <b/>
      <sz val="8"/>
      <color rgb="FFFF0000"/>
      <name val="Times New Roman"/>
      <family val="1"/>
      <charset val="186"/>
    </font>
    <font>
      <b/>
      <sz val="10"/>
      <name val="Times New Roman"/>
      <family val="1"/>
    </font>
    <font>
      <b/>
      <sz val="8"/>
      <color rgb="FFC00000"/>
      <name val="Times New Roman"/>
      <family val="1"/>
      <charset val="186"/>
    </font>
    <font>
      <sz val="8"/>
      <color rgb="FFFF0000"/>
      <name val="Times New Roman"/>
      <family val="1"/>
      <charset val="186"/>
    </font>
    <font>
      <b/>
      <sz val="10"/>
      <name val="Arial"/>
      <family val="2"/>
      <charset val="186"/>
    </font>
    <font>
      <b/>
      <sz val="10"/>
      <color theme="1"/>
      <name val="Calibri"/>
      <family val="2"/>
      <charset val="186"/>
      <scheme val="minor"/>
    </font>
    <font>
      <b/>
      <sz val="9"/>
      <color theme="3"/>
      <name val="Times New Roman"/>
      <family val="1"/>
      <charset val="186"/>
    </font>
    <font>
      <sz val="9"/>
      <color rgb="FFFF0000"/>
      <name val="Times New Roman"/>
      <family val="1"/>
      <charset val="186"/>
    </font>
    <font>
      <b/>
      <i/>
      <sz val="9"/>
      <color theme="3"/>
      <name val="Times New Roman"/>
      <family val="1"/>
      <charset val="186"/>
    </font>
    <font>
      <i/>
      <sz val="9"/>
      <color indexed="56"/>
      <name val="Times New Roman"/>
      <family val="1"/>
      <charset val="186"/>
    </font>
    <font>
      <sz val="8"/>
      <color theme="1"/>
      <name val="Times New Roman"/>
      <family val="1"/>
      <charset val="186"/>
    </font>
    <font>
      <sz val="8"/>
      <color indexed="56"/>
      <name val="Times New Roman"/>
      <family val="1"/>
    </font>
    <font>
      <sz val="8"/>
      <color theme="1"/>
      <name val="Times New Roman"/>
      <family val="1"/>
    </font>
    <font>
      <sz val="14"/>
      <name val="Times New Roman"/>
      <family val="1"/>
      <charset val="186"/>
    </font>
    <font>
      <b/>
      <sz val="10"/>
      <color indexed="56"/>
      <name val="Times New Roman"/>
      <family val="1"/>
      <charset val="186"/>
    </font>
    <font>
      <sz val="9"/>
      <color indexed="56"/>
      <name val="Times New Roman"/>
      <family val="1"/>
      <charset val="186"/>
    </font>
    <font>
      <sz val="8"/>
      <color indexed="56"/>
      <name val="Times New Roman"/>
      <family val="1"/>
      <charset val="186"/>
    </font>
    <font>
      <b/>
      <sz val="9"/>
      <color indexed="56"/>
      <name val="Times New Roman"/>
      <family val="1"/>
      <charset val="186"/>
    </font>
  </fonts>
  <fills count="14">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rgb="FFFFC000"/>
        <bgColor indexed="64"/>
      </patternFill>
    </fill>
    <fill>
      <patternFill patternType="solid">
        <fgColor indexed="47"/>
        <bgColor indexed="64"/>
      </patternFill>
    </fill>
    <fill>
      <patternFill patternType="solid">
        <fgColor indexed="42"/>
        <bgColor indexed="64"/>
      </patternFill>
    </fill>
    <fill>
      <patternFill patternType="solid">
        <fgColor theme="7" tint="0.39997558519241921"/>
        <bgColor indexed="64"/>
      </patternFill>
    </fill>
    <fill>
      <patternFill patternType="solid">
        <fgColor theme="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7" tint="0.59999389629810485"/>
        <bgColor indexed="64"/>
      </patternFill>
    </fill>
  </fills>
  <borders count="6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auto="1"/>
      </left>
      <right/>
      <top style="thin">
        <color auto="1"/>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auto="1"/>
      </left>
      <right style="thin">
        <color auto="1"/>
      </right>
      <top style="medium">
        <color indexed="64"/>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auto="1"/>
      </left>
      <right style="thin">
        <color auto="1"/>
      </right>
      <top style="thin">
        <color auto="1"/>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55"/>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thin">
        <color indexed="55"/>
      </bottom>
      <diagonal/>
    </border>
    <border>
      <left style="thin">
        <color indexed="64"/>
      </left>
      <right/>
      <top style="medium">
        <color indexed="64"/>
      </top>
      <bottom/>
      <diagonal/>
    </border>
    <border>
      <left style="medium">
        <color indexed="64"/>
      </left>
      <right style="medium">
        <color indexed="64"/>
      </right>
      <top/>
      <bottom/>
      <diagonal/>
    </border>
    <border>
      <left style="thin">
        <color auto="1"/>
      </left>
      <right style="thin">
        <color auto="1"/>
      </right>
      <top/>
      <bottom style="thin">
        <color auto="1"/>
      </bottom>
      <diagonal/>
    </border>
    <border>
      <left/>
      <right style="thin">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style="thin">
        <color auto="1"/>
      </right>
      <top/>
      <bottom style="thin">
        <color auto="1"/>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s>
  <cellStyleXfs count="18">
    <xf numFmtId="0" fontId="0" fillId="0" borderId="0"/>
    <xf numFmtId="43" fontId="6" fillId="0" borderId="0" applyFont="0" applyFill="0" applyBorder="0" applyAlignment="0" applyProtection="0"/>
    <xf numFmtId="0" fontId="3" fillId="0" borderId="0"/>
    <xf numFmtId="0" fontId="3" fillId="0" borderId="0"/>
    <xf numFmtId="9" fontId="7" fillId="0" borderId="0" applyFont="0" applyFill="0" applyBorder="0" applyAlignment="0" applyProtection="0"/>
    <xf numFmtId="43" fontId="7" fillId="0" borderId="0" applyFont="0" applyFill="0" applyBorder="0" applyAlignment="0" applyProtection="0"/>
    <xf numFmtId="0" fontId="12" fillId="0" borderId="0" applyNumberFormat="0" applyFill="0" applyBorder="0" applyAlignment="0" applyProtection="0"/>
    <xf numFmtId="0" fontId="13" fillId="0" borderId="0"/>
    <xf numFmtId="9" fontId="7" fillId="0" borderId="0" applyFont="0" applyFill="0" applyBorder="0" applyAlignment="0" applyProtection="0"/>
    <xf numFmtId="0" fontId="13" fillId="0" borderId="0"/>
    <xf numFmtId="0" fontId="2" fillId="0" borderId="0"/>
    <xf numFmtId="43" fontId="13" fillId="0" borderId="0" applyFont="0" applyFill="0" applyBorder="0" applyAlignment="0" applyProtection="0"/>
    <xf numFmtId="43" fontId="7" fillId="0" borderId="0" applyFont="0" applyFill="0" applyBorder="0" applyAlignment="0" applyProtection="0"/>
    <xf numFmtId="0" fontId="13" fillId="0" borderId="0"/>
    <xf numFmtId="9" fontId="13" fillId="0" borderId="0" applyFont="0" applyFill="0" applyBorder="0" applyAlignment="0" applyProtection="0"/>
    <xf numFmtId="0" fontId="7" fillId="0" borderId="0"/>
    <xf numFmtId="0" fontId="1" fillId="0" borderId="0"/>
    <xf numFmtId="0" fontId="1" fillId="0" borderId="0"/>
  </cellStyleXfs>
  <cellXfs count="409">
    <xf numFmtId="0" fontId="0" fillId="0" borderId="0" xfId="0"/>
    <xf numFmtId="164" fontId="4" fillId="0" borderId="0" xfId="1" applyNumberFormat="1" applyFont="1" applyAlignment="1">
      <alignment wrapText="1"/>
    </xf>
    <xf numFmtId="9" fontId="4" fillId="0" borderId="0" xfId="4" applyFont="1" applyAlignment="1">
      <alignment wrapText="1"/>
    </xf>
    <xf numFmtId="164" fontId="4" fillId="0" borderId="0" xfId="1" applyNumberFormat="1" applyFont="1"/>
    <xf numFmtId="1" fontId="4" fillId="0" borderId="0" xfId="4" applyNumberFormat="1" applyFont="1" applyFill="1"/>
    <xf numFmtId="164" fontId="10" fillId="0" borderId="0" xfId="5" applyNumberFormat="1" applyFont="1"/>
    <xf numFmtId="164" fontId="10" fillId="0" borderId="0" xfId="1" applyNumberFormat="1" applyFont="1"/>
    <xf numFmtId="9" fontId="4" fillId="0" borderId="0" xfId="4" applyFont="1"/>
    <xf numFmtId="0" fontId="12" fillId="0" borderId="0" xfId="6"/>
    <xf numFmtId="0" fontId="10" fillId="0" borderId="3" xfId="7" applyFont="1" applyBorder="1" applyAlignment="1">
      <alignment horizontal="center" vertical="center" wrapText="1"/>
    </xf>
    <xf numFmtId="164" fontId="10" fillId="0" borderId="3" xfId="1" applyNumberFormat="1" applyFont="1" applyBorder="1" applyAlignment="1">
      <alignment horizontal="center" vertical="center" wrapText="1"/>
    </xf>
    <xf numFmtId="9" fontId="10" fillId="0" borderId="3" xfId="4" applyFont="1" applyBorder="1" applyAlignment="1">
      <alignment horizontal="center" vertical="center" wrapText="1"/>
    </xf>
    <xf numFmtId="164" fontId="4" fillId="0" borderId="6" xfId="1" applyNumberFormat="1" applyFont="1" applyBorder="1"/>
    <xf numFmtId="9" fontId="4" fillId="0" borderId="6" xfId="4" applyFont="1" applyFill="1" applyBorder="1"/>
    <xf numFmtId="164" fontId="10" fillId="3" borderId="6" xfId="1" applyNumberFormat="1" applyFont="1" applyFill="1" applyBorder="1"/>
    <xf numFmtId="9" fontId="10" fillId="3" borderId="6" xfId="4" applyFont="1" applyFill="1" applyBorder="1"/>
    <xf numFmtId="9" fontId="4" fillId="0" borderId="6" xfId="4" applyFont="1" applyBorder="1"/>
    <xf numFmtId="9" fontId="4" fillId="0" borderId="7" xfId="4" applyFont="1" applyFill="1" applyBorder="1"/>
    <xf numFmtId="9" fontId="4" fillId="0" borderId="7" xfId="4" applyFont="1" applyFill="1" applyBorder="1" applyAlignment="1">
      <alignment wrapText="1"/>
    </xf>
    <xf numFmtId="9" fontId="4" fillId="3" borderId="6" xfId="4" applyFont="1" applyFill="1" applyBorder="1" applyAlignment="1">
      <alignment wrapText="1"/>
    </xf>
    <xf numFmtId="9" fontId="4" fillId="0" borderId="6" xfId="4" applyFont="1" applyFill="1" applyBorder="1" applyAlignment="1">
      <alignment wrapText="1"/>
    </xf>
    <xf numFmtId="9" fontId="8" fillId="0" borderId="6" xfId="4" applyFont="1" applyFill="1" applyBorder="1" applyAlignment="1">
      <alignment wrapText="1"/>
    </xf>
    <xf numFmtId="164" fontId="4" fillId="5" borderId="6" xfId="1" applyNumberFormat="1" applyFont="1" applyFill="1" applyBorder="1"/>
    <xf numFmtId="164" fontId="15" fillId="6" borderId="6" xfId="1" applyNumberFormat="1" applyFont="1" applyFill="1" applyBorder="1"/>
    <xf numFmtId="9" fontId="15" fillId="6" borderId="6" xfId="4" applyFont="1" applyFill="1" applyBorder="1" applyAlignment="1">
      <alignment wrapText="1"/>
    </xf>
    <xf numFmtId="9" fontId="15" fillId="7" borderId="6" xfId="4" applyFont="1" applyFill="1" applyBorder="1"/>
    <xf numFmtId="164" fontId="4" fillId="2" borderId="6" xfId="1" applyNumberFormat="1" applyFont="1" applyFill="1" applyBorder="1"/>
    <xf numFmtId="9" fontId="4" fillId="2" borderId="6" xfId="4" applyFont="1" applyFill="1" applyBorder="1" applyAlignment="1">
      <alignment wrapText="1"/>
    </xf>
    <xf numFmtId="9" fontId="4" fillId="9" borderId="6" xfId="4" applyFont="1" applyFill="1" applyBorder="1" applyAlignment="1">
      <alignment wrapText="1"/>
    </xf>
    <xf numFmtId="9" fontId="4" fillId="0" borderId="10" xfId="4" applyFont="1" applyFill="1" applyBorder="1"/>
    <xf numFmtId="1" fontId="4" fillId="0" borderId="6" xfId="4" applyNumberFormat="1" applyFont="1" applyFill="1" applyBorder="1"/>
    <xf numFmtId="164" fontId="10" fillId="0" borderId="3" xfId="1" applyNumberFormat="1" applyFont="1" applyBorder="1"/>
    <xf numFmtId="9" fontId="10" fillId="0" borderId="3" xfId="4" applyFont="1" applyBorder="1"/>
    <xf numFmtId="164" fontId="10" fillId="0" borderId="15" xfId="1" applyNumberFormat="1" applyFont="1" applyBorder="1"/>
    <xf numFmtId="9" fontId="10" fillId="0" borderId="15" xfId="4" applyFont="1" applyFill="1" applyBorder="1"/>
    <xf numFmtId="164" fontId="10" fillId="3" borderId="10" xfId="1" applyNumberFormat="1" applyFont="1" applyFill="1" applyBorder="1"/>
    <xf numFmtId="164" fontId="4" fillId="0" borderId="10" xfId="1" applyNumberFormat="1" applyFont="1" applyBorder="1"/>
    <xf numFmtId="9" fontId="4" fillId="0" borderId="18" xfId="4" applyFont="1" applyFill="1" applyBorder="1"/>
    <xf numFmtId="164" fontId="4" fillId="0" borderId="20" xfId="1" applyNumberFormat="1" applyFont="1" applyBorder="1"/>
    <xf numFmtId="164" fontId="4" fillId="0" borderId="5" xfId="1" applyNumberFormat="1" applyFont="1" applyBorder="1"/>
    <xf numFmtId="9" fontId="4" fillId="0" borderId="5" xfId="4" applyFont="1" applyFill="1" applyBorder="1"/>
    <xf numFmtId="9" fontId="4" fillId="0" borderId="5" xfId="4" applyFont="1" applyFill="1" applyBorder="1" applyAlignment="1">
      <alignment wrapText="1"/>
    </xf>
    <xf numFmtId="164" fontId="4" fillId="0" borderId="24" xfId="1" applyNumberFormat="1" applyFont="1" applyBorder="1"/>
    <xf numFmtId="9" fontId="4" fillId="0" borderId="9" xfId="4" applyFont="1" applyFill="1" applyBorder="1" applyAlignment="1">
      <alignment wrapText="1"/>
    </xf>
    <xf numFmtId="9" fontId="4" fillId="0" borderId="24" xfId="4" applyFont="1" applyFill="1" applyBorder="1"/>
    <xf numFmtId="9" fontId="10" fillId="0" borderId="15" xfId="4" applyFont="1" applyBorder="1"/>
    <xf numFmtId="10" fontId="4" fillId="0" borderId="0" xfId="8" applyNumberFormat="1" applyFont="1"/>
    <xf numFmtId="9" fontId="8" fillId="2" borderId="6" xfId="4" applyFont="1" applyFill="1" applyBorder="1" applyAlignment="1">
      <alignment wrapText="1"/>
    </xf>
    <xf numFmtId="9" fontId="4" fillId="2" borderId="6" xfId="4" applyFont="1" applyFill="1" applyBorder="1"/>
    <xf numFmtId="9" fontId="8" fillId="3" borderId="6" xfId="4" applyFont="1" applyFill="1" applyBorder="1" applyAlignment="1">
      <alignment wrapText="1"/>
    </xf>
    <xf numFmtId="164" fontId="10" fillId="2" borderId="6" xfId="1" applyNumberFormat="1" applyFont="1" applyFill="1" applyBorder="1"/>
    <xf numFmtId="9" fontId="8" fillId="2" borderId="6" xfId="4" quotePrefix="1" applyFont="1" applyFill="1" applyBorder="1" applyAlignment="1">
      <alignment wrapText="1"/>
    </xf>
    <xf numFmtId="9" fontId="4" fillId="2" borderId="6" xfId="4" quotePrefix="1" applyFont="1" applyFill="1" applyBorder="1" applyAlignment="1">
      <alignment wrapText="1"/>
    </xf>
    <xf numFmtId="9" fontId="4" fillId="0" borderId="6" xfId="4" applyFont="1" applyBorder="1" applyAlignment="1">
      <alignment wrapText="1"/>
    </xf>
    <xf numFmtId="9" fontId="8" fillId="0" borderId="6" xfId="4" applyFont="1" applyBorder="1" applyAlignment="1">
      <alignment wrapText="1"/>
    </xf>
    <xf numFmtId="9" fontId="4" fillId="0" borderId="9" xfId="4" applyFont="1" applyBorder="1" applyAlignment="1">
      <alignment wrapText="1"/>
    </xf>
    <xf numFmtId="9" fontId="10" fillId="2" borderId="6" xfId="4" applyFont="1" applyFill="1" applyBorder="1"/>
    <xf numFmtId="9" fontId="4" fillId="0" borderId="7" xfId="4" applyFont="1" applyBorder="1" applyAlignment="1">
      <alignment wrapText="1"/>
    </xf>
    <xf numFmtId="164" fontId="4" fillId="10" borderId="6" xfId="1" applyNumberFormat="1" applyFont="1" applyFill="1" applyBorder="1"/>
    <xf numFmtId="9" fontId="8" fillId="0" borderId="6" xfId="4" quotePrefix="1" applyFont="1" applyBorder="1" applyAlignment="1">
      <alignment wrapText="1"/>
    </xf>
    <xf numFmtId="9" fontId="4" fillId="0" borderId="6" xfId="4" quotePrefix="1" applyFont="1" applyBorder="1" applyAlignment="1">
      <alignment wrapText="1"/>
    </xf>
    <xf numFmtId="9" fontId="19" fillId="2" borderId="6" xfId="4" applyFont="1" applyFill="1" applyBorder="1" applyAlignment="1">
      <alignment wrapText="1"/>
    </xf>
    <xf numFmtId="9" fontId="20" fillId="2" borderId="6" xfId="4" applyFont="1" applyFill="1" applyBorder="1" applyAlignment="1">
      <alignment wrapText="1"/>
    </xf>
    <xf numFmtId="164" fontId="4" fillId="9" borderId="6" xfId="1" applyNumberFormat="1" applyFont="1" applyFill="1" applyBorder="1"/>
    <xf numFmtId="9" fontId="4" fillId="9" borderId="6" xfId="4" applyFont="1" applyFill="1" applyBorder="1"/>
    <xf numFmtId="164" fontId="4" fillId="12" borderId="6" xfId="1" applyNumberFormat="1" applyFont="1" applyFill="1" applyBorder="1"/>
    <xf numFmtId="164" fontId="4" fillId="4" borderId="6" xfId="1" applyNumberFormat="1" applyFont="1" applyFill="1" applyBorder="1"/>
    <xf numFmtId="9" fontId="4" fillId="4" borderId="6" xfId="4" applyFont="1" applyFill="1" applyBorder="1" applyAlignment="1">
      <alignment wrapText="1"/>
    </xf>
    <xf numFmtId="164" fontId="10" fillId="0" borderId="6" xfId="1" applyNumberFormat="1" applyFont="1" applyBorder="1"/>
    <xf numFmtId="9" fontId="15" fillId="0" borderId="6" xfId="4" applyFont="1" applyFill="1" applyBorder="1" applyAlignment="1">
      <alignment wrapText="1"/>
    </xf>
    <xf numFmtId="164" fontId="10" fillId="0" borderId="29" xfId="1" applyNumberFormat="1" applyFont="1" applyBorder="1"/>
    <xf numFmtId="9" fontId="10" fillId="0" borderId="29" xfId="4" applyFont="1" applyBorder="1"/>
    <xf numFmtId="164" fontId="10" fillId="0" borderId="30" xfId="1" applyNumberFormat="1" applyFont="1" applyBorder="1"/>
    <xf numFmtId="9" fontId="4" fillId="0" borderId="30" xfId="4" applyFont="1" applyBorder="1"/>
    <xf numFmtId="164" fontId="10" fillId="3" borderId="33" xfId="1" applyNumberFormat="1" applyFont="1" applyFill="1" applyBorder="1"/>
    <xf numFmtId="9" fontId="10" fillId="3" borderId="33" xfId="4" applyFont="1" applyFill="1" applyBorder="1"/>
    <xf numFmtId="0" fontId="26" fillId="0" borderId="0" xfId="9" applyFont="1"/>
    <xf numFmtId="0" fontId="27" fillId="0" borderId="0" xfId="10" applyFont="1"/>
    <xf numFmtId="0" fontId="28" fillId="0" borderId="0" xfId="9" applyFont="1"/>
    <xf numFmtId="0" fontId="29" fillId="0" borderId="0" xfId="9" applyFont="1" applyAlignment="1">
      <alignment horizontal="right"/>
    </xf>
    <xf numFmtId="0" fontId="28" fillId="0" borderId="0" xfId="9" applyFont="1" applyAlignment="1">
      <alignment horizontal="right"/>
    </xf>
    <xf numFmtId="164" fontId="28" fillId="0" borderId="0" xfId="11" applyNumberFormat="1" applyFont="1" applyFill="1"/>
    <xf numFmtId="0" fontId="30" fillId="0" borderId="0" xfId="9" applyFont="1"/>
    <xf numFmtId="0" fontId="31" fillId="0" borderId="0" xfId="9" applyFont="1"/>
    <xf numFmtId="0" fontId="32" fillId="0" borderId="0" xfId="9" applyFont="1"/>
    <xf numFmtId="0" fontId="33" fillId="0" borderId="0" xfId="10" applyFont="1"/>
    <xf numFmtId="0" fontId="2" fillId="0" borderId="0" xfId="10"/>
    <xf numFmtId="0" fontId="34" fillId="0" borderId="0" xfId="9" applyFont="1"/>
    <xf numFmtId="0" fontId="35" fillId="0" borderId="12" xfId="9" applyFont="1" applyBorder="1" applyAlignment="1">
      <alignment horizontal="center" vertical="center" wrapText="1"/>
    </xf>
    <xf numFmtId="0" fontId="35" fillId="0" borderId="2" xfId="9" applyFont="1" applyBorder="1" applyAlignment="1">
      <alignment horizontal="center" vertical="center" wrapText="1"/>
    </xf>
    <xf numFmtId="0" fontId="36" fillId="0" borderId="2" xfId="9" applyFont="1" applyBorder="1" applyAlignment="1">
      <alignment horizontal="center" vertical="center" wrapText="1"/>
    </xf>
    <xf numFmtId="164" fontId="35" fillId="0" borderId="35" xfId="11" applyNumberFormat="1" applyFont="1" applyFill="1" applyBorder="1" applyAlignment="1">
      <alignment horizontal="center" vertical="center" wrapText="1"/>
    </xf>
    <xf numFmtId="0" fontId="35" fillId="0" borderId="3" xfId="9" applyFont="1" applyBorder="1" applyAlignment="1">
      <alignment horizontal="center" vertical="center" wrapText="1"/>
    </xf>
    <xf numFmtId="0" fontId="35" fillId="0" borderId="29" xfId="9" applyFont="1" applyBorder="1" applyAlignment="1">
      <alignment horizontal="center" vertical="center" wrapText="1"/>
    </xf>
    <xf numFmtId="0" fontId="31" fillId="0" borderId="0" xfId="9" applyFont="1" applyAlignment="1">
      <alignment wrapText="1"/>
    </xf>
    <xf numFmtId="0" fontId="28" fillId="0" borderId="0" xfId="9" applyFont="1" applyAlignment="1">
      <alignment wrapText="1"/>
    </xf>
    <xf numFmtId="0" fontId="26" fillId="0" borderId="36" xfId="9" applyFont="1" applyBorder="1" applyAlignment="1">
      <alignment vertical="center"/>
    </xf>
    <xf numFmtId="0" fontId="29" fillId="0" borderId="37" xfId="9" applyFont="1" applyBorder="1" applyAlignment="1">
      <alignment vertical="center"/>
    </xf>
    <xf numFmtId="0" fontId="31" fillId="0" borderId="38" xfId="9" applyFont="1" applyBorder="1" applyAlignment="1">
      <alignment horizontal="center" vertical="center"/>
    </xf>
    <xf numFmtId="0" fontId="31" fillId="0" borderId="37" xfId="9" applyFont="1" applyBorder="1" applyAlignment="1">
      <alignment vertical="center"/>
    </xf>
    <xf numFmtId="14" fontId="29" fillId="0" borderId="37" xfId="9" applyNumberFormat="1" applyFont="1" applyBorder="1" applyAlignment="1">
      <alignment horizontal="right" vertical="center"/>
    </xf>
    <xf numFmtId="14" fontId="31" fillId="0" borderId="37" xfId="9" applyNumberFormat="1" applyFont="1" applyBorder="1" applyAlignment="1">
      <alignment horizontal="right" vertical="center"/>
    </xf>
    <xf numFmtId="164" fontId="35" fillId="0" borderId="38" xfId="11" applyNumberFormat="1" applyFont="1" applyFill="1" applyBorder="1" applyAlignment="1">
      <alignment horizontal="center" vertical="center"/>
    </xf>
    <xf numFmtId="0" fontId="31" fillId="0" borderId="39" xfId="9" applyFont="1" applyBorder="1" applyAlignment="1">
      <alignment horizontal="center" vertical="center"/>
    </xf>
    <xf numFmtId="3" fontId="35" fillId="0" borderId="40" xfId="9" applyNumberFormat="1" applyFont="1" applyBorder="1" applyAlignment="1">
      <alignment horizontal="right" vertical="center"/>
    </xf>
    <xf numFmtId="3" fontId="31" fillId="0" borderId="0" xfId="9" applyNumberFormat="1" applyFont="1" applyAlignment="1">
      <alignment vertical="center"/>
    </xf>
    <xf numFmtId="3" fontId="31" fillId="0" borderId="0" xfId="9" applyNumberFormat="1" applyFont="1"/>
    <xf numFmtId="3" fontId="28" fillId="0" borderId="0" xfId="9" applyNumberFormat="1" applyFont="1"/>
    <xf numFmtId="0" fontId="28" fillId="0" borderId="0" xfId="9" applyFont="1" applyAlignment="1">
      <alignment vertical="center"/>
    </xf>
    <xf numFmtId="0" fontId="26" fillId="0" borderId="23" xfId="9" applyFont="1" applyBorder="1" applyAlignment="1">
      <alignment vertical="center"/>
    </xf>
    <xf numFmtId="0" fontId="29" fillId="0" borderId="24" xfId="9" applyFont="1" applyBorder="1" applyAlignment="1">
      <alignment vertical="center"/>
    </xf>
    <xf numFmtId="0" fontId="31" fillId="0" borderId="41" xfId="9" applyFont="1" applyBorder="1" applyAlignment="1">
      <alignment horizontal="center" vertical="center"/>
    </xf>
    <xf numFmtId="0" fontId="29" fillId="0" borderId="24" xfId="9" applyFont="1" applyBorder="1" applyAlignment="1">
      <alignment horizontal="right" vertical="center"/>
    </xf>
    <xf numFmtId="0" fontId="31" fillId="0" borderId="24" xfId="9" applyFont="1" applyBorder="1" applyAlignment="1">
      <alignment horizontal="right" vertical="center"/>
    </xf>
    <xf numFmtId="0" fontId="31" fillId="0" borderId="24" xfId="9" applyFont="1" applyBorder="1" applyAlignment="1">
      <alignment horizontal="center" vertical="center"/>
    </xf>
    <xf numFmtId="164" fontId="35" fillId="0" borderId="41" xfId="11" applyNumberFormat="1" applyFont="1" applyFill="1" applyBorder="1" applyAlignment="1">
      <alignment horizontal="center" vertical="center"/>
    </xf>
    <xf numFmtId="0" fontId="31" fillId="0" borderId="15" xfId="9" applyFont="1" applyBorder="1" applyAlignment="1">
      <alignment horizontal="center" vertical="center"/>
    </xf>
    <xf numFmtId="3" fontId="37" fillId="0" borderId="42" xfId="9" applyNumberFormat="1" applyFont="1" applyBorder="1" applyAlignment="1">
      <alignment horizontal="right" vertical="center"/>
    </xf>
    <xf numFmtId="0" fontId="30" fillId="0" borderId="0" xfId="9" applyFont="1" applyAlignment="1">
      <alignment vertical="center"/>
    </xf>
    <xf numFmtId="0" fontId="26" fillId="0" borderId="43" xfId="9" applyFont="1" applyBorder="1" applyAlignment="1">
      <alignment vertical="center"/>
    </xf>
    <xf numFmtId="0" fontId="29" fillId="0" borderId="44" xfId="9" applyFont="1" applyBorder="1" applyAlignment="1">
      <alignment vertical="center"/>
    </xf>
    <xf numFmtId="14" fontId="31" fillId="0" borderId="45" xfId="9" applyNumberFormat="1" applyFont="1" applyBorder="1" applyAlignment="1">
      <alignment horizontal="center" vertical="center"/>
    </xf>
    <xf numFmtId="14" fontId="31" fillId="0" borderId="44" xfId="9" applyNumberFormat="1" applyFont="1" applyBorder="1" applyAlignment="1">
      <alignment horizontal="center" vertical="center"/>
    </xf>
    <xf numFmtId="0" fontId="31" fillId="0" borderId="18" xfId="9" applyFont="1" applyBorder="1" applyAlignment="1">
      <alignment horizontal="center" vertical="center"/>
    </xf>
    <xf numFmtId="3" fontId="35" fillId="0" borderId="46" xfId="9" applyNumberFormat="1" applyFont="1" applyBorder="1" applyAlignment="1">
      <alignment horizontal="right" vertical="center"/>
    </xf>
    <xf numFmtId="14" fontId="31" fillId="0" borderId="47" xfId="9" applyNumberFormat="1" applyFont="1" applyBorder="1" applyAlignment="1">
      <alignment horizontal="center" vertical="center"/>
    </xf>
    <xf numFmtId="1" fontId="29" fillId="0" borderId="37" xfId="9" applyNumberFormat="1" applyFont="1" applyBorder="1" applyAlignment="1">
      <alignment horizontal="right" vertical="center"/>
    </xf>
    <xf numFmtId="14" fontId="31" fillId="0" borderId="37" xfId="9" applyNumberFormat="1" applyFont="1" applyBorder="1" applyAlignment="1">
      <alignment horizontal="center" vertical="center"/>
    </xf>
    <xf numFmtId="164" fontId="35" fillId="0" borderId="40" xfId="12" applyNumberFormat="1" applyFont="1" applyFill="1" applyBorder="1" applyAlignment="1">
      <alignment horizontal="right" vertical="center"/>
    </xf>
    <xf numFmtId="164" fontId="35" fillId="0" borderId="24" xfId="11" applyNumberFormat="1" applyFont="1" applyFill="1" applyBorder="1" applyAlignment="1">
      <alignment horizontal="center" vertical="center"/>
    </xf>
    <xf numFmtId="164" fontId="37" fillId="0" borderId="42" xfId="12" applyNumberFormat="1" applyFont="1" applyFill="1" applyBorder="1" applyAlignment="1">
      <alignment horizontal="right" vertical="center"/>
    </xf>
    <xf numFmtId="1" fontId="31" fillId="0" borderId="37" xfId="9" applyNumberFormat="1" applyFont="1" applyBorder="1" applyAlignment="1">
      <alignment horizontal="right" vertical="center"/>
    </xf>
    <xf numFmtId="0" fontId="31" fillId="0" borderId="44" xfId="9" applyFont="1" applyBorder="1" applyAlignment="1">
      <alignment horizontal="right" vertical="center"/>
    </xf>
    <xf numFmtId="0" fontId="31" fillId="0" borderId="44" xfId="9" applyFont="1" applyBorder="1" applyAlignment="1">
      <alignment horizontal="center" vertical="center"/>
    </xf>
    <xf numFmtId="0" fontId="31" fillId="0" borderId="45" xfId="9" applyFont="1" applyBorder="1" applyAlignment="1">
      <alignment horizontal="center" vertical="center"/>
    </xf>
    <xf numFmtId="0" fontId="29" fillId="0" borderId="44" xfId="9" applyFont="1" applyBorder="1" applyAlignment="1">
      <alignment horizontal="right" vertical="center"/>
    </xf>
    <xf numFmtId="164" fontId="35" fillId="0" borderId="45" xfId="11" applyNumberFormat="1" applyFont="1" applyFill="1" applyBorder="1" applyAlignment="1">
      <alignment horizontal="center" vertical="center"/>
    </xf>
    <xf numFmtId="0" fontId="31" fillId="0" borderId="47" xfId="9" applyFont="1" applyBorder="1" applyAlignment="1">
      <alignment horizontal="center" vertical="center"/>
    </xf>
    <xf numFmtId="0" fontId="31" fillId="0" borderId="37" xfId="9" applyFont="1" applyBorder="1" applyAlignment="1">
      <alignment horizontal="right" vertical="center"/>
    </xf>
    <xf numFmtId="0" fontId="31" fillId="0" borderId="37" xfId="9" applyFont="1" applyBorder="1" applyAlignment="1">
      <alignment horizontal="center" vertical="center"/>
    </xf>
    <xf numFmtId="164" fontId="35" fillId="0" borderId="37" xfId="11" applyNumberFormat="1" applyFont="1" applyFill="1" applyBorder="1" applyAlignment="1">
      <alignment horizontal="center" vertical="center"/>
    </xf>
    <xf numFmtId="0" fontId="38" fillId="0" borderId="24" xfId="9" applyFont="1" applyBorder="1" applyAlignment="1">
      <alignment vertical="center"/>
    </xf>
    <xf numFmtId="0" fontId="29" fillId="0" borderId="37" xfId="9" applyFont="1" applyBorder="1" applyAlignment="1">
      <alignment horizontal="right" vertical="center"/>
    </xf>
    <xf numFmtId="164" fontId="35" fillId="0" borderId="44" xfId="11" applyNumberFormat="1" applyFont="1" applyFill="1" applyBorder="1" applyAlignment="1">
      <alignment horizontal="center" vertical="center"/>
    </xf>
    <xf numFmtId="3" fontId="35" fillId="0" borderId="48" xfId="9" applyNumberFormat="1" applyFont="1" applyBorder="1" applyAlignment="1">
      <alignment horizontal="right" vertical="center"/>
    </xf>
    <xf numFmtId="14" fontId="31" fillId="0" borderId="44" xfId="9" applyNumberFormat="1" applyFont="1" applyBorder="1" applyAlignment="1">
      <alignment horizontal="right" vertical="center"/>
    </xf>
    <xf numFmtId="164" fontId="39" fillId="0" borderId="24" xfId="11" applyNumberFormat="1" applyFont="1" applyFill="1" applyBorder="1" applyAlignment="1">
      <alignment horizontal="center" vertical="center"/>
    </xf>
    <xf numFmtId="0" fontId="40" fillId="0" borderId="36" xfId="9" applyFont="1" applyBorder="1" applyAlignment="1">
      <alignment vertical="center"/>
    </xf>
    <xf numFmtId="0" fontId="29" fillId="0" borderId="37" xfId="9" applyFont="1" applyBorder="1" applyAlignment="1">
      <alignment vertical="center" wrapText="1"/>
    </xf>
    <xf numFmtId="0" fontId="29" fillId="0" borderId="38" xfId="9" applyFont="1" applyBorder="1" applyAlignment="1">
      <alignment horizontal="center" vertical="center"/>
    </xf>
    <xf numFmtId="14" fontId="29" fillId="0" borderId="47" xfId="9" applyNumberFormat="1" applyFont="1" applyBorder="1" applyAlignment="1">
      <alignment horizontal="center" vertical="center"/>
    </xf>
    <xf numFmtId="0" fontId="29" fillId="0" borderId="44" xfId="9" applyFont="1" applyBorder="1" applyAlignment="1">
      <alignment vertical="center" wrapText="1"/>
    </xf>
    <xf numFmtId="164" fontId="39" fillId="0" borderId="45" xfId="11" applyNumberFormat="1" applyFont="1" applyFill="1" applyBorder="1" applyAlignment="1">
      <alignment horizontal="center" vertical="center"/>
    </xf>
    <xf numFmtId="164" fontId="41" fillId="0" borderId="24" xfId="11" applyNumberFormat="1" applyFont="1" applyFill="1" applyBorder="1" applyAlignment="1">
      <alignment horizontal="center" vertical="center"/>
    </xf>
    <xf numFmtId="1" fontId="42" fillId="0" borderId="37" xfId="9" applyNumberFormat="1" applyFont="1" applyBorder="1" applyAlignment="1">
      <alignment horizontal="right" vertical="center"/>
    </xf>
    <xf numFmtId="0" fontId="34" fillId="0" borderId="0" xfId="9" applyFont="1" applyAlignment="1">
      <alignment vertical="center"/>
    </xf>
    <xf numFmtId="0" fontId="31" fillId="0" borderId="24" xfId="9" applyFont="1" applyBorder="1" applyAlignment="1">
      <alignment vertical="center"/>
    </xf>
    <xf numFmtId="0" fontId="42" fillId="0" borderId="41" xfId="9" applyFont="1" applyBorder="1" applyAlignment="1">
      <alignment horizontal="center" vertical="center"/>
    </xf>
    <xf numFmtId="0" fontId="42" fillId="0" borderId="24" xfId="9" applyFont="1" applyBorder="1" applyAlignment="1">
      <alignment horizontal="right" vertical="center"/>
    </xf>
    <xf numFmtId="0" fontId="26" fillId="0" borderId="0" xfId="9" applyFont="1" applyAlignment="1">
      <alignment vertical="center"/>
    </xf>
    <xf numFmtId="0" fontId="31" fillId="0" borderId="0" xfId="9" applyFont="1" applyAlignment="1">
      <alignment vertical="center"/>
    </xf>
    <xf numFmtId="0" fontId="31" fillId="0" borderId="0" xfId="9" applyFont="1" applyAlignment="1">
      <alignment horizontal="center" vertical="center"/>
    </xf>
    <xf numFmtId="0" fontId="31" fillId="0" borderId="0" xfId="9" applyFont="1" applyAlignment="1">
      <alignment horizontal="right" vertical="center"/>
    </xf>
    <xf numFmtId="164" fontId="35" fillId="0" borderId="0" xfId="11" applyNumberFormat="1" applyFont="1" applyFill="1" applyBorder="1" applyAlignment="1">
      <alignment horizontal="center" vertical="center"/>
    </xf>
    <xf numFmtId="0" fontId="35" fillId="0" borderId="0" xfId="9" applyFont="1" applyAlignment="1">
      <alignment horizontal="right" vertical="center"/>
    </xf>
    <xf numFmtId="3" fontId="35" fillId="0" borderId="51" xfId="9" applyNumberFormat="1" applyFont="1" applyBorder="1" applyAlignment="1">
      <alignment horizontal="right" vertical="center"/>
    </xf>
    <xf numFmtId="0" fontId="35" fillId="0" borderId="0" xfId="9" applyFont="1" applyAlignment="1">
      <alignment vertical="center"/>
    </xf>
    <xf numFmtId="164" fontId="28" fillId="0" borderId="0" xfId="11" applyNumberFormat="1" applyFont="1" applyFill="1" applyBorder="1"/>
    <xf numFmtId="3" fontId="30" fillId="0" borderId="0" xfId="9" applyNumberFormat="1" applyFont="1"/>
    <xf numFmtId="0" fontId="29" fillId="0" borderId="0" xfId="9" applyFont="1" applyAlignment="1">
      <alignment horizontal="right" vertical="center"/>
    </xf>
    <xf numFmtId="164" fontId="31" fillId="0" borderId="0" xfId="11" applyNumberFormat="1" applyFont="1" applyFill="1" applyBorder="1" applyAlignment="1">
      <alignment horizontal="center" vertical="center"/>
    </xf>
    <xf numFmtId="3" fontId="35" fillId="0" borderId="0" xfId="9" applyNumberFormat="1" applyFont="1" applyAlignment="1">
      <alignment horizontal="right" vertical="center"/>
    </xf>
    <xf numFmtId="166" fontId="35" fillId="0" borderId="0" xfId="9" applyNumberFormat="1" applyFont="1" applyAlignment="1">
      <alignment horizontal="right" vertical="center"/>
    </xf>
    <xf numFmtId="0" fontId="44" fillId="0" borderId="52" xfId="10" applyFont="1" applyBorder="1"/>
    <xf numFmtId="0" fontId="31" fillId="0" borderId="52" xfId="9" applyFont="1" applyBorder="1" applyAlignment="1">
      <alignment vertical="center"/>
    </xf>
    <xf numFmtId="0" fontId="31" fillId="0" borderId="52" xfId="9" applyFont="1" applyBorder="1" applyAlignment="1">
      <alignment horizontal="center" vertical="center"/>
    </xf>
    <xf numFmtId="0" fontId="29" fillId="0" borderId="52" xfId="9" applyFont="1" applyBorder="1" applyAlignment="1">
      <alignment horizontal="right" vertical="center"/>
    </xf>
    <xf numFmtId="0" fontId="31" fillId="0" borderId="52" xfId="9" applyFont="1" applyBorder="1" applyAlignment="1">
      <alignment horizontal="right" vertical="center"/>
    </xf>
    <xf numFmtId="164" fontId="31" fillId="0" borderId="52" xfId="11" applyNumberFormat="1" applyFont="1" applyFill="1" applyBorder="1" applyAlignment="1">
      <alignment horizontal="center" vertical="center"/>
    </xf>
    <xf numFmtId="3" fontId="35" fillId="0" borderId="52" xfId="9" applyNumberFormat="1" applyFont="1" applyBorder="1" applyAlignment="1">
      <alignment horizontal="right" vertical="center"/>
    </xf>
    <xf numFmtId="164" fontId="26" fillId="0" borderId="38" xfId="11" applyNumberFormat="1" applyFont="1" applyFill="1" applyBorder="1" applyAlignment="1">
      <alignment horizontal="center" vertical="center"/>
    </xf>
    <xf numFmtId="0" fontId="31" fillId="0" borderId="45" xfId="9" applyFont="1" applyBorder="1" applyAlignment="1">
      <alignment vertical="center"/>
    </xf>
    <xf numFmtId="0" fontId="31" fillId="0" borderId="44" xfId="9" applyFont="1" applyBorder="1" applyAlignment="1">
      <alignment vertical="center"/>
    </xf>
    <xf numFmtId="14" fontId="29" fillId="0" borderId="44" xfId="9" applyNumberFormat="1" applyFont="1" applyBorder="1" applyAlignment="1">
      <alignment horizontal="right" vertical="center"/>
    </xf>
    <xf numFmtId="164" fontId="31" fillId="0" borderId="38" xfId="11" applyNumberFormat="1" applyFont="1" applyFill="1" applyBorder="1" applyAlignment="1">
      <alignment horizontal="center" vertical="center"/>
    </xf>
    <xf numFmtId="0" fontId="31" fillId="0" borderId="41" xfId="9" applyFont="1" applyBorder="1" applyAlignment="1">
      <alignment vertical="center"/>
    </xf>
    <xf numFmtId="164" fontId="31" fillId="0" borderId="41" xfId="11" applyNumberFormat="1" applyFont="1" applyFill="1" applyBorder="1" applyAlignment="1">
      <alignment horizontal="center" vertical="center"/>
    </xf>
    <xf numFmtId="3" fontId="35" fillId="0" borderId="42" xfId="9" applyNumberFormat="1" applyFont="1" applyBorder="1" applyAlignment="1">
      <alignment horizontal="right" vertical="center"/>
    </xf>
    <xf numFmtId="164" fontId="35" fillId="0" borderId="48" xfId="12" applyNumberFormat="1" applyFont="1" applyFill="1" applyBorder="1" applyAlignment="1">
      <alignment horizontal="right" vertical="center"/>
    </xf>
    <xf numFmtId="0" fontId="31" fillId="0" borderId="53" xfId="9" applyFont="1" applyBorder="1" applyAlignment="1">
      <alignment vertical="center"/>
    </xf>
    <xf numFmtId="0" fontId="35" fillId="0" borderId="53" xfId="9" applyFont="1" applyBorder="1" applyAlignment="1">
      <alignment vertical="center"/>
    </xf>
    <xf numFmtId="0" fontId="35" fillId="0" borderId="0" xfId="9" applyFont="1" applyAlignment="1">
      <alignment horizontal="center" vertical="center"/>
    </xf>
    <xf numFmtId="164" fontId="31" fillId="0" borderId="0" xfId="11" applyNumberFormat="1" applyFont="1" applyFill="1" applyAlignment="1">
      <alignment vertical="center"/>
    </xf>
    <xf numFmtId="164" fontId="35" fillId="0" borderId="0" xfId="1" applyNumberFormat="1" applyFont="1" applyFill="1" applyAlignment="1">
      <alignment vertical="center"/>
    </xf>
    <xf numFmtId="0" fontId="26" fillId="0" borderId="11" xfId="9" applyFont="1" applyBorder="1" applyAlignment="1">
      <alignment vertical="center"/>
    </xf>
    <xf numFmtId="0" fontId="35" fillId="0" borderId="54" xfId="9" applyFont="1" applyBorder="1" applyAlignment="1">
      <alignment vertical="center"/>
    </xf>
    <xf numFmtId="0" fontId="35" fillId="0" borderId="12" xfId="9" applyFont="1" applyBorder="1" applyAlignment="1">
      <alignment horizontal="center" vertical="center"/>
    </xf>
    <xf numFmtId="0" fontId="36" fillId="0" borderId="54" xfId="9" applyFont="1" applyBorder="1" applyAlignment="1">
      <alignment horizontal="right" vertical="center"/>
    </xf>
    <xf numFmtId="0" fontId="35" fillId="0" borderId="54" xfId="9" applyFont="1" applyBorder="1" applyAlignment="1">
      <alignment horizontal="right" vertical="center"/>
    </xf>
    <xf numFmtId="0" fontId="35" fillId="0" borderId="1" xfId="9" applyFont="1" applyBorder="1" applyAlignment="1">
      <alignment horizontal="center" vertical="center"/>
    </xf>
    <xf numFmtId="164" fontId="35" fillId="0" borderId="12" xfId="11" applyNumberFormat="1" applyFont="1" applyFill="1" applyBorder="1" applyAlignment="1">
      <alignment horizontal="center" vertical="center"/>
    </xf>
    <xf numFmtId="0" fontId="35" fillId="0" borderId="2" xfId="9" applyFont="1" applyBorder="1" applyAlignment="1">
      <alignment horizontal="center" vertical="center"/>
    </xf>
    <xf numFmtId="3" fontId="35" fillId="0" borderId="2" xfId="9" applyNumberFormat="1" applyFont="1" applyBorder="1" applyAlignment="1">
      <alignment vertical="center"/>
    </xf>
    <xf numFmtId="0" fontId="30" fillId="0" borderId="51" xfId="9" applyFont="1" applyBorder="1" applyAlignment="1">
      <alignment wrapText="1"/>
    </xf>
    <xf numFmtId="165" fontId="30" fillId="0" borderId="0" xfId="14" applyNumberFormat="1" applyFont="1" applyFill="1"/>
    <xf numFmtId="165" fontId="45" fillId="0" borderId="0" xfId="14" applyNumberFormat="1" applyFont="1" applyFill="1"/>
    <xf numFmtId="0" fontId="45" fillId="0" borderId="0" xfId="9" applyFont="1"/>
    <xf numFmtId="0" fontId="29" fillId="0" borderId="0" xfId="9" applyFont="1"/>
    <xf numFmtId="3" fontId="46" fillId="0" borderId="0" xfId="9" applyNumberFormat="1" applyFont="1"/>
    <xf numFmtId="43" fontId="28" fillId="0" borderId="0" xfId="1" applyFont="1" applyFill="1" applyBorder="1"/>
    <xf numFmtId="164" fontId="28" fillId="0" borderId="0" xfId="1" applyNumberFormat="1" applyFont="1" applyFill="1" applyBorder="1"/>
    <xf numFmtId="3" fontId="47" fillId="0" borderId="0" xfId="9" applyNumberFormat="1" applyFont="1"/>
    <xf numFmtId="0" fontId="31" fillId="0" borderId="0" xfId="9" applyFont="1" applyAlignment="1">
      <alignment horizontal="right"/>
    </xf>
    <xf numFmtId="0" fontId="31" fillId="0" borderId="52" xfId="9" applyFont="1" applyBorder="1"/>
    <xf numFmtId="0" fontId="31" fillId="0" borderId="52" xfId="9" applyFont="1" applyBorder="1" applyAlignment="1">
      <alignment horizontal="right"/>
    </xf>
    <xf numFmtId="0" fontId="35" fillId="0" borderId="41" xfId="9" applyFont="1" applyBorder="1" applyAlignment="1">
      <alignment horizontal="right" wrapText="1"/>
    </xf>
    <xf numFmtId="0" fontId="35" fillId="0" borderId="52" xfId="9" applyFont="1" applyBorder="1" applyAlignment="1">
      <alignment horizontal="right" wrapText="1"/>
    </xf>
    <xf numFmtId="164" fontId="31" fillId="0" borderId="0" xfId="11" applyNumberFormat="1" applyFont="1" applyFill="1" applyBorder="1"/>
    <xf numFmtId="0" fontId="30" fillId="0" borderId="0" xfId="9" applyFont="1" applyAlignment="1">
      <alignment horizontal="right"/>
    </xf>
    <xf numFmtId="3" fontId="35" fillId="0" borderId="45" xfId="9" applyNumberFormat="1" applyFont="1" applyBorder="1"/>
    <xf numFmtId="0" fontId="48" fillId="0" borderId="0" xfId="9" applyFont="1" applyAlignment="1">
      <alignment vertical="center"/>
    </xf>
    <xf numFmtId="0" fontId="28" fillId="0" borderId="0" xfId="9" applyFont="1" applyAlignment="1">
      <alignment horizontal="left"/>
    </xf>
    <xf numFmtId="164" fontId="31" fillId="0" borderId="52" xfId="11" applyNumberFormat="1" applyFont="1" applyFill="1" applyBorder="1"/>
    <xf numFmtId="0" fontId="30" fillId="0" borderId="52" xfId="9" applyFont="1" applyBorder="1" applyAlignment="1">
      <alignment horizontal="right"/>
    </xf>
    <xf numFmtId="3" fontId="35" fillId="0" borderId="41" xfId="9" applyNumberFormat="1" applyFont="1" applyBorder="1"/>
    <xf numFmtId="164" fontId="28" fillId="0" borderId="0" xfId="11" applyNumberFormat="1" applyFont="1" applyFill="1" applyBorder="1" applyAlignment="1">
      <alignment horizontal="left"/>
    </xf>
    <xf numFmtId="3" fontId="35" fillId="0" borderId="0" xfId="9" applyNumberFormat="1" applyFont="1"/>
    <xf numFmtId="164" fontId="35" fillId="0" borderId="45" xfId="1" applyNumberFormat="1" applyFont="1" applyFill="1" applyBorder="1" applyAlignment="1">
      <alignment horizontal="right" wrapText="1"/>
    </xf>
    <xf numFmtId="164" fontId="28" fillId="0" borderId="0" xfId="11" applyNumberFormat="1" applyFont="1" applyFill="1" applyAlignment="1">
      <alignment horizontal="left"/>
    </xf>
    <xf numFmtId="0" fontId="49" fillId="0" borderId="0" xfId="10" applyFont="1"/>
    <xf numFmtId="49" fontId="36" fillId="0" borderId="0" xfId="15" applyNumberFormat="1" applyFont="1" applyAlignment="1">
      <alignment wrapText="1"/>
    </xf>
    <xf numFmtId="0" fontId="29" fillId="0" borderId="0" xfId="15" applyFont="1"/>
    <xf numFmtId="3" fontId="50" fillId="0" borderId="0" xfId="15" applyNumberFormat="1" applyFont="1"/>
    <xf numFmtId="0" fontId="51" fillId="0" borderId="0" xfId="10" applyFont="1"/>
    <xf numFmtId="0" fontId="52" fillId="0" borderId="0" xfId="15" applyFont="1"/>
    <xf numFmtId="0" fontId="31" fillId="0" borderId="0" xfId="15" applyFont="1"/>
    <xf numFmtId="0" fontId="53" fillId="0" borderId="0" xfId="9" applyFont="1"/>
    <xf numFmtId="0" fontId="54" fillId="0" borderId="0" xfId="9" applyFont="1"/>
    <xf numFmtId="0" fontId="50" fillId="0" borderId="0" xfId="9" applyFont="1" applyAlignment="1">
      <alignment horizontal="right"/>
    </xf>
    <xf numFmtId="0" fontId="54" fillId="0" borderId="0" xfId="9" applyFont="1" applyAlignment="1">
      <alignment horizontal="right"/>
    </xf>
    <xf numFmtId="0" fontId="55" fillId="0" borderId="0" xfId="9" applyFont="1"/>
    <xf numFmtId="0" fontId="56" fillId="0" borderId="0" xfId="9" applyFont="1"/>
    <xf numFmtId="0" fontId="4" fillId="0" borderId="0" xfId="16" applyFont="1"/>
    <xf numFmtId="0" fontId="5" fillId="0" borderId="0" xfId="17" applyFont="1"/>
    <xf numFmtId="0" fontId="4" fillId="0" borderId="0" xfId="16" applyFont="1" applyAlignment="1">
      <alignment wrapText="1"/>
    </xf>
    <xf numFmtId="3" fontId="4" fillId="0" borderId="0" xfId="16" applyNumberFormat="1" applyFont="1"/>
    <xf numFmtId="0" fontId="10" fillId="0" borderId="1" xfId="16" applyFont="1" applyBorder="1" applyAlignment="1">
      <alignment horizontal="center" vertical="center"/>
    </xf>
    <xf numFmtId="0" fontId="10" fillId="0" borderId="2" xfId="16" applyFont="1" applyBorder="1" applyAlignment="1">
      <alignment horizontal="center" vertical="center" wrapText="1"/>
    </xf>
    <xf numFmtId="0" fontId="10" fillId="2" borderId="55" xfId="16" applyFont="1" applyFill="1" applyBorder="1"/>
    <xf numFmtId="0" fontId="10" fillId="2" borderId="49" xfId="16" applyFont="1" applyFill="1" applyBorder="1" applyAlignment="1">
      <alignment wrapText="1"/>
    </xf>
    <xf numFmtId="164" fontId="10" fillId="2" borderId="56" xfId="1" applyNumberFormat="1" applyFont="1" applyFill="1" applyBorder="1"/>
    <xf numFmtId="3" fontId="10" fillId="2" borderId="56" xfId="16" applyNumberFormat="1" applyFont="1" applyFill="1" applyBorder="1"/>
    <xf numFmtId="9" fontId="4" fillId="2" borderId="56" xfId="4" applyFont="1" applyFill="1" applyBorder="1" applyAlignment="1">
      <alignment wrapText="1"/>
    </xf>
    <xf numFmtId="0" fontId="10" fillId="3" borderId="55" xfId="16" quotePrefix="1" applyFont="1" applyFill="1" applyBorder="1"/>
    <xf numFmtId="0" fontId="10" fillId="3" borderId="49" xfId="16" applyFont="1" applyFill="1" applyBorder="1" applyAlignment="1">
      <alignment wrapText="1"/>
    </xf>
    <xf numFmtId="3" fontId="10" fillId="3" borderId="56" xfId="16" applyNumberFormat="1" applyFont="1" applyFill="1" applyBorder="1"/>
    <xf numFmtId="164" fontId="10" fillId="3" borderId="56" xfId="1" applyNumberFormat="1" applyFont="1" applyFill="1" applyBorder="1"/>
    <xf numFmtId="9" fontId="10" fillId="3" borderId="56" xfId="4" applyFont="1" applyFill="1" applyBorder="1"/>
    <xf numFmtId="0" fontId="14" fillId="0" borderId="0" xfId="16" applyFont="1"/>
    <xf numFmtId="0" fontId="4" fillId="0" borderId="4" xfId="16" applyFont="1" applyBorder="1" applyAlignment="1">
      <alignment horizontal="left" indent="1"/>
    </xf>
    <xf numFmtId="0" fontId="4" fillId="0" borderId="5" xfId="16" applyFont="1" applyBorder="1" applyAlignment="1">
      <alignment horizontal="left" wrapText="1" indent="2"/>
    </xf>
    <xf numFmtId="3" fontId="4" fillId="0" borderId="6" xfId="16" applyNumberFormat="1" applyFont="1" applyBorder="1"/>
    <xf numFmtId="3" fontId="8" fillId="0" borderId="6" xfId="16" applyNumberFormat="1" applyFont="1" applyBorder="1"/>
    <xf numFmtId="0" fontId="10" fillId="3" borderId="4" xfId="16" applyFont="1" applyFill="1" applyBorder="1"/>
    <xf numFmtId="0" fontId="10" fillId="3" borderId="5" xfId="16" applyFont="1" applyFill="1" applyBorder="1" applyAlignment="1">
      <alignment wrapText="1"/>
    </xf>
    <xf numFmtId="3" fontId="10" fillId="3" borderId="6" xfId="16" applyNumberFormat="1" applyFont="1" applyFill="1" applyBorder="1"/>
    <xf numFmtId="0" fontId="15" fillId="0" borderId="4" xfId="16" applyFont="1" applyBorder="1" applyAlignment="1">
      <alignment horizontal="left" indent="2"/>
    </xf>
    <xf numFmtId="0" fontId="15" fillId="0" borderId="5" xfId="16" applyFont="1" applyBorder="1" applyAlignment="1">
      <alignment horizontal="left" wrapText="1" indent="3"/>
    </xf>
    <xf numFmtId="0" fontId="4" fillId="4" borderId="5" xfId="16" applyFont="1" applyFill="1" applyBorder="1" applyAlignment="1">
      <alignment horizontal="left" wrapText="1" indent="2"/>
    </xf>
    <xf numFmtId="0" fontId="10" fillId="3" borderId="4" xfId="16" quotePrefix="1" applyFont="1" applyFill="1" applyBorder="1"/>
    <xf numFmtId="0" fontId="4" fillId="2" borderId="4" xfId="16" applyFont="1" applyFill="1" applyBorder="1" applyAlignment="1">
      <alignment horizontal="left" indent="1"/>
    </xf>
    <xf numFmtId="0" fontId="4" fillId="2" borderId="5" xfId="16" applyFont="1" applyFill="1" applyBorder="1" applyAlignment="1">
      <alignment horizontal="left" wrapText="1" indent="2"/>
    </xf>
    <xf numFmtId="3" fontId="4" fillId="2" borderId="6" xfId="16" applyNumberFormat="1" applyFont="1" applyFill="1" applyBorder="1"/>
    <xf numFmtId="3" fontId="4" fillId="5" borderId="6" xfId="16" applyNumberFormat="1" applyFont="1" applyFill="1" applyBorder="1"/>
    <xf numFmtId="3" fontId="4" fillId="5" borderId="6" xfId="16" applyNumberFormat="1" applyFont="1" applyFill="1" applyBorder="1" applyAlignment="1">
      <alignment wrapText="1"/>
    </xf>
    <xf numFmtId="3" fontId="15" fillId="6" borderId="6" xfId="16" applyNumberFormat="1" applyFont="1" applyFill="1" applyBorder="1"/>
    <xf numFmtId="0" fontId="15" fillId="0" borderId="0" xfId="16" applyFont="1"/>
    <xf numFmtId="3" fontId="15" fillId="7" borderId="6" xfId="16" applyNumberFormat="1" applyFont="1" applyFill="1" applyBorder="1"/>
    <xf numFmtId="0" fontId="4" fillId="8" borderId="5" xfId="16" applyFont="1" applyFill="1" applyBorder="1" applyAlignment="1">
      <alignment horizontal="left" wrapText="1" indent="2"/>
    </xf>
    <xf numFmtId="0" fontId="4" fillId="0" borderId="5" xfId="16" applyFont="1" applyBorder="1" applyAlignment="1">
      <alignment horizontal="left" wrapText="1" indent="3"/>
    </xf>
    <xf numFmtId="0" fontId="17" fillId="0" borderId="0" xfId="16" applyFont="1"/>
    <xf numFmtId="0" fontId="4" fillId="8" borderId="5" xfId="16" applyFont="1" applyFill="1" applyBorder="1" applyAlignment="1">
      <alignment horizontal="left" wrapText="1" indent="3"/>
    </xf>
    <xf numFmtId="0" fontId="4" fillId="0" borderId="49" xfId="16" applyFont="1" applyBorder="1" applyAlignment="1">
      <alignment horizontal="left" wrapText="1" indent="2"/>
    </xf>
    <xf numFmtId="0" fontId="4" fillId="4" borderId="4" xfId="16" applyFont="1" applyFill="1" applyBorder="1" applyAlignment="1">
      <alignment horizontal="left" indent="2"/>
    </xf>
    <xf numFmtId="0" fontId="4" fillId="4" borderId="5" xfId="16" applyFont="1" applyFill="1" applyBorder="1" applyAlignment="1">
      <alignment horizontal="left" wrapText="1" indent="3"/>
    </xf>
    <xf numFmtId="3" fontId="4" fillId="10" borderId="6" xfId="16" applyNumberFormat="1" applyFont="1" applyFill="1" applyBorder="1"/>
    <xf numFmtId="0" fontId="10" fillId="0" borderId="11" xfId="16" applyFont="1" applyBorder="1"/>
    <xf numFmtId="0" fontId="10" fillId="0" borderId="12" xfId="16" applyFont="1" applyBorder="1" applyAlignment="1">
      <alignment horizontal="right" wrapText="1"/>
    </xf>
    <xf numFmtId="3" fontId="10" fillId="0" borderId="3" xfId="16" applyNumberFormat="1" applyFont="1" applyBorder="1"/>
    <xf numFmtId="0" fontId="10" fillId="0" borderId="13" xfId="16" quotePrefix="1" applyFont="1" applyBorder="1"/>
    <xf numFmtId="0" fontId="10" fillId="0" borderId="14" xfId="16" applyFont="1" applyBorder="1" applyAlignment="1">
      <alignment wrapText="1"/>
    </xf>
    <xf numFmtId="3" fontId="10" fillId="0" borderId="15" xfId="16" applyNumberFormat="1" applyFont="1" applyBorder="1"/>
    <xf numFmtId="0" fontId="10" fillId="3" borderId="16" xfId="16" applyFont="1" applyFill="1" applyBorder="1" applyAlignment="1">
      <alignment wrapText="1"/>
    </xf>
    <xf numFmtId="3" fontId="10" fillId="3" borderId="10" xfId="16" applyNumberFormat="1" applyFont="1" applyFill="1" applyBorder="1"/>
    <xf numFmtId="49" fontId="4" fillId="0" borderId="16" xfId="16" applyNumberFormat="1" applyFont="1" applyBorder="1" applyAlignment="1">
      <alignment horizontal="left" wrapText="1" indent="4"/>
    </xf>
    <xf numFmtId="3" fontId="4" fillId="0" borderId="10" xfId="16" applyNumberFormat="1" applyFont="1" applyBorder="1"/>
    <xf numFmtId="3" fontId="4" fillId="0" borderId="16" xfId="16" applyNumberFormat="1" applyFont="1" applyBorder="1"/>
    <xf numFmtId="3" fontId="4" fillId="0" borderId="17" xfId="16" applyNumberFormat="1" applyFont="1" applyBorder="1"/>
    <xf numFmtId="49" fontId="4" fillId="0" borderId="19" xfId="16" applyNumberFormat="1" applyFont="1" applyBorder="1" applyAlignment="1">
      <alignment horizontal="left" wrapText="1" indent="4"/>
    </xf>
    <xf numFmtId="49" fontId="4" fillId="0" borderId="5" xfId="16" applyNumberFormat="1" applyFont="1" applyBorder="1" applyAlignment="1">
      <alignment horizontal="left" wrapText="1" indent="4"/>
    </xf>
    <xf numFmtId="0" fontId="4" fillId="4" borderId="21" xfId="16" applyFont="1" applyFill="1" applyBorder="1" applyAlignment="1">
      <alignment horizontal="left" indent="2"/>
    </xf>
    <xf numFmtId="49" fontId="4" fillId="0" borderId="22" xfId="16" applyNumberFormat="1" applyFont="1" applyBorder="1" applyAlignment="1">
      <alignment horizontal="left" wrapText="1" indent="4"/>
    </xf>
    <xf numFmtId="9" fontId="4" fillId="0" borderId="56" xfId="4" applyFont="1" applyFill="1" applyBorder="1"/>
    <xf numFmtId="3" fontId="4" fillId="0" borderId="7" xfId="16" applyNumberFormat="1" applyFont="1" applyBorder="1"/>
    <xf numFmtId="0" fontId="4" fillId="4" borderId="23" xfId="16" applyFont="1" applyFill="1" applyBorder="1" applyAlignment="1">
      <alignment horizontal="left" indent="2"/>
    </xf>
    <xf numFmtId="49" fontId="4" fillId="0" borderId="24" xfId="16" applyNumberFormat="1" applyFont="1" applyBorder="1" applyAlignment="1">
      <alignment horizontal="left" wrapText="1" indent="4"/>
    </xf>
    <xf numFmtId="164" fontId="4" fillId="0" borderId="57" xfId="1" applyNumberFormat="1" applyFont="1" applyBorder="1"/>
    <xf numFmtId="3" fontId="4" fillId="0" borderId="18" xfId="16" applyNumberFormat="1" applyFont="1" applyBorder="1"/>
    <xf numFmtId="3" fontId="4" fillId="0" borderId="57" xfId="16" applyNumberFormat="1" applyFont="1" applyBorder="1"/>
    <xf numFmtId="0" fontId="10" fillId="0" borderId="25" xfId="16" applyFont="1" applyBorder="1"/>
    <xf numFmtId="0" fontId="10" fillId="0" borderId="26" xfId="16" applyFont="1" applyBorder="1" applyAlignment="1">
      <alignment horizontal="right" wrapText="1"/>
    </xf>
    <xf numFmtId="0" fontId="10" fillId="0" borderId="0" xfId="16" applyFont="1"/>
    <xf numFmtId="49" fontId="10" fillId="3" borderId="58" xfId="16" applyNumberFormat="1" applyFont="1" applyFill="1" applyBorder="1" applyAlignment="1">
      <alignment horizontal="left" indent="2"/>
    </xf>
    <xf numFmtId="49" fontId="10" fillId="3" borderId="27" xfId="16" applyNumberFormat="1" applyFont="1" applyFill="1" applyBorder="1" applyAlignment="1">
      <alignment wrapText="1"/>
    </xf>
    <xf numFmtId="3" fontId="10" fillId="3" borderId="59" xfId="16" applyNumberFormat="1" applyFont="1" applyFill="1" applyBorder="1"/>
    <xf numFmtId="164" fontId="10" fillId="3" borderId="59" xfId="1" applyNumberFormat="1" applyFont="1" applyFill="1" applyBorder="1"/>
    <xf numFmtId="9" fontId="10" fillId="3" borderId="59" xfId="4" applyFont="1" applyFill="1" applyBorder="1"/>
    <xf numFmtId="49" fontId="4" fillId="2" borderId="4" xfId="16" applyNumberFormat="1" applyFont="1" applyFill="1" applyBorder="1" applyAlignment="1">
      <alignment horizontal="left" indent="1"/>
    </xf>
    <xf numFmtId="49" fontId="4" fillId="2" borderId="5" xfId="16" applyNumberFormat="1" applyFont="1" applyFill="1" applyBorder="1" applyAlignment="1">
      <alignment horizontal="left" wrapText="1" indent="2"/>
    </xf>
    <xf numFmtId="3" fontId="8" fillId="2" borderId="6" xfId="16" applyNumberFormat="1" applyFont="1" applyFill="1" applyBorder="1"/>
    <xf numFmtId="49" fontId="10" fillId="3" borderId="4" xfId="16" applyNumberFormat="1" applyFont="1" applyFill="1" applyBorder="1"/>
    <xf numFmtId="49" fontId="10" fillId="3" borderId="5" xfId="16" applyNumberFormat="1" applyFont="1" applyFill="1" applyBorder="1" applyAlignment="1">
      <alignment wrapText="1"/>
    </xf>
    <xf numFmtId="0" fontId="18" fillId="0" borderId="0" xfId="16" applyFont="1"/>
    <xf numFmtId="49" fontId="4" fillId="0" borderId="4" xfId="16" applyNumberFormat="1" applyFont="1" applyBorder="1" applyAlignment="1">
      <alignment horizontal="left" indent="2"/>
    </xf>
    <xf numFmtId="49" fontId="4" fillId="0" borderId="5" xfId="16" applyNumberFormat="1" applyFont="1" applyBorder="1" applyAlignment="1">
      <alignment horizontal="left" wrapText="1" indent="2"/>
    </xf>
    <xf numFmtId="49" fontId="10" fillId="2" borderId="5" xfId="16" applyNumberFormat="1" applyFont="1" applyFill="1" applyBorder="1" applyAlignment="1">
      <alignment horizontal="left" wrapText="1" indent="2"/>
    </xf>
    <xf numFmtId="3" fontId="10" fillId="2" borderId="6" xfId="16" applyNumberFormat="1" applyFont="1" applyFill="1" applyBorder="1"/>
    <xf numFmtId="3" fontId="11" fillId="2" borderId="6" xfId="16" applyNumberFormat="1" applyFont="1" applyFill="1" applyBorder="1"/>
    <xf numFmtId="49" fontId="8" fillId="0" borderId="5" xfId="16" applyNumberFormat="1" applyFont="1" applyBorder="1" applyAlignment="1">
      <alignment horizontal="left" wrapText="1" indent="4"/>
    </xf>
    <xf numFmtId="49" fontId="4" fillId="11" borderId="4" xfId="16" applyNumberFormat="1" applyFont="1" applyFill="1" applyBorder="1" applyAlignment="1">
      <alignment horizontal="left" indent="2"/>
    </xf>
    <xf numFmtId="0" fontId="8" fillId="0" borderId="5" xfId="16" applyFont="1" applyBorder="1" applyAlignment="1">
      <alignment horizontal="left" wrapText="1" indent="3"/>
    </xf>
    <xf numFmtId="0" fontId="8" fillId="9" borderId="5" xfId="16" applyFont="1" applyFill="1" applyBorder="1" applyAlignment="1">
      <alignment horizontal="left" wrapText="1" indent="3"/>
    </xf>
    <xf numFmtId="49" fontId="17" fillId="0" borderId="4" xfId="16" applyNumberFormat="1" applyFont="1" applyBorder="1" applyAlignment="1">
      <alignment horizontal="left" indent="2"/>
    </xf>
    <xf numFmtId="0" fontId="17" fillId="9" borderId="5" xfId="16" applyFont="1" applyFill="1" applyBorder="1" applyAlignment="1">
      <alignment horizontal="left" wrapText="1" indent="3"/>
    </xf>
    <xf numFmtId="0" fontId="4" fillId="9" borderId="5" xfId="16" applyFont="1" applyFill="1" applyBorder="1" applyAlignment="1">
      <alignment horizontal="left" wrapText="1" indent="3"/>
    </xf>
    <xf numFmtId="49" fontId="19" fillId="0" borderId="4" xfId="16" applyNumberFormat="1" applyFont="1" applyBorder="1" applyAlignment="1">
      <alignment horizontal="left" indent="3"/>
    </xf>
    <xf numFmtId="0" fontId="19" fillId="9" borderId="5" xfId="16" applyFont="1" applyFill="1" applyBorder="1" applyAlignment="1">
      <alignment horizontal="left" wrapText="1" indent="6"/>
    </xf>
    <xf numFmtId="3" fontId="4" fillId="9" borderId="6" xfId="16" applyNumberFormat="1" applyFont="1" applyFill="1" applyBorder="1"/>
    <xf numFmtId="0" fontId="4" fillId="13" borderId="5" xfId="16" applyFont="1" applyFill="1" applyBorder="1" applyAlignment="1">
      <alignment horizontal="left" wrapText="1" indent="3"/>
    </xf>
    <xf numFmtId="49" fontId="4" fillId="11" borderId="4" xfId="16" applyNumberFormat="1" applyFont="1" applyFill="1" applyBorder="1" applyAlignment="1">
      <alignment horizontal="left" indent="1"/>
    </xf>
    <xf numFmtId="0" fontId="14" fillId="9" borderId="0" xfId="16" applyFont="1" applyFill="1"/>
    <xf numFmtId="0" fontId="14" fillId="9" borderId="5" xfId="16" applyFont="1" applyFill="1" applyBorder="1" applyAlignment="1">
      <alignment horizontal="left" indent="2"/>
    </xf>
    <xf numFmtId="0" fontId="4" fillId="9" borderId="28" xfId="16" applyFont="1" applyFill="1" applyBorder="1" applyAlignment="1">
      <alignment horizontal="left" indent="3"/>
    </xf>
    <xf numFmtId="3" fontId="8" fillId="9" borderId="6" xfId="16" applyNumberFormat="1" applyFont="1" applyFill="1" applyBorder="1"/>
    <xf numFmtId="3" fontId="4" fillId="12" borderId="6" xfId="16" applyNumberFormat="1" applyFont="1" applyFill="1" applyBorder="1"/>
    <xf numFmtId="0" fontId="14" fillId="0" borderId="5" xfId="16" applyFont="1" applyBorder="1" applyAlignment="1">
      <alignment horizontal="left" indent="2"/>
    </xf>
    <xf numFmtId="0" fontId="4" fillId="0" borderId="28" xfId="16" applyFont="1" applyBorder="1" applyAlignment="1">
      <alignment horizontal="left" indent="3"/>
    </xf>
    <xf numFmtId="0" fontId="14" fillId="11" borderId="5" xfId="16" applyFont="1" applyFill="1" applyBorder="1" applyAlignment="1">
      <alignment horizontal="left" indent="2"/>
    </xf>
    <xf numFmtId="3" fontId="4" fillId="4" borderId="6" xfId="16" applyNumberFormat="1" applyFont="1" applyFill="1" applyBorder="1"/>
    <xf numFmtId="3" fontId="8" fillId="4" borderId="6" xfId="16" applyNumberFormat="1" applyFont="1" applyFill="1" applyBorder="1"/>
    <xf numFmtId="49" fontId="10" fillId="2" borderId="4" xfId="16" applyNumberFormat="1" applyFont="1" applyFill="1" applyBorder="1" applyAlignment="1">
      <alignment horizontal="left" indent="1"/>
    </xf>
    <xf numFmtId="0" fontId="4" fillId="4" borderId="0" xfId="16" applyFont="1" applyFill="1"/>
    <xf numFmtId="49" fontId="4" fillId="4" borderId="4" xfId="16" applyNumberFormat="1" applyFont="1" applyFill="1" applyBorder="1" applyAlignment="1">
      <alignment horizontal="left" indent="2"/>
    </xf>
    <xf numFmtId="49" fontId="4" fillId="4" borderId="5" xfId="16" applyNumberFormat="1" applyFont="1" applyFill="1" applyBorder="1" applyAlignment="1">
      <alignment horizontal="left" wrapText="1" indent="4"/>
    </xf>
    <xf numFmtId="0" fontId="21" fillId="0" borderId="0" xfId="16" applyFont="1"/>
    <xf numFmtId="49" fontId="10" fillId="0" borderId="4" xfId="16" applyNumberFormat="1" applyFont="1" applyBorder="1" applyAlignment="1">
      <alignment horizontal="left" indent="2"/>
    </xf>
    <xf numFmtId="49" fontId="10" fillId="0" borderId="5" xfId="16" applyNumberFormat="1" applyFont="1" applyBorder="1" applyAlignment="1">
      <alignment horizontal="left" wrapText="1" indent="4"/>
    </xf>
    <xf numFmtId="3" fontId="10" fillId="0" borderId="6" xfId="16" applyNumberFormat="1" applyFont="1" applyBorder="1"/>
    <xf numFmtId="0" fontId="22" fillId="0" borderId="0" xfId="16" applyFont="1"/>
    <xf numFmtId="49" fontId="4" fillId="0" borderId="4" xfId="16" applyNumberFormat="1" applyFont="1" applyBorder="1" applyAlignment="1">
      <alignment horizontal="left" indent="3"/>
    </xf>
    <xf numFmtId="49" fontId="23" fillId="2" borderId="4" xfId="16" applyNumberFormat="1" applyFont="1" applyFill="1" applyBorder="1" applyAlignment="1">
      <alignment horizontal="left" indent="1"/>
    </xf>
    <xf numFmtId="49" fontId="10" fillId="0" borderId="11" xfId="16" applyNumberFormat="1" applyFont="1" applyBorder="1"/>
    <xf numFmtId="49" fontId="10" fillId="0" borderId="12" xfId="16" applyNumberFormat="1" applyFont="1" applyBorder="1" applyAlignment="1">
      <alignment horizontal="right" wrapText="1"/>
    </xf>
    <xf numFmtId="3" fontId="10" fillId="0" borderId="29" xfId="16" applyNumberFormat="1" applyFont="1" applyBorder="1"/>
    <xf numFmtId="3" fontId="10" fillId="0" borderId="30" xfId="16" applyNumberFormat="1" applyFont="1" applyBorder="1"/>
    <xf numFmtId="49" fontId="10" fillId="3" borderId="31" xfId="16" applyNumberFormat="1" applyFont="1" applyFill="1" applyBorder="1" applyAlignment="1">
      <alignment horizontal="center"/>
    </xf>
    <xf numFmtId="49" fontId="10" fillId="3" borderId="32" xfId="16" applyNumberFormat="1" applyFont="1" applyFill="1" applyBorder="1" applyAlignment="1">
      <alignment wrapText="1"/>
    </xf>
    <xf numFmtId="3" fontId="10" fillId="3" borderId="33" xfId="16" applyNumberFormat="1" applyFont="1" applyFill="1" applyBorder="1"/>
    <xf numFmtId="0" fontId="9" fillId="0" borderId="0" xfId="17" applyFont="1"/>
    <xf numFmtId="0" fontId="1" fillId="0" borderId="0" xfId="16"/>
    <xf numFmtId="9" fontId="4" fillId="0" borderId="8" xfId="4" applyFont="1" applyBorder="1" applyAlignment="1">
      <alignment horizontal="left" wrapText="1"/>
    </xf>
    <xf numFmtId="9" fontId="4" fillId="0" borderId="9" xfId="4" applyFont="1" applyBorder="1" applyAlignment="1">
      <alignment horizontal="left" wrapText="1"/>
    </xf>
    <xf numFmtId="0" fontId="5" fillId="0" borderId="0" xfId="17" applyFont="1"/>
    <xf numFmtId="0" fontId="35" fillId="0" borderId="35" xfId="9" applyFont="1" applyBorder="1" applyAlignment="1">
      <alignment horizontal="center" vertical="center" wrapText="1"/>
    </xf>
    <xf numFmtId="0" fontId="35" fillId="0" borderId="12" xfId="9" applyFont="1" applyBorder="1" applyAlignment="1">
      <alignment horizontal="center" vertical="center" wrapText="1"/>
    </xf>
    <xf numFmtId="0" fontId="31" fillId="0" borderId="37" xfId="7" applyFont="1" applyBorder="1" applyAlignment="1">
      <alignment horizontal="left" vertical="center" wrapText="1"/>
    </xf>
    <xf numFmtId="0" fontId="31" fillId="0" borderId="24" xfId="7" applyFont="1" applyBorder="1" applyAlignment="1">
      <alignment horizontal="left" vertical="center" wrapText="1"/>
    </xf>
    <xf numFmtId="0" fontId="31" fillId="0" borderId="44" xfId="7" applyFont="1" applyBorder="1" applyAlignment="1">
      <alignment horizontal="center" vertical="center" wrapText="1"/>
    </xf>
    <xf numFmtId="0" fontId="31" fillId="0" borderId="24" xfId="7" applyFont="1" applyBorder="1" applyAlignment="1">
      <alignment horizontal="center" vertical="center" wrapText="1"/>
    </xf>
    <xf numFmtId="0" fontId="31" fillId="0" borderId="37" xfId="13" applyFont="1" applyBorder="1" applyAlignment="1">
      <alignment horizontal="center" vertical="center" wrapText="1"/>
    </xf>
    <xf numFmtId="0" fontId="31" fillId="0" borderId="24" xfId="13" applyFont="1" applyBorder="1" applyAlignment="1">
      <alignment horizontal="center" vertical="center" wrapText="1"/>
    </xf>
    <xf numFmtId="164" fontId="35" fillId="0" borderId="37" xfId="1" applyNumberFormat="1" applyFont="1" applyFill="1" applyBorder="1" applyAlignment="1">
      <alignment horizontal="center" vertical="center" wrapText="1"/>
    </xf>
    <xf numFmtId="164" fontId="35" fillId="0" borderId="24" xfId="1" applyNumberFormat="1" applyFont="1" applyFill="1" applyBorder="1" applyAlignment="1">
      <alignment horizontal="center" vertical="center" wrapText="1"/>
    </xf>
    <xf numFmtId="14" fontId="31" fillId="0" borderId="37" xfId="13" applyNumberFormat="1" applyFont="1" applyBorder="1" applyAlignment="1">
      <alignment horizontal="center" vertical="center" wrapText="1"/>
    </xf>
    <xf numFmtId="14" fontId="31" fillId="0" borderId="24" xfId="13" applyNumberFormat="1" applyFont="1" applyBorder="1" applyAlignment="1">
      <alignment horizontal="center" vertical="center" wrapText="1"/>
    </xf>
    <xf numFmtId="0" fontId="13" fillId="0" borderId="24" xfId="13" applyBorder="1" applyAlignment="1">
      <alignment horizontal="center" vertical="center" wrapText="1"/>
    </xf>
    <xf numFmtId="0" fontId="31" fillId="0" borderId="37" xfId="7" applyFont="1" applyBorder="1" applyAlignment="1">
      <alignment horizontal="center" vertical="center" wrapText="1"/>
    </xf>
    <xf numFmtId="0" fontId="31" fillId="0" borderId="50" xfId="7" applyFont="1" applyBorder="1" applyAlignment="1">
      <alignment horizontal="left" vertical="center" wrapText="1"/>
    </xf>
    <xf numFmtId="0" fontId="31" fillId="0" borderId="26" xfId="7" applyFont="1" applyBorder="1" applyAlignment="1">
      <alignment horizontal="left" vertical="center" wrapText="1"/>
    </xf>
    <xf numFmtId="0" fontId="31" fillId="0" borderId="40" xfId="7" applyFont="1" applyBorder="1" applyAlignment="1">
      <alignment horizontal="center" vertical="center" wrapText="1"/>
    </xf>
    <xf numFmtId="0" fontId="31" fillId="0" borderId="42" xfId="7" applyFont="1" applyBorder="1" applyAlignment="1">
      <alignment horizontal="center" vertical="center" wrapText="1"/>
    </xf>
    <xf numFmtId="0" fontId="31" fillId="0" borderId="37" xfId="13" applyFont="1" applyBorder="1" applyAlignment="1">
      <alignment horizontal="left" vertical="center" wrapText="1"/>
    </xf>
    <xf numFmtId="0" fontId="31" fillId="0" borderId="24" xfId="13" applyFont="1" applyBorder="1" applyAlignment="1">
      <alignment horizontal="left" vertical="center" wrapText="1"/>
    </xf>
    <xf numFmtId="14" fontId="31" fillId="0" borderId="27" xfId="13" applyNumberFormat="1" applyFont="1" applyBorder="1" applyAlignment="1">
      <alignment horizontal="center" vertical="center" wrapText="1"/>
    </xf>
    <xf numFmtId="0" fontId="4" fillId="0" borderId="14" xfId="13" applyFont="1" applyBorder="1" applyAlignment="1">
      <alignment horizontal="center" vertical="center" wrapText="1"/>
    </xf>
    <xf numFmtId="164" fontId="43" fillId="0" borderId="24" xfId="1" applyNumberFormat="1" applyFont="1" applyFill="1" applyBorder="1" applyAlignment="1">
      <alignment horizontal="center" vertical="center" wrapText="1"/>
    </xf>
    <xf numFmtId="0" fontId="15" fillId="0" borderId="24" xfId="13" applyFont="1" applyBorder="1" applyAlignment="1">
      <alignment horizontal="left" vertical="center" wrapText="1"/>
    </xf>
    <xf numFmtId="0" fontId="31" fillId="0" borderId="44" xfId="13" applyFont="1" applyBorder="1" applyAlignment="1">
      <alignment horizontal="center" vertical="center" wrapText="1"/>
    </xf>
    <xf numFmtId="0" fontId="15" fillId="0" borderId="24" xfId="13" applyFont="1" applyBorder="1" applyAlignment="1">
      <alignment horizontal="center" vertical="center" wrapText="1"/>
    </xf>
    <xf numFmtId="0" fontId="31" fillId="0" borderId="14" xfId="13" applyFont="1" applyBorder="1" applyAlignment="1">
      <alignment horizontal="center" vertical="center" wrapText="1"/>
    </xf>
    <xf numFmtId="0" fontId="15" fillId="0" borderId="24" xfId="7" applyFont="1" applyBorder="1" applyAlignment="1">
      <alignment horizontal="left" vertical="center" wrapText="1"/>
    </xf>
    <xf numFmtId="0" fontId="15" fillId="0" borderId="24" xfId="7" applyFont="1" applyBorder="1" applyAlignment="1">
      <alignment horizontal="center" vertical="center" wrapText="1"/>
    </xf>
    <xf numFmtId="164" fontId="26" fillId="0" borderId="24" xfId="1" applyNumberFormat="1" applyFont="1" applyFill="1" applyBorder="1" applyAlignment="1">
      <alignment horizontal="center" vertical="center" wrapText="1"/>
    </xf>
    <xf numFmtId="0" fontId="31" fillId="0" borderId="34" xfId="13" applyFont="1" applyBorder="1" applyAlignment="1">
      <alignment horizontal="center" vertical="center" wrapText="1"/>
    </xf>
    <xf numFmtId="14" fontId="31" fillId="0" borderId="49" xfId="13" applyNumberFormat="1" applyFont="1" applyBorder="1" applyAlignment="1">
      <alignment horizontal="center" vertical="center" wrapText="1"/>
    </xf>
    <xf numFmtId="0" fontId="31" fillId="0" borderId="44" xfId="13" applyFont="1" applyBorder="1" applyAlignment="1">
      <alignment horizontal="left" vertical="center" wrapText="1"/>
    </xf>
    <xf numFmtId="0" fontId="4" fillId="0" borderId="24" xfId="13" applyFont="1" applyBorder="1" applyAlignment="1">
      <alignment horizontal="left" vertical="center" wrapText="1"/>
    </xf>
    <xf numFmtId="0" fontId="13" fillId="0" borderId="24" xfId="13" applyBorder="1" applyAlignment="1">
      <alignment horizontal="left" vertical="center" wrapText="1"/>
    </xf>
    <xf numFmtId="14" fontId="31" fillId="0" borderId="34" xfId="13" applyNumberFormat="1" applyFont="1" applyBorder="1" applyAlignment="1">
      <alignment horizontal="center" vertical="center" wrapText="1"/>
    </xf>
  </cellXfs>
  <cellStyles count="18">
    <cellStyle name="Comma" xfId="1" builtinId="3"/>
    <cellStyle name="Comma 3 3" xfId="12" xr:uid="{FD4B67EC-F080-4AEB-91BE-A08BA6DD63E4}"/>
    <cellStyle name="Comma 4 2" xfId="11" xr:uid="{5748D5CA-CC01-4AB9-90B1-303C8C6F4BAD}"/>
    <cellStyle name="Hyperlink" xfId="6" builtinId="8"/>
    <cellStyle name="Komats 10" xfId="5" xr:uid="{4F4CE784-B475-4C01-9798-49ABF68E130C}"/>
    <cellStyle name="Normal" xfId="0" builtinId="0"/>
    <cellStyle name="Normal 2 2" xfId="7" xr:uid="{2E8D20DD-6DCD-464A-8D96-D410F2FB389F}"/>
    <cellStyle name="Normal 2 2 2 2" xfId="15" xr:uid="{61115218-D75F-4CEA-9285-FD16F9F49ED8}"/>
    <cellStyle name="Normal 4" xfId="9" xr:uid="{7B036FF8-9141-4F2B-A9FA-ECB933C7FF4B}"/>
    <cellStyle name="Parasts 2" xfId="13" xr:uid="{D2904E80-0FE7-451B-A437-EE113131B42A}"/>
    <cellStyle name="Parasts 2 2 2 2" xfId="10" xr:uid="{AC3C3E2E-DBDF-43AD-8680-B6B0E5EF549D}"/>
    <cellStyle name="Parasts 2 2 5" xfId="2" xr:uid="{0567F48E-0272-4970-8A4D-69B82849CE5B}"/>
    <cellStyle name="Parasts 2 2 5 2" xfId="3" xr:uid="{6ECF889A-5685-47AD-899B-A033588B2DE5}"/>
    <cellStyle name="Parasts 2 2 5 2 2" xfId="17" xr:uid="{11284A6C-4FB1-412A-81C0-D3A7A5462873}"/>
    <cellStyle name="Parasts 2 2 5 3" xfId="16" xr:uid="{65B2757C-CFB2-4F57-A96C-0234359508B7}"/>
    <cellStyle name="Percent 3 2" xfId="14" xr:uid="{9A8DD8F0-272A-46D9-85A8-71465F898561}"/>
    <cellStyle name="Percent 4" xfId="8" xr:uid="{9E450EDF-B58F-444C-92AC-AD5083149EE7}"/>
    <cellStyle name="Procenti 2 3" xfId="4" xr:uid="{EBA6047F-6776-43DA-A4C1-07DE649282F6}"/>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Users\sarmite\Desktop\2010\2014\22.12.2014\Budzeta_projekts%202014_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ARNIS\formas\dok_registrs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RNIS\formas\dok_registrs2011.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armite.Muze\Nextcloud\Finansu%20nodala%20kopmape\08_2023\1_Budzets_2023_actual_08_2023.xlsx" TargetMode="External"/><Relationship Id="rId1" Type="http://schemas.openxmlformats.org/officeDocument/2006/relationships/externalLinkPath" Target="https://dvs-adazi.namejs.lv/webdav/c1fbcf74-2201-4c3e-afb0-425f71cd3f8f/1_Budzets_2023_actual_08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row r="36">
          <cell r="C36">
            <v>5078304.9348664423</v>
          </cell>
        </row>
      </sheetData>
      <sheetData sheetId="8">
        <row r="14">
          <cell r="Q14">
            <v>430025</v>
          </cell>
        </row>
      </sheetData>
      <sheetData sheetId="9"/>
      <sheetData sheetId="10">
        <row r="2130">
          <cell r="I2130">
            <v>90500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v>0</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v>0</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v>0</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zvērināta advokāte 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ibai"/>
      <sheetName val="Jautajumi"/>
      <sheetName val="Budžeta faila apraksts"/>
      <sheetName val="check"/>
      <sheetName val="Grafiki_2023"/>
      <sheetName val="Skaidrojumi"/>
      <sheetName val="Kopsavilkums"/>
      <sheetName val="PIVOT_2023"/>
      <sheetName val="Investīcijas_2023"/>
      <sheetName val="Pivot_invest_2023"/>
      <sheetName val="PFIF prognoze"/>
      <sheetName val="2022-2027"/>
      <sheetName val="2023.gada budzeta plans_apvieno"/>
      <sheetName val="Grafiki_budžeta_izpilde"/>
      <sheetName val="Grafiki"/>
      <sheetName val="INPUT"/>
      <sheetName val="Filtri"/>
      <sheetName val="31122022_final"/>
      <sheetName val="Pivot_Saraksts"/>
      <sheetName val="0841"/>
      <sheetName val="0841.1_Gaujas svetki"/>
      <sheetName val="0841.4_Dziesmu svētki"/>
      <sheetName val="0812_Sport"/>
      <sheetName val="0812 _Trenažieri"/>
      <sheetName val="0630_dekori"/>
      <sheetName val="Priekšlikumi ārtelpas projekt"/>
      <sheetName val="EKK"/>
      <sheetName val="Ieņēmumi"/>
      <sheetName val="KA_31122022"/>
      <sheetName val="Algas_2023"/>
      <sheetName val="4.piel_Saistibas"/>
      <sheetName val="4.piel_Saistibas (jul)"/>
      <sheetName val="4.piel_Saistibas (%likmes)"/>
      <sheetName val="Saistibas_VK_prognoze"/>
      <sheetName val="5.piel.EKK"/>
      <sheetName val="Deputāti"/>
      <sheetName val="Velesanu_komis_loc"/>
      <sheetName val="Adm_komisija"/>
      <sheetName val="Iepirk_komisija"/>
      <sheetName val="Komisijas"/>
      <sheetName val="1_Budzets_2023_actual_08_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460F9-C39F-4855-8B95-7D090F6F1929}">
  <sheetPr>
    <tabColor rgb="FF92D050"/>
    <pageSetUpPr fitToPage="1"/>
  </sheetPr>
  <dimension ref="A1:O279"/>
  <sheetViews>
    <sheetView tabSelected="1" zoomScaleNormal="100" zoomScaleSheetLayoutView="80" workbookViewId="0">
      <pane xSplit="2" ySplit="5" topLeftCell="C6" activePane="bottomRight" state="frozen"/>
      <selection activeCell="C1" sqref="C1"/>
      <selection pane="topRight" activeCell="E1" sqref="E1"/>
      <selection pane="bottomLeft" activeCell="C6" sqref="C6"/>
      <selection pane="bottomRight" activeCell="O247" sqref="O247"/>
    </sheetView>
  </sheetViews>
  <sheetFormatPr defaultRowHeight="13.8" outlineLevelRow="1" outlineLevelCol="1" x14ac:dyDescent="0.25"/>
  <cols>
    <col min="1" max="1" width="15" style="311" customWidth="1"/>
    <col min="2" max="2" width="48.625" style="244" customWidth="1"/>
    <col min="3" max="3" width="14.875" style="3" customWidth="1"/>
    <col min="4" max="4" width="14.875" style="3" customWidth="1" collapsed="1"/>
    <col min="5" max="5" width="14.875" style="242" hidden="1" customWidth="1" outlineLevel="1"/>
    <col min="6" max="6" width="54" style="7" hidden="1" customWidth="1" outlineLevel="1" collapsed="1"/>
    <col min="7" max="7" width="14.875" style="242" customWidth="1" collapsed="1"/>
    <col min="8" max="8" width="14.875" style="242" hidden="1" customWidth="1" outlineLevel="1"/>
    <col min="9" max="9" width="56.5" style="7" hidden="1" customWidth="1" outlineLevel="1" collapsed="1"/>
    <col min="10" max="10" width="14.875" style="242" customWidth="1" collapsed="1"/>
    <col min="11" max="11" width="14.875" style="242" hidden="1" customWidth="1" outlineLevel="1"/>
    <col min="12" max="12" width="56.5" style="7" hidden="1" customWidth="1" outlineLevel="1" collapsed="1"/>
    <col min="13" max="13" width="14.875" style="242" customWidth="1" collapsed="1"/>
    <col min="14" max="14" width="14.875" style="242" customWidth="1"/>
    <col min="15" max="15" width="56.5" style="7" customWidth="1" collapsed="1"/>
    <col min="16" max="175" width="9" style="242"/>
    <col min="176" max="177" width="0" style="242" hidden="1" customWidth="1"/>
    <col min="178" max="178" width="13.75" style="242" customWidth="1"/>
    <col min="179" max="179" width="52.875" style="242" customWidth="1"/>
    <col min="180" max="219" width="0" style="242" hidden="1" customWidth="1"/>
    <col min="220" max="221" width="14.875" style="242" customWidth="1"/>
    <col min="222" max="223" width="0" style="242" hidden="1" customWidth="1"/>
    <col min="224" max="224" width="14.875" style="242" customWidth="1"/>
    <col min="225" max="226" width="0" style="242" hidden="1" customWidth="1"/>
    <col min="227" max="227" width="14.875" style="242" customWidth="1"/>
    <col min="228" max="229" width="0" style="242" hidden="1" customWidth="1"/>
    <col min="230" max="230" width="14.875" style="242" customWidth="1"/>
    <col min="231" max="232" width="0" style="242" hidden="1" customWidth="1"/>
    <col min="233" max="233" width="14.875" style="242" customWidth="1"/>
    <col min="234" max="235" width="0" style="242" hidden="1" customWidth="1"/>
    <col min="236" max="237" width="14.875" style="242" customWidth="1"/>
    <col min="238" max="238" width="44.375" style="242" customWidth="1"/>
    <col min="239" max="243" width="14.875" style="242" customWidth="1"/>
    <col min="244" max="244" width="63.875" style="242" customWidth="1"/>
    <col min="245" max="245" width="13.25" style="242" customWidth="1"/>
    <col min="246" max="431" width="9" style="242"/>
    <col min="432" max="433" width="0" style="242" hidden="1" customWidth="1"/>
    <col min="434" max="434" width="13.75" style="242" customWidth="1"/>
    <col min="435" max="435" width="52.875" style="242" customWidth="1"/>
    <col min="436" max="475" width="0" style="242" hidden="1" customWidth="1"/>
    <col min="476" max="477" width="14.875" style="242" customWidth="1"/>
    <col min="478" max="479" width="0" style="242" hidden="1" customWidth="1"/>
    <col min="480" max="480" width="14.875" style="242" customWidth="1"/>
    <col min="481" max="482" width="0" style="242" hidden="1" customWidth="1"/>
    <col min="483" max="483" width="14.875" style="242" customWidth="1"/>
    <col min="484" max="485" width="0" style="242" hidden="1" customWidth="1"/>
    <col min="486" max="486" width="14.875" style="242" customWidth="1"/>
    <col min="487" max="488" width="0" style="242" hidden="1" customWidth="1"/>
    <col min="489" max="489" width="14.875" style="242" customWidth="1"/>
    <col min="490" max="491" width="0" style="242" hidden="1" customWidth="1"/>
    <col min="492" max="493" width="14.875" style="242" customWidth="1"/>
    <col min="494" max="494" width="44.375" style="242" customWidth="1"/>
    <col min="495" max="499" width="14.875" style="242" customWidth="1"/>
    <col min="500" max="500" width="63.875" style="242" customWidth="1"/>
    <col min="501" max="501" width="13.25" style="242" customWidth="1"/>
    <col min="502" max="687" width="9" style="242"/>
    <col min="688" max="689" width="0" style="242" hidden="1" customWidth="1"/>
    <col min="690" max="690" width="13.75" style="242" customWidth="1"/>
    <col min="691" max="691" width="52.875" style="242" customWidth="1"/>
    <col min="692" max="731" width="0" style="242" hidden="1" customWidth="1"/>
    <col min="732" max="733" width="14.875" style="242" customWidth="1"/>
    <col min="734" max="735" width="0" style="242" hidden="1" customWidth="1"/>
    <col min="736" max="736" width="14.875" style="242" customWidth="1"/>
    <col min="737" max="738" width="0" style="242" hidden="1" customWidth="1"/>
    <col min="739" max="739" width="14.875" style="242" customWidth="1"/>
    <col min="740" max="741" width="0" style="242" hidden="1" customWidth="1"/>
    <col min="742" max="742" width="14.875" style="242" customWidth="1"/>
    <col min="743" max="744" width="0" style="242" hidden="1" customWidth="1"/>
    <col min="745" max="745" width="14.875" style="242" customWidth="1"/>
    <col min="746" max="747" width="0" style="242" hidden="1" customWidth="1"/>
    <col min="748" max="749" width="14.875" style="242" customWidth="1"/>
    <col min="750" max="750" width="44.375" style="242" customWidth="1"/>
    <col min="751" max="755" width="14.875" style="242" customWidth="1"/>
    <col min="756" max="756" width="63.875" style="242" customWidth="1"/>
    <col min="757" max="757" width="13.25" style="242" customWidth="1"/>
    <col min="758" max="943" width="9" style="242"/>
    <col min="944" max="945" width="0" style="242" hidden="1" customWidth="1"/>
    <col min="946" max="946" width="13.75" style="242" customWidth="1"/>
    <col min="947" max="947" width="52.875" style="242" customWidth="1"/>
    <col min="948" max="987" width="0" style="242" hidden="1" customWidth="1"/>
    <col min="988" max="989" width="14.875" style="242" customWidth="1"/>
    <col min="990" max="991" width="0" style="242" hidden="1" customWidth="1"/>
    <col min="992" max="992" width="14.875" style="242" customWidth="1"/>
    <col min="993" max="994" width="0" style="242" hidden="1" customWidth="1"/>
    <col min="995" max="995" width="14.875" style="242" customWidth="1"/>
    <col min="996" max="997" width="0" style="242" hidden="1" customWidth="1"/>
    <col min="998" max="998" width="14.875" style="242" customWidth="1"/>
    <col min="999" max="1000" width="0" style="242" hidden="1" customWidth="1"/>
    <col min="1001" max="1001" width="14.875" style="242" customWidth="1"/>
    <col min="1002" max="1003" width="0" style="242" hidden="1" customWidth="1"/>
    <col min="1004" max="1005" width="14.875" style="242" customWidth="1"/>
    <col min="1006" max="1006" width="44.375" style="242" customWidth="1"/>
    <col min="1007" max="1011" width="14.875" style="242" customWidth="1"/>
    <col min="1012" max="1012" width="63.875" style="242" customWidth="1"/>
    <col min="1013" max="1013" width="13.25" style="242" customWidth="1"/>
    <col min="1014" max="1199" width="9" style="242"/>
    <col min="1200" max="1201" width="0" style="242" hidden="1" customWidth="1"/>
    <col min="1202" max="1202" width="13.75" style="242" customWidth="1"/>
    <col min="1203" max="1203" width="52.875" style="242" customWidth="1"/>
    <col min="1204" max="1243" width="0" style="242" hidden="1" customWidth="1"/>
    <col min="1244" max="1245" width="14.875" style="242" customWidth="1"/>
    <col min="1246" max="1247" width="0" style="242" hidden="1" customWidth="1"/>
    <col min="1248" max="1248" width="14.875" style="242" customWidth="1"/>
    <col min="1249" max="1250" width="0" style="242" hidden="1" customWidth="1"/>
    <col min="1251" max="1251" width="14.875" style="242" customWidth="1"/>
    <col min="1252" max="1253" width="0" style="242" hidden="1" customWidth="1"/>
    <col min="1254" max="1254" width="14.875" style="242" customWidth="1"/>
    <col min="1255" max="1256" width="0" style="242" hidden="1" customWidth="1"/>
    <col min="1257" max="1257" width="14.875" style="242" customWidth="1"/>
    <col min="1258" max="1259" width="0" style="242" hidden="1" customWidth="1"/>
    <col min="1260" max="1261" width="14.875" style="242" customWidth="1"/>
    <col min="1262" max="1262" width="44.375" style="242" customWidth="1"/>
    <col min="1263" max="1267" width="14.875" style="242" customWidth="1"/>
    <col min="1268" max="1268" width="63.875" style="242" customWidth="1"/>
    <col min="1269" max="1269" width="13.25" style="242" customWidth="1"/>
    <col min="1270" max="1455" width="9" style="242"/>
    <col min="1456" max="1457" width="0" style="242" hidden="1" customWidth="1"/>
    <col min="1458" max="1458" width="13.75" style="242" customWidth="1"/>
    <col min="1459" max="1459" width="52.875" style="242" customWidth="1"/>
    <col min="1460" max="1499" width="0" style="242" hidden="1" customWidth="1"/>
    <col min="1500" max="1501" width="14.875" style="242" customWidth="1"/>
    <col min="1502" max="1503" width="0" style="242" hidden="1" customWidth="1"/>
    <col min="1504" max="1504" width="14.875" style="242" customWidth="1"/>
    <col min="1505" max="1506" width="0" style="242" hidden="1" customWidth="1"/>
    <col min="1507" max="1507" width="14.875" style="242" customWidth="1"/>
    <col min="1508" max="1509" width="0" style="242" hidden="1" customWidth="1"/>
    <col min="1510" max="1510" width="14.875" style="242" customWidth="1"/>
    <col min="1511" max="1512" width="0" style="242" hidden="1" customWidth="1"/>
    <col min="1513" max="1513" width="14.875" style="242" customWidth="1"/>
    <col min="1514" max="1515" width="0" style="242" hidden="1" customWidth="1"/>
    <col min="1516" max="1517" width="14.875" style="242" customWidth="1"/>
    <col min="1518" max="1518" width="44.375" style="242" customWidth="1"/>
    <col min="1519" max="1523" width="14.875" style="242" customWidth="1"/>
    <col min="1524" max="1524" width="63.875" style="242" customWidth="1"/>
    <col min="1525" max="1525" width="13.25" style="242" customWidth="1"/>
    <col min="1526" max="1711" width="9" style="242"/>
    <col min="1712" max="1713" width="0" style="242" hidden="1" customWidth="1"/>
    <col min="1714" max="1714" width="13.75" style="242" customWidth="1"/>
    <col min="1715" max="1715" width="52.875" style="242" customWidth="1"/>
    <col min="1716" max="1755" width="0" style="242" hidden="1" customWidth="1"/>
    <col min="1756" max="1757" width="14.875" style="242" customWidth="1"/>
    <col min="1758" max="1759" width="0" style="242" hidden="1" customWidth="1"/>
    <col min="1760" max="1760" width="14.875" style="242" customWidth="1"/>
    <col min="1761" max="1762" width="0" style="242" hidden="1" customWidth="1"/>
    <col min="1763" max="1763" width="14.875" style="242" customWidth="1"/>
    <col min="1764" max="1765" width="0" style="242" hidden="1" customWidth="1"/>
    <col min="1766" max="1766" width="14.875" style="242" customWidth="1"/>
    <col min="1767" max="1768" width="0" style="242" hidden="1" customWidth="1"/>
    <col min="1769" max="1769" width="14.875" style="242" customWidth="1"/>
    <col min="1770" max="1771" width="0" style="242" hidden="1" customWidth="1"/>
    <col min="1772" max="1773" width="14.875" style="242" customWidth="1"/>
    <col min="1774" max="1774" width="44.375" style="242" customWidth="1"/>
    <col min="1775" max="1779" width="14.875" style="242" customWidth="1"/>
    <col min="1780" max="1780" width="63.875" style="242" customWidth="1"/>
    <col min="1781" max="1781" width="13.25" style="242" customWidth="1"/>
    <col min="1782" max="1967" width="9" style="242"/>
    <col min="1968" max="1969" width="0" style="242" hidden="1" customWidth="1"/>
    <col min="1970" max="1970" width="13.75" style="242" customWidth="1"/>
    <col min="1971" max="1971" width="52.875" style="242" customWidth="1"/>
    <col min="1972" max="2011" width="0" style="242" hidden="1" customWidth="1"/>
    <col min="2012" max="2013" width="14.875" style="242" customWidth="1"/>
    <col min="2014" max="2015" width="0" style="242" hidden="1" customWidth="1"/>
    <col min="2016" max="2016" width="14.875" style="242" customWidth="1"/>
    <col min="2017" max="2018" width="0" style="242" hidden="1" customWidth="1"/>
    <col min="2019" max="2019" width="14.875" style="242" customWidth="1"/>
    <col min="2020" max="2021" width="0" style="242" hidden="1" customWidth="1"/>
    <col min="2022" max="2022" width="14.875" style="242" customWidth="1"/>
    <col min="2023" max="2024" width="0" style="242" hidden="1" customWidth="1"/>
    <col min="2025" max="2025" width="14.875" style="242" customWidth="1"/>
    <col min="2026" max="2027" width="0" style="242" hidden="1" customWidth="1"/>
    <col min="2028" max="2029" width="14.875" style="242" customWidth="1"/>
    <col min="2030" max="2030" width="44.375" style="242" customWidth="1"/>
    <col min="2031" max="2035" width="14.875" style="242" customWidth="1"/>
    <col min="2036" max="2036" width="63.875" style="242" customWidth="1"/>
    <col min="2037" max="2037" width="13.25" style="242" customWidth="1"/>
    <col min="2038" max="2223" width="9" style="242"/>
    <col min="2224" max="2225" width="0" style="242" hidden="1" customWidth="1"/>
    <col min="2226" max="2226" width="13.75" style="242" customWidth="1"/>
    <col min="2227" max="2227" width="52.875" style="242" customWidth="1"/>
    <col min="2228" max="2267" width="0" style="242" hidden="1" customWidth="1"/>
    <col min="2268" max="2269" width="14.875" style="242" customWidth="1"/>
    <col min="2270" max="2271" width="0" style="242" hidden="1" customWidth="1"/>
    <col min="2272" max="2272" width="14.875" style="242" customWidth="1"/>
    <col min="2273" max="2274" width="0" style="242" hidden="1" customWidth="1"/>
    <col min="2275" max="2275" width="14.875" style="242" customWidth="1"/>
    <col min="2276" max="2277" width="0" style="242" hidden="1" customWidth="1"/>
    <col min="2278" max="2278" width="14.875" style="242" customWidth="1"/>
    <col min="2279" max="2280" width="0" style="242" hidden="1" customWidth="1"/>
    <col min="2281" max="2281" width="14.875" style="242" customWidth="1"/>
    <col min="2282" max="2283" width="0" style="242" hidden="1" customWidth="1"/>
    <col min="2284" max="2285" width="14.875" style="242" customWidth="1"/>
    <col min="2286" max="2286" width="44.375" style="242" customWidth="1"/>
    <col min="2287" max="2291" width="14.875" style="242" customWidth="1"/>
    <col min="2292" max="2292" width="63.875" style="242" customWidth="1"/>
    <col min="2293" max="2293" width="13.25" style="242" customWidth="1"/>
    <col min="2294" max="2479" width="9" style="242"/>
    <col min="2480" max="2481" width="0" style="242" hidden="1" customWidth="1"/>
    <col min="2482" max="2482" width="13.75" style="242" customWidth="1"/>
    <col min="2483" max="2483" width="52.875" style="242" customWidth="1"/>
    <col min="2484" max="2523" width="0" style="242" hidden="1" customWidth="1"/>
    <col min="2524" max="2525" width="14.875" style="242" customWidth="1"/>
    <col min="2526" max="2527" width="0" style="242" hidden="1" customWidth="1"/>
    <col min="2528" max="2528" width="14.875" style="242" customWidth="1"/>
    <col min="2529" max="2530" width="0" style="242" hidden="1" customWidth="1"/>
    <col min="2531" max="2531" width="14.875" style="242" customWidth="1"/>
    <col min="2532" max="2533" width="0" style="242" hidden="1" customWidth="1"/>
    <col min="2534" max="2534" width="14.875" style="242" customWidth="1"/>
    <col min="2535" max="2536" width="0" style="242" hidden="1" customWidth="1"/>
    <col min="2537" max="2537" width="14.875" style="242" customWidth="1"/>
    <col min="2538" max="2539" width="0" style="242" hidden="1" customWidth="1"/>
    <col min="2540" max="2541" width="14.875" style="242" customWidth="1"/>
    <col min="2542" max="2542" width="44.375" style="242" customWidth="1"/>
    <col min="2543" max="2547" width="14.875" style="242" customWidth="1"/>
    <col min="2548" max="2548" width="63.875" style="242" customWidth="1"/>
    <col min="2549" max="2549" width="13.25" style="242" customWidth="1"/>
    <col min="2550" max="2735" width="9" style="242"/>
    <col min="2736" max="2737" width="0" style="242" hidden="1" customWidth="1"/>
    <col min="2738" max="2738" width="13.75" style="242" customWidth="1"/>
    <col min="2739" max="2739" width="52.875" style="242" customWidth="1"/>
    <col min="2740" max="2779" width="0" style="242" hidden="1" customWidth="1"/>
    <col min="2780" max="2781" width="14.875" style="242" customWidth="1"/>
    <col min="2782" max="2783" width="0" style="242" hidden="1" customWidth="1"/>
    <col min="2784" max="2784" width="14.875" style="242" customWidth="1"/>
    <col min="2785" max="2786" width="0" style="242" hidden="1" customWidth="1"/>
    <col min="2787" max="2787" width="14.875" style="242" customWidth="1"/>
    <col min="2788" max="2789" width="0" style="242" hidden="1" customWidth="1"/>
    <col min="2790" max="2790" width="14.875" style="242" customWidth="1"/>
    <col min="2791" max="2792" width="0" style="242" hidden="1" customWidth="1"/>
    <col min="2793" max="2793" width="14.875" style="242" customWidth="1"/>
    <col min="2794" max="2795" width="0" style="242" hidden="1" customWidth="1"/>
    <col min="2796" max="2797" width="14.875" style="242" customWidth="1"/>
    <col min="2798" max="2798" width="44.375" style="242" customWidth="1"/>
    <col min="2799" max="2803" width="14.875" style="242" customWidth="1"/>
    <col min="2804" max="2804" width="63.875" style="242" customWidth="1"/>
    <col min="2805" max="2805" width="13.25" style="242" customWidth="1"/>
    <col min="2806" max="2991" width="9" style="242"/>
    <col min="2992" max="2993" width="0" style="242" hidden="1" customWidth="1"/>
    <col min="2994" max="2994" width="13.75" style="242" customWidth="1"/>
    <col min="2995" max="2995" width="52.875" style="242" customWidth="1"/>
    <col min="2996" max="3035" width="0" style="242" hidden="1" customWidth="1"/>
    <col min="3036" max="3037" width="14.875" style="242" customWidth="1"/>
    <col min="3038" max="3039" width="0" style="242" hidden="1" customWidth="1"/>
    <col min="3040" max="3040" width="14.875" style="242" customWidth="1"/>
    <col min="3041" max="3042" width="0" style="242" hidden="1" customWidth="1"/>
    <col min="3043" max="3043" width="14.875" style="242" customWidth="1"/>
    <col min="3044" max="3045" width="0" style="242" hidden="1" customWidth="1"/>
    <col min="3046" max="3046" width="14.875" style="242" customWidth="1"/>
    <col min="3047" max="3048" width="0" style="242" hidden="1" customWidth="1"/>
    <col min="3049" max="3049" width="14.875" style="242" customWidth="1"/>
    <col min="3050" max="3051" width="0" style="242" hidden="1" customWidth="1"/>
    <col min="3052" max="3053" width="14.875" style="242" customWidth="1"/>
    <col min="3054" max="3054" width="44.375" style="242" customWidth="1"/>
    <col min="3055" max="3059" width="14.875" style="242" customWidth="1"/>
    <col min="3060" max="3060" width="63.875" style="242" customWidth="1"/>
    <col min="3061" max="3061" width="13.25" style="242" customWidth="1"/>
    <col min="3062" max="3247" width="9" style="242"/>
    <col min="3248" max="3249" width="0" style="242" hidden="1" customWidth="1"/>
    <col min="3250" max="3250" width="13.75" style="242" customWidth="1"/>
    <col min="3251" max="3251" width="52.875" style="242" customWidth="1"/>
    <col min="3252" max="3291" width="0" style="242" hidden="1" customWidth="1"/>
    <col min="3292" max="3293" width="14.875" style="242" customWidth="1"/>
    <col min="3294" max="3295" width="0" style="242" hidden="1" customWidth="1"/>
    <col min="3296" max="3296" width="14.875" style="242" customWidth="1"/>
    <col min="3297" max="3298" width="0" style="242" hidden="1" customWidth="1"/>
    <col min="3299" max="3299" width="14.875" style="242" customWidth="1"/>
    <col min="3300" max="3301" width="0" style="242" hidden="1" customWidth="1"/>
    <col min="3302" max="3302" width="14.875" style="242" customWidth="1"/>
    <col min="3303" max="3304" width="0" style="242" hidden="1" customWidth="1"/>
    <col min="3305" max="3305" width="14.875" style="242" customWidth="1"/>
    <col min="3306" max="3307" width="0" style="242" hidden="1" customWidth="1"/>
    <col min="3308" max="3309" width="14.875" style="242" customWidth="1"/>
    <col min="3310" max="3310" width="44.375" style="242" customWidth="1"/>
    <col min="3311" max="3315" width="14.875" style="242" customWidth="1"/>
    <col min="3316" max="3316" width="63.875" style="242" customWidth="1"/>
    <col min="3317" max="3317" width="13.25" style="242" customWidth="1"/>
    <col min="3318" max="3503" width="9" style="242"/>
    <col min="3504" max="3505" width="0" style="242" hidden="1" customWidth="1"/>
    <col min="3506" max="3506" width="13.75" style="242" customWidth="1"/>
    <col min="3507" max="3507" width="52.875" style="242" customWidth="1"/>
    <col min="3508" max="3547" width="0" style="242" hidden="1" customWidth="1"/>
    <col min="3548" max="3549" width="14.875" style="242" customWidth="1"/>
    <col min="3550" max="3551" width="0" style="242" hidden="1" customWidth="1"/>
    <col min="3552" max="3552" width="14.875" style="242" customWidth="1"/>
    <col min="3553" max="3554" width="0" style="242" hidden="1" customWidth="1"/>
    <col min="3555" max="3555" width="14.875" style="242" customWidth="1"/>
    <col min="3556" max="3557" width="0" style="242" hidden="1" customWidth="1"/>
    <col min="3558" max="3558" width="14.875" style="242" customWidth="1"/>
    <col min="3559" max="3560" width="0" style="242" hidden="1" customWidth="1"/>
    <col min="3561" max="3561" width="14.875" style="242" customWidth="1"/>
    <col min="3562" max="3563" width="0" style="242" hidden="1" customWidth="1"/>
    <col min="3564" max="3565" width="14.875" style="242" customWidth="1"/>
    <col min="3566" max="3566" width="44.375" style="242" customWidth="1"/>
    <col min="3567" max="3571" width="14.875" style="242" customWidth="1"/>
    <col min="3572" max="3572" width="63.875" style="242" customWidth="1"/>
    <col min="3573" max="3573" width="13.25" style="242" customWidth="1"/>
    <col min="3574" max="3759" width="9" style="242"/>
    <col min="3760" max="3761" width="0" style="242" hidden="1" customWidth="1"/>
    <col min="3762" max="3762" width="13.75" style="242" customWidth="1"/>
    <col min="3763" max="3763" width="52.875" style="242" customWidth="1"/>
    <col min="3764" max="3803" width="0" style="242" hidden="1" customWidth="1"/>
    <col min="3804" max="3805" width="14.875" style="242" customWidth="1"/>
    <col min="3806" max="3807" width="0" style="242" hidden="1" customWidth="1"/>
    <col min="3808" max="3808" width="14.875" style="242" customWidth="1"/>
    <col min="3809" max="3810" width="0" style="242" hidden="1" customWidth="1"/>
    <col min="3811" max="3811" width="14.875" style="242" customWidth="1"/>
    <col min="3812" max="3813" width="0" style="242" hidden="1" customWidth="1"/>
    <col min="3814" max="3814" width="14.875" style="242" customWidth="1"/>
    <col min="3815" max="3816" width="0" style="242" hidden="1" customWidth="1"/>
    <col min="3817" max="3817" width="14.875" style="242" customWidth="1"/>
    <col min="3818" max="3819" width="0" style="242" hidden="1" customWidth="1"/>
    <col min="3820" max="3821" width="14.875" style="242" customWidth="1"/>
    <col min="3822" max="3822" width="44.375" style="242" customWidth="1"/>
    <col min="3823" max="3827" width="14.875" style="242" customWidth="1"/>
    <col min="3828" max="3828" width="63.875" style="242" customWidth="1"/>
    <col min="3829" max="3829" width="13.25" style="242" customWidth="1"/>
    <col min="3830" max="4015" width="9" style="242"/>
    <col min="4016" max="4017" width="0" style="242" hidden="1" customWidth="1"/>
    <col min="4018" max="4018" width="13.75" style="242" customWidth="1"/>
    <col min="4019" max="4019" width="52.875" style="242" customWidth="1"/>
    <col min="4020" max="4059" width="0" style="242" hidden="1" customWidth="1"/>
    <col min="4060" max="4061" width="14.875" style="242" customWidth="1"/>
    <col min="4062" max="4063" width="0" style="242" hidden="1" customWidth="1"/>
    <col min="4064" max="4064" width="14.875" style="242" customWidth="1"/>
    <col min="4065" max="4066" width="0" style="242" hidden="1" customWidth="1"/>
    <col min="4067" max="4067" width="14.875" style="242" customWidth="1"/>
    <col min="4068" max="4069" width="0" style="242" hidden="1" customWidth="1"/>
    <col min="4070" max="4070" width="14.875" style="242" customWidth="1"/>
    <col min="4071" max="4072" width="0" style="242" hidden="1" customWidth="1"/>
    <col min="4073" max="4073" width="14.875" style="242" customWidth="1"/>
    <col min="4074" max="4075" width="0" style="242" hidden="1" customWidth="1"/>
    <col min="4076" max="4077" width="14.875" style="242" customWidth="1"/>
    <col min="4078" max="4078" width="44.375" style="242" customWidth="1"/>
    <col min="4079" max="4083" width="14.875" style="242" customWidth="1"/>
    <col min="4084" max="4084" width="63.875" style="242" customWidth="1"/>
    <col min="4085" max="4085" width="13.25" style="242" customWidth="1"/>
    <col min="4086" max="4271" width="9" style="242"/>
    <col min="4272" max="4273" width="0" style="242" hidden="1" customWidth="1"/>
    <col min="4274" max="4274" width="13.75" style="242" customWidth="1"/>
    <col min="4275" max="4275" width="52.875" style="242" customWidth="1"/>
    <col min="4276" max="4315" width="0" style="242" hidden="1" customWidth="1"/>
    <col min="4316" max="4317" width="14.875" style="242" customWidth="1"/>
    <col min="4318" max="4319" width="0" style="242" hidden="1" customWidth="1"/>
    <col min="4320" max="4320" width="14.875" style="242" customWidth="1"/>
    <col min="4321" max="4322" width="0" style="242" hidden="1" customWidth="1"/>
    <col min="4323" max="4323" width="14.875" style="242" customWidth="1"/>
    <col min="4324" max="4325" width="0" style="242" hidden="1" customWidth="1"/>
    <col min="4326" max="4326" width="14.875" style="242" customWidth="1"/>
    <col min="4327" max="4328" width="0" style="242" hidden="1" customWidth="1"/>
    <col min="4329" max="4329" width="14.875" style="242" customWidth="1"/>
    <col min="4330" max="4331" width="0" style="242" hidden="1" customWidth="1"/>
    <col min="4332" max="4333" width="14.875" style="242" customWidth="1"/>
    <col min="4334" max="4334" width="44.375" style="242" customWidth="1"/>
    <col min="4335" max="4339" width="14.875" style="242" customWidth="1"/>
    <col min="4340" max="4340" width="63.875" style="242" customWidth="1"/>
    <col min="4341" max="4341" width="13.25" style="242" customWidth="1"/>
    <col min="4342" max="4527" width="9" style="242"/>
    <col min="4528" max="4529" width="0" style="242" hidden="1" customWidth="1"/>
    <col min="4530" max="4530" width="13.75" style="242" customWidth="1"/>
    <col min="4531" max="4531" width="52.875" style="242" customWidth="1"/>
    <col min="4532" max="4571" width="0" style="242" hidden="1" customWidth="1"/>
    <col min="4572" max="4573" width="14.875" style="242" customWidth="1"/>
    <col min="4574" max="4575" width="0" style="242" hidden="1" customWidth="1"/>
    <col min="4576" max="4576" width="14.875" style="242" customWidth="1"/>
    <col min="4577" max="4578" width="0" style="242" hidden="1" customWidth="1"/>
    <col min="4579" max="4579" width="14.875" style="242" customWidth="1"/>
    <col min="4580" max="4581" width="0" style="242" hidden="1" customWidth="1"/>
    <col min="4582" max="4582" width="14.875" style="242" customWidth="1"/>
    <col min="4583" max="4584" width="0" style="242" hidden="1" customWidth="1"/>
    <col min="4585" max="4585" width="14.875" style="242" customWidth="1"/>
    <col min="4586" max="4587" width="0" style="242" hidden="1" customWidth="1"/>
    <col min="4588" max="4589" width="14.875" style="242" customWidth="1"/>
    <col min="4590" max="4590" width="44.375" style="242" customWidth="1"/>
    <col min="4591" max="4595" width="14.875" style="242" customWidth="1"/>
    <col min="4596" max="4596" width="63.875" style="242" customWidth="1"/>
    <col min="4597" max="4597" width="13.25" style="242" customWidth="1"/>
    <col min="4598" max="4783" width="9" style="242"/>
    <col min="4784" max="4785" width="0" style="242" hidden="1" customWidth="1"/>
    <col min="4786" max="4786" width="13.75" style="242" customWidth="1"/>
    <col min="4787" max="4787" width="52.875" style="242" customWidth="1"/>
    <col min="4788" max="4827" width="0" style="242" hidden="1" customWidth="1"/>
    <col min="4828" max="4829" width="14.875" style="242" customWidth="1"/>
    <col min="4830" max="4831" width="0" style="242" hidden="1" customWidth="1"/>
    <col min="4832" max="4832" width="14.875" style="242" customWidth="1"/>
    <col min="4833" max="4834" width="0" style="242" hidden="1" customWidth="1"/>
    <col min="4835" max="4835" width="14.875" style="242" customWidth="1"/>
    <col min="4836" max="4837" width="0" style="242" hidden="1" customWidth="1"/>
    <col min="4838" max="4838" width="14.875" style="242" customWidth="1"/>
    <col min="4839" max="4840" width="0" style="242" hidden="1" customWidth="1"/>
    <col min="4841" max="4841" width="14.875" style="242" customWidth="1"/>
    <col min="4842" max="4843" width="0" style="242" hidden="1" customWidth="1"/>
    <col min="4844" max="4845" width="14.875" style="242" customWidth="1"/>
    <col min="4846" max="4846" width="44.375" style="242" customWidth="1"/>
    <col min="4847" max="4851" width="14.875" style="242" customWidth="1"/>
    <col min="4852" max="4852" width="63.875" style="242" customWidth="1"/>
    <col min="4853" max="4853" width="13.25" style="242" customWidth="1"/>
    <col min="4854" max="5039" width="9" style="242"/>
    <col min="5040" max="5041" width="0" style="242" hidden="1" customWidth="1"/>
    <col min="5042" max="5042" width="13.75" style="242" customWidth="1"/>
    <col min="5043" max="5043" width="52.875" style="242" customWidth="1"/>
    <col min="5044" max="5083" width="0" style="242" hidden="1" customWidth="1"/>
    <col min="5084" max="5085" width="14.875" style="242" customWidth="1"/>
    <col min="5086" max="5087" width="0" style="242" hidden="1" customWidth="1"/>
    <col min="5088" max="5088" width="14.875" style="242" customWidth="1"/>
    <col min="5089" max="5090" width="0" style="242" hidden="1" customWidth="1"/>
    <col min="5091" max="5091" width="14.875" style="242" customWidth="1"/>
    <col min="5092" max="5093" width="0" style="242" hidden="1" customWidth="1"/>
    <col min="5094" max="5094" width="14.875" style="242" customWidth="1"/>
    <col min="5095" max="5096" width="0" style="242" hidden="1" customWidth="1"/>
    <col min="5097" max="5097" width="14.875" style="242" customWidth="1"/>
    <col min="5098" max="5099" width="0" style="242" hidden="1" customWidth="1"/>
    <col min="5100" max="5101" width="14.875" style="242" customWidth="1"/>
    <col min="5102" max="5102" width="44.375" style="242" customWidth="1"/>
    <col min="5103" max="5107" width="14.875" style="242" customWidth="1"/>
    <col min="5108" max="5108" width="63.875" style="242" customWidth="1"/>
    <col min="5109" max="5109" width="13.25" style="242" customWidth="1"/>
    <col min="5110" max="5295" width="9" style="242"/>
    <col min="5296" max="5297" width="0" style="242" hidden="1" customWidth="1"/>
    <col min="5298" max="5298" width="13.75" style="242" customWidth="1"/>
    <col min="5299" max="5299" width="52.875" style="242" customWidth="1"/>
    <col min="5300" max="5339" width="0" style="242" hidden="1" customWidth="1"/>
    <col min="5340" max="5341" width="14.875" style="242" customWidth="1"/>
    <col min="5342" max="5343" width="0" style="242" hidden="1" customWidth="1"/>
    <col min="5344" max="5344" width="14.875" style="242" customWidth="1"/>
    <col min="5345" max="5346" width="0" style="242" hidden="1" customWidth="1"/>
    <col min="5347" max="5347" width="14.875" style="242" customWidth="1"/>
    <col min="5348" max="5349" width="0" style="242" hidden="1" customWidth="1"/>
    <col min="5350" max="5350" width="14.875" style="242" customWidth="1"/>
    <col min="5351" max="5352" width="0" style="242" hidden="1" customWidth="1"/>
    <col min="5353" max="5353" width="14.875" style="242" customWidth="1"/>
    <col min="5354" max="5355" width="0" style="242" hidden="1" customWidth="1"/>
    <col min="5356" max="5357" width="14.875" style="242" customWidth="1"/>
    <col min="5358" max="5358" width="44.375" style="242" customWidth="1"/>
    <col min="5359" max="5363" width="14.875" style="242" customWidth="1"/>
    <col min="5364" max="5364" width="63.875" style="242" customWidth="1"/>
    <col min="5365" max="5365" width="13.25" style="242" customWidth="1"/>
    <col min="5366" max="5551" width="9" style="242"/>
    <col min="5552" max="5553" width="0" style="242" hidden="1" customWidth="1"/>
    <col min="5554" max="5554" width="13.75" style="242" customWidth="1"/>
    <col min="5555" max="5555" width="52.875" style="242" customWidth="1"/>
    <col min="5556" max="5595" width="0" style="242" hidden="1" customWidth="1"/>
    <col min="5596" max="5597" width="14.875" style="242" customWidth="1"/>
    <col min="5598" max="5599" width="0" style="242" hidden="1" customWidth="1"/>
    <col min="5600" max="5600" width="14.875" style="242" customWidth="1"/>
    <col min="5601" max="5602" width="0" style="242" hidden="1" customWidth="1"/>
    <col min="5603" max="5603" width="14.875" style="242" customWidth="1"/>
    <col min="5604" max="5605" width="0" style="242" hidden="1" customWidth="1"/>
    <col min="5606" max="5606" width="14.875" style="242" customWidth="1"/>
    <col min="5607" max="5608" width="0" style="242" hidden="1" customWidth="1"/>
    <col min="5609" max="5609" width="14.875" style="242" customWidth="1"/>
    <col min="5610" max="5611" width="0" style="242" hidden="1" customWidth="1"/>
    <col min="5612" max="5613" width="14.875" style="242" customWidth="1"/>
    <col min="5614" max="5614" width="44.375" style="242" customWidth="1"/>
    <col min="5615" max="5619" width="14.875" style="242" customWidth="1"/>
    <col min="5620" max="5620" width="63.875" style="242" customWidth="1"/>
    <col min="5621" max="5621" width="13.25" style="242" customWidth="1"/>
    <col min="5622" max="5807" width="9" style="242"/>
    <col min="5808" max="5809" width="0" style="242" hidden="1" customWidth="1"/>
    <col min="5810" max="5810" width="13.75" style="242" customWidth="1"/>
    <col min="5811" max="5811" width="52.875" style="242" customWidth="1"/>
    <col min="5812" max="5851" width="0" style="242" hidden="1" customWidth="1"/>
    <col min="5852" max="5853" width="14.875" style="242" customWidth="1"/>
    <col min="5854" max="5855" width="0" style="242" hidden="1" customWidth="1"/>
    <col min="5856" max="5856" width="14.875" style="242" customWidth="1"/>
    <col min="5857" max="5858" width="0" style="242" hidden="1" customWidth="1"/>
    <col min="5859" max="5859" width="14.875" style="242" customWidth="1"/>
    <col min="5860" max="5861" width="0" style="242" hidden="1" customWidth="1"/>
    <col min="5862" max="5862" width="14.875" style="242" customWidth="1"/>
    <col min="5863" max="5864" width="0" style="242" hidden="1" customWidth="1"/>
    <col min="5865" max="5865" width="14.875" style="242" customWidth="1"/>
    <col min="5866" max="5867" width="0" style="242" hidden="1" customWidth="1"/>
    <col min="5868" max="5869" width="14.875" style="242" customWidth="1"/>
    <col min="5870" max="5870" width="44.375" style="242" customWidth="1"/>
    <col min="5871" max="5875" width="14.875" style="242" customWidth="1"/>
    <col min="5876" max="5876" width="63.875" style="242" customWidth="1"/>
    <col min="5877" max="5877" width="13.25" style="242" customWidth="1"/>
    <col min="5878" max="6063" width="9" style="242"/>
    <col min="6064" max="6065" width="0" style="242" hidden="1" customWidth="1"/>
    <col min="6066" max="6066" width="13.75" style="242" customWidth="1"/>
    <col min="6067" max="6067" width="52.875" style="242" customWidth="1"/>
    <col min="6068" max="6107" width="0" style="242" hidden="1" customWidth="1"/>
    <col min="6108" max="6109" width="14.875" style="242" customWidth="1"/>
    <col min="6110" max="6111" width="0" style="242" hidden="1" customWidth="1"/>
    <col min="6112" max="6112" width="14.875" style="242" customWidth="1"/>
    <col min="6113" max="6114" width="0" style="242" hidden="1" customWidth="1"/>
    <col min="6115" max="6115" width="14.875" style="242" customWidth="1"/>
    <col min="6116" max="6117" width="0" style="242" hidden="1" customWidth="1"/>
    <col min="6118" max="6118" width="14.875" style="242" customWidth="1"/>
    <col min="6119" max="6120" width="0" style="242" hidden="1" customWidth="1"/>
    <col min="6121" max="6121" width="14.875" style="242" customWidth="1"/>
    <col min="6122" max="6123" width="0" style="242" hidden="1" customWidth="1"/>
    <col min="6124" max="6125" width="14.875" style="242" customWidth="1"/>
    <col min="6126" max="6126" width="44.375" style="242" customWidth="1"/>
    <col min="6127" max="6131" width="14.875" style="242" customWidth="1"/>
    <col min="6132" max="6132" width="63.875" style="242" customWidth="1"/>
    <col min="6133" max="6133" width="13.25" style="242" customWidth="1"/>
    <col min="6134" max="6319" width="9" style="242"/>
    <col min="6320" max="6321" width="0" style="242" hidden="1" customWidth="1"/>
    <col min="6322" max="6322" width="13.75" style="242" customWidth="1"/>
    <col min="6323" max="6323" width="52.875" style="242" customWidth="1"/>
    <col min="6324" max="6363" width="0" style="242" hidden="1" customWidth="1"/>
    <col min="6364" max="6365" width="14.875" style="242" customWidth="1"/>
    <col min="6366" max="6367" width="0" style="242" hidden="1" customWidth="1"/>
    <col min="6368" max="6368" width="14.875" style="242" customWidth="1"/>
    <col min="6369" max="6370" width="0" style="242" hidden="1" customWidth="1"/>
    <col min="6371" max="6371" width="14.875" style="242" customWidth="1"/>
    <col min="6372" max="6373" width="0" style="242" hidden="1" customWidth="1"/>
    <col min="6374" max="6374" width="14.875" style="242" customWidth="1"/>
    <col min="6375" max="6376" width="0" style="242" hidden="1" customWidth="1"/>
    <col min="6377" max="6377" width="14.875" style="242" customWidth="1"/>
    <col min="6378" max="6379" width="0" style="242" hidden="1" customWidth="1"/>
    <col min="6380" max="6381" width="14.875" style="242" customWidth="1"/>
    <col min="6382" max="6382" width="44.375" style="242" customWidth="1"/>
    <col min="6383" max="6387" width="14.875" style="242" customWidth="1"/>
    <col min="6388" max="6388" width="63.875" style="242" customWidth="1"/>
    <col min="6389" max="6389" width="13.25" style="242" customWidth="1"/>
    <col min="6390" max="6575" width="9" style="242"/>
    <col min="6576" max="6577" width="0" style="242" hidden="1" customWidth="1"/>
    <col min="6578" max="6578" width="13.75" style="242" customWidth="1"/>
    <col min="6579" max="6579" width="52.875" style="242" customWidth="1"/>
    <col min="6580" max="6619" width="0" style="242" hidden="1" customWidth="1"/>
    <col min="6620" max="6621" width="14.875" style="242" customWidth="1"/>
    <col min="6622" max="6623" width="0" style="242" hidden="1" customWidth="1"/>
    <col min="6624" max="6624" width="14.875" style="242" customWidth="1"/>
    <col min="6625" max="6626" width="0" style="242" hidden="1" customWidth="1"/>
    <col min="6627" max="6627" width="14.875" style="242" customWidth="1"/>
    <col min="6628" max="6629" width="0" style="242" hidden="1" customWidth="1"/>
    <col min="6630" max="6630" width="14.875" style="242" customWidth="1"/>
    <col min="6631" max="6632" width="0" style="242" hidden="1" customWidth="1"/>
    <col min="6633" max="6633" width="14.875" style="242" customWidth="1"/>
    <col min="6634" max="6635" width="0" style="242" hidden="1" customWidth="1"/>
    <col min="6636" max="6637" width="14.875" style="242" customWidth="1"/>
    <col min="6638" max="6638" width="44.375" style="242" customWidth="1"/>
    <col min="6639" max="6643" width="14.875" style="242" customWidth="1"/>
    <col min="6644" max="6644" width="63.875" style="242" customWidth="1"/>
    <col min="6645" max="6645" width="13.25" style="242" customWidth="1"/>
    <col min="6646" max="6831" width="9" style="242"/>
    <col min="6832" max="6833" width="0" style="242" hidden="1" customWidth="1"/>
    <col min="6834" max="6834" width="13.75" style="242" customWidth="1"/>
    <col min="6835" max="6835" width="52.875" style="242" customWidth="1"/>
    <col min="6836" max="6875" width="0" style="242" hidden="1" customWidth="1"/>
    <col min="6876" max="6877" width="14.875" style="242" customWidth="1"/>
    <col min="6878" max="6879" width="0" style="242" hidden="1" customWidth="1"/>
    <col min="6880" max="6880" width="14.875" style="242" customWidth="1"/>
    <col min="6881" max="6882" width="0" style="242" hidden="1" customWidth="1"/>
    <col min="6883" max="6883" width="14.875" style="242" customWidth="1"/>
    <col min="6884" max="6885" width="0" style="242" hidden="1" customWidth="1"/>
    <col min="6886" max="6886" width="14.875" style="242" customWidth="1"/>
    <col min="6887" max="6888" width="0" style="242" hidden="1" customWidth="1"/>
    <col min="6889" max="6889" width="14.875" style="242" customWidth="1"/>
    <col min="6890" max="6891" width="0" style="242" hidden="1" customWidth="1"/>
    <col min="6892" max="6893" width="14.875" style="242" customWidth="1"/>
    <col min="6894" max="6894" width="44.375" style="242" customWidth="1"/>
    <col min="6895" max="6899" width="14.875" style="242" customWidth="1"/>
    <col min="6900" max="6900" width="63.875" style="242" customWidth="1"/>
    <col min="6901" max="6901" width="13.25" style="242" customWidth="1"/>
    <col min="6902" max="7087" width="9" style="242"/>
    <col min="7088" max="7089" width="0" style="242" hidden="1" customWidth="1"/>
    <col min="7090" max="7090" width="13.75" style="242" customWidth="1"/>
    <col min="7091" max="7091" width="52.875" style="242" customWidth="1"/>
    <col min="7092" max="7131" width="0" style="242" hidden="1" customWidth="1"/>
    <col min="7132" max="7133" width="14.875" style="242" customWidth="1"/>
    <col min="7134" max="7135" width="0" style="242" hidden="1" customWidth="1"/>
    <col min="7136" max="7136" width="14.875" style="242" customWidth="1"/>
    <col min="7137" max="7138" width="0" style="242" hidden="1" customWidth="1"/>
    <col min="7139" max="7139" width="14.875" style="242" customWidth="1"/>
    <col min="7140" max="7141" width="0" style="242" hidden="1" customWidth="1"/>
    <col min="7142" max="7142" width="14.875" style="242" customWidth="1"/>
    <col min="7143" max="7144" width="0" style="242" hidden="1" customWidth="1"/>
    <col min="7145" max="7145" width="14.875" style="242" customWidth="1"/>
    <col min="7146" max="7147" width="0" style="242" hidden="1" customWidth="1"/>
    <col min="7148" max="7149" width="14.875" style="242" customWidth="1"/>
    <col min="7150" max="7150" width="44.375" style="242" customWidth="1"/>
    <col min="7151" max="7155" width="14.875" style="242" customWidth="1"/>
    <col min="7156" max="7156" width="63.875" style="242" customWidth="1"/>
    <col min="7157" max="7157" width="13.25" style="242" customWidth="1"/>
    <col min="7158" max="7343" width="9" style="242"/>
    <col min="7344" max="7345" width="0" style="242" hidden="1" customWidth="1"/>
    <col min="7346" max="7346" width="13.75" style="242" customWidth="1"/>
    <col min="7347" max="7347" width="52.875" style="242" customWidth="1"/>
    <col min="7348" max="7387" width="0" style="242" hidden="1" customWidth="1"/>
    <col min="7388" max="7389" width="14.875" style="242" customWidth="1"/>
    <col min="7390" max="7391" width="0" style="242" hidden="1" customWidth="1"/>
    <col min="7392" max="7392" width="14.875" style="242" customWidth="1"/>
    <col min="7393" max="7394" width="0" style="242" hidden="1" customWidth="1"/>
    <col min="7395" max="7395" width="14.875" style="242" customWidth="1"/>
    <col min="7396" max="7397" width="0" style="242" hidden="1" customWidth="1"/>
    <col min="7398" max="7398" width="14.875" style="242" customWidth="1"/>
    <col min="7399" max="7400" width="0" style="242" hidden="1" customWidth="1"/>
    <col min="7401" max="7401" width="14.875" style="242" customWidth="1"/>
    <col min="7402" max="7403" width="0" style="242" hidden="1" customWidth="1"/>
    <col min="7404" max="7405" width="14.875" style="242" customWidth="1"/>
    <col min="7406" max="7406" width="44.375" style="242" customWidth="1"/>
    <col min="7407" max="7411" width="14.875" style="242" customWidth="1"/>
    <col min="7412" max="7412" width="63.875" style="242" customWidth="1"/>
    <col min="7413" max="7413" width="13.25" style="242" customWidth="1"/>
    <col min="7414" max="7599" width="9" style="242"/>
    <col min="7600" max="7601" width="0" style="242" hidden="1" customWidth="1"/>
    <col min="7602" max="7602" width="13.75" style="242" customWidth="1"/>
    <col min="7603" max="7603" width="52.875" style="242" customWidth="1"/>
    <col min="7604" max="7643" width="0" style="242" hidden="1" customWidth="1"/>
    <col min="7644" max="7645" width="14.875" style="242" customWidth="1"/>
    <col min="7646" max="7647" width="0" style="242" hidden="1" customWidth="1"/>
    <col min="7648" max="7648" width="14.875" style="242" customWidth="1"/>
    <col min="7649" max="7650" width="0" style="242" hidden="1" customWidth="1"/>
    <col min="7651" max="7651" width="14.875" style="242" customWidth="1"/>
    <col min="7652" max="7653" width="0" style="242" hidden="1" customWidth="1"/>
    <col min="7654" max="7654" width="14.875" style="242" customWidth="1"/>
    <col min="7655" max="7656" width="0" style="242" hidden="1" customWidth="1"/>
    <col min="7657" max="7657" width="14.875" style="242" customWidth="1"/>
    <col min="7658" max="7659" width="0" style="242" hidden="1" customWidth="1"/>
    <col min="7660" max="7661" width="14.875" style="242" customWidth="1"/>
    <col min="7662" max="7662" width="44.375" style="242" customWidth="1"/>
    <col min="7663" max="7667" width="14.875" style="242" customWidth="1"/>
    <col min="7668" max="7668" width="63.875" style="242" customWidth="1"/>
    <col min="7669" max="7669" width="13.25" style="242" customWidth="1"/>
    <col min="7670" max="7855" width="9" style="242"/>
    <col min="7856" max="7857" width="0" style="242" hidden="1" customWidth="1"/>
    <col min="7858" max="7858" width="13.75" style="242" customWidth="1"/>
    <col min="7859" max="7859" width="52.875" style="242" customWidth="1"/>
    <col min="7860" max="7899" width="0" style="242" hidden="1" customWidth="1"/>
    <col min="7900" max="7901" width="14.875" style="242" customWidth="1"/>
    <col min="7902" max="7903" width="0" style="242" hidden="1" customWidth="1"/>
    <col min="7904" max="7904" width="14.875" style="242" customWidth="1"/>
    <col min="7905" max="7906" width="0" style="242" hidden="1" customWidth="1"/>
    <col min="7907" max="7907" width="14.875" style="242" customWidth="1"/>
    <col min="7908" max="7909" width="0" style="242" hidden="1" customWidth="1"/>
    <col min="7910" max="7910" width="14.875" style="242" customWidth="1"/>
    <col min="7911" max="7912" width="0" style="242" hidden="1" customWidth="1"/>
    <col min="7913" max="7913" width="14.875" style="242" customWidth="1"/>
    <col min="7914" max="7915" width="0" style="242" hidden="1" customWidth="1"/>
    <col min="7916" max="7917" width="14.875" style="242" customWidth="1"/>
    <col min="7918" max="7918" width="44.375" style="242" customWidth="1"/>
    <col min="7919" max="7923" width="14.875" style="242" customWidth="1"/>
    <col min="7924" max="7924" width="63.875" style="242" customWidth="1"/>
    <col min="7925" max="7925" width="13.25" style="242" customWidth="1"/>
    <col min="7926" max="8111" width="9" style="242"/>
    <col min="8112" max="8113" width="0" style="242" hidden="1" customWidth="1"/>
    <col min="8114" max="8114" width="13.75" style="242" customWidth="1"/>
    <col min="8115" max="8115" width="52.875" style="242" customWidth="1"/>
    <col min="8116" max="8155" width="0" style="242" hidden="1" customWidth="1"/>
    <col min="8156" max="8157" width="14.875" style="242" customWidth="1"/>
    <col min="8158" max="8159" width="0" style="242" hidden="1" customWidth="1"/>
    <col min="8160" max="8160" width="14.875" style="242" customWidth="1"/>
    <col min="8161" max="8162" width="0" style="242" hidden="1" customWidth="1"/>
    <col min="8163" max="8163" width="14.875" style="242" customWidth="1"/>
    <col min="8164" max="8165" width="0" style="242" hidden="1" customWidth="1"/>
    <col min="8166" max="8166" width="14.875" style="242" customWidth="1"/>
    <col min="8167" max="8168" width="0" style="242" hidden="1" customWidth="1"/>
    <col min="8169" max="8169" width="14.875" style="242" customWidth="1"/>
    <col min="8170" max="8171" width="0" style="242" hidden="1" customWidth="1"/>
    <col min="8172" max="8173" width="14.875" style="242" customWidth="1"/>
    <col min="8174" max="8174" width="44.375" style="242" customWidth="1"/>
    <col min="8175" max="8179" width="14.875" style="242" customWidth="1"/>
    <col min="8180" max="8180" width="63.875" style="242" customWidth="1"/>
    <col min="8181" max="8181" width="13.25" style="242" customWidth="1"/>
    <col min="8182" max="8367" width="9" style="242"/>
    <col min="8368" max="8369" width="0" style="242" hidden="1" customWidth="1"/>
    <col min="8370" max="8370" width="13.75" style="242" customWidth="1"/>
    <col min="8371" max="8371" width="52.875" style="242" customWidth="1"/>
    <col min="8372" max="8411" width="0" style="242" hidden="1" customWidth="1"/>
    <col min="8412" max="8413" width="14.875" style="242" customWidth="1"/>
    <col min="8414" max="8415" width="0" style="242" hidden="1" customWidth="1"/>
    <col min="8416" max="8416" width="14.875" style="242" customWidth="1"/>
    <col min="8417" max="8418" width="0" style="242" hidden="1" customWidth="1"/>
    <col min="8419" max="8419" width="14.875" style="242" customWidth="1"/>
    <col min="8420" max="8421" width="0" style="242" hidden="1" customWidth="1"/>
    <col min="8422" max="8422" width="14.875" style="242" customWidth="1"/>
    <col min="8423" max="8424" width="0" style="242" hidden="1" customWidth="1"/>
    <col min="8425" max="8425" width="14.875" style="242" customWidth="1"/>
    <col min="8426" max="8427" width="0" style="242" hidden="1" customWidth="1"/>
    <col min="8428" max="8429" width="14.875" style="242" customWidth="1"/>
    <col min="8430" max="8430" width="44.375" style="242" customWidth="1"/>
    <col min="8431" max="8435" width="14.875" style="242" customWidth="1"/>
    <col min="8436" max="8436" width="63.875" style="242" customWidth="1"/>
    <col min="8437" max="8437" width="13.25" style="242" customWidth="1"/>
    <col min="8438" max="8623" width="9" style="242"/>
    <col min="8624" max="8625" width="0" style="242" hidden="1" customWidth="1"/>
    <col min="8626" max="8626" width="13.75" style="242" customWidth="1"/>
    <col min="8627" max="8627" width="52.875" style="242" customWidth="1"/>
    <col min="8628" max="8667" width="0" style="242" hidden="1" customWidth="1"/>
    <col min="8668" max="8669" width="14.875" style="242" customWidth="1"/>
    <col min="8670" max="8671" width="0" style="242" hidden="1" customWidth="1"/>
    <col min="8672" max="8672" width="14.875" style="242" customWidth="1"/>
    <col min="8673" max="8674" width="0" style="242" hidden="1" customWidth="1"/>
    <col min="8675" max="8675" width="14.875" style="242" customWidth="1"/>
    <col min="8676" max="8677" width="0" style="242" hidden="1" customWidth="1"/>
    <col min="8678" max="8678" width="14.875" style="242" customWidth="1"/>
    <col min="8679" max="8680" width="0" style="242" hidden="1" customWidth="1"/>
    <col min="8681" max="8681" width="14.875" style="242" customWidth="1"/>
    <col min="8682" max="8683" width="0" style="242" hidden="1" customWidth="1"/>
    <col min="8684" max="8685" width="14.875" style="242" customWidth="1"/>
    <col min="8686" max="8686" width="44.375" style="242" customWidth="1"/>
    <col min="8687" max="8691" width="14.875" style="242" customWidth="1"/>
    <col min="8692" max="8692" width="63.875" style="242" customWidth="1"/>
    <col min="8693" max="8693" width="13.25" style="242" customWidth="1"/>
    <col min="8694" max="8879" width="9" style="242"/>
    <col min="8880" max="8881" width="0" style="242" hidden="1" customWidth="1"/>
    <col min="8882" max="8882" width="13.75" style="242" customWidth="1"/>
    <col min="8883" max="8883" width="52.875" style="242" customWidth="1"/>
    <col min="8884" max="8923" width="0" style="242" hidden="1" customWidth="1"/>
    <col min="8924" max="8925" width="14.875" style="242" customWidth="1"/>
    <col min="8926" max="8927" width="0" style="242" hidden="1" customWidth="1"/>
    <col min="8928" max="8928" width="14.875" style="242" customWidth="1"/>
    <col min="8929" max="8930" width="0" style="242" hidden="1" customWidth="1"/>
    <col min="8931" max="8931" width="14.875" style="242" customWidth="1"/>
    <col min="8932" max="8933" width="0" style="242" hidden="1" customWidth="1"/>
    <col min="8934" max="8934" width="14.875" style="242" customWidth="1"/>
    <col min="8935" max="8936" width="0" style="242" hidden="1" customWidth="1"/>
    <col min="8937" max="8937" width="14.875" style="242" customWidth="1"/>
    <col min="8938" max="8939" width="0" style="242" hidden="1" customWidth="1"/>
    <col min="8940" max="8941" width="14.875" style="242" customWidth="1"/>
    <col min="8942" max="8942" width="44.375" style="242" customWidth="1"/>
    <col min="8943" max="8947" width="14.875" style="242" customWidth="1"/>
    <col min="8948" max="8948" width="63.875" style="242" customWidth="1"/>
    <col min="8949" max="8949" width="13.25" style="242" customWidth="1"/>
    <col min="8950" max="9135" width="9" style="242"/>
    <col min="9136" max="9137" width="0" style="242" hidden="1" customWidth="1"/>
    <col min="9138" max="9138" width="13.75" style="242" customWidth="1"/>
    <col min="9139" max="9139" width="52.875" style="242" customWidth="1"/>
    <col min="9140" max="9179" width="0" style="242" hidden="1" customWidth="1"/>
    <col min="9180" max="9181" width="14.875" style="242" customWidth="1"/>
    <col min="9182" max="9183" width="0" style="242" hidden="1" customWidth="1"/>
    <col min="9184" max="9184" width="14.875" style="242" customWidth="1"/>
    <col min="9185" max="9186" width="0" style="242" hidden="1" customWidth="1"/>
    <col min="9187" max="9187" width="14.875" style="242" customWidth="1"/>
    <col min="9188" max="9189" width="0" style="242" hidden="1" customWidth="1"/>
    <col min="9190" max="9190" width="14.875" style="242" customWidth="1"/>
    <col min="9191" max="9192" width="0" style="242" hidden="1" customWidth="1"/>
    <col min="9193" max="9193" width="14.875" style="242" customWidth="1"/>
    <col min="9194" max="9195" width="0" style="242" hidden="1" customWidth="1"/>
    <col min="9196" max="9197" width="14.875" style="242" customWidth="1"/>
    <col min="9198" max="9198" width="44.375" style="242" customWidth="1"/>
    <col min="9199" max="9203" width="14.875" style="242" customWidth="1"/>
    <col min="9204" max="9204" width="63.875" style="242" customWidth="1"/>
    <col min="9205" max="9205" width="13.25" style="242" customWidth="1"/>
    <col min="9206" max="9391" width="9" style="242"/>
    <col min="9392" max="9393" width="0" style="242" hidden="1" customWidth="1"/>
    <col min="9394" max="9394" width="13.75" style="242" customWidth="1"/>
    <col min="9395" max="9395" width="52.875" style="242" customWidth="1"/>
    <col min="9396" max="9435" width="0" style="242" hidden="1" customWidth="1"/>
    <col min="9436" max="9437" width="14.875" style="242" customWidth="1"/>
    <col min="9438" max="9439" width="0" style="242" hidden="1" customWidth="1"/>
    <col min="9440" max="9440" width="14.875" style="242" customWidth="1"/>
    <col min="9441" max="9442" width="0" style="242" hidden="1" customWidth="1"/>
    <col min="9443" max="9443" width="14.875" style="242" customWidth="1"/>
    <col min="9444" max="9445" width="0" style="242" hidden="1" customWidth="1"/>
    <col min="9446" max="9446" width="14.875" style="242" customWidth="1"/>
    <col min="9447" max="9448" width="0" style="242" hidden="1" customWidth="1"/>
    <col min="9449" max="9449" width="14.875" style="242" customWidth="1"/>
    <col min="9450" max="9451" width="0" style="242" hidden="1" customWidth="1"/>
    <col min="9452" max="9453" width="14.875" style="242" customWidth="1"/>
    <col min="9454" max="9454" width="44.375" style="242" customWidth="1"/>
    <col min="9455" max="9459" width="14.875" style="242" customWidth="1"/>
    <col min="9460" max="9460" width="63.875" style="242" customWidth="1"/>
    <col min="9461" max="9461" width="13.25" style="242" customWidth="1"/>
    <col min="9462" max="9647" width="9" style="242"/>
    <col min="9648" max="9649" width="0" style="242" hidden="1" customWidth="1"/>
    <col min="9650" max="9650" width="13.75" style="242" customWidth="1"/>
    <col min="9651" max="9651" width="52.875" style="242" customWidth="1"/>
    <col min="9652" max="9691" width="0" style="242" hidden="1" customWidth="1"/>
    <col min="9692" max="9693" width="14.875" style="242" customWidth="1"/>
    <col min="9694" max="9695" width="0" style="242" hidden="1" customWidth="1"/>
    <col min="9696" max="9696" width="14.875" style="242" customWidth="1"/>
    <col min="9697" max="9698" width="0" style="242" hidden="1" customWidth="1"/>
    <col min="9699" max="9699" width="14.875" style="242" customWidth="1"/>
    <col min="9700" max="9701" width="0" style="242" hidden="1" customWidth="1"/>
    <col min="9702" max="9702" width="14.875" style="242" customWidth="1"/>
    <col min="9703" max="9704" width="0" style="242" hidden="1" customWidth="1"/>
    <col min="9705" max="9705" width="14.875" style="242" customWidth="1"/>
    <col min="9706" max="9707" width="0" style="242" hidden="1" customWidth="1"/>
    <col min="9708" max="9709" width="14.875" style="242" customWidth="1"/>
    <col min="9710" max="9710" width="44.375" style="242" customWidth="1"/>
    <col min="9711" max="9715" width="14.875" style="242" customWidth="1"/>
    <col min="9716" max="9716" width="63.875" style="242" customWidth="1"/>
    <col min="9717" max="9717" width="13.25" style="242" customWidth="1"/>
    <col min="9718" max="9903" width="9" style="242"/>
    <col min="9904" max="9905" width="0" style="242" hidden="1" customWidth="1"/>
    <col min="9906" max="9906" width="13.75" style="242" customWidth="1"/>
    <col min="9907" max="9907" width="52.875" style="242" customWidth="1"/>
    <col min="9908" max="9947" width="0" style="242" hidden="1" customWidth="1"/>
    <col min="9948" max="9949" width="14.875" style="242" customWidth="1"/>
    <col min="9950" max="9951" width="0" style="242" hidden="1" customWidth="1"/>
    <col min="9952" max="9952" width="14.875" style="242" customWidth="1"/>
    <col min="9953" max="9954" width="0" style="242" hidden="1" customWidth="1"/>
    <col min="9955" max="9955" width="14.875" style="242" customWidth="1"/>
    <col min="9956" max="9957" width="0" style="242" hidden="1" customWidth="1"/>
    <col min="9958" max="9958" width="14.875" style="242" customWidth="1"/>
    <col min="9959" max="9960" width="0" style="242" hidden="1" customWidth="1"/>
    <col min="9961" max="9961" width="14.875" style="242" customWidth="1"/>
    <col min="9962" max="9963" width="0" style="242" hidden="1" customWidth="1"/>
    <col min="9964" max="9965" width="14.875" style="242" customWidth="1"/>
    <col min="9966" max="9966" width="44.375" style="242" customWidth="1"/>
    <col min="9967" max="9971" width="14.875" style="242" customWidth="1"/>
    <col min="9972" max="9972" width="63.875" style="242" customWidth="1"/>
    <col min="9973" max="9973" width="13.25" style="242" customWidth="1"/>
    <col min="9974" max="10159" width="9" style="242"/>
    <col min="10160" max="10161" width="0" style="242" hidden="1" customWidth="1"/>
    <col min="10162" max="10162" width="13.75" style="242" customWidth="1"/>
    <col min="10163" max="10163" width="52.875" style="242" customWidth="1"/>
    <col min="10164" max="10203" width="0" style="242" hidden="1" customWidth="1"/>
    <col min="10204" max="10205" width="14.875" style="242" customWidth="1"/>
    <col min="10206" max="10207" width="0" style="242" hidden="1" customWidth="1"/>
    <col min="10208" max="10208" width="14.875" style="242" customWidth="1"/>
    <col min="10209" max="10210" width="0" style="242" hidden="1" customWidth="1"/>
    <col min="10211" max="10211" width="14.875" style="242" customWidth="1"/>
    <col min="10212" max="10213" width="0" style="242" hidden="1" customWidth="1"/>
    <col min="10214" max="10214" width="14.875" style="242" customWidth="1"/>
    <col min="10215" max="10216" width="0" style="242" hidden="1" customWidth="1"/>
    <col min="10217" max="10217" width="14.875" style="242" customWidth="1"/>
    <col min="10218" max="10219" width="0" style="242" hidden="1" customWidth="1"/>
    <col min="10220" max="10221" width="14.875" style="242" customWidth="1"/>
    <col min="10222" max="10222" width="44.375" style="242" customWidth="1"/>
    <col min="10223" max="10227" width="14.875" style="242" customWidth="1"/>
    <col min="10228" max="10228" width="63.875" style="242" customWidth="1"/>
    <col min="10229" max="10229" width="13.25" style="242" customWidth="1"/>
    <col min="10230" max="10415" width="9" style="242"/>
    <col min="10416" max="10417" width="0" style="242" hidden="1" customWidth="1"/>
    <col min="10418" max="10418" width="13.75" style="242" customWidth="1"/>
    <col min="10419" max="10419" width="52.875" style="242" customWidth="1"/>
    <col min="10420" max="10459" width="0" style="242" hidden="1" customWidth="1"/>
    <col min="10460" max="10461" width="14.875" style="242" customWidth="1"/>
    <col min="10462" max="10463" width="0" style="242" hidden="1" customWidth="1"/>
    <col min="10464" max="10464" width="14.875" style="242" customWidth="1"/>
    <col min="10465" max="10466" width="0" style="242" hidden="1" customWidth="1"/>
    <col min="10467" max="10467" width="14.875" style="242" customWidth="1"/>
    <col min="10468" max="10469" width="0" style="242" hidden="1" customWidth="1"/>
    <col min="10470" max="10470" width="14.875" style="242" customWidth="1"/>
    <col min="10471" max="10472" width="0" style="242" hidden="1" customWidth="1"/>
    <col min="10473" max="10473" width="14.875" style="242" customWidth="1"/>
    <col min="10474" max="10475" width="0" style="242" hidden="1" customWidth="1"/>
    <col min="10476" max="10477" width="14.875" style="242" customWidth="1"/>
    <col min="10478" max="10478" width="44.375" style="242" customWidth="1"/>
    <col min="10479" max="10483" width="14.875" style="242" customWidth="1"/>
    <col min="10484" max="10484" width="63.875" style="242" customWidth="1"/>
    <col min="10485" max="10485" width="13.25" style="242" customWidth="1"/>
    <col min="10486" max="10671" width="9" style="242"/>
    <col min="10672" max="10673" width="0" style="242" hidden="1" customWidth="1"/>
    <col min="10674" max="10674" width="13.75" style="242" customWidth="1"/>
    <col min="10675" max="10675" width="52.875" style="242" customWidth="1"/>
    <col min="10676" max="10715" width="0" style="242" hidden="1" customWidth="1"/>
    <col min="10716" max="10717" width="14.875" style="242" customWidth="1"/>
    <col min="10718" max="10719" width="0" style="242" hidden="1" customWidth="1"/>
    <col min="10720" max="10720" width="14.875" style="242" customWidth="1"/>
    <col min="10721" max="10722" width="0" style="242" hidden="1" customWidth="1"/>
    <col min="10723" max="10723" width="14.875" style="242" customWidth="1"/>
    <col min="10724" max="10725" width="0" style="242" hidden="1" customWidth="1"/>
    <col min="10726" max="10726" width="14.875" style="242" customWidth="1"/>
    <col min="10727" max="10728" width="0" style="242" hidden="1" customWidth="1"/>
    <col min="10729" max="10729" width="14.875" style="242" customWidth="1"/>
    <col min="10730" max="10731" width="0" style="242" hidden="1" customWidth="1"/>
    <col min="10732" max="10733" width="14.875" style="242" customWidth="1"/>
    <col min="10734" max="10734" width="44.375" style="242" customWidth="1"/>
    <col min="10735" max="10739" width="14.875" style="242" customWidth="1"/>
    <col min="10740" max="10740" width="63.875" style="242" customWidth="1"/>
    <col min="10741" max="10741" width="13.25" style="242" customWidth="1"/>
    <col min="10742" max="10927" width="9" style="242"/>
    <col min="10928" max="10929" width="0" style="242" hidden="1" customWidth="1"/>
    <col min="10930" max="10930" width="13.75" style="242" customWidth="1"/>
    <col min="10931" max="10931" width="52.875" style="242" customWidth="1"/>
    <col min="10932" max="10971" width="0" style="242" hidden="1" customWidth="1"/>
    <col min="10972" max="10973" width="14.875" style="242" customWidth="1"/>
    <col min="10974" max="10975" width="0" style="242" hidden="1" customWidth="1"/>
    <col min="10976" max="10976" width="14.875" style="242" customWidth="1"/>
    <col min="10977" max="10978" width="0" style="242" hidden="1" customWidth="1"/>
    <col min="10979" max="10979" width="14.875" style="242" customWidth="1"/>
    <col min="10980" max="10981" width="0" style="242" hidden="1" customWidth="1"/>
    <col min="10982" max="10982" width="14.875" style="242" customWidth="1"/>
    <col min="10983" max="10984" width="0" style="242" hidden="1" customWidth="1"/>
    <col min="10985" max="10985" width="14.875" style="242" customWidth="1"/>
    <col min="10986" max="10987" width="0" style="242" hidden="1" customWidth="1"/>
    <col min="10988" max="10989" width="14.875" style="242" customWidth="1"/>
    <col min="10990" max="10990" width="44.375" style="242" customWidth="1"/>
    <col min="10991" max="10995" width="14.875" style="242" customWidth="1"/>
    <col min="10996" max="10996" width="63.875" style="242" customWidth="1"/>
    <col min="10997" max="10997" width="13.25" style="242" customWidth="1"/>
    <col min="10998" max="11183" width="9" style="242"/>
    <col min="11184" max="11185" width="0" style="242" hidden="1" customWidth="1"/>
    <col min="11186" max="11186" width="13.75" style="242" customWidth="1"/>
    <col min="11187" max="11187" width="52.875" style="242" customWidth="1"/>
    <col min="11188" max="11227" width="0" style="242" hidden="1" customWidth="1"/>
    <col min="11228" max="11229" width="14.875" style="242" customWidth="1"/>
    <col min="11230" max="11231" width="0" style="242" hidden="1" customWidth="1"/>
    <col min="11232" max="11232" width="14.875" style="242" customWidth="1"/>
    <col min="11233" max="11234" width="0" style="242" hidden="1" customWidth="1"/>
    <col min="11235" max="11235" width="14.875" style="242" customWidth="1"/>
    <col min="11236" max="11237" width="0" style="242" hidden="1" customWidth="1"/>
    <col min="11238" max="11238" width="14.875" style="242" customWidth="1"/>
    <col min="11239" max="11240" width="0" style="242" hidden="1" customWidth="1"/>
    <col min="11241" max="11241" width="14.875" style="242" customWidth="1"/>
    <col min="11242" max="11243" width="0" style="242" hidden="1" customWidth="1"/>
    <col min="11244" max="11245" width="14.875" style="242" customWidth="1"/>
    <col min="11246" max="11246" width="44.375" style="242" customWidth="1"/>
    <col min="11247" max="11251" width="14.875" style="242" customWidth="1"/>
    <col min="11252" max="11252" width="63.875" style="242" customWidth="1"/>
    <col min="11253" max="11253" width="13.25" style="242" customWidth="1"/>
    <col min="11254" max="11439" width="9" style="242"/>
    <col min="11440" max="11441" width="0" style="242" hidden="1" customWidth="1"/>
    <col min="11442" max="11442" width="13.75" style="242" customWidth="1"/>
    <col min="11443" max="11443" width="52.875" style="242" customWidth="1"/>
    <col min="11444" max="11483" width="0" style="242" hidden="1" customWidth="1"/>
    <col min="11484" max="11485" width="14.875" style="242" customWidth="1"/>
    <col min="11486" max="11487" width="0" style="242" hidden="1" customWidth="1"/>
    <col min="11488" max="11488" width="14.875" style="242" customWidth="1"/>
    <col min="11489" max="11490" width="0" style="242" hidden="1" customWidth="1"/>
    <col min="11491" max="11491" width="14.875" style="242" customWidth="1"/>
    <col min="11492" max="11493" width="0" style="242" hidden="1" customWidth="1"/>
    <col min="11494" max="11494" width="14.875" style="242" customWidth="1"/>
    <col min="11495" max="11496" width="0" style="242" hidden="1" customWidth="1"/>
    <col min="11497" max="11497" width="14.875" style="242" customWidth="1"/>
    <col min="11498" max="11499" width="0" style="242" hidden="1" customWidth="1"/>
    <col min="11500" max="11501" width="14.875" style="242" customWidth="1"/>
    <col min="11502" max="11502" width="44.375" style="242" customWidth="1"/>
    <col min="11503" max="11507" width="14.875" style="242" customWidth="1"/>
    <col min="11508" max="11508" width="63.875" style="242" customWidth="1"/>
    <col min="11509" max="11509" width="13.25" style="242" customWidth="1"/>
    <col min="11510" max="11695" width="9" style="242"/>
    <col min="11696" max="11697" width="0" style="242" hidden="1" customWidth="1"/>
    <col min="11698" max="11698" width="13.75" style="242" customWidth="1"/>
    <col min="11699" max="11699" width="52.875" style="242" customWidth="1"/>
    <col min="11700" max="11739" width="0" style="242" hidden="1" customWidth="1"/>
    <col min="11740" max="11741" width="14.875" style="242" customWidth="1"/>
    <col min="11742" max="11743" width="0" style="242" hidden="1" customWidth="1"/>
    <col min="11744" max="11744" width="14.875" style="242" customWidth="1"/>
    <col min="11745" max="11746" width="0" style="242" hidden="1" customWidth="1"/>
    <col min="11747" max="11747" width="14.875" style="242" customWidth="1"/>
    <col min="11748" max="11749" width="0" style="242" hidden="1" customWidth="1"/>
    <col min="11750" max="11750" width="14.875" style="242" customWidth="1"/>
    <col min="11751" max="11752" width="0" style="242" hidden="1" customWidth="1"/>
    <col min="11753" max="11753" width="14.875" style="242" customWidth="1"/>
    <col min="11754" max="11755" width="0" style="242" hidden="1" customWidth="1"/>
    <col min="11756" max="11757" width="14.875" style="242" customWidth="1"/>
    <col min="11758" max="11758" width="44.375" style="242" customWidth="1"/>
    <col min="11759" max="11763" width="14.875" style="242" customWidth="1"/>
    <col min="11764" max="11764" width="63.875" style="242" customWidth="1"/>
    <col min="11765" max="11765" width="13.25" style="242" customWidth="1"/>
    <col min="11766" max="11951" width="9" style="242"/>
    <col min="11952" max="11953" width="0" style="242" hidden="1" customWidth="1"/>
    <col min="11954" max="11954" width="13.75" style="242" customWidth="1"/>
    <col min="11955" max="11955" width="52.875" style="242" customWidth="1"/>
    <col min="11956" max="11995" width="0" style="242" hidden="1" customWidth="1"/>
    <col min="11996" max="11997" width="14.875" style="242" customWidth="1"/>
    <col min="11998" max="11999" width="0" style="242" hidden="1" customWidth="1"/>
    <col min="12000" max="12000" width="14.875" style="242" customWidth="1"/>
    <col min="12001" max="12002" width="0" style="242" hidden="1" customWidth="1"/>
    <col min="12003" max="12003" width="14.875" style="242" customWidth="1"/>
    <col min="12004" max="12005" width="0" style="242" hidden="1" customWidth="1"/>
    <col min="12006" max="12006" width="14.875" style="242" customWidth="1"/>
    <col min="12007" max="12008" width="0" style="242" hidden="1" customWidth="1"/>
    <col min="12009" max="12009" width="14.875" style="242" customWidth="1"/>
    <col min="12010" max="12011" width="0" style="242" hidden="1" customWidth="1"/>
    <col min="12012" max="12013" width="14.875" style="242" customWidth="1"/>
    <col min="12014" max="12014" width="44.375" style="242" customWidth="1"/>
    <col min="12015" max="12019" width="14.875" style="242" customWidth="1"/>
    <col min="12020" max="12020" width="63.875" style="242" customWidth="1"/>
    <col min="12021" max="12021" width="13.25" style="242" customWidth="1"/>
    <col min="12022" max="12207" width="9" style="242"/>
    <col min="12208" max="12209" width="0" style="242" hidden="1" customWidth="1"/>
    <col min="12210" max="12210" width="13.75" style="242" customWidth="1"/>
    <col min="12211" max="12211" width="52.875" style="242" customWidth="1"/>
    <col min="12212" max="12251" width="0" style="242" hidden="1" customWidth="1"/>
    <col min="12252" max="12253" width="14.875" style="242" customWidth="1"/>
    <col min="12254" max="12255" width="0" style="242" hidden="1" customWidth="1"/>
    <col min="12256" max="12256" width="14.875" style="242" customWidth="1"/>
    <col min="12257" max="12258" width="0" style="242" hidden="1" customWidth="1"/>
    <col min="12259" max="12259" width="14.875" style="242" customWidth="1"/>
    <col min="12260" max="12261" width="0" style="242" hidden="1" customWidth="1"/>
    <col min="12262" max="12262" width="14.875" style="242" customWidth="1"/>
    <col min="12263" max="12264" width="0" style="242" hidden="1" customWidth="1"/>
    <col min="12265" max="12265" width="14.875" style="242" customWidth="1"/>
    <col min="12266" max="12267" width="0" style="242" hidden="1" customWidth="1"/>
    <col min="12268" max="12269" width="14.875" style="242" customWidth="1"/>
    <col min="12270" max="12270" width="44.375" style="242" customWidth="1"/>
    <col min="12271" max="12275" width="14.875" style="242" customWidth="1"/>
    <col min="12276" max="12276" width="63.875" style="242" customWidth="1"/>
    <col min="12277" max="12277" width="13.25" style="242" customWidth="1"/>
    <col min="12278" max="12463" width="9" style="242"/>
    <col min="12464" max="12465" width="0" style="242" hidden="1" customWidth="1"/>
    <col min="12466" max="12466" width="13.75" style="242" customWidth="1"/>
    <col min="12467" max="12467" width="52.875" style="242" customWidth="1"/>
    <col min="12468" max="12507" width="0" style="242" hidden="1" customWidth="1"/>
    <col min="12508" max="12509" width="14.875" style="242" customWidth="1"/>
    <col min="12510" max="12511" width="0" style="242" hidden="1" customWidth="1"/>
    <col min="12512" max="12512" width="14.875" style="242" customWidth="1"/>
    <col min="12513" max="12514" width="0" style="242" hidden="1" customWidth="1"/>
    <col min="12515" max="12515" width="14.875" style="242" customWidth="1"/>
    <col min="12516" max="12517" width="0" style="242" hidden="1" customWidth="1"/>
    <col min="12518" max="12518" width="14.875" style="242" customWidth="1"/>
    <col min="12519" max="12520" width="0" style="242" hidden="1" customWidth="1"/>
    <col min="12521" max="12521" width="14.875" style="242" customWidth="1"/>
    <col min="12522" max="12523" width="0" style="242" hidden="1" customWidth="1"/>
    <col min="12524" max="12525" width="14.875" style="242" customWidth="1"/>
    <col min="12526" max="12526" width="44.375" style="242" customWidth="1"/>
    <col min="12527" max="12531" width="14.875" style="242" customWidth="1"/>
    <col min="12532" max="12532" width="63.875" style="242" customWidth="1"/>
    <col min="12533" max="12533" width="13.25" style="242" customWidth="1"/>
    <col min="12534" max="12719" width="9" style="242"/>
    <col min="12720" max="12721" width="0" style="242" hidden="1" customWidth="1"/>
    <col min="12722" max="12722" width="13.75" style="242" customWidth="1"/>
    <col min="12723" max="12723" width="52.875" style="242" customWidth="1"/>
    <col min="12724" max="12763" width="0" style="242" hidden="1" customWidth="1"/>
    <col min="12764" max="12765" width="14.875" style="242" customWidth="1"/>
    <col min="12766" max="12767" width="0" style="242" hidden="1" customWidth="1"/>
    <col min="12768" max="12768" width="14.875" style="242" customWidth="1"/>
    <col min="12769" max="12770" width="0" style="242" hidden="1" customWidth="1"/>
    <col min="12771" max="12771" width="14.875" style="242" customWidth="1"/>
    <col min="12772" max="12773" width="0" style="242" hidden="1" customWidth="1"/>
    <col min="12774" max="12774" width="14.875" style="242" customWidth="1"/>
    <col min="12775" max="12776" width="0" style="242" hidden="1" customWidth="1"/>
    <col min="12777" max="12777" width="14.875" style="242" customWidth="1"/>
    <col min="12778" max="12779" width="0" style="242" hidden="1" customWidth="1"/>
    <col min="12780" max="12781" width="14.875" style="242" customWidth="1"/>
    <col min="12782" max="12782" width="44.375" style="242" customWidth="1"/>
    <col min="12783" max="12787" width="14.875" style="242" customWidth="1"/>
    <col min="12788" max="12788" width="63.875" style="242" customWidth="1"/>
    <col min="12789" max="12789" width="13.25" style="242" customWidth="1"/>
    <col min="12790" max="12975" width="9" style="242"/>
    <col min="12976" max="12977" width="0" style="242" hidden="1" customWidth="1"/>
    <col min="12978" max="12978" width="13.75" style="242" customWidth="1"/>
    <col min="12979" max="12979" width="52.875" style="242" customWidth="1"/>
    <col min="12980" max="13019" width="0" style="242" hidden="1" customWidth="1"/>
    <col min="13020" max="13021" width="14.875" style="242" customWidth="1"/>
    <col min="13022" max="13023" width="0" style="242" hidden="1" customWidth="1"/>
    <col min="13024" max="13024" width="14.875" style="242" customWidth="1"/>
    <col min="13025" max="13026" width="0" style="242" hidden="1" customWidth="1"/>
    <col min="13027" max="13027" width="14.875" style="242" customWidth="1"/>
    <col min="13028" max="13029" width="0" style="242" hidden="1" customWidth="1"/>
    <col min="13030" max="13030" width="14.875" style="242" customWidth="1"/>
    <col min="13031" max="13032" width="0" style="242" hidden="1" customWidth="1"/>
    <col min="13033" max="13033" width="14.875" style="242" customWidth="1"/>
    <col min="13034" max="13035" width="0" style="242" hidden="1" customWidth="1"/>
    <col min="13036" max="13037" width="14.875" style="242" customWidth="1"/>
    <col min="13038" max="13038" width="44.375" style="242" customWidth="1"/>
    <col min="13039" max="13043" width="14.875" style="242" customWidth="1"/>
    <col min="13044" max="13044" width="63.875" style="242" customWidth="1"/>
    <col min="13045" max="13045" width="13.25" style="242" customWidth="1"/>
    <col min="13046" max="13231" width="9" style="242"/>
    <col min="13232" max="13233" width="0" style="242" hidden="1" customWidth="1"/>
    <col min="13234" max="13234" width="13.75" style="242" customWidth="1"/>
    <col min="13235" max="13235" width="52.875" style="242" customWidth="1"/>
    <col min="13236" max="13275" width="0" style="242" hidden="1" customWidth="1"/>
    <col min="13276" max="13277" width="14.875" style="242" customWidth="1"/>
    <col min="13278" max="13279" width="0" style="242" hidden="1" customWidth="1"/>
    <col min="13280" max="13280" width="14.875" style="242" customWidth="1"/>
    <col min="13281" max="13282" width="0" style="242" hidden="1" customWidth="1"/>
    <col min="13283" max="13283" width="14.875" style="242" customWidth="1"/>
    <col min="13284" max="13285" width="0" style="242" hidden="1" customWidth="1"/>
    <col min="13286" max="13286" width="14.875" style="242" customWidth="1"/>
    <col min="13287" max="13288" width="0" style="242" hidden="1" customWidth="1"/>
    <col min="13289" max="13289" width="14.875" style="242" customWidth="1"/>
    <col min="13290" max="13291" width="0" style="242" hidden="1" customWidth="1"/>
    <col min="13292" max="13293" width="14.875" style="242" customWidth="1"/>
    <col min="13294" max="13294" width="44.375" style="242" customWidth="1"/>
    <col min="13295" max="13299" width="14.875" style="242" customWidth="1"/>
    <col min="13300" max="13300" width="63.875" style="242" customWidth="1"/>
    <col min="13301" max="13301" width="13.25" style="242" customWidth="1"/>
    <col min="13302" max="13487" width="9" style="242"/>
    <col min="13488" max="13489" width="0" style="242" hidden="1" customWidth="1"/>
    <col min="13490" max="13490" width="13.75" style="242" customWidth="1"/>
    <col min="13491" max="13491" width="52.875" style="242" customWidth="1"/>
    <col min="13492" max="13531" width="0" style="242" hidden="1" customWidth="1"/>
    <col min="13532" max="13533" width="14.875" style="242" customWidth="1"/>
    <col min="13534" max="13535" width="0" style="242" hidden="1" customWidth="1"/>
    <col min="13536" max="13536" width="14.875" style="242" customWidth="1"/>
    <col min="13537" max="13538" width="0" style="242" hidden="1" customWidth="1"/>
    <col min="13539" max="13539" width="14.875" style="242" customWidth="1"/>
    <col min="13540" max="13541" width="0" style="242" hidden="1" customWidth="1"/>
    <col min="13542" max="13542" width="14.875" style="242" customWidth="1"/>
    <col min="13543" max="13544" width="0" style="242" hidden="1" customWidth="1"/>
    <col min="13545" max="13545" width="14.875" style="242" customWidth="1"/>
    <col min="13546" max="13547" width="0" style="242" hidden="1" customWidth="1"/>
    <col min="13548" max="13549" width="14.875" style="242" customWidth="1"/>
    <col min="13550" max="13550" width="44.375" style="242" customWidth="1"/>
    <col min="13551" max="13555" width="14.875" style="242" customWidth="1"/>
    <col min="13556" max="13556" width="63.875" style="242" customWidth="1"/>
    <col min="13557" max="13557" width="13.25" style="242" customWidth="1"/>
    <col min="13558" max="13743" width="9" style="242"/>
    <col min="13744" max="13745" width="0" style="242" hidden="1" customWidth="1"/>
    <col min="13746" max="13746" width="13.75" style="242" customWidth="1"/>
    <col min="13747" max="13747" width="52.875" style="242" customWidth="1"/>
    <col min="13748" max="13787" width="0" style="242" hidden="1" customWidth="1"/>
    <col min="13788" max="13789" width="14.875" style="242" customWidth="1"/>
    <col min="13790" max="13791" width="0" style="242" hidden="1" customWidth="1"/>
    <col min="13792" max="13792" width="14.875" style="242" customWidth="1"/>
    <col min="13793" max="13794" width="0" style="242" hidden="1" customWidth="1"/>
    <col min="13795" max="13795" width="14.875" style="242" customWidth="1"/>
    <col min="13796" max="13797" width="0" style="242" hidden="1" customWidth="1"/>
    <col min="13798" max="13798" width="14.875" style="242" customWidth="1"/>
    <col min="13799" max="13800" width="0" style="242" hidden="1" customWidth="1"/>
    <col min="13801" max="13801" width="14.875" style="242" customWidth="1"/>
    <col min="13802" max="13803" width="0" style="242" hidden="1" customWidth="1"/>
    <col min="13804" max="13805" width="14.875" style="242" customWidth="1"/>
    <col min="13806" max="13806" width="44.375" style="242" customWidth="1"/>
    <col min="13807" max="13811" width="14.875" style="242" customWidth="1"/>
    <col min="13812" max="13812" width="63.875" style="242" customWidth="1"/>
    <col min="13813" max="13813" width="13.25" style="242" customWidth="1"/>
    <col min="13814" max="13999" width="9" style="242"/>
    <col min="14000" max="14001" width="0" style="242" hidden="1" customWidth="1"/>
    <col min="14002" max="14002" width="13.75" style="242" customWidth="1"/>
    <col min="14003" max="14003" width="52.875" style="242" customWidth="1"/>
    <col min="14004" max="14043" width="0" style="242" hidden="1" customWidth="1"/>
    <col min="14044" max="14045" width="14.875" style="242" customWidth="1"/>
    <col min="14046" max="14047" width="0" style="242" hidden="1" customWidth="1"/>
    <col min="14048" max="14048" width="14.875" style="242" customWidth="1"/>
    <col min="14049" max="14050" width="0" style="242" hidden="1" customWidth="1"/>
    <col min="14051" max="14051" width="14.875" style="242" customWidth="1"/>
    <col min="14052" max="14053" width="0" style="242" hidden="1" customWidth="1"/>
    <col min="14054" max="14054" width="14.875" style="242" customWidth="1"/>
    <col min="14055" max="14056" width="0" style="242" hidden="1" customWidth="1"/>
    <col min="14057" max="14057" width="14.875" style="242" customWidth="1"/>
    <col min="14058" max="14059" width="0" style="242" hidden="1" customWidth="1"/>
    <col min="14060" max="14061" width="14.875" style="242" customWidth="1"/>
    <col min="14062" max="14062" width="44.375" style="242" customWidth="1"/>
    <col min="14063" max="14067" width="14.875" style="242" customWidth="1"/>
    <col min="14068" max="14068" width="63.875" style="242" customWidth="1"/>
    <col min="14069" max="14069" width="13.25" style="242" customWidth="1"/>
    <col min="14070" max="14255" width="9" style="242"/>
    <col min="14256" max="14257" width="0" style="242" hidden="1" customWidth="1"/>
    <col min="14258" max="14258" width="13.75" style="242" customWidth="1"/>
    <col min="14259" max="14259" width="52.875" style="242" customWidth="1"/>
    <col min="14260" max="14299" width="0" style="242" hidden="1" customWidth="1"/>
    <col min="14300" max="14301" width="14.875" style="242" customWidth="1"/>
    <col min="14302" max="14303" width="0" style="242" hidden="1" customWidth="1"/>
    <col min="14304" max="14304" width="14.875" style="242" customWidth="1"/>
    <col min="14305" max="14306" width="0" style="242" hidden="1" customWidth="1"/>
    <col min="14307" max="14307" width="14.875" style="242" customWidth="1"/>
    <col min="14308" max="14309" width="0" style="242" hidden="1" customWidth="1"/>
    <col min="14310" max="14310" width="14.875" style="242" customWidth="1"/>
    <col min="14311" max="14312" width="0" style="242" hidden="1" customWidth="1"/>
    <col min="14313" max="14313" width="14.875" style="242" customWidth="1"/>
    <col min="14314" max="14315" width="0" style="242" hidden="1" customWidth="1"/>
    <col min="14316" max="14317" width="14.875" style="242" customWidth="1"/>
    <col min="14318" max="14318" width="44.375" style="242" customWidth="1"/>
    <col min="14319" max="14323" width="14.875" style="242" customWidth="1"/>
    <col min="14324" max="14324" width="63.875" style="242" customWidth="1"/>
    <col min="14325" max="14325" width="13.25" style="242" customWidth="1"/>
    <col min="14326" max="14511" width="9" style="242"/>
    <col min="14512" max="14513" width="0" style="242" hidden="1" customWidth="1"/>
    <col min="14514" max="14514" width="13.75" style="242" customWidth="1"/>
    <col min="14515" max="14515" width="52.875" style="242" customWidth="1"/>
    <col min="14516" max="14555" width="0" style="242" hidden="1" customWidth="1"/>
    <col min="14556" max="14557" width="14.875" style="242" customWidth="1"/>
    <col min="14558" max="14559" width="0" style="242" hidden="1" customWidth="1"/>
    <col min="14560" max="14560" width="14.875" style="242" customWidth="1"/>
    <col min="14561" max="14562" width="0" style="242" hidden="1" customWidth="1"/>
    <col min="14563" max="14563" width="14.875" style="242" customWidth="1"/>
    <col min="14564" max="14565" width="0" style="242" hidden="1" customWidth="1"/>
    <col min="14566" max="14566" width="14.875" style="242" customWidth="1"/>
    <col min="14567" max="14568" width="0" style="242" hidden="1" customWidth="1"/>
    <col min="14569" max="14569" width="14.875" style="242" customWidth="1"/>
    <col min="14570" max="14571" width="0" style="242" hidden="1" customWidth="1"/>
    <col min="14572" max="14573" width="14.875" style="242" customWidth="1"/>
    <col min="14574" max="14574" width="44.375" style="242" customWidth="1"/>
    <col min="14575" max="14579" width="14.875" style="242" customWidth="1"/>
    <col min="14580" max="14580" width="63.875" style="242" customWidth="1"/>
    <col min="14581" max="14581" width="13.25" style="242" customWidth="1"/>
    <col min="14582" max="14767" width="9" style="242"/>
    <col min="14768" max="14769" width="0" style="242" hidden="1" customWidth="1"/>
    <col min="14770" max="14770" width="13.75" style="242" customWidth="1"/>
    <col min="14771" max="14771" width="52.875" style="242" customWidth="1"/>
    <col min="14772" max="14811" width="0" style="242" hidden="1" customWidth="1"/>
    <col min="14812" max="14813" width="14.875" style="242" customWidth="1"/>
    <col min="14814" max="14815" width="0" style="242" hidden="1" customWidth="1"/>
    <col min="14816" max="14816" width="14.875" style="242" customWidth="1"/>
    <col min="14817" max="14818" width="0" style="242" hidden="1" customWidth="1"/>
    <col min="14819" max="14819" width="14.875" style="242" customWidth="1"/>
    <col min="14820" max="14821" width="0" style="242" hidden="1" customWidth="1"/>
    <col min="14822" max="14822" width="14.875" style="242" customWidth="1"/>
    <col min="14823" max="14824" width="0" style="242" hidden="1" customWidth="1"/>
    <col min="14825" max="14825" width="14.875" style="242" customWidth="1"/>
    <col min="14826" max="14827" width="0" style="242" hidden="1" customWidth="1"/>
    <col min="14828" max="14829" width="14.875" style="242" customWidth="1"/>
    <col min="14830" max="14830" width="44.375" style="242" customWidth="1"/>
    <col min="14831" max="14835" width="14.875" style="242" customWidth="1"/>
    <col min="14836" max="14836" width="63.875" style="242" customWidth="1"/>
    <col min="14837" max="14837" width="13.25" style="242" customWidth="1"/>
    <col min="14838" max="15023" width="9" style="242"/>
    <col min="15024" max="15025" width="0" style="242" hidden="1" customWidth="1"/>
    <col min="15026" max="15026" width="13.75" style="242" customWidth="1"/>
    <col min="15027" max="15027" width="52.875" style="242" customWidth="1"/>
    <col min="15028" max="15067" width="0" style="242" hidden="1" customWidth="1"/>
    <col min="15068" max="15069" width="14.875" style="242" customWidth="1"/>
    <col min="15070" max="15071" width="0" style="242" hidden="1" customWidth="1"/>
    <col min="15072" max="15072" width="14.875" style="242" customWidth="1"/>
    <col min="15073" max="15074" width="0" style="242" hidden="1" customWidth="1"/>
    <col min="15075" max="15075" width="14.875" style="242" customWidth="1"/>
    <col min="15076" max="15077" width="0" style="242" hidden="1" customWidth="1"/>
    <col min="15078" max="15078" width="14.875" style="242" customWidth="1"/>
    <col min="15079" max="15080" width="0" style="242" hidden="1" customWidth="1"/>
    <col min="15081" max="15081" width="14.875" style="242" customWidth="1"/>
    <col min="15082" max="15083" width="0" style="242" hidden="1" customWidth="1"/>
    <col min="15084" max="15085" width="14.875" style="242" customWidth="1"/>
    <col min="15086" max="15086" width="44.375" style="242" customWidth="1"/>
    <col min="15087" max="15091" width="14.875" style="242" customWidth="1"/>
    <col min="15092" max="15092" width="63.875" style="242" customWidth="1"/>
    <col min="15093" max="15093" width="13.25" style="242" customWidth="1"/>
    <col min="15094" max="15279" width="9" style="242"/>
    <col min="15280" max="15281" width="0" style="242" hidden="1" customWidth="1"/>
    <col min="15282" max="15282" width="13.75" style="242" customWidth="1"/>
    <col min="15283" max="15283" width="52.875" style="242" customWidth="1"/>
    <col min="15284" max="15323" width="0" style="242" hidden="1" customWidth="1"/>
    <col min="15324" max="15325" width="14.875" style="242" customWidth="1"/>
    <col min="15326" max="15327" width="0" style="242" hidden="1" customWidth="1"/>
    <col min="15328" max="15328" width="14.875" style="242" customWidth="1"/>
    <col min="15329" max="15330" width="0" style="242" hidden="1" customWidth="1"/>
    <col min="15331" max="15331" width="14.875" style="242" customWidth="1"/>
    <col min="15332" max="15333" width="0" style="242" hidden="1" customWidth="1"/>
    <col min="15334" max="15334" width="14.875" style="242" customWidth="1"/>
    <col min="15335" max="15336" width="0" style="242" hidden="1" customWidth="1"/>
    <col min="15337" max="15337" width="14.875" style="242" customWidth="1"/>
    <col min="15338" max="15339" width="0" style="242" hidden="1" customWidth="1"/>
    <col min="15340" max="15341" width="14.875" style="242" customWidth="1"/>
    <col min="15342" max="15342" width="44.375" style="242" customWidth="1"/>
    <col min="15343" max="15347" width="14.875" style="242" customWidth="1"/>
    <col min="15348" max="15348" width="63.875" style="242" customWidth="1"/>
    <col min="15349" max="15349" width="13.25" style="242" customWidth="1"/>
    <col min="15350" max="15535" width="9" style="242"/>
    <col min="15536" max="15537" width="0" style="242" hidden="1" customWidth="1"/>
    <col min="15538" max="15538" width="13.75" style="242" customWidth="1"/>
    <col min="15539" max="15539" width="52.875" style="242" customWidth="1"/>
    <col min="15540" max="15579" width="0" style="242" hidden="1" customWidth="1"/>
    <col min="15580" max="15581" width="14.875" style="242" customWidth="1"/>
    <col min="15582" max="15583" width="0" style="242" hidden="1" customWidth="1"/>
    <col min="15584" max="15584" width="14.875" style="242" customWidth="1"/>
    <col min="15585" max="15586" width="0" style="242" hidden="1" customWidth="1"/>
    <col min="15587" max="15587" width="14.875" style="242" customWidth="1"/>
    <col min="15588" max="15589" width="0" style="242" hidden="1" customWidth="1"/>
    <col min="15590" max="15590" width="14.875" style="242" customWidth="1"/>
    <col min="15591" max="15592" width="0" style="242" hidden="1" customWidth="1"/>
    <col min="15593" max="15593" width="14.875" style="242" customWidth="1"/>
    <col min="15594" max="15595" width="0" style="242" hidden="1" customWidth="1"/>
    <col min="15596" max="15597" width="14.875" style="242" customWidth="1"/>
    <col min="15598" max="15598" width="44.375" style="242" customWidth="1"/>
    <col min="15599" max="15603" width="14.875" style="242" customWidth="1"/>
    <col min="15604" max="15604" width="63.875" style="242" customWidth="1"/>
    <col min="15605" max="15605" width="13.25" style="242" customWidth="1"/>
    <col min="15606" max="15791" width="9" style="242"/>
    <col min="15792" max="15793" width="0" style="242" hidden="1" customWidth="1"/>
    <col min="15794" max="15794" width="13.75" style="242" customWidth="1"/>
    <col min="15795" max="15795" width="52.875" style="242" customWidth="1"/>
    <col min="15796" max="15835" width="0" style="242" hidden="1" customWidth="1"/>
    <col min="15836" max="15837" width="14.875" style="242" customWidth="1"/>
    <col min="15838" max="15839" width="0" style="242" hidden="1" customWidth="1"/>
    <col min="15840" max="15840" width="14.875" style="242" customWidth="1"/>
    <col min="15841" max="15842" width="0" style="242" hidden="1" customWidth="1"/>
    <col min="15843" max="15843" width="14.875" style="242" customWidth="1"/>
    <col min="15844" max="15845" width="0" style="242" hidden="1" customWidth="1"/>
    <col min="15846" max="15846" width="14.875" style="242" customWidth="1"/>
    <col min="15847" max="15848" width="0" style="242" hidden="1" customWidth="1"/>
    <col min="15849" max="15849" width="14.875" style="242" customWidth="1"/>
    <col min="15850" max="15851" width="0" style="242" hidden="1" customWidth="1"/>
    <col min="15852" max="15853" width="14.875" style="242" customWidth="1"/>
    <col min="15854" max="15854" width="44.375" style="242" customWidth="1"/>
    <col min="15855" max="15859" width="14.875" style="242" customWidth="1"/>
    <col min="15860" max="15860" width="63.875" style="242" customWidth="1"/>
    <col min="15861" max="15861" width="13.25" style="242" customWidth="1"/>
    <col min="15862" max="16047" width="9" style="242"/>
    <col min="16048" max="16049" width="0" style="242" hidden="1" customWidth="1"/>
    <col min="16050" max="16050" width="13.75" style="242" customWidth="1"/>
    <col min="16051" max="16051" width="52.875" style="242" customWidth="1"/>
    <col min="16052" max="16091" width="0" style="242" hidden="1" customWidth="1"/>
    <col min="16092" max="16093" width="14.875" style="242" customWidth="1"/>
    <col min="16094" max="16095" width="0" style="242" hidden="1" customWidth="1"/>
    <col min="16096" max="16096" width="14.875" style="242" customWidth="1"/>
    <col min="16097" max="16098" width="0" style="242" hidden="1" customWidth="1"/>
    <col min="16099" max="16099" width="14.875" style="242" customWidth="1"/>
    <col min="16100" max="16101" width="0" style="242" hidden="1" customWidth="1"/>
    <col min="16102" max="16102" width="14.875" style="242" customWidth="1"/>
    <col min="16103" max="16104" width="0" style="242" hidden="1" customWidth="1"/>
    <col min="16105" max="16105" width="14.875" style="242" customWidth="1"/>
    <col min="16106" max="16107" width="0" style="242" hidden="1" customWidth="1"/>
    <col min="16108" max="16109" width="14.875" style="242" customWidth="1"/>
    <col min="16110" max="16110" width="44.375" style="242" customWidth="1"/>
    <col min="16111" max="16115" width="14.875" style="242" customWidth="1"/>
    <col min="16116" max="16116" width="63.875" style="242" customWidth="1"/>
    <col min="16117" max="16117" width="13.25" style="242" customWidth="1"/>
    <col min="16118" max="16316" width="9" style="242"/>
    <col min="16317" max="16349" width="9.125" style="242" customWidth="1"/>
    <col min="16350" max="16384" width="9" style="242"/>
  </cols>
  <sheetData>
    <row r="1" spans="1:15" ht="24.6" outlineLevel="1" x14ac:dyDescent="0.4">
      <c r="A1" s="243" t="s">
        <v>0</v>
      </c>
      <c r="B1" s="243"/>
      <c r="C1" s="1"/>
      <c r="D1" s="1"/>
      <c r="E1" s="244"/>
      <c r="F1" s="2"/>
      <c r="G1" s="244"/>
      <c r="H1" s="244"/>
      <c r="I1" s="2"/>
      <c r="J1" s="244"/>
      <c r="K1" s="244"/>
      <c r="L1" s="2"/>
      <c r="M1" s="244"/>
      <c r="N1" s="244"/>
      <c r="O1" s="2"/>
    </row>
    <row r="2" spans="1:15" ht="24.6" outlineLevel="1" x14ac:dyDescent="0.4">
      <c r="A2" s="372" t="s">
        <v>1</v>
      </c>
      <c r="B2" s="372"/>
      <c r="E2" s="245"/>
      <c r="F2" s="4"/>
      <c r="G2" s="245"/>
      <c r="H2" s="245"/>
      <c r="I2" s="4"/>
      <c r="J2" s="245"/>
      <c r="K2" s="245"/>
      <c r="L2" s="4"/>
      <c r="M2" s="245"/>
      <c r="N2" s="245"/>
      <c r="O2" s="4"/>
    </row>
    <row r="3" spans="1:15" ht="20.399999999999999" outlineLevel="1" x14ac:dyDescent="0.35">
      <c r="A3" s="368" t="s">
        <v>2</v>
      </c>
      <c r="B3" s="368"/>
      <c r="C3" s="6"/>
      <c r="D3" s="6"/>
      <c r="E3" s="5"/>
      <c r="G3" s="5"/>
      <c r="H3" s="5"/>
      <c r="J3" s="5"/>
      <c r="K3" s="5"/>
      <c r="M3" s="5"/>
      <c r="N3" s="5"/>
    </row>
    <row r="4" spans="1:15" ht="14.4" outlineLevel="1" thickBot="1" x14ac:dyDescent="0.3">
      <c r="A4" s="8"/>
      <c r="C4" s="6"/>
      <c r="D4" s="6"/>
      <c r="E4" s="7"/>
      <c r="G4" s="6"/>
      <c r="H4" s="7"/>
      <c r="J4" s="6"/>
      <c r="K4" s="7"/>
      <c r="M4" s="6"/>
      <c r="N4" s="7"/>
    </row>
    <row r="5" spans="1:15" ht="55.2" customHeight="1" thickBot="1" x14ac:dyDescent="0.3">
      <c r="A5" s="246" t="s">
        <v>3</v>
      </c>
      <c r="B5" s="247" t="s">
        <v>4</v>
      </c>
      <c r="C5" s="10" t="s">
        <v>5</v>
      </c>
      <c r="D5" s="10" t="s">
        <v>6</v>
      </c>
      <c r="E5" s="9" t="s">
        <v>7</v>
      </c>
      <c r="F5" s="11" t="s">
        <v>8</v>
      </c>
      <c r="G5" s="9" t="s">
        <v>9</v>
      </c>
      <c r="H5" s="9" t="s">
        <v>10</v>
      </c>
      <c r="I5" s="11" t="s">
        <v>8</v>
      </c>
      <c r="J5" s="9" t="s">
        <v>11</v>
      </c>
      <c r="K5" s="9" t="s">
        <v>12</v>
      </c>
      <c r="L5" s="11" t="s">
        <v>8</v>
      </c>
      <c r="M5" s="9" t="s">
        <v>13</v>
      </c>
      <c r="N5" s="9" t="s">
        <v>14</v>
      </c>
      <c r="O5" s="11" t="s">
        <v>8</v>
      </c>
    </row>
    <row r="6" spans="1:15" x14ac:dyDescent="0.25">
      <c r="A6" s="248" t="s">
        <v>15</v>
      </c>
      <c r="B6" s="249" t="s">
        <v>16</v>
      </c>
      <c r="C6" s="250">
        <v>31414871</v>
      </c>
      <c r="D6" s="250">
        <f t="shared" ref="D6" si="0">ROUND((D7+D11+D14+D17+D20),0)</f>
        <v>31414871</v>
      </c>
      <c r="E6" s="251">
        <f>D6-C6</f>
        <v>0</v>
      </c>
      <c r="F6" s="252"/>
      <c r="G6" s="250">
        <f>ROUND((G7+G11+G14+G17+G20),0)</f>
        <v>31582267</v>
      </c>
      <c r="H6" s="251">
        <f>G6-D6</f>
        <v>167396</v>
      </c>
      <c r="I6" s="252"/>
      <c r="J6" s="250">
        <f>ROUND((J7+J11+J14+J17+J20),0)</f>
        <v>31582267</v>
      </c>
      <c r="K6" s="251">
        <f>J6-G6</f>
        <v>0</v>
      </c>
      <c r="L6" s="252"/>
      <c r="M6" s="250">
        <f>ROUND((M7+M11+M14+M17+M20),0)</f>
        <v>31582267</v>
      </c>
      <c r="N6" s="251">
        <f>M6-J6</f>
        <v>0</v>
      </c>
      <c r="O6" s="252"/>
    </row>
    <row r="7" spans="1:15" x14ac:dyDescent="0.25">
      <c r="A7" s="253" t="s">
        <v>17</v>
      </c>
      <c r="B7" s="254" t="s">
        <v>18</v>
      </c>
      <c r="C7" s="256">
        <v>28441559</v>
      </c>
      <c r="D7" s="256">
        <f>SUM(D8:D9)</f>
        <v>28441559</v>
      </c>
      <c r="E7" s="255">
        <f t="shared" ref="E7:E71" si="1">D7-C7</f>
        <v>0</v>
      </c>
      <c r="F7" s="257"/>
      <c r="G7" s="255">
        <f>SUM(G8:G9)</f>
        <v>28608955</v>
      </c>
      <c r="H7" s="255">
        <f>G7-D7</f>
        <v>167396</v>
      </c>
      <c r="I7" s="257"/>
      <c r="J7" s="255">
        <f>SUM(J8:J9)</f>
        <v>28608955</v>
      </c>
      <c r="K7" s="255">
        <f>J7-G7</f>
        <v>0</v>
      </c>
      <c r="L7" s="257"/>
      <c r="M7" s="255">
        <f>SUM(M8:M9)</f>
        <v>28608955</v>
      </c>
      <c r="N7" s="255">
        <f>M7-J7</f>
        <v>0</v>
      </c>
      <c r="O7" s="257"/>
    </row>
    <row r="8" spans="1:15" x14ac:dyDescent="0.25">
      <c r="A8" s="259" t="s">
        <v>19</v>
      </c>
      <c r="B8" s="260" t="s">
        <v>20</v>
      </c>
      <c r="C8" s="12">
        <v>28441559</v>
      </c>
      <c r="D8" s="12">
        <f>ROUND(C8,0)</f>
        <v>28441559</v>
      </c>
      <c r="E8" s="261">
        <f t="shared" si="1"/>
        <v>0</v>
      </c>
      <c r="F8" s="13"/>
      <c r="G8" s="261">
        <f>ROUND(D8,0)+167396</f>
        <v>28608955</v>
      </c>
      <c r="H8" s="261">
        <f>G8-D8</f>
        <v>167396</v>
      </c>
      <c r="I8" s="13" t="s">
        <v>21</v>
      </c>
      <c r="J8" s="261">
        <f>ROUND(G8,0)</f>
        <v>28608955</v>
      </c>
      <c r="K8" s="261">
        <f>J8-G8</f>
        <v>0</v>
      </c>
      <c r="L8" s="13"/>
      <c r="M8" s="261">
        <f>ROUND(J8,0)</f>
        <v>28608955</v>
      </c>
      <c r="N8" s="261">
        <f>M8-J8</f>
        <v>0</v>
      </c>
      <c r="O8" s="13"/>
    </row>
    <row r="9" spans="1:15" ht="27.75" hidden="1" customHeight="1" outlineLevel="1" x14ac:dyDescent="0.25">
      <c r="A9" s="259" t="s">
        <v>22</v>
      </c>
      <c r="B9" s="260" t="s">
        <v>23</v>
      </c>
      <c r="C9" s="12">
        <v>0</v>
      </c>
      <c r="D9" s="12">
        <f>ROUND(C9,0)</f>
        <v>0</v>
      </c>
      <c r="E9" s="261">
        <f t="shared" si="1"/>
        <v>0</v>
      </c>
      <c r="F9" s="13"/>
      <c r="G9" s="261">
        <f>ROUND(F9,0)</f>
        <v>0</v>
      </c>
      <c r="H9" s="261">
        <f t="shared" ref="H9:H72" si="2">G9-D9</f>
        <v>0</v>
      </c>
      <c r="I9" s="13"/>
      <c r="J9" s="261">
        <f>ROUND(I9,0)</f>
        <v>0</v>
      </c>
      <c r="K9" s="261">
        <f t="shared" ref="K9:K72" si="3">J9-G9</f>
        <v>0</v>
      </c>
      <c r="L9" s="13"/>
      <c r="M9" s="261">
        <f>ROUND(L9,0)</f>
        <v>0</v>
      </c>
      <c r="N9" s="261">
        <f t="shared" ref="N9:N72" si="4">M9-J9</f>
        <v>0</v>
      </c>
      <c r="O9" s="13"/>
    </row>
    <row r="10" spans="1:15" ht="32.4" customHeight="1" collapsed="1" x14ac:dyDescent="0.25">
      <c r="A10" s="248" t="s">
        <v>24</v>
      </c>
      <c r="B10" s="249" t="s">
        <v>25</v>
      </c>
      <c r="C10" s="250">
        <v>2903312</v>
      </c>
      <c r="D10" s="250">
        <f>D11+D14+D17</f>
        <v>2903312</v>
      </c>
      <c r="E10" s="251">
        <f t="shared" si="1"/>
        <v>0</v>
      </c>
      <c r="F10" s="252"/>
      <c r="G10" s="250">
        <f>G11+G14+G17</f>
        <v>2903312</v>
      </c>
      <c r="H10" s="251">
        <f t="shared" si="2"/>
        <v>0</v>
      </c>
      <c r="I10" s="252"/>
      <c r="J10" s="250">
        <f>J11+J14+J17</f>
        <v>2903312</v>
      </c>
      <c r="K10" s="251">
        <f t="shared" si="3"/>
        <v>0</v>
      </c>
      <c r="L10" s="252"/>
      <c r="M10" s="250">
        <f>M11+M14+M17</f>
        <v>2903312</v>
      </c>
      <c r="N10" s="251">
        <f t="shared" si="4"/>
        <v>0</v>
      </c>
      <c r="O10" s="252"/>
    </row>
    <row r="11" spans="1:15" x14ac:dyDescent="0.25">
      <c r="A11" s="263" t="s">
        <v>26</v>
      </c>
      <c r="B11" s="264" t="s">
        <v>27</v>
      </c>
      <c r="C11" s="14">
        <v>1998295</v>
      </c>
      <c r="D11" s="14">
        <f>SUM(D12:D13)</f>
        <v>1998295</v>
      </c>
      <c r="E11" s="265">
        <f t="shared" si="1"/>
        <v>0</v>
      </c>
      <c r="F11" s="15"/>
      <c r="G11" s="265">
        <f>SUM(G12:G13)</f>
        <v>1998295</v>
      </c>
      <c r="H11" s="265">
        <f t="shared" si="2"/>
        <v>0</v>
      </c>
      <c r="I11" s="15"/>
      <c r="J11" s="265">
        <f>SUM(J12:J13)</f>
        <v>1998295</v>
      </c>
      <c r="K11" s="265">
        <f t="shared" si="3"/>
        <v>0</v>
      </c>
      <c r="L11" s="15"/>
      <c r="M11" s="265">
        <f>SUM(M12:M13)</f>
        <v>1998295</v>
      </c>
      <c r="N11" s="265">
        <f t="shared" si="4"/>
        <v>0</v>
      </c>
      <c r="O11" s="15"/>
    </row>
    <row r="12" spans="1:15" x14ac:dyDescent="0.25">
      <c r="A12" s="259" t="s">
        <v>28</v>
      </c>
      <c r="B12" s="260" t="s">
        <v>20</v>
      </c>
      <c r="C12" s="12">
        <v>1807872</v>
      </c>
      <c r="D12" s="12">
        <f>ROUND(C12,0)</f>
        <v>1807872</v>
      </c>
      <c r="E12" s="261">
        <f t="shared" si="1"/>
        <v>0</v>
      </c>
      <c r="F12" s="16"/>
      <c r="G12" s="261">
        <f>ROUND(D12,0)</f>
        <v>1807872</v>
      </c>
      <c r="H12" s="261">
        <f t="shared" si="2"/>
        <v>0</v>
      </c>
      <c r="I12" s="16"/>
      <c r="J12" s="261">
        <f>ROUND(G12,0)</f>
        <v>1807872</v>
      </c>
      <c r="K12" s="261">
        <f t="shared" si="3"/>
        <v>0</v>
      </c>
      <c r="L12" s="16"/>
      <c r="M12" s="261">
        <f>ROUND(J12,0)</f>
        <v>1807872</v>
      </c>
      <c r="N12" s="261">
        <f t="shared" si="4"/>
        <v>0</v>
      </c>
      <c r="O12" s="16"/>
    </row>
    <row r="13" spans="1:15" x14ac:dyDescent="0.25">
      <c r="A13" s="259" t="s">
        <v>29</v>
      </c>
      <c r="B13" s="260" t="s">
        <v>30</v>
      </c>
      <c r="C13" s="12">
        <v>190423</v>
      </c>
      <c r="D13" s="12">
        <f>ROUND(C13,0)</f>
        <v>190423</v>
      </c>
      <c r="E13" s="261">
        <f t="shared" si="1"/>
        <v>0</v>
      </c>
      <c r="F13" s="13"/>
      <c r="G13" s="261">
        <f>ROUND(D13,0)</f>
        <v>190423</v>
      </c>
      <c r="H13" s="261">
        <f t="shared" si="2"/>
        <v>0</v>
      </c>
      <c r="I13" s="13"/>
      <c r="J13" s="261">
        <f>ROUND(G13,0)</f>
        <v>190423</v>
      </c>
      <c r="K13" s="261">
        <f t="shared" si="3"/>
        <v>0</v>
      </c>
      <c r="L13" s="13"/>
      <c r="M13" s="261">
        <f>ROUND(J13,0)</f>
        <v>190423</v>
      </c>
      <c r="N13" s="261">
        <f t="shared" si="4"/>
        <v>0</v>
      </c>
      <c r="O13" s="13"/>
    </row>
    <row r="14" spans="1:15" x14ac:dyDescent="0.25">
      <c r="A14" s="263" t="s">
        <v>31</v>
      </c>
      <c r="B14" s="264" t="s">
        <v>32</v>
      </c>
      <c r="C14" s="14">
        <v>412472</v>
      </c>
      <c r="D14" s="14">
        <f>SUM(D15:D16)</f>
        <v>412472</v>
      </c>
      <c r="E14" s="265">
        <f t="shared" si="1"/>
        <v>0</v>
      </c>
      <c r="F14" s="15"/>
      <c r="G14" s="265">
        <f>SUM(G15:G16)</f>
        <v>412472</v>
      </c>
      <c r="H14" s="265">
        <f t="shared" si="2"/>
        <v>0</v>
      </c>
      <c r="I14" s="15"/>
      <c r="J14" s="265">
        <f>SUM(J15:J16)</f>
        <v>412472</v>
      </c>
      <c r="K14" s="265">
        <f t="shared" si="3"/>
        <v>0</v>
      </c>
      <c r="L14" s="15"/>
      <c r="M14" s="265">
        <f>SUM(M15:M16)</f>
        <v>412472</v>
      </c>
      <c r="N14" s="265">
        <f t="shared" si="4"/>
        <v>0</v>
      </c>
      <c r="O14" s="15"/>
    </row>
    <row r="15" spans="1:15" x14ac:dyDescent="0.25">
      <c r="A15" s="259" t="s">
        <v>33</v>
      </c>
      <c r="B15" s="260" t="s">
        <v>34</v>
      </c>
      <c r="C15" s="12">
        <v>326353</v>
      </c>
      <c r="D15" s="12">
        <f>ROUND(C15,0)</f>
        <v>326353</v>
      </c>
      <c r="E15" s="261">
        <f t="shared" si="1"/>
        <v>0</v>
      </c>
      <c r="F15" s="17"/>
      <c r="G15" s="261">
        <f>ROUND(D15,0)</f>
        <v>326353</v>
      </c>
      <c r="H15" s="261">
        <f t="shared" si="2"/>
        <v>0</v>
      </c>
      <c r="I15" s="17"/>
      <c r="J15" s="261">
        <f>ROUND(G15,0)</f>
        <v>326353</v>
      </c>
      <c r="K15" s="261">
        <f t="shared" si="3"/>
        <v>0</v>
      </c>
      <c r="L15" s="17"/>
      <c r="M15" s="261">
        <f>ROUND(J15,0)</f>
        <v>326353</v>
      </c>
      <c r="N15" s="261">
        <f t="shared" si="4"/>
        <v>0</v>
      </c>
      <c r="O15" s="17"/>
    </row>
    <row r="16" spans="1:15" x14ac:dyDescent="0.25">
      <c r="A16" s="259" t="s">
        <v>35</v>
      </c>
      <c r="B16" s="260" t="s">
        <v>30</v>
      </c>
      <c r="C16" s="12">
        <v>86119</v>
      </c>
      <c r="D16" s="12">
        <f>ROUND(C16,0)</f>
        <v>86119</v>
      </c>
      <c r="E16" s="261">
        <f t="shared" si="1"/>
        <v>0</v>
      </c>
      <c r="F16" s="13"/>
      <c r="G16" s="261">
        <f>ROUND(D16,0)</f>
        <v>86119</v>
      </c>
      <c r="H16" s="261">
        <f t="shared" si="2"/>
        <v>0</v>
      </c>
      <c r="I16" s="13"/>
      <c r="J16" s="261">
        <f>ROUND(G16,0)</f>
        <v>86119</v>
      </c>
      <c r="K16" s="261">
        <f t="shared" si="3"/>
        <v>0</v>
      </c>
      <c r="L16" s="13"/>
      <c r="M16" s="261">
        <f>ROUND(J16,0)</f>
        <v>86119</v>
      </c>
      <c r="N16" s="261">
        <f t="shared" si="4"/>
        <v>0</v>
      </c>
      <c r="O16" s="13"/>
    </row>
    <row r="17" spans="1:15" ht="27.6" x14ac:dyDescent="0.25">
      <c r="A17" s="263" t="s">
        <v>36</v>
      </c>
      <c r="B17" s="264" t="s">
        <v>37</v>
      </c>
      <c r="C17" s="14">
        <v>492545</v>
      </c>
      <c r="D17" s="14">
        <f>SUM(D18:D19)</f>
        <v>492545</v>
      </c>
      <c r="E17" s="265">
        <f t="shared" si="1"/>
        <v>0</v>
      </c>
      <c r="F17" s="15"/>
      <c r="G17" s="265">
        <f>SUM(G18:G19)</f>
        <v>492545</v>
      </c>
      <c r="H17" s="265">
        <f t="shared" si="2"/>
        <v>0</v>
      </c>
      <c r="I17" s="15"/>
      <c r="J17" s="265">
        <f>SUM(J18:J19)</f>
        <v>492545</v>
      </c>
      <c r="K17" s="265">
        <f t="shared" si="3"/>
        <v>0</v>
      </c>
      <c r="L17" s="15"/>
      <c r="M17" s="265">
        <f>SUM(M18:M19)</f>
        <v>492545</v>
      </c>
      <c r="N17" s="265">
        <f t="shared" si="4"/>
        <v>0</v>
      </c>
      <c r="O17" s="15"/>
    </row>
    <row r="18" spans="1:15" ht="18.75" customHeight="1" x14ac:dyDescent="0.25">
      <c r="A18" s="259" t="s">
        <v>38</v>
      </c>
      <c r="B18" s="260" t="s">
        <v>34</v>
      </c>
      <c r="C18" s="12">
        <v>431787</v>
      </c>
      <c r="D18" s="12">
        <f>ROUND(C18,0)</f>
        <v>431787</v>
      </c>
      <c r="E18" s="261">
        <f t="shared" si="1"/>
        <v>0</v>
      </c>
      <c r="F18" s="17"/>
      <c r="G18" s="261">
        <f>ROUND(D18,0)</f>
        <v>431787</v>
      </c>
      <c r="H18" s="261">
        <f t="shared" si="2"/>
        <v>0</v>
      </c>
      <c r="I18" s="17"/>
      <c r="J18" s="261">
        <f>ROUND(G18,0)</f>
        <v>431787</v>
      </c>
      <c r="K18" s="261">
        <f t="shared" si="3"/>
        <v>0</v>
      </c>
      <c r="L18" s="17"/>
      <c r="M18" s="261">
        <f>ROUND(J18,0)</f>
        <v>431787</v>
      </c>
      <c r="N18" s="261">
        <f t="shared" si="4"/>
        <v>0</v>
      </c>
      <c r="O18" s="17"/>
    </row>
    <row r="19" spans="1:15" x14ac:dyDescent="0.25">
      <c r="A19" s="259" t="s">
        <v>39</v>
      </c>
      <c r="B19" s="260" t="s">
        <v>30</v>
      </c>
      <c r="C19" s="12">
        <v>60758</v>
      </c>
      <c r="D19" s="12">
        <f>ROUND(C19,0)</f>
        <v>60758</v>
      </c>
      <c r="E19" s="261">
        <f t="shared" si="1"/>
        <v>0</v>
      </c>
      <c r="F19" s="16"/>
      <c r="G19" s="261">
        <f>ROUND(D19,0)</f>
        <v>60758</v>
      </c>
      <c r="H19" s="261">
        <f t="shared" si="2"/>
        <v>0</v>
      </c>
      <c r="I19" s="16"/>
      <c r="J19" s="261">
        <f>ROUND(G19,0)</f>
        <v>60758</v>
      </c>
      <c r="K19" s="261">
        <f t="shared" si="3"/>
        <v>0</v>
      </c>
      <c r="L19" s="16"/>
      <c r="M19" s="261">
        <f>ROUND(J19,0)</f>
        <v>60758</v>
      </c>
      <c r="N19" s="261">
        <f t="shared" si="4"/>
        <v>0</v>
      </c>
      <c r="O19" s="16"/>
    </row>
    <row r="20" spans="1:15" ht="27.6" x14ac:dyDescent="0.25">
      <c r="A20" s="263" t="s">
        <v>40</v>
      </c>
      <c r="B20" s="264" t="s">
        <v>41</v>
      </c>
      <c r="C20" s="14">
        <v>70000</v>
      </c>
      <c r="D20" s="14">
        <f t="shared" ref="D20" si="5">SUM(D21:D22)</f>
        <v>70000</v>
      </c>
      <c r="E20" s="265">
        <f t="shared" si="1"/>
        <v>0</v>
      </c>
      <c r="F20" s="15"/>
      <c r="G20" s="265">
        <f>SUM(G21:G22)</f>
        <v>70000</v>
      </c>
      <c r="H20" s="265">
        <f t="shared" si="2"/>
        <v>0</v>
      </c>
      <c r="I20" s="15"/>
      <c r="J20" s="265">
        <f>SUM(J21:J22)</f>
        <v>70000</v>
      </c>
      <c r="K20" s="265">
        <f t="shared" si="3"/>
        <v>0</v>
      </c>
      <c r="L20" s="15"/>
      <c r="M20" s="265">
        <f>SUM(M21:M22)</f>
        <v>70000</v>
      </c>
      <c r="N20" s="265">
        <f t="shared" si="4"/>
        <v>0</v>
      </c>
      <c r="O20" s="15"/>
    </row>
    <row r="21" spans="1:15" ht="14.4" customHeight="1" outlineLevel="1" x14ac:dyDescent="0.25">
      <c r="A21" s="259" t="s">
        <v>42</v>
      </c>
      <c r="B21" s="260" t="s">
        <v>43</v>
      </c>
      <c r="C21" s="12">
        <v>0</v>
      </c>
      <c r="D21" s="12">
        <f>ROUND(C21,0)</f>
        <v>0</v>
      </c>
      <c r="E21" s="261">
        <f t="shared" si="1"/>
        <v>0</v>
      </c>
      <c r="F21" s="17"/>
      <c r="G21" s="261">
        <f>ROUND(D21,0)</f>
        <v>0</v>
      </c>
      <c r="H21" s="261">
        <f t="shared" si="2"/>
        <v>0</v>
      </c>
      <c r="I21" s="17"/>
      <c r="J21" s="261">
        <f>ROUND(G21,0)</f>
        <v>0</v>
      </c>
      <c r="K21" s="261">
        <f t="shared" si="3"/>
        <v>0</v>
      </c>
      <c r="L21" s="17"/>
      <c r="M21" s="261">
        <f>ROUND(J21,0)</f>
        <v>0</v>
      </c>
      <c r="N21" s="261">
        <f t="shared" si="4"/>
        <v>0</v>
      </c>
      <c r="O21" s="17"/>
    </row>
    <row r="22" spans="1:15" ht="15.6" customHeight="1" x14ac:dyDescent="0.25">
      <c r="A22" s="259" t="s">
        <v>42</v>
      </c>
      <c r="B22" s="260" t="s">
        <v>44</v>
      </c>
      <c r="C22" s="12">
        <v>70000</v>
      </c>
      <c r="D22" s="12">
        <f>ROUND(C22,0)</f>
        <v>70000</v>
      </c>
      <c r="E22" s="261">
        <f t="shared" si="1"/>
        <v>0</v>
      </c>
      <c r="F22" s="18"/>
      <c r="G22" s="261">
        <f>ROUND(D22,0)</f>
        <v>70000</v>
      </c>
      <c r="H22" s="261">
        <f t="shared" si="2"/>
        <v>0</v>
      </c>
      <c r="I22" s="18"/>
      <c r="J22" s="261">
        <f>ROUND(G22,0)</f>
        <v>70000</v>
      </c>
      <c r="K22" s="261">
        <f t="shared" si="3"/>
        <v>0</v>
      </c>
      <c r="L22" s="18"/>
      <c r="M22" s="261">
        <f>ROUND(J22,0)</f>
        <v>70000</v>
      </c>
      <c r="N22" s="261">
        <f t="shared" si="4"/>
        <v>0</v>
      </c>
      <c r="O22" s="18"/>
    </row>
    <row r="23" spans="1:15" ht="15.75" customHeight="1" x14ac:dyDescent="0.25">
      <c r="A23" s="263" t="s">
        <v>45</v>
      </c>
      <c r="B23" s="264" t="s">
        <v>46</v>
      </c>
      <c r="C23" s="14">
        <v>160000</v>
      </c>
      <c r="D23" s="14">
        <f t="shared" ref="D23" si="6">D24+D28</f>
        <v>160000</v>
      </c>
      <c r="E23" s="265">
        <f t="shared" si="1"/>
        <v>0</v>
      </c>
      <c r="F23" s="15"/>
      <c r="G23" s="265">
        <f>G24+G28</f>
        <v>160000</v>
      </c>
      <c r="H23" s="265">
        <f t="shared" si="2"/>
        <v>0</v>
      </c>
      <c r="I23" s="15"/>
      <c r="J23" s="265">
        <f>J24+J28</f>
        <v>160000</v>
      </c>
      <c r="K23" s="265">
        <f t="shared" si="3"/>
        <v>0</v>
      </c>
      <c r="L23" s="15"/>
      <c r="M23" s="265">
        <f>M24+M28</f>
        <v>160000</v>
      </c>
      <c r="N23" s="265">
        <f t="shared" si="4"/>
        <v>0</v>
      </c>
      <c r="O23" s="15"/>
    </row>
    <row r="24" spans="1:15" x14ac:dyDescent="0.25">
      <c r="A24" s="259" t="s">
        <v>47</v>
      </c>
      <c r="B24" s="260" t="s">
        <v>48</v>
      </c>
      <c r="C24" s="12">
        <v>6700</v>
      </c>
      <c r="D24" s="12">
        <f>D25+D26+D27</f>
        <v>6700</v>
      </c>
      <c r="E24" s="261">
        <f t="shared" si="1"/>
        <v>0</v>
      </c>
      <c r="F24" s="16"/>
      <c r="G24" s="261">
        <f>G25+G26+G27</f>
        <v>6700</v>
      </c>
      <c r="H24" s="261">
        <f t="shared" si="2"/>
        <v>0</v>
      </c>
      <c r="I24" s="16"/>
      <c r="J24" s="261">
        <f>J25+J26+J27</f>
        <v>6700</v>
      </c>
      <c r="K24" s="261">
        <f t="shared" si="3"/>
        <v>0</v>
      </c>
      <c r="L24" s="16"/>
      <c r="M24" s="261">
        <f>M25+M26+M27</f>
        <v>6700</v>
      </c>
      <c r="N24" s="261">
        <f t="shared" si="4"/>
        <v>0</v>
      </c>
      <c r="O24" s="16"/>
    </row>
    <row r="25" spans="1:15" ht="26.4" x14ac:dyDescent="0.25">
      <c r="A25" s="266" t="s">
        <v>49</v>
      </c>
      <c r="B25" s="267" t="s">
        <v>50</v>
      </c>
      <c r="C25" s="12">
        <v>1700</v>
      </c>
      <c r="D25" s="12">
        <f>ROUND(C25,0)</f>
        <v>1700</v>
      </c>
      <c r="E25" s="261">
        <f t="shared" si="1"/>
        <v>0</v>
      </c>
      <c r="F25" s="16"/>
      <c r="G25" s="261">
        <f>ROUND(D25,0)</f>
        <v>1700</v>
      </c>
      <c r="H25" s="261">
        <f t="shared" si="2"/>
        <v>0</v>
      </c>
      <c r="I25" s="16"/>
      <c r="J25" s="261">
        <f>ROUND(G25,0)</f>
        <v>1700</v>
      </c>
      <c r="K25" s="261">
        <f t="shared" si="3"/>
        <v>0</v>
      </c>
      <c r="L25" s="16"/>
      <c r="M25" s="261">
        <f>ROUND(J25,0)</f>
        <v>1700</v>
      </c>
      <c r="N25" s="261">
        <f t="shared" si="4"/>
        <v>0</v>
      </c>
      <c r="O25" s="16"/>
    </row>
    <row r="26" spans="1:15" ht="26.4" x14ac:dyDescent="0.25">
      <c r="A26" s="266" t="s">
        <v>51</v>
      </c>
      <c r="B26" s="267" t="s">
        <v>52</v>
      </c>
      <c r="C26" s="12">
        <v>4500</v>
      </c>
      <c r="D26" s="12">
        <f>ROUND(C26,0)</f>
        <v>4500</v>
      </c>
      <c r="E26" s="261">
        <f t="shared" si="1"/>
        <v>0</v>
      </c>
      <c r="F26" s="16"/>
      <c r="G26" s="261">
        <f>ROUND(D26,0)</f>
        <v>4500</v>
      </c>
      <c r="H26" s="261">
        <f t="shared" si="2"/>
        <v>0</v>
      </c>
      <c r="I26" s="16"/>
      <c r="J26" s="261">
        <f>ROUND(G26,0)</f>
        <v>4500</v>
      </c>
      <c r="K26" s="261">
        <f t="shared" si="3"/>
        <v>0</v>
      </c>
      <c r="L26" s="16"/>
      <c r="M26" s="261">
        <f>ROUND(J26,0)</f>
        <v>4500</v>
      </c>
      <c r="N26" s="261">
        <f t="shared" si="4"/>
        <v>0</v>
      </c>
      <c r="O26" s="16"/>
    </row>
    <row r="27" spans="1:15" ht="26.4" x14ac:dyDescent="0.25">
      <c r="A27" s="266" t="s">
        <v>53</v>
      </c>
      <c r="B27" s="267" t="s">
        <v>54</v>
      </c>
      <c r="C27" s="12">
        <v>500</v>
      </c>
      <c r="D27" s="12">
        <f>ROUND(C27,0)</f>
        <v>500</v>
      </c>
      <c r="E27" s="261">
        <f t="shared" si="1"/>
        <v>0</v>
      </c>
      <c r="F27" s="16"/>
      <c r="G27" s="261">
        <f>ROUND(D27,0)</f>
        <v>500</v>
      </c>
      <c r="H27" s="261">
        <f t="shared" si="2"/>
        <v>0</v>
      </c>
      <c r="I27" s="16"/>
      <c r="J27" s="261">
        <f>ROUND(G27,0)</f>
        <v>500</v>
      </c>
      <c r="K27" s="261">
        <f t="shared" si="3"/>
        <v>0</v>
      </c>
      <c r="L27" s="16"/>
      <c r="M27" s="261">
        <f>ROUND(J27,0)</f>
        <v>500</v>
      </c>
      <c r="N27" s="261">
        <f t="shared" si="4"/>
        <v>0</v>
      </c>
      <c r="O27" s="16"/>
    </row>
    <row r="28" spans="1:15" x14ac:dyDescent="0.25">
      <c r="A28" s="259" t="s">
        <v>55</v>
      </c>
      <c r="B28" s="260" t="s">
        <v>56</v>
      </c>
      <c r="C28" s="12">
        <v>153300</v>
      </c>
      <c r="D28" s="12">
        <f>SUM(D29:D35)</f>
        <v>153300</v>
      </c>
      <c r="E28" s="261">
        <f t="shared" si="1"/>
        <v>0</v>
      </c>
      <c r="F28" s="16"/>
      <c r="G28" s="261">
        <f>SUM(G29:G35)</f>
        <v>153300</v>
      </c>
      <c r="H28" s="261">
        <f t="shared" si="2"/>
        <v>0</v>
      </c>
      <c r="I28" s="16"/>
      <c r="J28" s="261">
        <f>SUM(J29:J35)</f>
        <v>153300</v>
      </c>
      <c r="K28" s="261">
        <f t="shared" si="3"/>
        <v>0</v>
      </c>
      <c r="L28" s="16"/>
      <c r="M28" s="261">
        <f>SUM(M29:M35)</f>
        <v>153300</v>
      </c>
      <c r="N28" s="261">
        <f t="shared" si="4"/>
        <v>0</v>
      </c>
      <c r="O28" s="16"/>
    </row>
    <row r="29" spans="1:15" ht="26.4" x14ac:dyDescent="0.25">
      <c r="A29" s="266" t="s">
        <v>57</v>
      </c>
      <c r="B29" s="267" t="s">
        <v>58</v>
      </c>
      <c r="C29" s="12">
        <v>350</v>
      </c>
      <c r="D29" s="12">
        <f t="shared" ref="D29:D35" si="7">ROUND(C29,0)</f>
        <v>350</v>
      </c>
      <c r="E29" s="261">
        <f t="shared" si="1"/>
        <v>0</v>
      </c>
      <c r="F29" s="16"/>
      <c r="G29" s="261">
        <f t="shared" ref="G29:G35" si="8">ROUND(D29,0)</f>
        <v>350</v>
      </c>
      <c r="H29" s="261">
        <f t="shared" si="2"/>
        <v>0</v>
      </c>
      <c r="I29" s="16"/>
      <c r="J29" s="261">
        <f t="shared" ref="J29:J35" si="9">ROUND(G29,0)</f>
        <v>350</v>
      </c>
      <c r="K29" s="261">
        <f t="shared" si="3"/>
        <v>0</v>
      </c>
      <c r="L29" s="16"/>
      <c r="M29" s="261">
        <f t="shared" ref="M29:M35" si="10">ROUND(J29,0)</f>
        <v>350</v>
      </c>
      <c r="N29" s="261">
        <f t="shared" si="4"/>
        <v>0</v>
      </c>
      <c r="O29" s="16"/>
    </row>
    <row r="30" spans="1:15" ht="26.4" x14ac:dyDescent="0.25">
      <c r="A30" s="266" t="s">
        <v>59</v>
      </c>
      <c r="B30" s="267" t="s">
        <v>60</v>
      </c>
      <c r="C30" s="12">
        <v>1100</v>
      </c>
      <c r="D30" s="12">
        <f t="shared" si="7"/>
        <v>1100</v>
      </c>
      <c r="E30" s="261">
        <f t="shared" si="1"/>
        <v>0</v>
      </c>
      <c r="F30" s="16"/>
      <c r="G30" s="261">
        <f t="shared" si="8"/>
        <v>1100</v>
      </c>
      <c r="H30" s="261">
        <f t="shared" si="2"/>
        <v>0</v>
      </c>
      <c r="I30" s="16"/>
      <c r="J30" s="261">
        <f t="shared" si="9"/>
        <v>1100</v>
      </c>
      <c r="K30" s="261">
        <f t="shared" si="3"/>
        <v>0</v>
      </c>
      <c r="L30" s="16"/>
      <c r="M30" s="261">
        <f t="shared" si="10"/>
        <v>1100</v>
      </c>
      <c r="N30" s="261">
        <f t="shared" si="4"/>
        <v>0</v>
      </c>
      <c r="O30" s="16"/>
    </row>
    <row r="31" spans="1:15" x14ac:dyDescent="0.25">
      <c r="A31" s="266" t="s">
        <v>61</v>
      </c>
      <c r="B31" s="267" t="s">
        <v>62</v>
      </c>
      <c r="C31" s="12">
        <v>27000</v>
      </c>
      <c r="D31" s="12">
        <f t="shared" si="7"/>
        <v>27000</v>
      </c>
      <c r="E31" s="261">
        <f t="shared" si="1"/>
        <v>0</v>
      </c>
      <c r="F31" s="16"/>
      <c r="G31" s="261">
        <f t="shared" si="8"/>
        <v>27000</v>
      </c>
      <c r="H31" s="261">
        <f t="shared" si="2"/>
        <v>0</v>
      </c>
      <c r="I31" s="16"/>
      <c r="J31" s="261">
        <f t="shared" si="9"/>
        <v>27000</v>
      </c>
      <c r="K31" s="261">
        <f t="shared" si="3"/>
        <v>0</v>
      </c>
      <c r="L31" s="16"/>
      <c r="M31" s="261">
        <f t="shared" si="10"/>
        <v>27000</v>
      </c>
      <c r="N31" s="261">
        <f t="shared" si="4"/>
        <v>0</v>
      </c>
      <c r="O31" s="16"/>
    </row>
    <row r="32" spans="1:15" x14ac:dyDescent="0.25">
      <c r="A32" s="266" t="s">
        <v>63</v>
      </c>
      <c r="B32" s="267" t="s">
        <v>64</v>
      </c>
      <c r="C32" s="12">
        <v>0</v>
      </c>
      <c r="D32" s="12">
        <f t="shared" si="7"/>
        <v>0</v>
      </c>
      <c r="E32" s="261">
        <f t="shared" si="1"/>
        <v>0</v>
      </c>
      <c r="F32" s="16"/>
      <c r="G32" s="261">
        <f t="shared" si="8"/>
        <v>0</v>
      </c>
      <c r="H32" s="261">
        <f t="shared" si="2"/>
        <v>0</v>
      </c>
      <c r="I32" s="16"/>
      <c r="J32" s="261">
        <f t="shared" si="9"/>
        <v>0</v>
      </c>
      <c r="K32" s="261">
        <f t="shared" si="3"/>
        <v>0</v>
      </c>
      <c r="L32" s="16"/>
      <c r="M32" s="261">
        <f t="shared" si="10"/>
        <v>0</v>
      </c>
      <c r="N32" s="261">
        <f t="shared" si="4"/>
        <v>0</v>
      </c>
      <c r="O32" s="16"/>
    </row>
    <row r="33" spans="1:15" ht="26.4" x14ac:dyDescent="0.25">
      <c r="A33" s="266" t="s">
        <v>65</v>
      </c>
      <c r="B33" s="267" t="s">
        <v>66</v>
      </c>
      <c r="C33" s="12">
        <v>11500</v>
      </c>
      <c r="D33" s="12">
        <f t="shared" si="7"/>
        <v>11500</v>
      </c>
      <c r="E33" s="261">
        <f t="shared" si="1"/>
        <v>0</v>
      </c>
      <c r="F33" s="16"/>
      <c r="G33" s="261">
        <f t="shared" si="8"/>
        <v>11500</v>
      </c>
      <c r="H33" s="261">
        <f t="shared" si="2"/>
        <v>0</v>
      </c>
      <c r="I33" s="16"/>
      <c r="J33" s="261">
        <f t="shared" si="9"/>
        <v>11500</v>
      </c>
      <c r="K33" s="261">
        <f t="shared" si="3"/>
        <v>0</v>
      </c>
      <c r="L33" s="16"/>
      <c r="M33" s="261">
        <f t="shared" si="10"/>
        <v>11500</v>
      </c>
      <c r="N33" s="261">
        <f t="shared" si="4"/>
        <v>0</v>
      </c>
      <c r="O33" s="16"/>
    </row>
    <row r="34" spans="1:15" x14ac:dyDescent="0.25">
      <c r="A34" s="266" t="s">
        <v>67</v>
      </c>
      <c r="B34" s="267" t="s">
        <v>68</v>
      </c>
      <c r="C34" s="12">
        <v>106350</v>
      </c>
      <c r="D34" s="12">
        <f t="shared" si="7"/>
        <v>106350</v>
      </c>
      <c r="E34" s="261">
        <f t="shared" si="1"/>
        <v>0</v>
      </c>
      <c r="F34" s="16"/>
      <c r="G34" s="261">
        <f t="shared" si="8"/>
        <v>106350</v>
      </c>
      <c r="H34" s="261">
        <f t="shared" si="2"/>
        <v>0</v>
      </c>
      <c r="I34" s="16"/>
      <c r="J34" s="261">
        <f t="shared" si="9"/>
        <v>106350</v>
      </c>
      <c r="K34" s="261">
        <f t="shared" si="3"/>
        <v>0</v>
      </c>
      <c r="L34" s="16"/>
      <c r="M34" s="261">
        <f t="shared" si="10"/>
        <v>106350</v>
      </c>
      <c r="N34" s="261">
        <f t="shared" si="4"/>
        <v>0</v>
      </c>
      <c r="O34" s="16"/>
    </row>
    <row r="35" spans="1:15" x14ac:dyDescent="0.25">
      <c r="A35" s="266" t="s">
        <v>69</v>
      </c>
      <c r="B35" s="267" t="s">
        <v>70</v>
      </c>
      <c r="C35" s="12">
        <v>7000</v>
      </c>
      <c r="D35" s="12">
        <f t="shared" si="7"/>
        <v>7000</v>
      </c>
      <c r="E35" s="261">
        <f t="shared" si="1"/>
        <v>0</v>
      </c>
      <c r="F35" s="16"/>
      <c r="G35" s="261">
        <f t="shared" si="8"/>
        <v>7000</v>
      </c>
      <c r="H35" s="261">
        <f t="shared" si="2"/>
        <v>0</v>
      </c>
      <c r="I35" s="16"/>
      <c r="J35" s="261">
        <f t="shared" si="9"/>
        <v>7000</v>
      </c>
      <c r="K35" s="261">
        <f t="shared" si="3"/>
        <v>0</v>
      </c>
      <c r="L35" s="16"/>
      <c r="M35" s="261">
        <f t="shared" si="10"/>
        <v>7000</v>
      </c>
      <c r="N35" s="261">
        <f t="shared" si="4"/>
        <v>0</v>
      </c>
      <c r="O35" s="16"/>
    </row>
    <row r="36" spans="1:15" ht="18" customHeight="1" x14ac:dyDescent="0.25">
      <c r="A36" s="263" t="s">
        <v>71</v>
      </c>
      <c r="B36" s="264" t="s">
        <v>72</v>
      </c>
      <c r="C36" s="14">
        <v>65000</v>
      </c>
      <c r="D36" s="14">
        <f>D37+D38</f>
        <v>65000</v>
      </c>
      <c r="E36" s="265">
        <f t="shared" si="1"/>
        <v>0</v>
      </c>
      <c r="F36" s="19"/>
      <c r="G36" s="265">
        <f>G37+G38</f>
        <v>65000</v>
      </c>
      <c r="H36" s="265">
        <f t="shared" si="2"/>
        <v>0</v>
      </c>
      <c r="I36" s="19"/>
      <c r="J36" s="265">
        <f>J37+J38</f>
        <v>65000</v>
      </c>
      <c r="K36" s="265">
        <f t="shared" si="3"/>
        <v>0</v>
      </c>
      <c r="L36" s="19"/>
      <c r="M36" s="265">
        <f>M37+M38</f>
        <v>65000</v>
      </c>
      <c r="N36" s="265">
        <f t="shared" si="4"/>
        <v>0</v>
      </c>
      <c r="O36" s="19"/>
    </row>
    <row r="37" spans="1:15" ht="16.5" customHeight="1" x14ac:dyDescent="0.25">
      <c r="A37" s="259" t="s">
        <v>73</v>
      </c>
      <c r="B37" s="260" t="s">
        <v>72</v>
      </c>
      <c r="C37" s="12">
        <v>31000</v>
      </c>
      <c r="D37" s="12">
        <f>ROUND(C37,0)</f>
        <v>31000</v>
      </c>
      <c r="E37" s="261">
        <f t="shared" si="1"/>
        <v>0</v>
      </c>
      <c r="F37" s="13"/>
      <c r="G37" s="261">
        <f>ROUND(D37,0)</f>
        <v>31000</v>
      </c>
      <c r="H37" s="261">
        <f t="shared" si="2"/>
        <v>0</v>
      </c>
      <c r="I37" s="13"/>
      <c r="J37" s="261">
        <f>ROUND(G37,0)</f>
        <v>31000</v>
      </c>
      <c r="K37" s="261">
        <f t="shared" si="3"/>
        <v>0</v>
      </c>
      <c r="L37" s="13"/>
      <c r="M37" s="261">
        <f>ROUND(J37,0)</f>
        <v>31000</v>
      </c>
      <c r="N37" s="261">
        <f t="shared" si="4"/>
        <v>0</v>
      </c>
      <c r="O37" s="13"/>
    </row>
    <row r="38" spans="1:15" ht="27.6" x14ac:dyDescent="0.25">
      <c r="A38" s="259" t="s">
        <v>74</v>
      </c>
      <c r="B38" s="260" t="s">
        <v>75</v>
      </c>
      <c r="C38" s="12">
        <v>34000</v>
      </c>
      <c r="D38" s="12">
        <f>ROUND(C38,0)</f>
        <v>34000</v>
      </c>
      <c r="E38" s="261">
        <f t="shared" si="1"/>
        <v>0</v>
      </c>
      <c r="F38" s="13"/>
      <c r="G38" s="261">
        <f>ROUND(D38,0)</f>
        <v>34000</v>
      </c>
      <c r="H38" s="261">
        <f t="shared" si="2"/>
        <v>0</v>
      </c>
      <c r="I38" s="13"/>
      <c r="J38" s="261">
        <f>ROUND(G38,0)</f>
        <v>34000</v>
      </c>
      <c r="K38" s="261">
        <f t="shared" si="3"/>
        <v>0</v>
      </c>
      <c r="L38" s="13"/>
      <c r="M38" s="261">
        <f>ROUND(J38,0)</f>
        <v>34000</v>
      </c>
      <c r="N38" s="261">
        <f t="shared" si="4"/>
        <v>0</v>
      </c>
      <c r="O38" s="13"/>
    </row>
    <row r="39" spans="1:15" x14ac:dyDescent="0.25">
      <c r="A39" s="263" t="s">
        <v>76</v>
      </c>
      <c r="B39" s="264" t="s">
        <v>77</v>
      </c>
      <c r="C39" s="14">
        <v>22453</v>
      </c>
      <c r="D39" s="14">
        <f>D40+D41+D42</f>
        <v>33317</v>
      </c>
      <c r="E39" s="265">
        <f t="shared" si="1"/>
        <v>10864</v>
      </c>
      <c r="F39" s="15"/>
      <c r="G39" s="265">
        <f>G40+G41+G42</f>
        <v>176317</v>
      </c>
      <c r="H39" s="265">
        <f t="shared" si="2"/>
        <v>143000</v>
      </c>
      <c r="I39" s="15"/>
      <c r="J39" s="265">
        <f>J40+J41+J42</f>
        <v>176317</v>
      </c>
      <c r="K39" s="265">
        <f t="shared" si="3"/>
        <v>0</v>
      </c>
      <c r="L39" s="15"/>
      <c r="M39" s="265">
        <f>M40+M41+M42</f>
        <v>176317</v>
      </c>
      <c r="N39" s="265">
        <f t="shared" si="4"/>
        <v>0</v>
      </c>
      <c r="O39" s="15"/>
    </row>
    <row r="40" spans="1:15" ht="29.4" customHeight="1" x14ac:dyDescent="0.25">
      <c r="A40" s="259" t="s">
        <v>78</v>
      </c>
      <c r="B40" s="268" t="s">
        <v>79</v>
      </c>
      <c r="C40" s="12">
        <v>16000</v>
      </c>
      <c r="D40" s="12">
        <f>ROUND(C40,0)+10864</f>
        <v>26864</v>
      </c>
      <c r="E40" s="261">
        <f t="shared" si="1"/>
        <v>10864</v>
      </c>
      <c r="F40" s="20" t="s">
        <v>80</v>
      </c>
      <c r="G40" s="261">
        <f>ROUND(D40,0)+143000</f>
        <v>169864</v>
      </c>
      <c r="H40" s="262">
        <f t="shared" si="2"/>
        <v>143000</v>
      </c>
      <c r="I40" s="21" t="s">
        <v>81</v>
      </c>
      <c r="J40" s="261">
        <f>ROUND(G40,0)</f>
        <v>169864</v>
      </c>
      <c r="K40" s="261">
        <f t="shared" si="3"/>
        <v>0</v>
      </c>
      <c r="L40" s="20"/>
      <c r="M40" s="261">
        <f>ROUND(J40,0)</f>
        <v>169864</v>
      </c>
      <c r="N40" s="261">
        <f t="shared" si="4"/>
        <v>0</v>
      </c>
      <c r="O40" s="20"/>
    </row>
    <row r="41" spans="1:15" ht="27.6" x14ac:dyDescent="0.25">
      <c r="A41" s="259" t="s">
        <v>82</v>
      </c>
      <c r="B41" s="260" t="s">
        <v>83</v>
      </c>
      <c r="C41" s="12">
        <v>500</v>
      </c>
      <c r="D41" s="12">
        <f>ROUND(C41,0)</f>
        <v>500</v>
      </c>
      <c r="E41" s="261">
        <f t="shared" si="1"/>
        <v>0</v>
      </c>
      <c r="F41" s="20"/>
      <c r="G41" s="261">
        <f>ROUND(D41,0)</f>
        <v>500</v>
      </c>
      <c r="H41" s="261">
        <f t="shared" si="2"/>
        <v>0</v>
      </c>
      <c r="I41" s="20"/>
      <c r="J41" s="261">
        <f>ROUND(G41,0)</f>
        <v>500</v>
      </c>
      <c r="K41" s="261">
        <f t="shared" si="3"/>
        <v>0</v>
      </c>
      <c r="L41" s="20"/>
      <c r="M41" s="261">
        <f>ROUND(J41,0)</f>
        <v>500</v>
      </c>
      <c r="N41" s="261">
        <f t="shared" si="4"/>
        <v>0</v>
      </c>
      <c r="O41" s="20"/>
    </row>
    <row r="42" spans="1:15" x14ac:dyDescent="0.25">
      <c r="A42" s="259" t="s">
        <v>84</v>
      </c>
      <c r="B42" s="260" t="s">
        <v>85</v>
      </c>
      <c r="C42" s="12">
        <v>5953</v>
      </c>
      <c r="D42" s="12">
        <f>ROUND(C42,0)</f>
        <v>5953</v>
      </c>
      <c r="E42" s="261">
        <f t="shared" si="1"/>
        <v>0</v>
      </c>
      <c r="F42" s="13"/>
      <c r="G42" s="261">
        <f>ROUND(D42,0)</f>
        <v>5953</v>
      </c>
      <c r="H42" s="261">
        <f t="shared" si="2"/>
        <v>0</v>
      </c>
      <c r="I42" s="13"/>
      <c r="J42" s="261">
        <f>ROUND(G42,0)</f>
        <v>5953</v>
      </c>
      <c r="K42" s="261">
        <f t="shared" si="3"/>
        <v>0</v>
      </c>
      <c r="L42" s="13"/>
      <c r="M42" s="261">
        <f>ROUND(J42,0)</f>
        <v>5953</v>
      </c>
      <c r="N42" s="261">
        <f t="shared" si="4"/>
        <v>0</v>
      </c>
      <c r="O42" s="13"/>
    </row>
    <row r="43" spans="1:15" ht="15" customHeight="1" x14ac:dyDescent="0.25">
      <c r="A43" s="269" t="s">
        <v>86</v>
      </c>
      <c r="B43" s="264" t="s">
        <v>87</v>
      </c>
      <c r="C43" s="14">
        <v>433856</v>
      </c>
      <c r="D43" s="14">
        <f>ROUND(C43,0)</f>
        <v>433856</v>
      </c>
      <c r="E43" s="265">
        <f t="shared" si="1"/>
        <v>0</v>
      </c>
      <c r="F43" s="19"/>
      <c r="G43" s="265">
        <f>ROUND(D43,0)</f>
        <v>433856</v>
      </c>
      <c r="H43" s="265">
        <f t="shared" si="2"/>
        <v>0</v>
      </c>
      <c r="I43" s="19"/>
      <c r="J43" s="265">
        <f>ROUND(G43,0)</f>
        <v>433856</v>
      </c>
      <c r="K43" s="265">
        <f t="shared" si="3"/>
        <v>0</v>
      </c>
      <c r="L43" s="19"/>
      <c r="M43" s="265">
        <f>ROUND(J43,0)</f>
        <v>433856</v>
      </c>
      <c r="N43" s="265">
        <f t="shared" si="4"/>
        <v>0</v>
      </c>
      <c r="O43" s="19"/>
    </row>
    <row r="44" spans="1:15" ht="27.6" x14ac:dyDescent="0.25">
      <c r="A44" s="269" t="s">
        <v>88</v>
      </c>
      <c r="B44" s="264" t="s">
        <v>89</v>
      </c>
      <c r="C44" s="14">
        <v>9528140.4900000002</v>
      </c>
      <c r="D44" s="14">
        <f t="shared" ref="D44" si="11">D45+D67+D88</f>
        <v>9575632</v>
      </c>
      <c r="E44" s="265">
        <f t="shared" si="1"/>
        <v>47491.509999999776</v>
      </c>
      <c r="F44" s="265"/>
      <c r="G44" s="265">
        <f>G45+G67+G88</f>
        <v>9633217</v>
      </c>
      <c r="H44" s="265">
        <f t="shared" si="2"/>
        <v>57585</v>
      </c>
      <c r="I44" s="265"/>
      <c r="J44" s="265">
        <f>J45+J67+J88</f>
        <v>9973168</v>
      </c>
      <c r="K44" s="265">
        <f t="shared" si="3"/>
        <v>339951</v>
      </c>
      <c r="L44" s="265"/>
      <c r="M44" s="265">
        <f>M45+M67+M88</f>
        <v>9973168</v>
      </c>
      <c r="N44" s="265">
        <f t="shared" si="4"/>
        <v>0</v>
      </c>
      <c r="O44" s="265"/>
    </row>
    <row r="45" spans="1:15" ht="17.399999999999999" customHeight="1" x14ac:dyDescent="0.25">
      <c r="A45" s="270" t="s">
        <v>90</v>
      </c>
      <c r="B45" s="271" t="s">
        <v>91</v>
      </c>
      <c r="C45" s="12">
        <v>7875899</v>
      </c>
      <c r="D45" s="12">
        <f t="shared" ref="D45" si="12">SUM(D46:D49)+D52+SUM(D56:D66)</f>
        <v>7923391</v>
      </c>
      <c r="E45" s="261">
        <f t="shared" si="1"/>
        <v>47492</v>
      </c>
      <c r="F45" s="261"/>
      <c r="G45" s="261">
        <f>SUM(G46:G49)+G52+SUM(G56:G66)</f>
        <v>7975976</v>
      </c>
      <c r="H45" s="261">
        <f t="shared" si="2"/>
        <v>52585</v>
      </c>
      <c r="I45" s="261"/>
      <c r="J45" s="261">
        <f>SUM(J46:J49)+J52+SUM(J56:J66)</f>
        <v>8315927</v>
      </c>
      <c r="K45" s="261">
        <f t="shared" si="3"/>
        <v>339951</v>
      </c>
      <c r="L45" s="261"/>
      <c r="M45" s="261">
        <f>SUM(M46:M49)+M52+SUM(M56:M66)</f>
        <v>8315927</v>
      </c>
      <c r="N45" s="261">
        <f t="shared" si="4"/>
        <v>0</v>
      </c>
      <c r="O45" s="261"/>
    </row>
    <row r="46" spans="1:15" ht="16.95" customHeight="1" x14ac:dyDescent="0.25">
      <c r="A46" s="266" t="s">
        <v>92</v>
      </c>
      <c r="B46" s="260" t="s">
        <v>93</v>
      </c>
      <c r="C46" s="12">
        <v>593640</v>
      </c>
      <c r="D46" s="12">
        <f>ROUND(C46,0)+52289</f>
        <v>645929</v>
      </c>
      <c r="E46" s="261">
        <f t="shared" si="1"/>
        <v>52289</v>
      </c>
      <c r="F46" s="20" t="s">
        <v>94</v>
      </c>
      <c r="G46" s="261">
        <f>ROUND(D46,0)</f>
        <v>645929</v>
      </c>
      <c r="H46" s="261">
        <f t="shared" si="2"/>
        <v>0</v>
      </c>
      <c r="I46" s="20"/>
      <c r="J46" s="261">
        <f>ROUND(G46,0)</f>
        <v>645929</v>
      </c>
      <c r="K46" s="261">
        <f t="shared" si="3"/>
        <v>0</v>
      </c>
      <c r="L46" s="20"/>
      <c r="M46" s="261">
        <f>ROUND(J46,0)</f>
        <v>645929</v>
      </c>
      <c r="N46" s="261">
        <f t="shared" si="4"/>
        <v>0</v>
      </c>
      <c r="O46" s="20"/>
    </row>
    <row r="47" spans="1:15" ht="13.95" customHeight="1" x14ac:dyDescent="0.25">
      <c r="A47" s="266" t="s">
        <v>95</v>
      </c>
      <c r="B47" s="260" t="s">
        <v>96</v>
      </c>
      <c r="C47" s="12">
        <v>299288</v>
      </c>
      <c r="D47" s="12">
        <f>ROUND(C47,0)</f>
        <v>299288</v>
      </c>
      <c r="E47" s="261">
        <f t="shared" si="1"/>
        <v>0</v>
      </c>
      <c r="F47" s="13"/>
      <c r="G47" s="261">
        <f>ROUND(D47,0)</f>
        <v>299288</v>
      </c>
      <c r="H47" s="261">
        <f t="shared" si="2"/>
        <v>0</v>
      </c>
      <c r="I47" s="13"/>
      <c r="J47" s="261">
        <f>ROUND(G47,0)</f>
        <v>299288</v>
      </c>
      <c r="K47" s="261">
        <f t="shared" si="3"/>
        <v>0</v>
      </c>
      <c r="L47" s="13"/>
      <c r="M47" s="261">
        <f>ROUND(J47,0)</f>
        <v>299288</v>
      </c>
      <c r="N47" s="261">
        <f t="shared" si="4"/>
        <v>0</v>
      </c>
      <c r="O47" s="13"/>
    </row>
    <row r="48" spans="1:15" x14ac:dyDescent="0.25">
      <c r="A48" s="266" t="s">
        <v>97</v>
      </c>
      <c r="B48" s="260" t="s">
        <v>98</v>
      </c>
      <c r="C48" s="12">
        <v>249276</v>
      </c>
      <c r="D48" s="12">
        <f>ROUND(C48,0)</f>
        <v>249276</v>
      </c>
      <c r="E48" s="261">
        <f t="shared" si="1"/>
        <v>0</v>
      </c>
      <c r="F48" s="20"/>
      <c r="G48" s="261">
        <f>ROUND(D48,0)</f>
        <v>249276</v>
      </c>
      <c r="H48" s="261">
        <f t="shared" si="2"/>
        <v>0</v>
      </c>
      <c r="I48" s="20"/>
      <c r="J48" s="261">
        <f>ROUND(G48,0)</f>
        <v>249276</v>
      </c>
      <c r="K48" s="261">
        <f t="shared" si="3"/>
        <v>0</v>
      </c>
      <c r="L48" s="20"/>
      <c r="M48" s="261">
        <f>ROUND(J48,0)</f>
        <v>249276</v>
      </c>
      <c r="N48" s="261">
        <f t="shared" si="4"/>
        <v>0</v>
      </c>
      <c r="O48" s="20"/>
    </row>
    <row r="49" spans="1:15" ht="14.25" customHeight="1" x14ac:dyDescent="0.25">
      <c r="A49" s="266" t="s">
        <v>99</v>
      </c>
      <c r="B49" s="260" t="s">
        <v>100</v>
      </c>
      <c r="C49" s="12">
        <v>0</v>
      </c>
      <c r="D49" s="12">
        <f t="shared" ref="D49" si="13">D50+D51</f>
        <v>0</v>
      </c>
      <c r="E49" s="261">
        <f t="shared" si="1"/>
        <v>0</v>
      </c>
      <c r="F49" s="261"/>
      <c r="G49" s="261">
        <f>G50+G51</f>
        <v>0</v>
      </c>
      <c r="H49" s="261">
        <f t="shared" si="2"/>
        <v>0</v>
      </c>
      <c r="I49" s="261"/>
      <c r="J49" s="261">
        <f>J50+J51</f>
        <v>63466</v>
      </c>
      <c r="K49" s="261">
        <f t="shared" si="3"/>
        <v>63466</v>
      </c>
      <c r="L49" s="261"/>
      <c r="M49" s="261">
        <f>M50+M51</f>
        <v>63466</v>
      </c>
      <c r="N49" s="261">
        <f t="shared" si="4"/>
        <v>0</v>
      </c>
      <c r="O49" s="261"/>
    </row>
    <row r="50" spans="1:15" ht="14.25" customHeight="1" x14ac:dyDescent="0.25">
      <c r="A50" s="266" t="s">
        <v>101</v>
      </c>
      <c r="B50" s="267" t="s">
        <v>102</v>
      </c>
      <c r="C50" s="12"/>
      <c r="D50" s="12"/>
      <c r="E50" s="261">
        <f t="shared" si="1"/>
        <v>0</v>
      </c>
      <c r="F50" s="20"/>
      <c r="G50" s="261"/>
      <c r="H50" s="261">
        <f t="shared" si="2"/>
        <v>0</v>
      </c>
      <c r="I50" s="20"/>
      <c r="J50" s="261">
        <f>41084+1240+10652+4493+1870+2968+1159</f>
        <v>63466</v>
      </c>
      <c r="K50" s="261">
        <f t="shared" si="3"/>
        <v>63466</v>
      </c>
      <c r="L50" s="20" t="s">
        <v>103</v>
      </c>
      <c r="M50" s="261">
        <f>41084+1240+10652+4493+1870+2968+1159</f>
        <v>63466</v>
      </c>
      <c r="N50" s="261">
        <f t="shared" si="4"/>
        <v>0</v>
      </c>
      <c r="O50" s="20"/>
    </row>
    <row r="51" spans="1:15" ht="17.399999999999999" customHeight="1" x14ac:dyDescent="0.25">
      <c r="A51" s="266" t="s">
        <v>104</v>
      </c>
      <c r="B51" s="267" t="s">
        <v>105</v>
      </c>
      <c r="C51" s="12"/>
      <c r="D51" s="12"/>
      <c r="E51" s="261">
        <f t="shared" si="1"/>
        <v>0</v>
      </c>
      <c r="F51" s="20"/>
      <c r="G51" s="261"/>
      <c r="H51" s="261">
        <f t="shared" si="2"/>
        <v>0</v>
      </c>
      <c r="I51" s="20"/>
      <c r="J51" s="261"/>
      <c r="K51" s="261">
        <f t="shared" si="3"/>
        <v>0</v>
      </c>
      <c r="L51" s="20"/>
      <c r="M51" s="261"/>
      <c r="N51" s="261">
        <f t="shared" si="4"/>
        <v>0</v>
      </c>
      <c r="O51" s="20"/>
    </row>
    <row r="52" spans="1:15" ht="13.95" customHeight="1" x14ac:dyDescent="0.25">
      <c r="A52" s="266" t="s">
        <v>106</v>
      </c>
      <c r="B52" s="260" t="s">
        <v>107</v>
      </c>
      <c r="C52" s="22">
        <v>5320740</v>
      </c>
      <c r="D52" s="22">
        <f>D53+D54+D55</f>
        <v>5320740</v>
      </c>
      <c r="E52" s="273">
        <f t="shared" si="1"/>
        <v>0</v>
      </c>
      <c r="F52" s="274"/>
      <c r="G52" s="273">
        <f>G53+G54+G55</f>
        <v>5320740</v>
      </c>
      <c r="H52" s="273">
        <f t="shared" si="2"/>
        <v>0</v>
      </c>
      <c r="I52" s="274"/>
      <c r="J52" s="273">
        <f>J53+J54+J55</f>
        <v>5320740</v>
      </c>
      <c r="K52" s="273">
        <f t="shared" si="3"/>
        <v>0</v>
      </c>
      <c r="L52" s="274"/>
      <c r="M52" s="273">
        <f>M53+M54+M55</f>
        <v>5320740</v>
      </c>
      <c r="N52" s="273">
        <f t="shared" si="4"/>
        <v>0</v>
      </c>
      <c r="O52" s="274"/>
    </row>
    <row r="53" spans="1:15" s="276" customFormat="1" ht="13.2" x14ac:dyDescent="0.25">
      <c r="A53" s="266" t="s">
        <v>108</v>
      </c>
      <c r="B53" s="267" t="s">
        <v>109</v>
      </c>
      <c r="C53" s="23">
        <v>723948</v>
      </c>
      <c r="D53" s="23">
        <f t="shared" ref="D53:D65" si="14">ROUND(C53,0)</f>
        <v>723948</v>
      </c>
      <c r="E53" s="275">
        <f t="shared" si="1"/>
        <v>0</v>
      </c>
      <c r="F53" s="24"/>
      <c r="G53" s="275">
        <f t="shared" ref="G53:G60" si="15">ROUND(D53,0)</f>
        <v>723948</v>
      </c>
      <c r="H53" s="275">
        <f t="shared" si="2"/>
        <v>0</v>
      </c>
      <c r="I53" s="24"/>
      <c r="J53" s="275">
        <f t="shared" ref="J53:J60" si="16">ROUND(G53,0)</f>
        <v>723948</v>
      </c>
      <c r="K53" s="275">
        <f t="shared" si="3"/>
        <v>0</v>
      </c>
      <c r="L53" s="24"/>
      <c r="M53" s="275">
        <f t="shared" ref="M53:M60" si="17">ROUND(J53,0)</f>
        <v>723948</v>
      </c>
      <c r="N53" s="275">
        <f t="shared" si="4"/>
        <v>0</v>
      </c>
      <c r="O53" s="24"/>
    </row>
    <row r="54" spans="1:15" s="276" customFormat="1" ht="13.2" x14ac:dyDescent="0.25">
      <c r="A54" s="266" t="s">
        <v>110</v>
      </c>
      <c r="B54" s="267" t="s">
        <v>111</v>
      </c>
      <c r="C54" s="23">
        <v>4279428</v>
      </c>
      <c r="D54" s="23">
        <f>ROUND(C54,0)</f>
        <v>4279428</v>
      </c>
      <c r="E54" s="275">
        <f t="shared" si="1"/>
        <v>0</v>
      </c>
      <c r="F54" s="24"/>
      <c r="G54" s="275">
        <f t="shared" si="15"/>
        <v>4279428</v>
      </c>
      <c r="H54" s="275">
        <f t="shared" si="2"/>
        <v>0</v>
      </c>
      <c r="I54" s="24"/>
      <c r="J54" s="275">
        <f t="shared" si="16"/>
        <v>4279428</v>
      </c>
      <c r="K54" s="275">
        <f t="shared" si="3"/>
        <v>0</v>
      </c>
      <c r="L54" s="24"/>
      <c r="M54" s="275">
        <f t="shared" si="17"/>
        <v>4279428</v>
      </c>
      <c r="N54" s="275">
        <f t="shared" si="4"/>
        <v>0</v>
      </c>
      <c r="O54" s="24"/>
    </row>
    <row r="55" spans="1:15" s="276" customFormat="1" ht="13.2" x14ac:dyDescent="0.25">
      <c r="A55" s="266" t="s">
        <v>112</v>
      </c>
      <c r="B55" s="267" t="s">
        <v>113</v>
      </c>
      <c r="C55" s="23">
        <v>317364</v>
      </c>
      <c r="D55" s="23">
        <f t="shared" si="14"/>
        <v>317364</v>
      </c>
      <c r="E55" s="277">
        <f t="shared" si="1"/>
        <v>0</v>
      </c>
      <c r="F55" s="25"/>
      <c r="G55" s="275">
        <f t="shared" si="15"/>
        <v>317364</v>
      </c>
      <c r="H55" s="277">
        <f t="shared" si="2"/>
        <v>0</v>
      </c>
      <c r="I55" s="25"/>
      <c r="J55" s="275">
        <f t="shared" si="16"/>
        <v>317364</v>
      </c>
      <c r="K55" s="277">
        <f t="shared" si="3"/>
        <v>0</v>
      </c>
      <c r="L55" s="25"/>
      <c r="M55" s="275">
        <f t="shared" si="17"/>
        <v>317364</v>
      </c>
      <c r="N55" s="277">
        <f t="shared" si="4"/>
        <v>0</v>
      </c>
      <c r="O55" s="25"/>
    </row>
    <row r="56" spans="1:15" ht="31.5" customHeight="1" x14ac:dyDescent="0.25">
      <c r="A56" s="266" t="s">
        <v>114</v>
      </c>
      <c r="B56" s="260" t="s">
        <v>115</v>
      </c>
      <c r="C56" s="12">
        <v>13088</v>
      </c>
      <c r="D56" s="12">
        <f t="shared" si="14"/>
        <v>13088</v>
      </c>
      <c r="E56" s="261">
        <f t="shared" si="1"/>
        <v>0</v>
      </c>
      <c r="F56" s="16"/>
      <c r="G56" s="261">
        <f t="shared" si="15"/>
        <v>13088</v>
      </c>
      <c r="H56" s="261">
        <f t="shared" si="2"/>
        <v>0</v>
      </c>
      <c r="I56" s="16"/>
      <c r="J56" s="261">
        <f t="shared" si="16"/>
        <v>13088</v>
      </c>
      <c r="K56" s="261">
        <f t="shared" si="3"/>
        <v>0</v>
      </c>
      <c r="L56" s="16"/>
      <c r="M56" s="261">
        <f t="shared" si="17"/>
        <v>13088</v>
      </c>
      <c r="N56" s="261">
        <f t="shared" si="4"/>
        <v>0</v>
      </c>
      <c r="O56" s="16"/>
    </row>
    <row r="57" spans="1:15" ht="19.2" customHeight="1" x14ac:dyDescent="0.25">
      <c r="A57" s="266" t="s">
        <v>116</v>
      </c>
      <c r="B57" s="260" t="s">
        <v>117</v>
      </c>
      <c r="C57" s="12">
        <v>16104</v>
      </c>
      <c r="D57" s="12">
        <f>ROUND(C57,0)-2011</f>
        <v>14093</v>
      </c>
      <c r="E57" s="261">
        <f t="shared" si="1"/>
        <v>-2011</v>
      </c>
      <c r="F57" s="13" t="s">
        <v>118</v>
      </c>
      <c r="G57" s="261">
        <f t="shared" si="15"/>
        <v>14093</v>
      </c>
      <c r="H57" s="261">
        <f t="shared" si="2"/>
        <v>0</v>
      </c>
      <c r="I57" s="13"/>
      <c r="J57" s="261">
        <f t="shared" si="16"/>
        <v>14093</v>
      </c>
      <c r="K57" s="261">
        <f t="shared" si="3"/>
        <v>0</v>
      </c>
      <c r="L57" s="13"/>
      <c r="M57" s="261">
        <f t="shared" si="17"/>
        <v>14093</v>
      </c>
      <c r="N57" s="261">
        <f t="shared" si="4"/>
        <v>0</v>
      </c>
      <c r="O57" s="13"/>
    </row>
    <row r="58" spans="1:15" ht="19.2" customHeight="1" x14ac:dyDescent="0.25">
      <c r="A58" s="266" t="s">
        <v>119</v>
      </c>
      <c r="B58" s="260" t="s">
        <v>120</v>
      </c>
      <c r="C58" s="12">
        <v>6454</v>
      </c>
      <c r="D58" s="12">
        <f>ROUND(C58,0)-2786</f>
        <v>3668</v>
      </c>
      <c r="E58" s="261">
        <f t="shared" si="1"/>
        <v>-2786</v>
      </c>
      <c r="F58" s="13" t="s">
        <v>118</v>
      </c>
      <c r="G58" s="261">
        <f t="shared" si="15"/>
        <v>3668</v>
      </c>
      <c r="H58" s="261">
        <f t="shared" si="2"/>
        <v>0</v>
      </c>
      <c r="I58" s="13"/>
      <c r="J58" s="261">
        <f t="shared" si="16"/>
        <v>3668</v>
      </c>
      <c r="K58" s="261">
        <f t="shared" si="3"/>
        <v>0</v>
      </c>
      <c r="L58" s="13"/>
      <c r="M58" s="261">
        <f t="shared" si="17"/>
        <v>3668</v>
      </c>
      <c r="N58" s="261">
        <f t="shared" si="4"/>
        <v>0</v>
      </c>
      <c r="O58" s="13"/>
    </row>
    <row r="59" spans="1:15" ht="18.600000000000001" customHeight="1" x14ac:dyDescent="0.25">
      <c r="A59" s="266" t="s">
        <v>121</v>
      </c>
      <c r="B59" s="260" t="s">
        <v>122</v>
      </c>
      <c r="C59" s="12">
        <v>421092</v>
      </c>
      <c r="D59" s="12">
        <f t="shared" si="14"/>
        <v>421092</v>
      </c>
      <c r="E59" s="261">
        <f t="shared" si="1"/>
        <v>0</v>
      </c>
      <c r="F59" s="20"/>
      <c r="G59" s="261">
        <f t="shared" si="15"/>
        <v>421092</v>
      </c>
      <c r="H59" s="261">
        <f t="shared" si="2"/>
        <v>0</v>
      </c>
      <c r="I59" s="20"/>
      <c r="J59" s="261">
        <f t="shared" si="16"/>
        <v>421092</v>
      </c>
      <c r="K59" s="261">
        <f t="shared" si="3"/>
        <v>0</v>
      </c>
      <c r="L59" s="20"/>
      <c r="M59" s="261">
        <f t="shared" si="17"/>
        <v>421092</v>
      </c>
      <c r="N59" s="261">
        <f t="shared" si="4"/>
        <v>0</v>
      </c>
      <c r="O59" s="20"/>
    </row>
    <row r="60" spans="1:15" ht="31.5" customHeight="1" x14ac:dyDescent="0.25">
      <c r="A60" s="266" t="s">
        <v>123</v>
      </c>
      <c r="B60" s="260" t="s">
        <v>124</v>
      </c>
      <c r="C60" s="12">
        <v>25954</v>
      </c>
      <c r="D60" s="12">
        <f t="shared" si="14"/>
        <v>25954</v>
      </c>
      <c r="E60" s="261">
        <f t="shared" si="1"/>
        <v>0</v>
      </c>
      <c r="F60" s="13"/>
      <c r="G60" s="261">
        <f t="shared" si="15"/>
        <v>25954</v>
      </c>
      <c r="H60" s="261">
        <f t="shared" si="2"/>
        <v>0</v>
      </c>
      <c r="I60" s="13"/>
      <c r="J60" s="261">
        <f t="shared" si="16"/>
        <v>25954</v>
      </c>
      <c r="K60" s="261">
        <f t="shared" si="3"/>
        <v>0</v>
      </c>
      <c r="L60" s="13"/>
      <c r="M60" s="261">
        <f t="shared" si="17"/>
        <v>25954</v>
      </c>
      <c r="N60" s="261">
        <f t="shared" si="4"/>
        <v>0</v>
      </c>
      <c r="O60" s="13"/>
    </row>
    <row r="61" spans="1:15" ht="31.5" hidden="1" customHeight="1" outlineLevel="1" x14ac:dyDescent="0.25">
      <c r="A61" s="266"/>
      <c r="B61" s="260" t="s">
        <v>125</v>
      </c>
      <c r="C61" s="12"/>
      <c r="D61" s="12"/>
      <c r="E61" s="261"/>
      <c r="F61" s="13"/>
      <c r="G61" s="261"/>
      <c r="H61" s="261">
        <f t="shared" si="2"/>
        <v>0</v>
      </c>
      <c r="I61" s="13"/>
      <c r="J61" s="261"/>
      <c r="K61" s="261">
        <f t="shared" si="3"/>
        <v>0</v>
      </c>
      <c r="L61" s="13"/>
      <c r="M61" s="261"/>
      <c r="N61" s="261">
        <f t="shared" si="4"/>
        <v>0</v>
      </c>
      <c r="O61" s="13"/>
    </row>
    <row r="62" spans="1:15" ht="16.5" customHeight="1" collapsed="1" x14ac:dyDescent="0.25">
      <c r="A62" s="266" t="s">
        <v>126</v>
      </c>
      <c r="B62" s="278" t="s">
        <v>127</v>
      </c>
      <c r="C62" s="12">
        <v>342263</v>
      </c>
      <c r="D62" s="12">
        <f t="shared" si="14"/>
        <v>342263</v>
      </c>
      <c r="E62" s="261">
        <f t="shared" si="1"/>
        <v>0</v>
      </c>
      <c r="F62" s="13"/>
      <c r="G62" s="261">
        <f>ROUND(D62,0)+32585</f>
        <v>374848</v>
      </c>
      <c r="H62" s="261">
        <f t="shared" si="2"/>
        <v>32585</v>
      </c>
      <c r="I62" s="13" t="s">
        <v>128</v>
      </c>
      <c r="J62" s="261">
        <f>ROUND(G62,0)</f>
        <v>374848</v>
      </c>
      <c r="K62" s="261">
        <f t="shared" si="3"/>
        <v>0</v>
      </c>
      <c r="L62" s="13"/>
      <c r="M62" s="261">
        <f>ROUND(J62,0)</f>
        <v>374848</v>
      </c>
      <c r="N62" s="261">
        <f t="shared" si="4"/>
        <v>0</v>
      </c>
      <c r="O62" s="13"/>
    </row>
    <row r="63" spans="1:15" ht="58.95" customHeight="1" x14ac:dyDescent="0.25">
      <c r="A63" s="266"/>
      <c r="B63" s="260" t="s">
        <v>129</v>
      </c>
      <c r="C63" s="12">
        <v>0</v>
      </c>
      <c r="D63" s="12">
        <f t="shared" si="14"/>
        <v>0</v>
      </c>
      <c r="E63" s="261">
        <f t="shared" si="1"/>
        <v>0</v>
      </c>
      <c r="F63" s="20"/>
      <c r="G63" s="261">
        <f>ROUND(D63,0)</f>
        <v>0</v>
      </c>
      <c r="H63" s="261">
        <f t="shared" si="2"/>
        <v>0</v>
      </c>
      <c r="I63" s="20"/>
      <c r="J63" s="261">
        <f>ROUND(G63,0)</f>
        <v>0</v>
      </c>
      <c r="K63" s="261">
        <f t="shared" si="3"/>
        <v>0</v>
      </c>
      <c r="L63" s="20"/>
      <c r="M63" s="261">
        <f>ROUND(J63,0)</f>
        <v>0</v>
      </c>
      <c r="N63" s="261">
        <f t="shared" si="4"/>
        <v>0</v>
      </c>
      <c r="O63" s="20"/>
    </row>
    <row r="64" spans="1:15" ht="15.6" customHeight="1" x14ac:dyDescent="0.25">
      <c r="A64" s="266" t="s">
        <v>130</v>
      </c>
      <c r="B64" s="260" t="s">
        <v>131</v>
      </c>
      <c r="C64" s="12">
        <v>50000</v>
      </c>
      <c r="D64" s="12">
        <f t="shared" si="14"/>
        <v>50000</v>
      </c>
      <c r="E64" s="261">
        <f t="shared" si="1"/>
        <v>0</v>
      </c>
      <c r="F64" s="20"/>
      <c r="G64" s="261">
        <f>ROUND(D64,0)+20000</f>
        <v>70000</v>
      </c>
      <c r="H64" s="261">
        <f t="shared" si="2"/>
        <v>20000</v>
      </c>
      <c r="I64" s="20" t="s">
        <v>132</v>
      </c>
      <c r="J64" s="261">
        <f>ROUND(G64,0)</f>
        <v>70000</v>
      </c>
      <c r="K64" s="261">
        <f t="shared" si="3"/>
        <v>0</v>
      </c>
      <c r="L64" s="20"/>
      <c r="M64" s="261">
        <f>ROUND(J64,0)</f>
        <v>70000</v>
      </c>
      <c r="N64" s="261">
        <f t="shared" si="4"/>
        <v>0</v>
      </c>
      <c r="O64" s="20"/>
    </row>
    <row r="65" spans="1:15" ht="17.399999999999999" customHeight="1" x14ac:dyDescent="0.25">
      <c r="A65" s="266" t="s">
        <v>133</v>
      </c>
      <c r="B65" s="260" t="s">
        <v>134</v>
      </c>
      <c r="C65" s="12">
        <v>400000</v>
      </c>
      <c r="D65" s="12">
        <f t="shared" si="14"/>
        <v>400000</v>
      </c>
      <c r="E65" s="261">
        <f t="shared" si="1"/>
        <v>0</v>
      </c>
      <c r="F65" s="20"/>
      <c r="G65" s="261">
        <f>ROUND(D65,0)</f>
        <v>400000</v>
      </c>
      <c r="H65" s="261">
        <f t="shared" si="2"/>
        <v>0</v>
      </c>
      <c r="I65" s="20"/>
      <c r="J65" s="261">
        <f>ROUND(G65,0)+263500</f>
        <v>663500</v>
      </c>
      <c r="K65" s="261">
        <f t="shared" si="3"/>
        <v>263500</v>
      </c>
      <c r="L65" s="20" t="s">
        <v>135</v>
      </c>
      <c r="M65" s="261">
        <f>ROUND(J65,0)</f>
        <v>663500</v>
      </c>
      <c r="N65" s="261">
        <f t="shared" si="4"/>
        <v>0</v>
      </c>
      <c r="O65" s="20"/>
    </row>
    <row r="66" spans="1:15" ht="43.8" customHeight="1" x14ac:dyDescent="0.25">
      <c r="A66" s="266" t="s">
        <v>136</v>
      </c>
      <c r="B66" s="260" t="s">
        <v>137</v>
      </c>
      <c r="C66" s="12">
        <v>138000</v>
      </c>
      <c r="D66" s="12">
        <f>ROUND(C66,0)</f>
        <v>138000</v>
      </c>
      <c r="E66" s="261">
        <f t="shared" si="1"/>
        <v>0</v>
      </c>
      <c r="F66" s="20"/>
      <c r="G66" s="261">
        <f>ROUND(D66,0)</f>
        <v>138000</v>
      </c>
      <c r="H66" s="261">
        <f t="shared" si="2"/>
        <v>0</v>
      </c>
      <c r="I66" s="20"/>
      <c r="J66" s="261">
        <f>ROUND(G66,0)+5841+7144</f>
        <v>150985</v>
      </c>
      <c r="K66" s="261">
        <f t="shared" si="3"/>
        <v>12985</v>
      </c>
      <c r="L66" s="20" t="s">
        <v>138</v>
      </c>
      <c r="M66" s="261">
        <f>ROUND(J66,0)</f>
        <v>150985</v>
      </c>
      <c r="N66" s="261">
        <f t="shared" si="4"/>
        <v>0</v>
      </c>
      <c r="O66" s="20"/>
    </row>
    <row r="67" spans="1:15" ht="32.25" customHeight="1" x14ac:dyDescent="0.25">
      <c r="A67" s="270" t="s">
        <v>139</v>
      </c>
      <c r="B67" s="271" t="s">
        <v>140</v>
      </c>
      <c r="C67" s="26">
        <v>1652241.49</v>
      </c>
      <c r="D67" s="26">
        <f>SUM(D68:D87)</f>
        <v>1652241</v>
      </c>
      <c r="E67" s="272">
        <f t="shared" si="1"/>
        <v>-0.48999999999068677</v>
      </c>
      <c r="F67" s="27"/>
      <c r="G67" s="272">
        <f>SUM(G68:G87)</f>
        <v>1657241</v>
      </c>
      <c r="H67" s="272">
        <f t="shared" si="2"/>
        <v>5000</v>
      </c>
      <c r="I67" s="27"/>
      <c r="J67" s="272">
        <f>SUM(J68:J87)</f>
        <v>1657241</v>
      </c>
      <c r="K67" s="272">
        <f t="shared" si="3"/>
        <v>0</v>
      </c>
      <c r="L67" s="27"/>
      <c r="M67" s="272">
        <f>SUM(M68:M87)</f>
        <v>1657241</v>
      </c>
      <c r="N67" s="272">
        <f t="shared" si="4"/>
        <v>0</v>
      </c>
      <c r="O67" s="27"/>
    </row>
    <row r="68" spans="1:15" x14ac:dyDescent="0.25">
      <c r="A68" s="266" t="s">
        <v>141</v>
      </c>
      <c r="B68" s="279" t="s">
        <v>142</v>
      </c>
      <c r="C68" s="12">
        <v>7417</v>
      </c>
      <c r="D68" s="12">
        <f t="shared" ref="D68:D88" si="18">ROUND(C68,0)</f>
        <v>7417</v>
      </c>
      <c r="E68" s="261">
        <f t="shared" si="1"/>
        <v>0</v>
      </c>
      <c r="F68" s="28"/>
      <c r="G68" s="261">
        <f t="shared" ref="G68:G81" si="19">ROUND(D68,0)</f>
        <v>7417</v>
      </c>
      <c r="H68" s="261">
        <f t="shared" si="2"/>
        <v>0</v>
      </c>
      <c r="I68" s="28"/>
      <c r="J68" s="261">
        <f t="shared" ref="J68:J81" si="20">ROUND(G68,0)</f>
        <v>7417</v>
      </c>
      <c r="K68" s="261">
        <f t="shared" si="3"/>
        <v>0</v>
      </c>
      <c r="L68" s="28"/>
      <c r="M68" s="261">
        <f t="shared" ref="M68:M81" si="21">ROUND(J68,0)</f>
        <v>7417</v>
      </c>
      <c r="N68" s="261">
        <f t="shared" si="4"/>
        <v>0</v>
      </c>
      <c r="O68" s="28"/>
    </row>
    <row r="69" spans="1:15" x14ac:dyDescent="0.25">
      <c r="A69" s="266" t="s">
        <v>143</v>
      </c>
      <c r="B69" s="279" t="s">
        <v>144</v>
      </c>
      <c r="C69" s="12">
        <v>109839.1</v>
      </c>
      <c r="D69" s="12">
        <f t="shared" si="18"/>
        <v>109839</v>
      </c>
      <c r="E69" s="261">
        <f t="shared" si="1"/>
        <v>-0.10000000000582077</v>
      </c>
      <c r="F69" s="17"/>
      <c r="G69" s="261">
        <f t="shared" si="19"/>
        <v>109839</v>
      </c>
      <c r="H69" s="261">
        <f t="shared" si="2"/>
        <v>0</v>
      </c>
      <c r="I69" s="17"/>
      <c r="J69" s="261">
        <f t="shared" si="20"/>
        <v>109839</v>
      </c>
      <c r="K69" s="261">
        <f t="shared" si="3"/>
        <v>0</v>
      </c>
      <c r="L69" s="17"/>
      <c r="M69" s="261">
        <f t="shared" si="21"/>
        <v>109839</v>
      </c>
      <c r="N69" s="261">
        <f t="shared" si="4"/>
        <v>0</v>
      </c>
      <c r="O69" s="17"/>
    </row>
    <row r="70" spans="1:15" ht="27.6" hidden="1" outlineLevel="1" x14ac:dyDescent="0.25">
      <c r="A70" s="266" t="s">
        <v>145</v>
      </c>
      <c r="B70" s="279" t="s">
        <v>146</v>
      </c>
      <c r="C70" s="12">
        <v>0</v>
      </c>
      <c r="D70" s="12">
        <f t="shared" si="18"/>
        <v>0</v>
      </c>
      <c r="E70" s="261">
        <f t="shared" si="1"/>
        <v>0</v>
      </c>
      <c r="F70" s="20"/>
      <c r="G70" s="261">
        <f t="shared" si="19"/>
        <v>0</v>
      </c>
      <c r="H70" s="261">
        <f t="shared" si="2"/>
        <v>0</v>
      </c>
      <c r="I70" s="20"/>
      <c r="J70" s="261">
        <f t="shared" si="20"/>
        <v>0</v>
      </c>
      <c r="K70" s="261">
        <f t="shared" si="3"/>
        <v>0</v>
      </c>
      <c r="L70" s="20"/>
      <c r="M70" s="261">
        <f t="shared" si="21"/>
        <v>0</v>
      </c>
      <c r="N70" s="261">
        <f t="shared" si="4"/>
        <v>0</v>
      </c>
      <c r="O70" s="20"/>
    </row>
    <row r="71" spans="1:15" ht="41.4" hidden="1" outlineLevel="1" x14ac:dyDescent="0.25">
      <c r="A71" s="266" t="s">
        <v>147</v>
      </c>
      <c r="B71" s="279" t="s">
        <v>148</v>
      </c>
      <c r="C71" s="12">
        <v>0</v>
      </c>
      <c r="D71" s="12">
        <f t="shared" si="18"/>
        <v>0</v>
      </c>
      <c r="E71" s="261">
        <f t="shared" si="1"/>
        <v>0</v>
      </c>
      <c r="F71" s="17"/>
      <c r="G71" s="261">
        <f t="shared" si="19"/>
        <v>0</v>
      </c>
      <c r="H71" s="261">
        <f t="shared" si="2"/>
        <v>0</v>
      </c>
      <c r="I71" s="17"/>
      <c r="J71" s="261">
        <f t="shared" si="20"/>
        <v>0</v>
      </c>
      <c r="K71" s="261">
        <f t="shared" si="3"/>
        <v>0</v>
      </c>
      <c r="L71" s="17"/>
      <c r="M71" s="261">
        <f t="shared" si="21"/>
        <v>0</v>
      </c>
      <c r="N71" s="261">
        <f t="shared" si="4"/>
        <v>0</v>
      </c>
      <c r="O71" s="17"/>
    </row>
    <row r="72" spans="1:15" ht="41.4" hidden="1" outlineLevel="1" x14ac:dyDescent="0.25">
      <c r="A72" s="266" t="s">
        <v>149</v>
      </c>
      <c r="B72" s="279" t="s">
        <v>150</v>
      </c>
      <c r="C72" s="12">
        <v>0</v>
      </c>
      <c r="D72" s="12">
        <f t="shared" si="18"/>
        <v>0</v>
      </c>
      <c r="E72" s="261">
        <f t="shared" ref="E72:E127" si="22">D72-C72</f>
        <v>0</v>
      </c>
      <c r="F72" s="18"/>
      <c r="G72" s="261">
        <f t="shared" si="19"/>
        <v>0</v>
      </c>
      <c r="H72" s="261">
        <f t="shared" si="2"/>
        <v>0</v>
      </c>
      <c r="I72" s="18"/>
      <c r="J72" s="261">
        <f t="shared" si="20"/>
        <v>0</v>
      </c>
      <c r="K72" s="261">
        <f t="shared" si="3"/>
        <v>0</v>
      </c>
      <c r="L72" s="18"/>
      <c r="M72" s="261">
        <f t="shared" si="21"/>
        <v>0</v>
      </c>
      <c r="N72" s="261">
        <f t="shared" si="4"/>
        <v>0</v>
      </c>
      <c r="O72" s="18"/>
    </row>
    <row r="73" spans="1:15" ht="27.6" collapsed="1" x14ac:dyDescent="0.25">
      <c r="A73" s="266" t="s">
        <v>151</v>
      </c>
      <c r="B73" s="279" t="s">
        <v>152</v>
      </c>
      <c r="C73" s="12">
        <v>81714</v>
      </c>
      <c r="D73" s="12">
        <f t="shared" si="18"/>
        <v>81714</v>
      </c>
      <c r="E73" s="261">
        <f t="shared" si="22"/>
        <v>0</v>
      </c>
      <c r="F73" s="29"/>
      <c r="G73" s="261">
        <f t="shared" si="19"/>
        <v>81714</v>
      </c>
      <c r="H73" s="261">
        <f t="shared" ref="H73:H127" si="23">G73-D73</f>
        <v>0</v>
      </c>
      <c r="I73" s="29"/>
      <c r="J73" s="261">
        <f t="shared" si="20"/>
        <v>81714</v>
      </c>
      <c r="K73" s="261">
        <f t="shared" ref="K73:K127" si="24">J73-G73</f>
        <v>0</v>
      </c>
      <c r="L73" s="29"/>
      <c r="M73" s="261">
        <f t="shared" si="21"/>
        <v>81714</v>
      </c>
      <c r="N73" s="261">
        <f t="shared" ref="N73:N127" si="25">M73-J73</f>
        <v>0</v>
      </c>
      <c r="O73" s="29"/>
    </row>
    <row r="74" spans="1:15" ht="27.6" x14ac:dyDescent="0.25">
      <c r="A74" s="266" t="s">
        <v>153</v>
      </c>
      <c r="B74" s="279" t="s">
        <v>154</v>
      </c>
      <c r="C74" s="12">
        <v>117147</v>
      </c>
      <c r="D74" s="12">
        <f t="shared" si="18"/>
        <v>117147</v>
      </c>
      <c r="E74" s="261">
        <f t="shared" si="22"/>
        <v>0</v>
      </c>
      <c r="F74" s="29"/>
      <c r="G74" s="261">
        <f t="shared" si="19"/>
        <v>117147</v>
      </c>
      <c r="H74" s="261">
        <f t="shared" si="23"/>
        <v>0</v>
      </c>
      <c r="I74" s="29"/>
      <c r="J74" s="261">
        <f t="shared" si="20"/>
        <v>117147</v>
      </c>
      <c r="K74" s="261">
        <f t="shared" si="24"/>
        <v>0</v>
      </c>
      <c r="L74" s="29"/>
      <c r="M74" s="261">
        <f t="shared" si="21"/>
        <v>117147</v>
      </c>
      <c r="N74" s="261">
        <f t="shared" si="25"/>
        <v>0</v>
      </c>
      <c r="O74" s="29"/>
    </row>
    <row r="75" spans="1:15" x14ac:dyDescent="0.25">
      <c r="A75" s="266" t="s">
        <v>155</v>
      </c>
      <c r="B75" s="279" t="s">
        <v>156</v>
      </c>
      <c r="C75" s="12">
        <v>291947</v>
      </c>
      <c r="D75" s="12">
        <f t="shared" si="18"/>
        <v>291947</v>
      </c>
      <c r="E75" s="261">
        <f t="shared" si="22"/>
        <v>0</v>
      </c>
      <c r="F75" s="29"/>
      <c r="G75" s="261">
        <f t="shared" si="19"/>
        <v>291947</v>
      </c>
      <c r="H75" s="261">
        <f t="shared" si="23"/>
        <v>0</v>
      </c>
      <c r="I75" s="29"/>
      <c r="J75" s="261">
        <f t="shared" si="20"/>
        <v>291947</v>
      </c>
      <c r="K75" s="261">
        <f t="shared" si="24"/>
        <v>0</v>
      </c>
      <c r="L75" s="29"/>
      <c r="M75" s="261">
        <f t="shared" si="21"/>
        <v>291947</v>
      </c>
      <c r="N75" s="261">
        <f t="shared" si="25"/>
        <v>0</v>
      </c>
      <c r="O75" s="29"/>
    </row>
    <row r="76" spans="1:15" ht="27.6" x14ac:dyDescent="0.25">
      <c r="A76" s="266" t="s">
        <v>157</v>
      </c>
      <c r="B76" s="279" t="s">
        <v>158</v>
      </c>
      <c r="C76" s="12">
        <v>104321.39</v>
      </c>
      <c r="D76" s="12">
        <f t="shared" si="18"/>
        <v>104321</v>
      </c>
      <c r="E76" s="261">
        <f t="shared" si="22"/>
        <v>-0.38999999999941792</v>
      </c>
      <c r="F76" s="29"/>
      <c r="G76" s="261">
        <f t="shared" si="19"/>
        <v>104321</v>
      </c>
      <c r="H76" s="261">
        <f t="shared" si="23"/>
        <v>0</v>
      </c>
      <c r="I76" s="29"/>
      <c r="J76" s="261">
        <f t="shared" si="20"/>
        <v>104321</v>
      </c>
      <c r="K76" s="261">
        <f t="shared" si="24"/>
        <v>0</v>
      </c>
      <c r="L76" s="29"/>
      <c r="M76" s="261">
        <f t="shared" si="21"/>
        <v>104321</v>
      </c>
      <c r="N76" s="261">
        <f t="shared" si="25"/>
        <v>0</v>
      </c>
      <c r="O76" s="29"/>
    </row>
    <row r="77" spans="1:15" x14ac:dyDescent="0.25">
      <c r="A77" s="266" t="s">
        <v>159</v>
      </c>
      <c r="B77" s="281" t="s">
        <v>160</v>
      </c>
      <c r="C77" s="12">
        <v>40898</v>
      </c>
      <c r="D77" s="12">
        <f t="shared" si="18"/>
        <v>40898</v>
      </c>
      <c r="E77" s="261">
        <f t="shared" si="22"/>
        <v>0</v>
      </c>
      <c r="F77" s="29"/>
      <c r="G77" s="261">
        <f t="shared" si="19"/>
        <v>40898</v>
      </c>
      <c r="H77" s="261">
        <f t="shared" si="23"/>
        <v>0</v>
      </c>
      <c r="I77" s="29"/>
      <c r="J77" s="261">
        <f t="shared" si="20"/>
        <v>40898</v>
      </c>
      <c r="K77" s="261">
        <f t="shared" si="24"/>
        <v>0</v>
      </c>
      <c r="L77" s="29"/>
      <c r="M77" s="261">
        <f t="shared" si="21"/>
        <v>40898</v>
      </c>
      <c r="N77" s="261">
        <f t="shared" si="25"/>
        <v>0</v>
      </c>
      <c r="O77" s="29"/>
    </row>
    <row r="78" spans="1:15" ht="27.6" hidden="1" outlineLevel="1" x14ac:dyDescent="0.25">
      <c r="A78" s="266" t="s">
        <v>161</v>
      </c>
      <c r="B78" s="279" t="s">
        <v>162</v>
      </c>
      <c r="C78" s="12">
        <v>0</v>
      </c>
      <c r="D78" s="12">
        <f t="shared" si="18"/>
        <v>0</v>
      </c>
      <c r="E78" s="261">
        <f t="shared" si="22"/>
        <v>0</v>
      </c>
      <c r="F78" s="29"/>
      <c r="G78" s="261">
        <f t="shared" si="19"/>
        <v>0</v>
      </c>
      <c r="H78" s="261">
        <f t="shared" si="23"/>
        <v>0</v>
      </c>
      <c r="I78" s="29"/>
      <c r="J78" s="261">
        <f t="shared" si="20"/>
        <v>0</v>
      </c>
      <c r="K78" s="261">
        <f t="shared" si="24"/>
        <v>0</v>
      </c>
      <c r="L78" s="29"/>
      <c r="M78" s="261">
        <f t="shared" si="21"/>
        <v>0</v>
      </c>
      <c r="N78" s="261">
        <f t="shared" si="25"/>
        <v>0</v>
      </c>
      <c r="O78" s="29"/>
    </row>
    <row r="79" spans="1:15" ht="27.6" hidden="1" outlineLevel="1" x14ac:dyDescent="0.25">
      <c r="A79" s="266" t="s">
        <v>163</v>
      </c>
      <c r="B79" s="279" t="s">
        <v>164</v>
      </c>
      <c r="C79" s="12">
        <v>0</v>
      </c>
      <c r="D79" s="12">
        <f t="shared" si="18"/>
        <v>0</v>
      </c>
      <c r="E79" s="261">
        <f t="shared" si="22"/>
        <v>0</v>
      </c>
      <c r="F79" s="29"/>
      <c r="G79" s="261">
        <f t="shared" si="19"/>
        <v>0</v>
      </c>
      <c r="H79" s="261">
        <f t="shared" si="23"/>
        <v>0</v>
      </c>
      <c r="I79" s="29"/>
      <c r="J79" s="261">
        <f t="shared" si="20"/>
        <v>0</v>
      </c>
      <c r="K79" s="261">
        <f t="shared" si="24"/>
        <v>0</v>
      </c>
      <c r="L79" s="29"/>
      <c r="M79" s="261">
        <f t="shared" si="21"/>
        <v>0</v>
      </c>
      <c r="N79" s="261">
        <f t="shared" si="25"/>
        <v>0</v>
      </c>
      <c r="O79" s="29"/>
    </row>
    <row r="80" spans="1:15" collapsed="1" x14ac:dyDescent="0.25">
      <c r="A80" s="266" t="s">
        <v>165</v>
      </c>
      <c r="B80" s="279" t="s">
        <v>166</v>
      </c>
      <c r="C80" s="12">
        <v>202410</v>
      </c>
      <c r="D80" s="12">
        <f t="shared" si="18"/>
        <v>202410</v>
      </c>
      <c r="E80" s="261">
        <f t="shared" si="22"/>
        <v>0</v>
      </c>
      <c r="F80" s="29"/>
      <c r="G80" s="261">
        <f t="shared" si="19"/>
        <v>202410</v>
      </c>
      <c r="H80" s="261">
        <f t="shared" si="23"/>
        <v>0</v>
      </c>
      <c r="I80" s="29"/>
      <c r="J80" s="261">
        <f t="shared" si="20"/>
        <v>202410</v>
      </c>
      <c r="K80" s="261">
        <f t="shared" si="24"/>
        <v>0</v>
      </c>
      <c r="L80" s="29"/>
      <c r="M80" s="261">
        <f t="shared" si="21"/>
        <v>202410</v>
      </c>
      <c r="N80" s="261">
        <f t="shared" si="25"/>
        <v>0</v>
      </c>
      <c r="O80" s="29"/>
    </row>
    <row r="81" spans="1:15" ht="27.6" hidden="1" outlineLevel="1" x14ac:dyDescent="0.25">
      <c r="A81" s="266" t="s">
        <v>167</v>
      </c>
      <c r="B81" s="279" t="s">
        <v>168</v>
      </c>
      <c r="C81" s="12">
        <v>0</v>
      </c>
      <c r="D81" s="12">
        <f t="shared" si="18"/>
        <v>0</v>
      </c>
      <c r="E81" s="261">
        <f t="shared" si="22"/>
        <v>0</v>
      </c>
      <c r="F81" s="29"/>
      <c r="G81" s="261">
        <f t="shared" si="19"/>
        <v>0</v>
      </c>
      <c r="H81" s="261">
        <f t="shared" si="23"/>
        <v>0</v>
      </c>
      <c r="I81" s="29"/>
      <c r="J81" s="261">
        <f t="shared" si="20"/>
        <v>0</v>
      </c>
      <c r="K81" s="261">
        <f t="shared" si="24"/>
        <v>0</v>
      </c>
      <c r="L81" s="29"/>
      <c r="M81" s="261">
        <f t="shared" si="21"/>
        <v>0</v>
      </c>
      <c r="N81" s="261">
        <f t="shared" si="25"/>
        <v>0</v>
      </c>
      <c r="O81" s="29"/>
    </row>
    <row r="82" spans="1:15" collapsed="1" x14ac:dyDescent="0.25">
      <c r="A82" s="266" t="s">
        <v>169</v>
      </c>
      <c r="B82" s="279" t="s">
        <v>170</v>
      </c>
      <c r="C82" s="12">
        <v>2464</v>
      </c>
      <c r="D82" s="12">
        <f t="shared" si="18"/>
        <v>2464</v>
      </c>
      <c r="E82" s="261">
        <f t="shared" si="22"/>
        <v>0</v>
      </c>
      <c r="F82" s="29"/>
      <c r="G82" s="261">
        <f>ROUND(D82,0)+5000</f>
        <v>7464</v>
      </c>
      <c r="H82" s="261">
        <f t="shared" si="23"/>
        <v>5000</v>
      </c>
      <c r="I82" s="29" t="s">
        <v>171</v>
      </c>
      <c r="J82" s="261">
        <f>ROUND(G82,0)</f>
        <v>7464</v>
      </c>
      <c r="K82" s="261">
        <f t="shared" si="24"/>
        <v>0</v>
      </c>
      <c r="L82" s="29"/>
      <c r="M82" s="261">
        <f>ROUND(J82,0)</f>
        <v>7464</v>
      </c>
      <c r="N82" s="261">
        <f t="shared" si="25"/>
        <v>0</v>
      </c>
      <c r="O82" s="29"/>
    </row>
    <row r="83" spans="1:15" ht="28.95" hidden="1" customHeight="1" outlineLevel="1" x14ac:dyDescent="0.25">
      <c r="A83" s="266" t="s">
        <v>172</v>
      </c>
      <c r="B83" s="279" t="s">
        <v>173</v>
      </c>
      <c r="C83" s="12">
        <v>0</v>
      </c>
      <c r="D83" s="12">
        <f t="shared" si="18"/>
        <v>0</v>
      </c>
      <c r="E83" s="261">
        <f t="shared" si="22"/>
        <v>0</v>
      </c>
      <c r="F83" s="29"/>
      <c r="G83" s="261">
        <f t="shared" ref="G83:G88" si="26">ROUND(D83,0)</f>
        <v>0</v>
      </c>
      <c r="H83" s="261">
        <f t="shared" si="23"/>
        <v>0</v>
      </c>
      <c r="I83" s="29"/>
      <c r="J83" s="261">
        <f t="shared" ref="J83:J88" si="27">ROUND(G83,0)</f>
        <v>0</v>
      </c>
      <c r="K83" s="261">
        <f t="shared" si="24"/>
        <v>0</v>
      </c>
      <c r="L83" s="29"/>
      <c r="M83" s="261">
        <f t="shared" ref="M83:M88" si="28">ROUND(J83,0)</f>
        <v>0</v>
      </c>
      <c r="N83" s="261">
        <f t="shared" si="25"/>
        <v>0</v>
      </c>
      <c r="O83" s="29"/>
    </row>
    <row r="84" spans="1:15" hidden="1" outlineLevel="1" x14ac:dyDescent="0.25">
      <c r="A84" s="266" t="s">
        <v>174</v>
      </c>
      <c r="B84" s="279" t="s">
        <v>175</v>
      </c>
      <c r="C84" s="12">
        <v>0</v>
      </c>
      <c r="D84" s="12">
        <f t="shared" si="18"/>
        <v>0</v>
      </c>
      <c r="E84" s="261">
        <f t="shared" si="22"/>
        <v>0</v>
      </c>
      <c r="F84" s="29"/>
      <c r="G84" s="261">
        <f t="shared" si="26"/>
        <v>0</v>
      </c>
      <c r="H84" s="261">
        <f t="shared" si="23"/>
        <v>0</v>
      </c>
      <c r="I84" s="29"/>
      <c r="J84" s="261">
        <f t="shared" si="27"/>
        <v>0</v>
      </c>
      <c r="K84" s="261">
        <f t="shared" si="24"/>
        <v>0</v>
      </c>
      <c r="L84" s="29"/>
      <c r="M84" s="261">
        <f t="shared" si="28"/>
        <v>0</v>
      </c>
      <c r="N84" s="261">
        <f t="shared" si="25"/>
        <v>0</v>
      </c>
      <c r="O84" s="29"/>
    </row>
    <row r="85" spans="1:15" ht="27.6" collapsed="1" x14ac:dyDescent="0.25">
      <c r="A85" s="266" t="s">
        <v>176</v>
      </c>
      <c r="B85" s="279" t="s">
        <v>177</v>
      </c>
      <c r="C85" s="12">
        <v>14100</v>
      </c>
      <c r="D85" s="12">
        <f t="shared" si="18"/>
        <v>14100</v>
      </c>
      <c r="E85" s="261">
        <f t="shared" si="22"/>
        <v>0</v>
      </c>
      <c r="F85" s="29"/>
      <c r="G85" s="261">
        <f t="shared" si="26"/>
        <v>14100</v>
      </c>
      <c r="H85" s="261">
        <f t="shared" si="23"/>
        <v>0</v>
      </c>
      <c r="I85" s="29"/>
      <c r="J85" s="261">
        <f t="shared" si="27"/>
        <v>14100</v>
      </c>
      <c r="K85" s="261">
        <f t="shared" si="24"/>
        <v>0</v>
      </c>
      <c r="L85" s="29"/>
      <c r="M85" s="261">
        <f t="shared" si="28"/>
        <v>14100</v>
      </c>
      <c r="N85" s="261">
        <f t="shared" si="25"/>
        <v>0</v>
      </c>
      <c r="O85" s="29"/>
    </row>
    <row r="86" spans="1:15" x14ac:dyDescent="0.25">
      <c r="A86" s="266" t="s">
        <v>178</v>
      </c>
      <c r="B86" s="281" t="s">
        <v>179</v>
      </c>
      <c r="C86" s="12">
        <v>382739</v>
      </c>
      <c r="D86" s="12">
        <f t="shared" si="18"/>
        <v>382739</v>
      </c>
      <c r="E86" s="261">
        <f t="shared" si="22"/>
        <v>0</v>
      </c>
      <c r="F86" s="29"/>
      <c r="G86" s="261">
        <f t="shared" si="26"/>
        <v>382739</v>
      </c>
      <c r="H86" s="261">
        <f t="shared" si="23"/>
        <v>0</v>
      </c>
      <c r="I86" s="29"/>
      <c r="J86" s="261">
        <f t="shared" si="27"/>
        <v>382739</v>
      </c>
      <c r="K86" s="261">
        <f t="shared" si="24"/>
        <v>0</v>
      </c>
      <c r="L86" s="29"/>
      <c r="M86" s="261">
        <f t="shared" si="28"/>
        <v>382739</v>
      </c>
      <c r="N86" s="261">
        <f t="shared" si="25"/>
        <v>0</v>
      </c>
      <c r="O86" s="29"/>
    </row>
    <row r="87" spans="1:15" ht="16.95" customHeight="1" x14ac:dyDescent="0.25">
      <c r="A87" s="266" t="s">
        <v>180</v>
      </c>
      <c r="B87" s="281" t="s">
        <v>181</v>
      </c>
      <c r="C87" s="12">
        <v>297245</v>
      </c>
      <c r="D87" s="12">
        <f t="shared" si="18"/>
        <v>297245</v>
      </c>
      <c r="E87" s="261">
        <f t="shared" si="22"/>
        <v>0</v>
      </c>
      <c r="F87" s="29"/>
      <c r="G87" s="261">
        <f t="shared" si="26"/>
        <v>297245</v>
      </c>
      <c r="H87" s="261">
        <f t="shared" si="23"/>
        <v>0</v>
      </c>
      <c r="I87" s="29"/>
      <c r="J87" s="261">
        <f t="shared" si="27"/>
        <v>297245</v>
      </c>
      <c r="K87" s="261">
        <f t="shared" si="24"/>
        <v>0</v>
      </c>
      <c r="L87" s="29"/>
      <c r="M87" s="261">
        <f t="shared" si="28"/>
        <v>297245</v>
      </c>
      <c r="N87" s="261">
        <f t="shared" si="25"/>
        <v>0</v>
      </c>
      <c r="O87" s="29"/>
    </row>
    <row r="88" spans="1:15" hidden="1" outlineLevel="1" x14ac:dyDescent="0.25">
      <c r="A88" s="259" t="s">
        <v>182</v>
      </c>
      <c r="B88" s="282" t="s">
        <v>183</v>
      </c>
      <c r="C88" s="12">
        <v>0</v>
      </c>
      <c r="D88" s="12">
        <f t="shared" si="18"/>
        <v>0</v>
      </c>
      <c r="E88" s="261">
        <f t="shared" si="22"/>
        <v>0</v>
      </c>
      <c r="F88" s="13"/>
      <c r="G88" s="261">
        <f t="shared" si="26"/>
        <v>0</v>
      </c>
      <c r="H88" s="261">
        <f t="shared" si="23"/>
        <v>0</v>
      </c>
      <c r="I88" s="13"/>
      <c r="J88" s="261">
        <f t="shared" si="27"/>
        <v>0</v>
      </c>
      <c r="K88" s="261">
        <f t="shared" si="24"/>
        <v>0</v>
      </c>
      <c r="L88" s="13"/>
      <c r="M88" s="261">
        <f t="shared" si="28"/>
        <v>0</v>
      </c>
      <c r="N88" s="261">
        <f t="shared" si="25"/>
        <v>0</v>
      </c>
      <c r="O88" s="13"/>
    </row>
    <row r="89" spans="1:15" collapsed="1" x14ac:dyDescent="0.25">
      <c r="A89" s="269" t="s">
        <v>184</v>
      </c>
      <c r="B89" s="264" t="s">
        <v>185</v>
      </c>
      <c r="C89" s="14">
        <v>295000</v>
      </c>
      <c r="D89" s="14">
        <f>D90+D91</f>
        <v>295000</v>
      </c>
      <c r="E89" s="265">
        <f t="shared" si="22"/>
        <v>0</v>
      </c>
      <c r="F89" s="15"/>
      <c r="G89" s="265">
        <f>G90+G91</f>
        <v>295000</v>
      </c>
      <c r="H89" s="265">
        <f t="shared" si="23"/>
        <v>0</v>
      </c>
      <c r="I89" s="15"/>
      <c r="J89" s="265">
        <f>J90+J91</f>
        <v>295000</v>
      </c>
      <c r="K89" s="265">
        <f t="shared" si="24"/>
        <v>0</v>
      </c>
      <c r="L89" s="15"/>
      <c r="M89" s="265">
        <f>M90+M91</f>
        <v>295000</v>
      </c>
      <c r="N89" s="265">
        <f t="shared" si="25"/>
        <v>0</v>
      </c>
      <c r="O89" s="15"/>
    </row>
    <row r="90" spans="1:15" ht="27.6" customHeight="1" x14ac:dyDescent="0.25">
      <c r="A90" s="259" t="s">
        <v>186</v>
      </c>
      <c r="B90" s="260" t="s">
        <v>187</v>
      </c>
      <c r="C90" s="12">
        <v>295000</v>
      </c>
      <c r="D90" s="12">
        <f>ROUND(C90,0)</f>
        <v>295000</v>
      </c>
      <c r="E90" s="261">
        <f t="shared" si="22"/>
        <v>0</v>
      </c>
      <c r="F90" s="20"/>
      <c r="G90" s="261">
        <f>ROUND(D90,0)</f>
        <v>295000</v>
      </c>
      <c r="H90" s="261">
        <f t="shared" si="23"/>
        <v>0</v>
      </c>
      <c r="I90" s="20"/>
      <c r="J90" s="261">
        <f>ROUND(G90,0)</f>
        <v>295000</v>
      </c>
      <c r="K90" s="261">
        <f t="shared" si="24"/>
        <v>0</v>
      </c>
      <c r="L90" s="20"/>
      <c r="M90" s="261">
        <f>ROUND(J90,0)</f>
        <v>295000</v>
      </c>
      <c r="N90" s="261">
        <f t="shared" si="25"/>
        <v>0</v>
      </c>
      <c r="O90" s="20"/>
    </row>
    <row r="91" spans="1:15" ht="16.2" customHeight="1" x14ac:dyDescent="0.25">
      <c r="A91" s="259" t="s">
        <v>188</v>
      </c>
      <c r="B91" s="260" t="s">
        <v>189</v>
      </c>
      <c r="C91" s="12">
        <v>0</v>
      </c>
      <c r="D91" s="12">
        <f>ROUND(C91,0)</f>
        <v>0</v>
      </c>
      <c r="E91" s="261">
        <f t="shared" si="22"/>
        <v>0</v>
      </c>
      <c r="F91" s="13"/>
      <c r="G91" s="261">
        <f>ROUND(D91,0)</f>
        <v>0</v>
      </c>
      <c r="H91" s="261">
        <f t="shared" si="23"/>
        <v>0</v>
      </c>
      <c r="I91" s="13"/>
      <c r="J91" s="261">
        <f>ROUND(G91,0)</f>
        <v>0</v>
      </c>
      <c r="K91" s="261">
        <f t="shared" si="24"/>
        <v>0</v>
      </c>
      <c r="L91" s="13"/>
      <c r="M91" s="261">
        <f>ROUND(J91,0)</f>
        <v>0</v>
      </c>
      <c r="N91" s="261">
        <f t="shared" si="25"/>
        <v>0</v>
      </c>
      <c r="O91" s="13"/>
    </row>
    <row r="92" spans="1:15" ht="35.4" customHeight="1" x14ac:dyDescent="0.25">
      <c r="A92" s="269" t="s">
        <v>190</v>
      </c>
      <c r="B92" s="264" t="s">
        <v>191</v>
      </c>
      <c r="C92" s="14">
        <v>4234051</v>
      </c>
      <c r="D92" s="14">
        <f t="shared" ref="D92" si="29">D93+D96+D99+D103+D107</f>
        <v>4234051</v>
      </c>
      <c r="E92" s="265">
        <f t="shared" si="22"/>
        <v>0</v>
      </c>
      <c r="F92" s="15"/>
      <c r="G92" s="265">
        <f>G93+G96+G99+G103+G107</f>
        <v>4234051</v>
      </c>
      <c r="H92" s="265">
        <f t="shared" si="23"/>
        <v>0</v>
      </c>
      <c r="I92" s="15"/>
      <c r="J92" s="265">
        <f>J93+J96+J99+J103+J107</f>
        <v>3970551</v>
      </c>
      <c r="K92" s="265">
        <f t="shared" si="24"/>
        <v>-263500</v>
      </c>
      <c r="L92" s="15"/>
      <c r="M92" s="265">
        <f>M93+M96+M99+M103+M107</f>
        <v>3970551</v>
      </c>
      <c r="N92" s="265">
        <f t="shared" si="25"/>
        <v>0</v>
      </c>
      <c r="O92" s="15"/>
    </row>
    <row r="93" spans="1:15" x14ac:dyDescent="0.25">
      <c r="A93" s="259" t="s">
        <v>192</v>
      </c>
      <c r="B93" s="260" t="s">
        <v>193</v>
      </c>
      <c r="C93" s="12">
        <v>149000</v>
      </c>
      <c r="D93" s="12">
        <f>SUM(D94:D95)</f>
        <v>149000</v>
      </c>
      <c r="E93" s="261">
        <f t="shared" si="22"/>
        <v>0</v>
      </c>
      <c r="F93" s="13"/>
      <c r="G93" s="261">
        <f>SUM(G94:G95)</f>
        <v>149000</v>
      </c>
      <c r="H93" s="261">
        <f t="shared" si="23"/>
        <v>0</v>
      </c>
      <c r="I93" s="13"/>
      <c r="J93" s="261">
        <f>SUM(J94:J95)</f>
        <v>149000</v>
      </c>
      <c r="K93" s="261">
        <f t="shared" si="24"/>
        <v>0</v>
      </c>
      <c r="L93" s="13"/>
      <c r="M93" s="261">
        <f>SUM(M94:M95)</f>
        <v>149000</v>
      </c>
      <c r="N93" s="261">
        <f t="shared" si="25"/>
        <v>0</v>
      </c>
      <c r="O93" s="13"/>
    </row>
    <row r="94" spans="1:15" ht="14.25" customHeight="1" x14ac:dyDescent="0.25">
      <c r="A94" s="283" t="s">
        <v>194</v>
      </c>
      <c r="B94" s="284" t="s">
        <v>195</v>
      </c>
      <c r="C94" s="12">
        <v>24000</v>
      </c>
      <c r="D94" s="12">
        <f>ROUND(C94,0)</f>
        <v>24000</v>
      </c>
      <c r="E94" s="261">
        <f t="shared" si="22"/>
        <v>0</v>
      </c>
      <c r="F94" s="16"/>
      <c r="G94" s="261">
        <f>ROUND(D94,0)</f>
        <v>24000</v>
      </c>
      <c r="H94" s="261">
        <f t="shared" si="23"/>
        <v>0</v>
      </c>
      <c r="I94" s="16"/>
      <c r="J94" s="261">
        <f>ROUND(G94,0)</f>
        <v>24000</v>
      </c>
      <c r="K94" s="261">
        <f t="shared" si="24"/>
        <v>0</v>
      </c>
      <c r="L94" s="16"/>
      <c r="M94" s="261">
        <f>ROUND(J94,0)</f>
        <v>24000</v>
      </c>
      <c r="N94" s="261">
        <f t="shared" si="25"/>
        <v>0</v>
      </c>
      <c r="O94" s="16"/>
    </row>
    <row r="95" spans="1:15" ht="15.6" customHeight="1" x14ac:dyDescent="0.25">
      <c r="A95" s="283" t="s">
        <v>196</v>
      </c>
      <c r="B95" s="284" t="s">
        <v>197</v>
      </c>
      <c r="C95" s="12">
        <v>125000</v>
      </c>
      <c r="D95" s="12">
        <f>ROUND(C95,0)</f>
        <v>125000</v>
      </c>
      <c r="E95" s="261">
        <f t="shared" si="22"/>
        <v>0</v>
      </c>
      <c r="F95" s="16"/>
      <c r="G95" s="261">
        <f>ROUND(D95,0)</f>
        <v>125000</v>
      </c>
      <c r="H95" s="261">
        <f t="shared" si="23"/>
        <v>0</v>
      </c>
      <c r="I95" s="16"/>
      <c r="J95" s="261">
        <f>ROUND(G95,0)</f>
        <v>125000</v>
      </c>
      <c r="K95" s="261">
        <f t="shared" si="24"/>
        <v>0</v>
      </c>
      <c r="L95" s="16"/>
      <c r="M95" s="261">
        <f>ROUND(J95,0)</f>
        <v>125000</v>
      </c>
      <c r="N95" s="261">
        <f t="shared" si="25"/>
        <v>0</v>
      </c>
      <c r="O95" s="16"/>
    </row>
    <row r="96" spans="1:15" ht="13.95" customHeight="1" x14ac:dyDescent="0.25">
      <c r="A96" s="259" t="s">
        <v>198</v>
      </c>
      <c r="B96" s="260" t="s">
        <v>199</v>
      </c>
      <c r="C96" s="12">
        <v>0</v>
      </c>
      <c r="D96" s="12">
        <f>D97+D98</f>
        <v>0</v>
      </c>
      <c r="E96" s="261">
        <f t="shared" si="22"/>
        <v>0</v>
      </c>
      <c r="F96" s="30"/>
      <c r="G96" s="261">
        <f>G97+G98</f>
        <v>0</v>
      </c>
      <c r="H96" s="261">
        <f t="shared" si="23"/>
        <v>0</v>
      </c>
      <c r="I96" s="30"/>
      <c r="J96" s="261">
        <f>J97+J98</f>
        <v>0</v>
      </c>
      <c r="K96" s="261">
        <f t="shared" si="24"/>
        <v>0</v>
      </c>
      <c r="L96" s="30"/>
      <c r="M96" s="261">
        <f>M97+M98</f>
        <v>0</v>
      </c>
      <c r="N96" s="261">
        <f t="shared" si="25"/>
        <v>0</v>
      </c>
      <c r="O96" s="30"/>
    </row>
    <row r="97" spans="1:15" x14ac:dyDescent="0.25">
      <c r="A97" s="283" t="s">
        <v>200</v>
      </c>
      <c r="B97" s="284" t="s">
        <v>201</v>
      </c>
      <c r="C97" s="12">
        <v>0</v>
      </c>
      <c r="D97" s="12"/>
      <c r="E97" s="261">
        <f t="shared" si="22"/>
        <v>0</v>
      </c>
      <c r="F97" s="16"/>
      <c r="G97" s="261"/>
      <c r="H97" s="261">
        <f t="shared" si="23"/>
        <v>0</v>
      </c>
      <c r="I97" s="16"/>
      <c r="J97" s="261"/>
      <c r="K97" s="261">
        <f t="shared" si="24"/>
        <v>0</v>
      </c>
      <c r="L97" s="16"/>
      <c r="M97" s="261"/>
      <c r="N97" s="261">
        <f t="shared" si="25"/>
        <v>0</v>
      </c>
      <c r="O97" s="16"/>
    </row>
    <row r="98" spans="1:15" ht="30" customHeight="1" x14ac:dyDescent="0.25">
      <c r="A98" s="283" t="s">
        <v>202</v>
      </c>
      <c r="B98" s="279" t="s">
        <v>203</v>
      </c>
      <c r="C98" s="12">
        <v>0</v>
      </c>
      <c r="D98" s="12">
        <f>ROUND(C98,0)</f>
        <v>0</v>
      </c>
      <c r="E98" s="261">
        <f t="shared" si="22"/>
        <v>0</v>
      </c>
      <c r="F98" s="16"/>
      <c r="G98" s="261">
        <f>ROUND(D98,0)</f>
        <v>0</v>
      </c>
      <c r="H98" s="261">
        <f t="shared" si="23"/>
        <v>0</v>
      </c>
      <c r="I98" s="16"/>
      <c r="J98" s="261">
        <f>ROUND(G98,0)</f>
        <v>0</v>
      </c>
      <c r="K98" s="261">
        <f t="shared" si="24"/>
        <v>0</v>
      </c>
      <c r="L98" s="16"/>
      <c r="M98" s="261">
        <f>ROUND(J98,0)</f>
        <v>0</v>
      </c>
      <c r="N98" s="261">
        <f t="shared" si="25"/>
        <v>0</v>
      </c>
      <c r="O98" s="16"/>
    </row>
    <row r="99" spans="1:15" x14ac:dyDescent="0.25">
      <c r="A99" s="259" t="s">
        <v>204</v>
      </c>
      <c r="B99" s="260" t="s">
        <v>205</v>
      </c>
      <c r="C99" s="12">
        <v>157000</v>
      </c>
      <c r="D99" s="12">
        <f>SUM(D100:D102)</f>
        <v>157000</v>
      </c>
      <c r="E99" s="261">
        <f t="shared" si="22"/>
        <v>0</v>
      </c>
      <c r="F99" s="13"/>
      <c r="G99" s="261">
        <f>SUM(G100:G102)</f>
        <v>157000</v>
      </c>
      <c r="H99" s="261">
        <f t="shared" si="23"/>
        <v>0</v>
      </c>
      <c r="I99" s="13"/>
      <c r="J99" s="261">
        <f>SUM(J100:J102)</f>
        <v>157000</v>
      </c>
      <c r="K99" s="261">
        <f t="shared" si="24"/>
        <v>0</v>
      </c>
      <c r="L99" s="13"/>
      <c r="M99" s="261">
        <f>SUM(M100:M102)</f>
        <v>157000</v>
      </c>
      <c r="N99" s="261">
        <f t="shared" si="25"/>
        <v>0</v>
      </c>
      <c r="O99" s="13"/>
    </row>
    <row r="100" spans="1:15" ht="15.75" customHeight="1" x14ac:dyDescent="0.25">
      <c r="A100" s="283" t="s">
        <v>206</v>
      </c>
      <c r="B100" s="284" t="s">
        <v>207</v>
      </c>
      <c r="C100" s="12">
        <v>120000</v>
      </c>
      <c r="D100" s="12">
        <f>ROUND(C100,0)</f>
        <v>120000</v>
      </c>
      <c r="E100" s="261">
        <f t="shared" si="22"/>
        <v>0</v>
      </c>
      <c r="F100" s="20"/>
      <c r="G100" s="261">
        <f>ROUND(D100,0)</f>
        <v>120000</v>
      </c>
      <c r="H100" s="261">
        <f t="shared" si="23"/>
        <v>0</v>
      </c>
      <c r="I100" s="20"/>
      <c r="J100" s="261">
        <f>ROUND(G100,0)</f>
        <v>120000</v>
      </c>
      <c r="K100" s="261">
        <f t="shared" si="24"/>
        <v>0</v>
      </c>
      <c r="L100" s="20"/>
      <c r="M100" s="261">
        <f>ROUND(J100,0)</f>
        <v>120000</v>
      </c>
      <c r="N100" s="261">
        <f t="shared" si="25"/>
        <v>0</v>
      </c>
      <c r="O100" s="20"/>
    </row>
    <row r="101" spans="1:15" x14ac:dyDescent="0.25">
      <c r="A101" s="283" t="s">
        <v>208</v>
      </c>
      <c r="B101" s="284" t="s">
        <v>209</v>
      </c>
      <c r="C101" s="12">
        <v>36000</v>
      </c>
      <c r="D101" s="12">
        <f>ROUND(C101,0)</f>
        <v>36000</v>
      </c>
      <c r="E101" s="261">
        <f t="shared" si="22"/>
        <v>0</v>
      </c>
      <c r="F101" s="13"/>
      <c r="G101" s="261">
        <f>ROUND(D101,0)</f>
        <v>36000</v>
      </c>
      <c r="H101" s="261">
        <f t="shared" si="23"/>
        <v>0</v>
      </c>
      <c r="I101" s="13"/>
      <c r="J101" s="261">
        <f>ROUND(G101,0)</f>
        <v>36000</v>
      </c>
      <c r="K101" s="261">
        <f t="shared" si="24"/>
        <v>0</v>
      </c>
      <c r="L101" s="13"/>
      <c r="M101" s="261">
        <f>ROUND(J101,0)</f>
        <v>36000</v>
      </c>
      <c r="N101" s="261">
        <f t="shared" si="25"/>
        <v>0</v>
      </c>
      <c r="O101" s="13"/>
    </row>
    <row r="102" spans="1:15" x14ac:dyDescent="0.25">
      <c r="A102" s="283" t="s">
        <v>210</v>
      </c>
      <c r="B102" s="279" t="s">
        <v>211</v>
      </c>
      <c r="C102" s="12">
        <v>1000</v>
      </c>
      <c r="D102" s="12">
        <f>ROUND(C102,0)</f>
        <v>1000</v>
      </c>
      <c r="E102" s="261">
        <f t="shared" si="22"/>
        <v>0</v>
      </c>
      <c r="F102" s="13"/>
      <c r="G102" s="261">
        <f>ROUND(D102,0)</f>
        <v>1000</v>
      </c>
      <c r="H102" s="261">
        <f t="shared" si="23"/>
        <v>0</v>
      </c>
      <c r="I102" s="13"/>
      <c r="J102" s="261">
        <f>ROUND(G102,0)</f>
        <v>1000</v>
      </c>
      <c r="K102" s="261">
        <f t="shared" si="24"/>
        <v>0</v>
      </c>
      <c r="L102" s="13"/>
      <c r="M102" s="261">
        <f>ROUND(J102,0)</f>
        <v>1000</v>
      </c>
      <c r="N102" s="261">
        <f t="shared" si="25"/>
        <v>0</v>
      </c>
      <c r="O102" s="13"/>
    </row>
    <row r="103" spans="1:15" ht="25.2" customHeight="1" x14ac:dyDescent="0.25">
      <c r="A103" s="259" t="s">
        <v>212</v>
      </c>
      <c r="B103" s="260" t="s">
        <v>213</v>
      </c>
      <c r="C103" s="12">
        <v>3826051</v>
      </c>
      <c r="D103" s="12">
        <f t="shared" ref="D103" si="30">SUM(D104:D106)</f>
        <v>3826051</v>
      </c>
      <c r="E103" s="261">
        <f t="shared" si="22"/>
        <v>0</v>
      </c>
      <c r="F103" s="20"/>
      <c r="G103" s="261">
        <f>SUM(G104:G106)</f>
        <v>3826051</v>
      </c>
      <c r="H103" s="261">
        <f t="shared" si="23"/>
        <v>0</v>
      </c>
      <c r="I103" s="20"/>
      <c r="J103" s="261">
        <f>SUM(J104:J106)</f>
        <v>3562551</v>
      </c>
      <c r="K103" s="261">
        <f t="shared" si="24"/>
        <v>-263500</v>
      </c>
      <c r="L103" s="20"/>
      <c r="M103" s="261">
        <f>SUM(M104:M106)</f>
        <v>3562551</v>
      </c>
      <c r="N103" s="261">
        <f t="shared" si="25"/>
        <v>0</v>
      </c>
      <c r="O103" s="20"/>
    </row>
    <row r="104" spans="1:15" ht="16.5" customHeight="1" x14ac:dyDescent="0.25">
      <c r="A104" s="283" t="s">
        <v>214</v>
      </c>
      <c r="B104" s="284" t="s">
        <v>213</v>
      </c>
      <c r="C104" s="12">
        <v>110000</v>
      </c>
      <c r="D104" s="12">
        <f>ROUND(C104,0)</f>
        <v>110000</v>
      </c>
      <c r="E104" s="261">
        <f t="shared" si="22"/>
        <v>0</v>
      </c>
      <c r="F104" s="13"/>
      <c r="G104" s="261">
        <f>ROUND(D104,0)</f>
        <v>110000</v>
      </c>
      <c r="H104" s="261">
        <f t="shared" si="23"/>
        <v>0</v>
      </c>
      <c r="I104" s="13"/>
      <c r="J104" s="261">
        <f>ROUND(G104,0)</f>
        <v>110000</v>
      </c>
      <c r="K104" s="261">
        <f t="shared" si="24"/>
        <v>0</v>
      </c>
      <c r="L104" s="13"/>
      <c r="M104" s="261">
        <f>ROUND(J104,0)</f>
        <v>110000</v>
      </c>
      <c r="N104" s="261">
        <f t="shared" si="25"/>
        <v>0</v>
      </c>
      <c r="O104" s="13"/>
    </row>
    <row r="105" spans="1:15" ht="16.5" customHeight="1" x14ac:dyDescent="0.25">
      <c r="A105" s="283" t="s">
        <v>215</v>
      </c>
      <c r="B105" s="284" t="s">
        <v>216</v>
      </c>
      <c r="C105" s="12">
        <v>2500</v>
      </c>
      <c r="D105" s="12">
        <f>ROUND(C105,0)</f>
        <v>2500</v>
      </c>
      <c r="E105" s="261">
        <f t="shared" si="22"/>
        <v>0</v>
      </c>
      <c r="F105" s="13"/>
      <c r="G105" s="261">
        <f>ROUND(D105,0)</f>
        <v>2500</v>
      </c>
      <c r="H105" s="261">
        <f t="shared" si="23"/>
        <v>0</v>
      </c>
      <c r="I105" s="13"/>
      <c r="J105" s="261">
        <f>ROUND(G105,0)</f>
        <v>2500</v>
      </c>
      <c r="K105" s="261">
        <f t="shared" si="24"/>
        <v>0</v>
      </c>
      <c r="L105" s="13"/>
      <c r="M105" s="261">
        <f>ROUND(J105,0)</f>
        <v>2500</v>
      </c>
      <c r="N105" s="261">
        <f t="shared" si="25"/>
        <v>0</v>
      </c>
      <c r="O105" s="13"/>
    </row>
    <row r="106" spans="1:15" ht="28.95" customHeight="1" x14ac:dyDescent="0.25">
      <c r="A106" s="283" t="s">
        <v>217</v>
      </c>
      <c r="B106" s="284" t="s">
        <v>218</v>
      </c>
      <c r="C106" s="12">
        <v>3713551</v>
      </c>
      <c r="D106" s="12">
        <f>ROUND(C106,0)</f>
        <v>3713551</v>
      </c>
      <c r="E106" s="261">
        <f t="shared" si="22"/>
        <v>0</v>
      </c>
      <c r="F106" s="13"/>
      <c r="G106" s="261">
        <f>ROUND(D106,0)</f>
        <v>3713551</v>
      </c>
      <c r="H106" s="261">
        <f t="shared" si="23"/>
        <v>0</v>
      </c>
      <c r="I106" s="13"/>
      <c r="J106" s="261">
        <f>ROUND(G106,0)-263500</f>
        <v>3450051</v>
      </c>
      <c r="K106" s="261">
        <f t="shared" si="24"/>
        <v>-263500</v>
      </c>
      <c r="L106" s="20" t="s">
        <v>135</v>
      </c>
      <c r="M106" s="261">
        <f>ROUND(J106,0)</f>
        <v>3450051</v>
      </c>
      <c r="N106" s="261">
        <f t="shared" si="25"/>
        <v>0</v>
      </c>
      <c r="O106" s="20"/>
    </row>
    <row r="107" spans="1:15" ht="18" customHeight="1" thickBot="1" x14ac:dyDescent="0.3">
      <c r="A107" s="259" t="s">
        <v>219</v>
      </c>
      <c r="B107" s="260" t="s">
        <v>220</v>
      </c>
      <c r="C107" s="12">
        <v>102000</v>
      </c>
      <c r="D107" s="12">
        <f>ROUND(C107,0)</f>
        <v>102000</v>
      </c>
      <c r="E107" s="261">
        <f t="shared" si="22"/>
        <v>0</v>
      </c>
      <c r="F107" s="13"/>
      <c r="G107" s="261">
        <f>ROUND(D107,0)</f>
        <v>102000</v>
      </c>
      <c r="H107" s="261">
        <f t="shared" si="23"/>
        <v>0</v>
      </c>
      <c r="I107" s="13"/>
      <c r="J107" s="261">
        <f>ROUND(G107,0)</f>
        <v>102000</v>
      </c>
      <c r="K107" s="261">
        <f t="shared" si="24"/>
        <v>0</v>
      </c>
      <c r="L107" s="13"/>
      <c r="M107" s="261">
        <f>ROUND(J107,0)</f>
        <v>102000</v>
      </c>
      <c r="N107" s="261">
        <f t="shared" si="25"/>
        <v>0</v>
      </c>
      <c r="O107" s="13"/>
    </row>
    <row r="108" spans="1:15" ht="15" customHeight="1" thickBot="1" x14ac:dyDescent="0.3">
      <c r="A108" s="286"/>
      <c r="B108" s="287" t="s">
        <v>221</v>
      </c>
      <c r="C108" s="31">
        <v>46153371.490000002</v>
      </c>
      <c r="D108" s="31">
        <f t="shared" ref="D108" si="31">D7+D11+D14+D17+D20+D23+D36+D39+D43+D44+D89+D92</f>
        <v>46211727</v>
      </c>
      <c r="E108" s="288">
        <f t="shared" si="22"/>
        <v>58355.509999997914</v>
      </c>
      <c r="F108" s="32"/>
      <c r="G108" s="288">
        <f>G7+G11+G14+G17+G20+G23+G36+G39+G43+G44+G89+G92</f>
        <v>46579708</v>
      </c>
      <c r="H108" s="288">
        <f t="shared" si="23"/>
        <v>367981</v>
      </c>
      <c r="I108" s="32"/>
      <c r="J108" s="288">
        <f>J7+J11+J14+J17+J20+J23+J36+J39+J43+J44+J89+J92</f>
        <v>46656159</v>
      </c>
      <c r="K108" s="288">
        <f t="shared" si="24"/>
        <v>76451</v>
      </c>
      <c r="L108" s="32"/>
      <c r="M108" s="288">
        <f>M7+M11+M14+M17+M20+M23+M36+M39+M43+M44+M89+M92</f>
        <v>46656159</v>
      </c>
      <c r="N108" s="288">
        <f t="shared" si="25"/>
        <v>0</v>
      </c>
      <c r="O108" s="32"/>
    </row>
    <row r="109" spans="1:15" ht="14.4" thickBot="1" x14ac:dyDescent="0.3">
      <c r="A109" s="289" t="s">
        <v>222</v>
      </c>
      <c r="B109" s="290" t="s">
        <v>223</v>
      </c>
      <c r="C109" s="33">
        <v>7741521.0000000009</v>
      </c>
      <c r="D109" s="33">
        <f>SUM(D110:D111)</f>
        <v>7741521</v>
      </c>
      <c r="E109" s="291">
        <f t="shared" si="22"/>
        <v>0</v>
      </c>
      <c r="F109" s="34"/>
      <c r="G109" s="291">
        <f>SUM(G110:G111)</f>
        <v>7741521</v>
      </c>
      <c r="H109" s="291">
        <f t="shared" si="23"/>
        <v>0</v>
      </c>
      <c r="I109" s="34"/>
      <c r="J109" s="291">
        <f>SUM(J110:J111)</f>
        <v>7741521</v>
      </c>
      <c r="K109" s="291">
        <f t="shared" si="24"/>
        <v>0</v>
      </c>
      <c r="L109" s="34"/>
      <c r="M109" s="291">
        <f>SUM(M110:M111)</f>
        <v>7741521</v>
      </c>
      <c r="N109" s="291">
        <f t="shared" si="25"/>
        <v>0</v>
      </c>
      <c r="O109" s="34"/>
    </row>
    <row r="110" spans="1:15" ht="17.25" customHeight="1" x14ac:dyDescent="0.25">
      <c r="A110" s="259" t="s">
        <v>224</v>
      </c>
      <c r="B110" s="260" t="s">
        <v>225</v>
      </c>
      <c r="C110" s="12">
        <v>1454963.94</v>
      </c>
      <c r="D110" s="12">
        <f>ROUND(C110,0)</f>
        <v>1454964</v>
      </c>
      <c r="E110" s="261">
        <f t="shared" si="22"/>
        <v>6.0000000055879354E-2</v>
      </c>
      <c r="F110" s="20"/>
      <c r="G110" s="261">
        <f>ROUND(D110,0)</f>
        <v>1454964</v>
      </c>
      <c r="H110" s="261">
        <f t="shared" si="23"/>
        <v>0</v>
      </c>
      <c r="I110" s="20"/>
      <c r="J110" s="261">
        <f>ROUND(G110,0)</f>
        <v>1454964</v>
      </c>
      <c r="K110" s="261">
        <f t="shared" si="24"/>
        <v>0</v>
      </c>
      <c r="L110" s="20"/>
      <c r="M110" s="261">
        <f>ROUND(J110,0)</f>
        <v>1454964</v>
      </c>
      <c r="N110" s="261">
        <f t="shared" si="25"/>
        <v>0</v>
      </c>
      <c r="O110" s="20"/>
    </row>
    <row r="111" spans="1:15" x14ac:dyDescent="0.25">
      <c r="A111" s="259" t="s">
        <v>226</v>
      </c>
      <c r="B111" s="260" t="s">
        <v>227</v>
      </c>
      <c r="C111" s="12">
        <v>6286556.8600000013</v>
      </c>
      <c r="D111" s="12">
        <f>ROUND(C111,0)</f>
        <v>6286557</v>
      </c>
      <c r="E111" s="261">
        <f t="shared" si="22"/>
        <v>0.1399999987334013</v>
      </c>
      <c r="F111" s="13"/>
      <c r="G111" s="261">
        <f>ROUND(D111,0)</f>
        <v>6286557</v>
      </c>
      <c r="H111" s="261">
        <f t="shared" si="23"/>
        <v>0</v>
      </c>
      <c r="I111" s="13"/>
      <c r="J111" s="261">
        <f>ROUND(G111,0)</f>
        <v>6286557</v>
      </c>
      <c r="K111" s="261">
        <f t="shared" si="24"/>
        <v>0</v>
      </c>
      <c r="L111" s="13"/>
      <c r="M111" s="261">
        <f>ROUND(J111,0)</f>
        <v>6286557</v>
      </c>
      <c r="N111" s="261">
        <f t="shared" si="25"/>
        <v>0</v>
      </c>
      <c r="O111" s="13"/>
    </row>
    <row r="112" spans="1:15" x14ac:dyDescent="0.25">
      <c r="A112" s="269" t="s">
        <v>228</v>
      </c>
      <c r="B112" s="292" t="s">
        <v>229</v>
      </c>
      <c r="C112" s="35">
        <v>4267403.7422000002</v>
      </c>
      <c r="D112" s="35">
        <f>SUM(D113:D125)</f>
        <v>4267404</v>
      </c>
      <c r="E112" s="265">
        <f t="shared" si="22"/>
        <v>0.25779999978840351</v>
      </c>
      <c r="F112" s="15"/>
      <c r="G112" s="293">
        <f>SUM(G113:G125)</f>
        <v>4393404</v>
      </c>
      <c r="H112" s="265">
        <f t="shared" si="23"/>
        <v>126000</v>
      </c>
      <c r="I112" s="15"/>
      <c r="J112" s="293">
        <f>SUM(J113:J125)</f>
        <v>4477904</v>
      </c>
      <c r="K112" s="265">
        <f t="shared" si="24"/>
        <v>84500</v>
      </c>
      <c r="L112" s="15"/>
      <c r="M112" s="293">
        <f>SUM(M113:M126)</f>
        <v>4545904</v>
      </c>
      <c r="N112" s="265">
        <f t="shared" si="25"/>
        <v>68000</v>
      </c>
      <c r="O112" s="15"/>
    </row>
    <row r="113" spans="1:15" ht="41.4" x14ac:dyDescent="0.25">
      <c r="A113" s="283" t="s">
        <v>230</v>
      </c>
      <c r="B113" s="294" t="s">
        <v>173</v>
      </c>
      <c r="C113" s="12">
        <v>59922</v>
      </c>
      <c r="D113" s="12">
        <f t="shared" ref="D113:D124" si="32">ROUND(C113,0)</f>
        <v>59922</v>
      </c>
      <c r="E113" s="296">
        <f t="shared" si="22"/>
        <v>0</v>
      </c>
      <c r="F113" s="18"/>
      <c r="G113" s="261">
        <f t="shared" ref="G113:G124" si="33">ROUND(D113,0)</f>
        <v>59922</v>
      </c>
      <c r="H113" s="296">
        <f t="shared" si="23"/>
        <v>0</v>
      </c>
      <c r="I113" s="18"/>
      <c r="J113" s="261">
        <f t="shared" ref="J113:J124" si="34">ROUND(G113,0)</f>
        <v>59922</v>
      </c>
      <c r="K113" s="296">
        <f t="shared" si="24"/>
        <v>0</v>
      </c>
      <c r="L113" s="18"/>
      <c r="M113" s="261">
        <f t="shared" ref="M113:M122" si="35">ROUND(J113,0)</f>
        <v>59922</v>
      </c>
      <c r="N113" s="296">
        <f t="shared" si="25"/>
        <v>0</v>
      </c>
      <c r="O113" s="18"/>
    </row>
    <row r="114" spans="1:15" x14ac:dyDescent="0.25">
      <c r="A114" s="283" t="s">
        <v>231</v>
      </c>
      <c r="B114" s="294" t="s">
        <v>175</v>
      </c>
      <c r="C114" s="12">
        <v>207089</v>
      </c>
      <c r="D114" s="12">
        <f t="shared" si="32"/>
        <v>207089</v>
      </c>
      <c r="E114" s="296">
        <f t="shared" si="22"/>
        <v>0</v>
      </c>
      <c r="F114" s="18"/>
      <c r="G114" s="261">
        <f t="shared" si="33"/>
        <v>207089</v>
      </c>
      <c r="H114" s="296">
        <f t="shared" si="23"/>
        <v>0</v>
      </c>
      <c r="I114" s="18"/>
      <c r="J114" s="261">
        <f t="shared" si="34"/>
        <v>207089</v>
      </c>
      <c r="K114" s="296">
        <f t="shared" si="24"/>
        <v>0</v>
      </c>
      <c r="L114" s="18"/>
      <c r="M114" s="261">
        <f t="shared" si="35"/>
        <v>207089</v>
      </c>
      <c r="N114" s="296">
        <f t="shared" si="25"/>
        <v>0</v>
      </c>
      <c r="O114" s="18"/>
    </row>
    <row r="115" spans="1:15" ht="44.4" customHeight="1" x14ac:dyDescent="0.25">
      <c r="A115" s="283" t="s">
        <v>232</v>
      </c>
      <c r="B115" s="294" t="s">
        <v>233</v>
      </c>
      <c r="C115" s="12">
        <v>320141.35220000002</v>
      </c>
      <c r="D115" s="12">
        <f t="shared" si="32"/>
        <v>320141</v>
      </c>
      <c r="E115" s="296">
        <f t="shared" si="22"/>
        <v>-0.35220000002300367</v>
      </c>
      <c r="F115" s="18"/>
      <c r="G115" s="261">
        <f t="shared" si="33"/>
        <v>320141</v>
      </c>
      <c r="H115" s="296">
        <f t="shared" si="23"/>
        <v>0</v>
      </c>
      <c r="I115" s="18"/>
      <c r="J115" s="261">
        <f t="shared" si="34"/>
        <v>320141</v>
      </c>
      <c r="K115" s="296">
        <f t="shared" si="24"/>
        <v>0</v>
      </c>
      <c r="L115" s="18"/>
      <c r="M115" s="261">
        <f t="shared" si="35"/>
        <v>320141</v>
      </c>
      <c r="N115" s="296">
        <f t="shared" si="25"/>
        <v>0</v>
      </c>
      <c r="O115" s="18"/>
    </row>
    <row r="116" spans="1:15" ht="27.6" x14ac:dyDescent="0.25">
      <c r="A116" s="283" t="s">
        <v>234</v>
      </c>
      <c r="B116" s="294" t="s">
        <v>235</v>
      </c>
      <c r="C116" s="12">
        <v>624704.49</v>
      </c>
      <c r="D116" s="12">
        <f t="shared" si="32"/>
        <v>624704</v>
      </c>
      <c r="E116" s="296">
        <f t="shared" si="22"/>
        <v>-0.48999999999068677</v>
      </c>
      <c r="F116" s="17"/>
      <c r="G116" s="261">
        <f t="shared" si="33"/>
        <v>624704</v>
      </c>
      <c r="H116" s="296">
        <f t="shared" si="23"/>
        <v>0</v>
      </c>
      <c r="I116" s="17"/>
      <c r="J116" s="261">
        <f t="shared" si="34"/>
        <v>624704</v>
      </c>
      <c r="K116" s="296">
        <f t="shared" si="24"/>
        <v>0</v>
      </c>
      <c r="L116" s="17"/>
      <c r="M116" s="261">
        <f t="shared" si="35"/>
        <v>624704</v>
      </c>
      <c r="N116" s="296">
        <f t="shared" si="25"/>
        <v>0</v>
      </c>
      <c r="O116" s="17"/>
    </row>
    <row r="117" spans="1:15" ht="30" customHeight="1" x14ac:dyDescent="0.25">
      <c r="A117" s="283" t="s">
        <v>236</v>
      </c>
      <c r="B117" s="294" t="s">
        <v>146</v>
      </c>
      <c r="C117" s="12">
        <v>37334.9</v>
      </c>
      <c r="D117" s="12">
        <f t="shared" si="32"/>
        <v>37335</v>
      </c>
      <c r="E117" s="296">
        <f t="shared" si="22"/>
        <v>9.9999999998544808E-2</v>
      </c>
      <c r="F117" s="17"/>
      <c r="G117" s="261">
        <f t="shared" si="33"/>
        <v>37335</v>
      </c>
      <c r="H117" s="296">
        <f t="shared" si="23"/>
        <v>0</v>
      </c>
      <c r="I117" s="17"/>
      <c r="J117" s="261">
        <f t="shared" si="34"/>
        <v>37335</v>
      </c>
      <c r="K117" s="296">
        <f t="shared" si="24"/>
        <v>0</v>
      </c>
      <c r="L117" s="17"/>
      <c r="M117" s="261">
        <f t="shared" si="35"/>
        <v>37335</v>
      </c>
      <c r="N117" s="296">
        <f t="shared" si="25"/>
        <v>0</v>
      </c>
      <c r="O117" s="17"/>
    </row>
    <row r="118" spans="1:15" x14ac:dyDescent="0.25">
      <c r="A118" s="283" t="s">
        <v>237</v>
      </c>
      <c r="B118" s="294" t="s">
        <v>238</v>
      </c>
      <c r="C118" s="36">
        <v>582946</v>
      </c>
      <c r="D118" s="36">
        <f t="shared" si="32"/>
        <v>582946</v>
      </c>
      <c r="E118" s="297">
        <f t="shared" si="22"/>
        <v>0</v>
      </c>
      <c r="F118" s="37"/>
      <c r="G118" s="295">
        <f>ROUND(D118,0)</f>
        <v>582946</v>
      </c>
      <c r="H118" s="297">
        <f t="shared" si="23"/>
        <v>0</v>
      </c>
      <c r="I118" s="18"/>
      <c r="J118" s="295">
        <f t="shared" si="34"/>
        <v>582946</v>
      </c>
      <c r="K118" s="297">
        <f t="shared" si="24"/>
        <v>0</v>
      </c>
      <c r="L118" s="18"/>
      <c r="M118" s="295">
        <f t="shared" si="35"/>
        <v>582946</v>
      </c>
      <c r="N118" s="297">
        <f t="shared" si="25"/>
        <v>0</v>
      </c>
      <c r="O118" s="18"/>
    </row>
    <row r="119" spans="1:15" ht="45" customHeight="1" x14ac:dyDescent="0.25">
      <c r="A119" s="283" t="s">
        <v>239</v>
      </c>
      <c r="B119" s="298" t="s">
        <v>240</v>
      </c>
      <c r="C119" s="38">
        <v>390000</v>
      </c>
      <c r="D119" s="36">
        <f t="shared" si="32"/>
        <v>390000</v>
      </c>
      <c r="E119" s="297">
        <f t="shared" si="22"/>
        <v>0</v>
      </c>
      <c r="F119" s="37"/>
      <c r="G119" s="295">
        <f t="shared" si="33"/>
        <v>390000</v>
      </c>
      <c r="H119" s="297">
        <f t="shared" si="23"/>
        <v>0</v>
      </c>
      <c r="I119" s="18"/>
      <c r="J119" s="295">
        <f t="shared" si="34"/>
        <v>390000</v>
      </c>
      <c r="K119" s="297">
        <f t="shared" si="24"/>
        <v>0</v>
      </c>
      <c r="L119" s="17"/>
      <c r="M119" s="295">
        <f t="shared" si="35"/>
        <v>390000</v>
      </c>
      <c r="N119" s="297">
        <f t="shared" si="25"/>
        <v>0</v>
      </c>
      <c r="O119" s="17"/>
    </row>
    <row r="120" spans="1:15" ht="16.2" customHeight="1" x14ac:dyDescent="0.25">
      <c r="A120" s="283" t="s">
        <v>241</v>
      </c>
      <c r="B120" s="299" t="s">
        <v>242</v>
      </c>
      <c r="C120" s="39">
        <v>645000</v>
      </c>
      <c r="D120" s="36">
        <f t="shared" si="32"/>
        <v>645000</v>
      </c>
      <c r="E120" s="297">
        <f t="shared" si="22"/>
        <v>0</v>
      </c>
      <c r="F120" s="37"/>
      <c r="G120" s="295">
        <f t="shared" si="33"/>
        <v>645000</v>
      </c>
      <c r="H120" s="297">
        <f t="shared" si="23"/>
        <v>0</v>
      </c>
      <c r="I120" s="18"/>
      <c r="J120" s="295">
        <f t="shared" si="34"/>
        <v>645000</v>
      </c>
      <c r="K120" s="297">
        <f t="shared" si="24"/>
        <v>0</v>
      </c>
      <c r="L120" s="17"/>
      <c r="M120" s="295">
        <f t="shared" si="35"/>
        <v>645000</v>
      </c>
      <c r="N120" s="297">
        <f t="shared" si="25"/>
        <v>0</v>
      </c>
      <c r="O120" s="17"/>
    </row>
    <row r="121" spans="1:15" ht="16.2" customHeight="1" x14ac:dyDescent="0.25">
      <c r="A121" s="283" t="s">
        <v>243</v>
      </c>
      <c r="B121" s="299" t="s">
        <v>179</v>
      </c>
      <c r="C121" s="39">
        <v>164032</v>
      </c>
      <c r="D121" s="36">
        <f t="shared" si="32"/>
        <v>164032</v>
      </c>
      <c r="E121" s="297">
        <f t="shared" si="22"/>
        <v>0</v>
      </c>
      <c r="F121" s="37"/>
      <c r="G121" s="295">
        <f t="shared" si="33"/>
        <v>164032</v>
      </c>
      <c r="H121" s="297">
        <f t="shared" si="23"/>
        <v>0</v>
      </c>
      <c r="I121" s="18"/>
      <c r="J121" s="295">
        <f t="shared" si="34"/>
        <v>164032</v>
      </c>
      <c r="K121" s="297">
        <f t="shared" si="24"/>
        <v>0</v>
      </c>
      <c r="L121" s="17"/>
      <c r="M121" s="295">
        <f t="shared" si="35"/>
        <v>164032</v>
      </c>
      <c r="N121" s="297">
        <f t="shared" si="25"/>
        <v>0</v>
      </c>
      <c r="O121" s="17"/>
    </row>
    <row r="122" spans="1:15" ht="18.600000000000001" customHeight="1" x14ac:dyDescent="0.25">
      <c r="A122" s="283" t="s">
        <v>244</v>
      </c>
      <c r="B122" s="299" t="s">
        <v>181</v>
      </c>
      <c r="C122" s="39">
        <v>907235</v>
      </c>
      <c r="D122" s="36">
        <f t="shared" si="32"/>
        <v>907235</v>
      </c>
      <c r="E122" s="297">
        <f t="shared" si="22"/>
        <v>0</v>
      </c>
      <c r="F122" s="37"/>
      <c r="G122" s="295">
        <f t="shared" si="33"/>
        <v>907235</v>
      </c>
      <c r="H122" s="297">
        <f t="shared" si="23"/>
        <v>0</v>
      </c>
      <c r="I122" s="18"/>
      <c r="J122" s="295">
        <f t="shared" si="34"/>
        <v>907235</v>
      </c>
      <c r="K122" s="297">
        <f t="shared" si="24"/>
        <v>0</v>
      </c>
      <c r="L122" s="40"/>
      <c r="M122" s="295">
        <f t="shared" si="35"/>
        <v>907235</v>
      </c>
      <c r="N122" s="297">
        <f t="shared" si="25"/>
        <v>0</v>
      </c>
      <c r="O122" s="17"/>
    </row>
    <row r="123" spans="1:15" ht="27.6" customHeight="1" x14ac:dyDescent="0.25">
      <c r="A123" s="300" t="s">
        <v>245</v>
      </c>
      <c r="B123" s="299" t="s">
        <v>246</v>
      </c>
      <c r="C123" s="39">
        <v>203000</v>
      </c>
      <c r="D123" s="36">
        <f t="shared" si="32"/>
        <v>203000</v>
      </c>
      <c r="E123" s="297">
        <f t="shared" si="22"/>
        <v>0</v>
      </c>
      <c r="F123" s="37"/>
      <c r="G123" s="295">
        <f t="shared" si="33"/>
        <v>203000</v>
      </c>
      <c r="H123" s="297">
        <f t="shared" si="23"/>
        <v>0</v>
      </c>
      <c r="I123" s="18"/>
      <c r="J123" s="295">
        <f>ROUND(G123,0)+84500</f>
        <v>287500</v>
      </c>
      <c r="K123" s="297">
        <f t="shared" si="24"/>
        <v>84500</v>
      </c>
      <c r="L123" s="41" t="s">
        <v>247</v>
      </c>
      <c r="M123" s="295">
        <f>ROUND(J123,0)</f>
        <v>287500</v>
      </c>
      <c r="N123" s="297">
        <f t="shared" si="25"/>
        <v>0</v>
      </c>
      <c r="O123" s="17"/>
    </row>
    <row r="124" spans="1:15" ht="28.95" customHeight="1" x14ac:dyDescent="0.25">
      <c r="A124" s="283" t="s">
        <v>248</v>
      </c>
      <c r="B124" s="301" t="s">
        <v>249</v>
      </c>
      <c r="C124" s="36">
        <v>126000</v>
      </c>
      <c r="D124" s="36">
        <f t="shared" si="32"/>
        <v>126000</v>
      </c>
      <c r="E124" s="297">
        <f t="shared" si="22"/>
        <v>0</v>
      </c>
      <c r="F124" s="37"/>
      <c r="G124" s="295">
        <f t="shared" si="33"/>
        <v>126000</v>
      </c>
      <c r="H124" s="297">
        <f t="shared" si="23"/>
        <v>0</v>
      </c>
      <c r="I124" s="18"/>
      <c r="J124" s="295">
        <f t="shared" si="34"/>
        <v>126000</v>
      </c>
      <c r="K124" s="297">
        <f t="shared" si="24"/>
        <v>0</v>
      </c>
      <c r="L124" s="13"/>
      <c r="M124" s="295">
        <f t="shared" ref="M124" si="36">ROUND(J124,0)</f>
        <v>126000</v>
      </c>
      <c r="N124" s="297">
        <f t="shared" si="25"/>
        <v>0</v>
      </c>
      <c r="O124" s="17"/>
    </row>
    <row r="125" spans="1:15" ht="15" customHeight="1" x14ac:dyDescent="0.25">
      <c r="A125" s="283" t="s">
        <v>250</v>
      </c>
      <c r="B125" s="299" t="s">
        <v>251</v>
      </c>
      <c r="C125" s="39">
        <v>0</v>
      </c>
      <c r="D125" s="36">
        <f>ROUND(C125,0)</f>
        <v>0</v>
      </c>
      <c r="E125" s="261">
        <f>D125-C125</f>
        <v>0</v>
      </c>
      <c r="F125" s="302"/>
      <c r="G125" s="295">
        <f>ROUND(D125,0)+126000</f>
        <v>126000</v>
      </c>
      <c r="H125" s="261">
        <f>G125-D125</f>
        <v>126000</v>
      </c>
      <c r="I125" s="18" t="s">
        <v>252</v>
      </c>
      <c r="J125" s="295">
        <f>ROUND(G125,0)</f>
        <v>126000</v>
      </c>
      <c r="K125" s="261">
        <f t="shared" si="24"/>
        <v>0</v>
      </c>
      <c r="L125" s="40"/>
      <c r="M125" s="295">
        <f>ROUND(J125,0)</f>
        <v>126000</v>
      </c>
      <c r="N125" s="303">
        <f t="shared" si="25"/>
        <v>0</v>
      </c>
      <c r="O125" s="17"/>
    </row>
    <row r="126" spans="1:15" ht="31.8" customHeight="1" thickBot="1" x14ac:dyDescent="0.3">
      <c r="A126" s="304" t="s">
        <v>253</v>
      </c>
      <c r="B126" s="305" t="s">
        <v>254</v>
      </c>
      <c r="C126" s="42"/>
      <c r="D126" s="306"/>
      <c r="E126" s="307"/>
      <c r="F126" s="37"/>
      <c r="G126" s="308"/>
      <c r="H126" s="307"/>
      <c r="I126" s="43"/>
      <c r="J126" s="308"/>
      <c r="K126" s="307"/>
      <c r="L126" s="44"/>
      <c r="M126" s="308">
        <v>68000</v>
      </c>
      <c r="N126" s="303">
        <f t="shared" si="25"/>
        <v>68000</v>
      </c>
      <c r="O126" s="18" t="s">
        <v>255</v>
      </c>
    </row>
    <row r="127" spans="1:15" ht="14.4" thickBot="1" x14ac:dyDescent="0.3">
      <c r="A127" s="309"/>
      <c r="B127" s="310" t="s">
        <v>256</v>
      </c>
      <c r="C127" s="33">
        <v>58162296.232200004</v>
      </c>
      <c r="D127" s="33">
        <f t="shared" ref="D127" si="37">D108+D109+D112</f>
        <v>58220652</v>
      </c>
      <c r="E127" s="291">
        <f t="shared" si="22"/>
        <v>58355.76779999584</v>
      </c>
      <c r="F127" s="45"/>
      <c r="G127" s="291">
        <f>G108+G109+G112</f>
        <v>58714633</v>
      </c>
      <c r="H127" s="291">
        <f t="shared" si="23"/>
        <v>493981</v>
      </c>
      <c r="I127" s="45"/>
      <c r="J127" s="291">
        <f>J108+J109+J112</f>
        <v>58875584</v>
      </c>
      <c r="K127" s="291">
        <f t="shared" si="24"/>
        <v>160951</v>
      </c>
      <c r="L127" s="45"/>
      <c r="M127" s="291">
        <f>M108+M109+M112</f>
        <v>58943584</v>
      </c>
      <c r="N127" s="291">
        <f t="shared" si="25"/>
        <v>68000</v>
      </c>
      <c r="O127" s="45"/>
    </row>
    <row r="129" spans="1:15" x14ac:dyDescent="0.25">
      <c r="E129" s="245"/>
      <c r="G129" s="245"/>
      <c r="H129" s="245"/>
      <c r="J129" s="245"/>
      <c r="K129" s="245"/>
      <c r="M129" s="245"/>
      <c r="N129" s="245"/>
    </row>
    <row r="130" spans="1:15" ht="20.399999999999999" x14ac:dyDescent="0.35">
      <c r="A130" s="368" t="s">
        <v>257</v>
      </c>
      <c r="B130" s="368"/>
      <c r="E130" s="245"/>
      <c r="G130" s="245"/>
      <c r="H130" s="245"/>
      <c r="J130" s="245"/>
      <c r="K130" s="245"/>
      <c r="M130" s="245"/>
      <c r="N130" s="245"/>
    </row>
    <row r="131" spans="1:15" ht="15" thickBot="1" x14ac:dyDescent="0.35">
      <c r="A131" s="369"/>
      <c r="B131" s="369"/>
      <c r="E131" s="46"/>
      <c r="G131" s="46"/>
      <c r="H131" s="46"/>
      <c r="J131" s="46"/>
      <c r="K131" s="46"/>
      <c r="M131" s="46"/>
      <c r="N131" s="46"/>
    </row>
    <row r="132" spans="1:15" ht="57" customHeight="1" outlineLevel="1" thickBot="1" x14ac:dyDescent="0.3">
      <c r="A132" s="246" t="s">
        <v>3</v>
      </c>
      <c r="B132" s="247" t="s">
        <v>4</v>
      </c>
      <c r="C132" s="10" t="s">
        <v>5</v>
      </c>
      <c r="D132" s="10" t="s">
        <v>6</v>
      </c>
      <c r="E132" s="9" t="s">
        <v>7</v>
      </c>
      <c r="F132" s="11" t="s">
        <v>258</v>
      </c>
      <c r="G132" s="9" t="s">
        <v>9</v>
      </c>
      <c r="H132" s="9" t="s">
        <v>10</v>
      </c>
      <c r="I132" s="11" t="s">
        <v>258</v>
      </c>
      <c r="J132" s="9" t="s">
        <v>11</v>
      </c>
      <c r="K132" s="9" t="s">
        <v>12</v>
      </c>
      <c r="L132" s="11" t="s">
        <v>258</v>
      </c>
      <c r="M132" s="9" t="s">
        <v>13</v>
      </c>
      <c r="N132" s="9" t="s">
        <v>14</v>
      </c>
      <c r="O132" s="11" t="s">
        <v>258</v>
      </c>
    </row>
    <row r="133" spans="1:15" x14ac:dyDescent="0.25">
      <c r="A133" s="312" t="s">
        <v>17</v>
      </c>
      <c r="B133" s="313" t="s">
        <v>259</v>
      </c>
      <c r="C133" s="315">
        <v>8245497.4604350002</v>
      </c>
      <c r="D133" s="315">
        <f t="shared" ref="D133" si="38">SUM(D134:D142)</f>
        <v>8245497</v>
      </c>
      <c r="E133" s="314">
        <f t="shared" ref="E133:E196" si="39">D133-C133</f>
        <v>-0.46043500024825335</v>
      </c>
      <c r="F133" s="316"/>
      <c r="G133" s="314">
        <f>SUM(G134:G142)</f>
        <v>8253567</v>
      </c>
      <c r="H133" s="314">
        <f t="shared" ref="H133:H196" si="40">G133-D133</f>
        <v>8070</v>
      </c>
      <c r="I133" s="316"/>
      <c r="J133" s="314">
        <f>SUM(J134:J142)</f>
        <v>8253567</v>
      </c>
      <c r="K133" s="314">
        <f t="shared" ref="K133:K196" si="41">J133-G133</f>
        <v>0</v>
      </c>
      <c r="L133" s="316"/>
      <c r="M133" s="314">
        <f>SUM(M134:M142)</f>
        <v>8293568</v>
      </c>
      <c r="N133" s="314">
        <f t="shared" ref="N133:N196" si="42">M133-J133</f>
        <v>40001</v>
      </c>
      <c r="O133" s="316"/>
    </row>
    <row r="134" spans="1:15" ht="31.5" customHeight="1" x14ac:dyDescent="0.25">
      <c r="A134" s="317" t="s">
        <v>19</v>
      </c>
      <c r="B134" s="318" t="s">
        <v>260</v>
      </c>
      <c r="C134" s="26">
        <v>1904696</v>
      </c>
      <c r="D134" s="26">
        <f>ROUND(C134,0)</f>
        <v>1904696</v>
      </c>
      <c r="E134" s="272">
        <f t="shared" si="39"/>
        <v>0</v>
      </c>
      <c r="F134" s="27"/>
      <c r="G134" s="272">
        <f>ROUND(D134,0)-16038</f>
        <v>1888658</v>
      </c>
      <c r="H134" s="319">
        <f t="shared" si="40"/>
        <v>-16038</v>
      </c>
      <c r="I134" s="47" t="s">
        <v>261</v>
      </c>
      <c r="J134" s="272">
        <f t="shared" ref="J134:J145" si="43">ROUND(G134,0)</f>
        <v>1888658</v>
      </c>
      <c r="K134" s="272">
        <f t="shared" si="41"/>
        <v>0</v>
      </c>
      <c r="L134" s="27"/>
      <c r="M134" s="272">
        <f t="shared" ref="M134:M145" si="44">ROUND(J134,0)</f>
        <v>1888658</v>
      </c>
      <c r="N134" s="272">
        <f t="shared" si="42"/>
        <v>0</v>
      </c>
      <c r="O134" s="27"/>
    </row>
    <row r="135" spans="1:15" x14ac:dyDescent="0.25">
      <c r="A135" s="317" t="s">
        <v>22</v>
      </c>
      <c r="B135" s="318" t="s">
        <v>262</v>
      </c>
      <c r="C135" s="26">
        <v>355819</v>
      </c>
      <c r="D135" s="26">
        <f t="shared" ref="D135:D144" si="45">ROUND(C135,0)</f>
        <v>355819</v>
      </c>
      <c r="E135" s="272">
        <f t="shared" si="39"/>
        <v>0</v>
      </c>
      <c r="F135" s="48"/>
      <c r="G135" s="272">
        <f t="shared" ref="G135:G140" si="46">ROUND(D135,0)</f>
        <v>355819</v>
      </c>
      <c r="H135" s="272">
        <f t="shared" si="40"/>
        <v>0</v>
      </c>
      <c r="I135" s="48"/>
      <c r="J135" s="272">
        <f t="shared" si="43"/>
        <v>355819</v>
      </c>
      <c r="K135" s="272">
        <f t="shared" si="41"/>
        <v>0</v>
      </c>
      <c r="L135" s="48"/>
      <c r="M135" s="272">
        <f t="shared" si="44"/>
        <v>355819</v>
      </c>
      <c r="N135" s="272">
        <f t="shared" si="42"/>
        <v>0</v>
      </c>
      <c r="O135" s="48"/>
    </row>
    <row r="136" spans="1:15" ht="13.2" customHeight="1" x14ac:dyDescent="0.25">
      <c r="A136" s="317" t="s">
        <v>263</v>
      </c>
      <c r="B136" s="318" t="s">
        <v>264</v>
      </c>
      <c r="C136" s="26">
        <v>58895</v>
      </c>
      <c r="D136" s="26">
        <f>ROUND(C136,0)</f>
        <v>58895</v>
      </c>
      <c r="E136" s="272">
        <f t="shared" si="39"/>
        <v>0</v>
      </c>
      <c r="F136" s="27"/>
      <c r="G136" s="272">
        <f t="shared" si="46"/>
        <v>58895</v>
      </c>
      <c r="H136" s="272">
        <f t="shared" si="40"/>
        <v>0</v>
      </c>
      <c r="I136" s="27"/>
      <c r="J136" s="272">
        <f t="shared" si="43"/>
        <v>58895</v>
      </c>
      <c r="K136" s="272">
        <f t="shared" si="41"/>
        <v>0</v>
      </c>
      <c r="L136" s="27"/>
      <c r="M136" s="272">
        <f t="shared" si="44"/>
        <v>58895</v>
      </c>
      <c r="N136" s="272">
        <f t="shared" si="42"/>
        <v>0</v>
      </c>
      <c r="O136" s="27"/>
    </row>
    <row r="137" spans="1:15" ht="14.4" customHeight="1" x14ac:dyDescent="0.25">
      <c r="A137" s="317" t="s">
        <v>265</v>
      </c>
      <c r="B137" s="318" t="s">
        <v>266</v>
      </c>
      <c r="C137" s="26">
        <v>50294</v>
      </c>
      <c r="D137" s="26">
        <f t="shared" si="45"/>
        <v>50294</v>
      </c>
      <c r="E137" s="272">
        <f t="shared" si="39"/>
        <v>0</v>
      </c>
      <c r="F137" s="27"/>
      <c r="G137" s="272">
        <f t="shared" si="46"/>
        <v>50294</v>
      </c>
      <c r="H137" s="272">
        <f t="shared" si="40"/>
        <v>0</v>
      </c>
      <c r="I137" s="27"/>
      <c r="J137" s="272">
        <f t="shared" si="43"/>
        <v>50294</v>
      </c>
      <c r="K137" s="272">
        <f t="shared" si="41"/>
        <v>0</v>
      </c>
      <c r="L137" s="27"/>
      <c r="M137" s="272">
        <f t="shared" si="44"/>
        <v>50294</v>
      </c>
      <c r="N137" s="272">
        <f t="shared" si="42"/>
        <v>0</v>
      </c>
      <c r="O137" s="27"/>
    </row>
    <row r="138" spans="1:15" ht="18" customHeight="1" x14ac:dyDescent="0.25">
      <c r="A138" s="317" t="s">
        <v>267</v>
      </c>
      <c r="B138" s="318" t="s">
        <v>268</v>
      </c>
      <c r="C138" s="26">
        <v>6588</v>
      </c>
      <c r="D138" s="26">
        <f t="shared" si="45"/>
        <v>6588</v>
      </c>
      <c r="E138" s="272">
        <f t="shared" si="39"/>
        <v>0</v>
      </c>
      <c r="F138" s="48"/>
      <c r="G138" s="272">
        <f t="shared" si="46"/>
        <v>6588</v>
      </c>
      <c r="H138" s="272">
        <f t="shared" si="40"/>
        <v>0</v>
      </c>
      <c r="I138" s="48"/>
      <c r="J138" s="272">
        <f t="shared" si="43"/>
        <v>6588</v>
      </c>
      <c r="K138" s="272">
        <f t="shared" si="41"/>
        <v>0</v>
      </c>
      <c r="L138" s="48"/>
      <c r="M138" s="272">
        <f t="shared" si="44"/>
        <v>6588</v>
      </c>
      <c r="N138" s="272">
        <f t="shared" si="42"/>
        <v>0</v>
      </c>
      <c r="O138" s="48"/>
    </row>
    <row r="139" spans="1:15" ht="29.4" customHeight="1" x14ac:dyDescent="0.25">
      <c r="A139" s="317" t="s">
        <v>269</v>
      </c>
      <c r="B139" s="318" t="s">
        <v>270</v>
      </c>
      <c r="C139" s="26">
        <v>71620</v>
      </c>
      <c r="D139" s="26">
        <f t="shared" si="45"/>
        <v>71620</v>
      </c>
      <c r="E139" s="272">
        <f t="shared" si="39"/>
        <v>0</v>
      </c>
      <c r="F139" s="48"/>
      <c r="G139" s="272">
        <f>ROUND(D139,0)-2000</f>
        <v>69620</v>
      </c>
      <c r="H139" s="272">
        <f t="shared" si="40"/>
        <v>-2000</v>
      </c>
      <c r="I139" s="48" t="s">
        <v>271</v>
      </c>
      <c r="J139" s="272">
        <f t="shared" si="43"/>
        <v>69620</v>
      </c>
      <c r="K139" s="272">
        <f t="shared" si="41"/>
        <v>0</v>
      </c>
      <c r="L139" s="48"/>
      <c r="M139" s="272">
        <f t="shared" si="44"/>
        <v>69620</v>
      </c>
      <c r="N139" s="272">
        <f t="shared" si="42"/>
        <v>0</v>
      </c>
      <c r="O139" s="48"/>
    </row>
    <row r="140" spans="1:15" ht="15.6" customHeight="1" x14ac:dyDescent="0.25">
      <c r="A140" s="317" t="s">
        <v>272</v>
      </c>
      <c r="B140" s="318" t="s">
        <v>273</v>
      </c>
      <c r="C140" s="26">
        <v>1047339</v>
      </c>
      <c r="D140" s="26">
        <f t="shared" si="45"/>
        <v>1047339</v>
      </c>
      <c r="E140" s="272">
        <f t="shared" si="39"/>
        <v>0</v>
      </c>
      <c r="F140" s="27"/>
      <c r="G140" s="272">
        <f t="shared" si="46"/>
        <v>1047339</v>
      </c>
      <c r="H140" s="272">
        <f t="shared" si="40"/>
        <v>0</v>
      </c>
      <c r="I140" s="27"/>
      <c r="J140" s="272">
        <f t="shared" si="43"/>
        <v>1047339</v>
      </c>
      <c r="K140" s="272">
        <f t="shared" si="41"/>
        <v>0</v>
      </c>
      <c r="L140" s="27"/>
      <c r="M140" s="272">
        <f>ROUND(J140,0)+40001</f>
        <v>1087340</v>
      </c>
      <c r="N140" s="272">
        <f t="shared" si="42"/>
        <v>40001</v>
      </c>
      <c r="O140" s="27" t="s">
        <v>274</v>
      </c>
    </row>
    <row r="141" spans="1:15" x14ac:dyDescent="0.25">
      <c r="A141" s="317" t="s">
        <v>275</v>
      </c>
      <c r="B141" s="318" t="s">
        <v>276</v>
      </c>
      <c r="C141" s="26">
        <v>4392666</v>
      </c>
      <c r="D141" s="26">
        <f t="shared" si="45"/>
        <v>4392666</v>
      </c>
      <c r="E141" s="272">
        <f t="shared" si="39"/>
        <v>0</v>
      </c>
      <c r="F141" s="48"/>
      <c r="G141" s="272">
        <f>ROUND(D141,0)+26108</f>
        <v>4418774</v>
      </c>
      <c r="H141" s="272">
        <f t="shared" si="40"/>
        <v>26108</v>
      </c>
      <c r="I141" s="48" t="s">
        <v>21</v>
      </c>
      <c r="J141" s="272">
        <f t="shared" si="43"/>
        <v>4418774</v>
      </c>
      <c r="K141" s="272">
        <f t="shared" si="41"/>
        <v>0</v>
      </c>
      <c r="L141" s="48"/>
      <c r="M141" s="272">
        <f t="shared" si="44"/>
        <v>4418774</v>
      </c>
      <c r="N141" s="272">
        <f t="shared" si="42"/>
        <v>0</v>
      </c>
      <c r="O141" s="48"/>
    </row>
    <row r="142" spans="1:15" ht="42.6" customHeight="1" x14ac:dyDescent="0.25">
      <c r="A142" s="317" t="s">
        <v>277</v>
      </c>
      <c r="B142" s="318" t="s">
        <v>278</v>
      </c>
      <c r="C142" s="26">
        <v>357580.46043500002</v>
      </c>
      <c r="D142" s="26">
        <f>ROUND(C142,0)</f>
        <v>357580</v>
      </c>
      <c r="E142" s="272">
        <f t="shared" si="39"/>
        <v>-0.4604350000154227</v>
      </c>
      <c r="F142" s="27"/>
      <c r="G142" s="272">
        <f>ROUND(D142,0)</f>
        <v>357580</v>
      </c>
      <c r="H142" s="272">
        <f t="shared" si="40"/>
        <v>0</v>
      </c>
      <c r="I142" s="27"/>
      <c r="J142" s="272">
        <f t="shared" si="43"/>
        <v>357580</v>
      </c>
      <c r="K142" s="272">
        <f t="shared" si="41"/>
        <v>0</v>
      </c>
      <c r="L142" s="27"/>
      <c r="M142" s="272">
        <f t="shared" si="44"/>
        <v>357580</v>
      </c>
      <c r="N142" s="272">
        <f t="shared" si="42"/>
        <v>0</v>
      </c>
      <c r="O142" s="27"/>
    </row>
    <row r="143" spans="1:15" x14ac:dyDescent="0.25">
      <c r="A143" s="320" t="s">
        <v>26</v>
      </c>
      <c r="B143" s="321" t="s">
        <v>279</v>
      </c>
      <c r="C143" s="14">
        <v>0</v>
      </c>
      <c r="D143" s="14">
        <f t="shared" si="45"/>
        <v>0</v>
      </c>
      <c r="E143" s="265">
        <f t="shared" si="39"/>
        <v>0</v>
      </c>
      <c r="F143" s="15"/>
      <c r="G143" s="265">
        <f>ROUND(D143,0)</f>
        <v>0</v>
      </c>
      <c r="H143" s="265">
        <f t="shared" si="40"/>
        <v>0</v>
      </c>
      <c r="I143" s="15"/>
      <c r="J143" s="265">
        <f t="shared" si="43"/>
        <v>0</v>
      </c>
      <c r="K143" s="265">
        <f t="shared" si="41"/>
        <v>0</v>
      </c>
      <c r="L143" s="15"/>
      <c r="M143" s="265">
        <f t="shared" si="44"/>
        <v>0</v>
      </c>
      <c r="N143" s="265">
        <f t="shared" si="42"/>
        <v>0</v>
      </c>
      <c r="O143" s="15"/>
    </row>
    <row r="144" spans="1:15" ht="13.8" customHeight="1" x14ac:dyDescent="0.25">
      <c r="A144" s="317" t="s">
        <v>28</v>
      </c>
      <c r="B144" s="318" t="s">
        <v>280</v>
      </c>
      <c r="C144" s="26">
        <v>0</v>
      </c>
      <c r="D144" s="26">
        <f t="shared" si="45"/>
        <v>0</v>
      </c>
      <c r="E144" s="272">
        <f t="shared" si="39"/>
        <v>0</v>
      </c>
      <c r="F144" s="48"/>
      <c r="G144" s="272">
        <f>ROUND(D144,0)</f>
        <v>0</v>
      </c>
      <c r="H144" s="272">
        <f t="shared" si="40"/>
        <v>0</v>
      </c>
      <c r="I144" s="48"/>
      <c r="J144" s="272">
        <f t="shared" si="43"/>
        <v>0</v>
      </c>
      <c r="K144" s="272">
        <f t="shared" si="41"/>
        <v>0</v>
      </c>
      <c r="L144" s="48"/>
      <c r="M144" s="272">
        <f t="shared" si="44"/>
        <v>0</v>
      </c>
      <c r="N144" s="272">
        <f t="shared" si="42"/>
        <v>0</v>
      </c>
      <c r="O144" s="48"/>
    </row>
    <row r="145" spans="1:15" ht="15" customHeight="1" collapsed="1" x14ac:dyDescent="0.25">
      <c r="A145" s="320" t="s">
        <v>31</v>
      </c>
      <c r="B145" s="321" t="s">
        <v>281</v>
      </c>
      <c r="C145" s="14">
        <v>936069.29245700024</v>
      </c>
      <c r="D145" s="14">
        <f>ROUND(C145,0)</f>
        <v>936069</v>
      </c>
      <c r="E145" s="265">
        <f t="shared" si="39"/>
        <v>-0.29245700023602694</v>
      </c>
      <c r="F145" s="19"/>
      <c r="G145" s="265">
        <f>ROUND(D145,0)</f>
        <v>936069</v>
      </c>
      <c r="H145" s="265">
        <f t="shared" si="40"/>
        <v>0</v>
      </c>
      <c r="I145" s="49"/>
      <c r="J145" s="265">
        <f t="shared" si="43"/>
        <v>936069</v>
      </c>
      <c r="K145" s="265">
        <f t="shared" si="41"/>
        <v>0</v>
      </c>
      <c r="L145" s="19"/>
      <c r="M145" s="265">
        <f t="shared" si="44"/>
        <v>936069</v>
      </c>
      <c r="N145" s="265">
        <f t="shared" si="42"/>
        <v>0</v>
      </c>
      <c r="O145" s="19"/>
    </row>
    <row r="146" spans="1:15" s="322" customFormat="1" ht="16.95" customHeight="1" x14ac:dyDescent="0.25">
      <c r="A146" s="320" t="s">
        <v>36</v>
      </c>
      <c r="B146" s="321" t="s">
        <v>282</v>
      </c>
      <c r="C146" s="14">
        <v>556693.29264600005</v>
      </c>
      <c r="D146" s="14">
        <f t="shared" ref="D146" si="47">D147+D150</f>
        <v>556693</v>
      </c>
      <c r="E146" s="265">
        <f t="shared" si="39"/>
        <v>-0.29264600004535168</v>
      </c>
      <c r="F146" s="19"/>
      <c r="G146" s="265">
        <f>G147+G150</f>
        <v>589278</v>
      </c>
      <c r="H146" s="265">
        <f t="shared" si="40"/>
        <v>32585</v>
      </c>
      <c r="I146" s="19"/>
      <c r="J146" s="265">
        <f>J147+J150</f>
        <v>589278</v>
      </c>
      <c r="K146" s="265">
        <f t="shared" si="41"/>
        <v>0</v>
      </c>
      <c r="L146" s="19"/>
      <c r="M146" s="265">
        <f>M147+M150</f>
        <v>589278</v>
      </c>
      <c r="N146" s="265">
        <f t="shared" si="42"/>
        <v>0</v>
      </c>
      <c r="O146" s="19"/>
    </row>
    <row r="147" spans="1:15" x14ac:dyDescent="0.25">
      <c r="A147" s="317" t="s">
        <v>38</v>
      </c>
      <c r="B147" s="318" t="s">
        <v>283</v>
      </c>
      <c r="C147" s="26">
        <v>207617.29264600005</v>
      </c>
      <c r="D147" s="26">
        <f>SUM(D148:D149)</f>
        <v>207617</v>
      </c>
      <c r="E147" s="272">
        <f t="shared" ref="E147" si="48">SUM(E148:E149)</f>
        <v>3.7353999970946461E-2</v>
      </c>
      <c r="F147" s="272"/>
      <c r="G147" s="272">
        <f>SUM(G148:G149)</f>
        <v>207617</v>
      </c>
      <c r="H147" s="272">
        <f t="shared" si="40"/>
        <v>0</v>
      </c>
      <c r="I147" s="272"/>
      <c r="J147" s="272">
        <f>SUM(J148:J149)</f>
        <v>207617</v>
      </c>
      <c r="K147" s="272">
        <f t="shared" si="41"/>
        <v>0</v>
      </c>
      <c r="L147" s="272"/>
      <c r="M147" s="272">
        <f>SUM(M148:M149)</f>
        <v>207617</v>
      </c>
      <c r="N147" s="272">
        <f t="shared" si="42"/>
        <v>0</v>
      </c>
      <c r="O147" s="272"/>
    </row>
    <row r="148" spans="1:15" x14ac:dyDescent="0.25">
      <c r="A148" s="323" t="s">
        <v>284</v>
      </c>
      <c r="B148" s="324" t="s">
        <v>285</v>
      </c>
      <c r="C148" s="12">
        <v>162450.96264600003</v>
      </c>
      <c r="D148" s="12">
        <f>ROUND(C148,0)</f>
        <v>162451</v>
      </c>
      <c r="E148" s="261">
        <f t="shared" si="39"/>
        <v>3.7353999970946461E-2</v>
      </c>
      <c r="F148" s="13"/>
      <c r="G148" s="261">
        <f>ROUND(D148,0)</f>
        <v>162451</v>
      </c>
      <c r="H148" s="261">
        <f t="shared" si="40"/>
        <v>0</v>
      </c>
      <c r="I148" s="13"/>
      <c r="J148" s="261">
        <f>ROUND(G148,0)</f>
        <v>162451</v>
      </c>
      <c r="K148" s="261">
        <f t="shared" si="41"/>
        <v>0</v>
      </c>
      <c r="L148" s="13"/>
      <c r="M148" s="261">
        <f>ROUND(J148,0)</f>
        <v>162451</v>
      </c>
      <c r="N148" s="261">
        <f t="shared" si="42"/>
        <v>0</v>
      </c>
      <c r="O148" s="13"/>
    </row>
    <row r="149" spans="1:15" x14ac:dyDescent="0.25">
      <c r="A149" s="323" t="s">
        <v>286</v>
      </c>
      <c r="B149" s="324" t="s">
        <v>287</v>
      </c>
      <c r="C149" s="12">
        <v>45166.33</v>
      </c>
      <c r="D149" s="12">
        <f>ROUND(C149,0)</f>
        <v>45166</v>
      </c>
      <c r="E149" s="261"/>
      <c r="F149" s="13"/>
      <c r="G149" s="261">
        <f>ROUND(D149,0)</f>
        <v>45166</v>
      </c>
      <c r="H149" s="261">
        <f t="shared" si="40"/>
        <v>0</v>
      </c>
      <c r="I149" s="13"/>
      <c r="J149" s="261">
        <f>ROUND(G149,0)</f>
        <v>45166</v>
      </c>
      <c r="K149" s="261">
        <f t="shared" si="41"/>
        <v>0</v>
      </c>
      <c r="L149" s="13"/>
      <c r="M149" s="261">
        <f>ROUND(J149,0)</f>
        <v>45166</v>
      </c>
      <c r="N149" s="261">
        <f t="shared" si="42"/>
        <v>0</v>
      </c>
      <c r="O149" s="13"/>
    </row>
    <row r="150" spans="1:15" x14ac:dyDescent="0.25">
      <c r="A150" s="317" t="s">
        <v>39</v>
      </c>
      <c r="B150" s="318" t="s">
        <v>288</v>
      </c>
      <c r="C150" s="26">
        <v>349076</v>
      </c>
      <c r="D150" s="26">
        <f>ROUND(C150,0)</f>
        <v>349076</v>
      </c>
      <c r="E150" s="272">
        <f t="shared" si="39"/>
        <v>0</v>
      </c>
      <c r="F150" s="48"/>
      <c r="G150" s="272">
        <f>ROUND(D150,0)+32585</f>
        <v>381661</v>
      </c>
      <c r="H150" s="272">
        <f t="shared" si="40"/>
        <v>32585</v>
      </c>
      <c r="I150" s="272" t="s">
        <v>128</v>
      </c>
      <c r="J150" s="272">
        <f>ROUND(G150,0)</f>
        <v>381661</v>
      </c>
      <c r="K150" s="272">
        <f t="shared" si="41"/>
        <v>0</v>
      </c>
      <c r="L150" s="272"/>
      <c r="M150" s="272">
        <f>ROUND(J150,0)</f>
        <v>381661</v>
      </c>
      <c r="N150" s="272">
        <f t="shared" si="42"/>
        <v>0</v>
      </c>
      <c r="O150" s="272"/>
    </row>
    <row r="151" spans="1:15" x14ac:dyDescent="0.25">
      <c r="A151" s="320" t="s">
        <v>40</v>
      </c>
      <c r="B151" s="321" t="s">
        <v>289</v>
      </c>
      <c r="C151" s="14">
        <v>260002</v>
      </c>
      <c r="D151" s="14">
        <f t="shared" ref="D151" si="49">D152</f>
        <v>260002</v>
      </c>
      <c r="E151" s="265">
        <f t="shared" si="39"/>
        <v>0</v>
      </c>
      <c r="F151" s="15"/>
      <c r="G151" s="265">
        <f>G152</f>
        <v>260002</v>
      </c>
      <c r="H151" s="265">
        <f t="shared" si="40"/>
        <v>0</v>
      </c>
      <c r="I151" s="15"/>
      <c r="J151" s="265">
        <f>J152</f>
        <v>260002</v>
      </c>
      <c r="K151" s="265">
        <f t="shared" si="41"/>
        <v>0</v>
      </c>
      <c r="L151" s="15"/>
      <c r="M151" s="265">
        <f>M152</f>
        <v>260002</v>
      </c>
      <c r="N151" s="265">
        <f t="shared" si="42"/>
        <v>0</v>
      </c>
      <c r="O151" s="15"/>
    </row>
    <row r="152" spans="1:15" ht="16.2" customHeight="1" x14ac:dyDescent="0.25">
      <c r="A152" s="317" t="s">
        <v>42</v>
      </c>
      <c r="B152" s="318" t="s">
        <v>290</v>
      </c>
      <c r="C152" s="26">
        <v>260002</v>
      </c>
      <c r="D152" s="26">
        <f>ROUND(C152,0)</f>
        <v>260002</v>
      </c>
      <c r="E152" s="272">
        <f t="shared" si="39"/>
        <v>0</v>
      </c>
      <c r="F152" s="27"/>
      <c r="G152" s="272">
        <f>ROUND(D152,0)</f>
        <v>260002</v>
      </c>
      <c r="H152" s="272">
        <f t="shared" si="40"/>
        <v>0</v>
      </c>
      <c r="I152" s="27"/>
      <c r="J152" s="272">
        <f>ROUND(G152,0)</f>
        <v>260002</v>
      </c>
      <c r="K152" s="272">
        <f t="shared" si="41"/>
        <v>0</v>
      </c>
      <c r="L152" s="27"/>
      <c r="M152" s="272">
        <f>ROUND(J152,0)</f>
        <v>260002</v>
      </c>
      <c r="N152" s="272">
        <f t="shared" si="42"/>
        <v>0</v>
      </c>
      <c r="O152" s="27"/>
    </row>
    <row r="153" spans="1:15" ht="27.6" x14ac:dyDescent="0.25">
      <c r="A153" s="320" t="s">
        <v>45</v>
      </c>
      <c r="B153" s="321" t="s">
        <v>291</v>
      </c>
      <c r="C153" s="14">
        <v>16329241.372453</v>
      </c>
      <c r="D153" s="14">
        <f t="shared" ref="D153" si="50">D154+D155+D156+D157+D168</f>
        <v>16329241</v>
      </c>
      <c r="E153" s="265">
        <f>E155+E156+E157+E168</f>
        <v>-0.3724529993487522</v>
      </c>
      <c r="F153" s="265"/>
      <c r="G153" s="265">
        <f>G154+G155+G156+G157+G168</f>
        <v>16651546</v>
      </c>
      <c r="H153" s="265">
        <f t="shared" si="40"/>
        <v>322305</v>
      </c>
      <c r="I153" s="265"/>
      <c r="J153" s="265">
        <f>J154+J155+J156+J157+J168</f>
        <v>16728872</v>
      </c>
      <c r="K153" s="265">
        <f t="shared" si="41"/>
        <v>77326</v>
      </c>
      <c r="L153" s="265"/>
      <c r="M153" s="265">
        <f>M154+M155+M156+M157+M168</f>
        <v>16754047</v>
      </c>
      <c r="N153" s="265">
        <f t="shared" si="42"/>
        <v>25175</v>
      </c>
      <c r="O153" s="265"/>
    </row>
    <row r="154" spans="1:15" ht="15.6" customHeight="1" x14ac:dyDescent="0.25">
      <c r="A154" s="317" t="s">
        <v>47</v>
      </c>
      <c r="B154" s="325" t="s">
        <v>280</v>
      </c>
      <c r="C154" s="26">
        <v>70000</v>
      </c>
      <c r="D154" s="26">
        <f>ROUND(C154,0)</f>
        <v>70000</v>
      </c>
      <c r="E154" s="272">
        <f>D154-C154</f>
        <v>0</v>
      </c>
      <c r="F154" s="48"/>
      <c r="G154" s="272">
        <f>ROUND(D154,0)</f>
        <v>70000</v>
      </c>
      <c r="H154" s="272">
        <f t="shared" si="40"/>
        <v>0</v>
      </c>
      <c r="I154" s="48"/>
      <c r="J154" s="272">
        <f>ROUND(G154,0)</f>
        <v>70000</v>
      </c>
      <c r="K154" s="272">
        <f t="shared" si="41"/>
        <v>0</v>
      </c>
      <c r="L154" s="48"/>
      <c r="M154" s="272">
        <f>ROUND(J154,0)</f>
        <v>70000</v>
      </c>
      <c r="N154" s="272">
        <f t="shared" si="42"/>
        <v>0</v>
      </c>
      <c r="O154" s="48"/>
    </row>
    <row r="155" spans="1:15" ht="19.2" customHeight="1" x14ac:dyDescent="0.25">
      <c r="A155" s="317" t="s">
        <v>55</v>
      </c>
      <c r="B155" s="325" t="s">
        <v>292</v>
      </c>
      <c r="C155" s="50">
        <v>313523.70461999997</v>
      </c>
      <c r="D155" s="50">
        <f>ROUND(C155,0)</f>
        <v>313524</v>
      </c>
      <c r="E155" s="326">
        <f t="shared" si="39"/>
        <v>0.29538000002503395</v>
      </c>
      <c r="F155" s="27"/>
      <c r="G155" s="326">
        <f>ROUND(D155,0)+15000</f>
        <v>328524</v>
      </c>
      <c r="H155" s="327">
        <f t="shared" si="40"/>
        <v>15000</v>
      </c>
      <c r="I155" s="51" t="s">
        <v>293</v>
      </c>
      <c r="J155" s="326">
        <f>ROUND(G155,0)</f>
        <v>328524</v>
      </c>
      <c r="K155" s="326">
        <f t="shared" si="41"/>
        <v>0</v>
      </c>
      <c r="L155" s="52"/>
      <c r="M155" s="326">
        <f>ROUND(J155,0)</f>
        <v>328524</v>
      </c>
      <c r="N155" s="326">
        <f t="shared" si="42"/>
        <v>0</v>
      </c>
      <c r="O155" s="52"/>
    </row>
    <row r="156" spans="1:15" ht="58.2" customHeight="1" x14ac:dyDescent="0.25">
      <c r="A156" s="317" t="s">
        <v>294</v>
      </c>
      <c r="B156" s="325" t="s">
        <v>295</v>
      </c>
      <c r="C156" s="50">
        <v>345571.12844500004</v>
      </c>
      <c r="D156" s="50">
        <f>ROUND(C156,0)</f>
        <v>345571</v>
      </c>
      <c r="E156" s="326">
        <f t="shared" si="39"/>
        <v>-0.12844500003848225</v>
      </c>
      <c r="F156" s="27"/>
      <c r="G156" s="326">
        <f>ROUND(D156,0)-11083</f>
        <v>334488</v>
      </c>
      <c r="H156" s="327">
        <f t="shared" si="40"/>
        <v>-11083</v>
      </c>
      <c r="I156" s="47" t="s">
        <v>261</v>
      </c>
      <c r="J156" s="326">
        <f>ROUND(G156,0)</f>
        <v>334488</v>
      </c>
      <c r="K156" s="326">
        <f t="shared" si="41"/>
        <v>0</v>
      </c>
      <c r="L156" s="27"/>
      <c r="M156" s="326">
        <f>ROUND(J156,0)</f>
        <v>334488</v>
      </c>
      <c r="N156" s="326">
        <f t="shared" si="42"/>
        <v>0</v>
      </c>
      <c r="O156" s="27"/>
    </row>
    <row r="157" spans="1:15" x14ac:dyDescent="0.25">
      <c r="A157" s="317" t="s">
        <v>296</v>
      </c>
      <c r="B157" s="325" t="s">
        <v>297</v>
      </c>
      <c r="C157" s="50">
        <v>1526970.0498800001</v>
      </c>
      <c r="D157" s="50">
        <f t="shared" ref="D157:E157" si="51">SUM(D158:D167)</f>
        <v>1526970</v>
      </c>
      <c r="E157" s="326">
        <f t="shared" si="51"/>
        <v>-4.9880000064149499E-2</v>
      </c>
      <c r="F157" s="326"/>
      <c r="G157" s="326">
        <f>SUM(G158:G167)</f>
        <v>1509840</v>
      </c>
      <c r="H157" s="326">
        <f t="shared" si="40"/>
        <v>-17130</v>
      </c>
      <c r="I157" s="326"/>
      <c r="J157" s="326">
        <f>SUM(J158:J167)</f>
        <v>1509840</v>
      </c>
      <c r="K157" s="326">
        <f t="shared" si="41"/>
        <v>0</v>
      </c>
      <c r="L157" s="326"/>
      <c r="M157" s="326">
        <f>SUM(M158:M167)</f>
        <v>1594840</v>
      </c>
      <c r="N157" s="326">
        <f t="shared" si="42"/>
        <v>85000</v>
      </c>
      <c r="O157" s="326"/>
    </row>
    <row r="158" spans="1:15" ht="151.80000000000001" customHeight="1" x14ac:dyDescent="0.25">
      <c r="A158" s="323" t="s">
        <v>298</v>
      </c>
      <c r="B158" s="299" t="s">
        <v>299</v>
      </c>
      <c r="C158" s="12">
        <v>1009113.0498800001</v>
      </c>
      <c r="D158" s="12">
        <f>ROUND(C158,0)+5033</f>
        <v>1014146</v>
      </c>
      <c r="E158" s="261">
        <f t="shared" si="39"/>
        <v>5032.9501199999359</v>
      </c>
      <c r="F158" s="53" t="s">
        <v>300</v>
      </c>
      <c r="G158" s="261">
        <f>ROUND(D158,0)-17130</f>
        <v>997016</v>
      </c>
      <c r="H158" s="262">
        <f t="shared" si="40"/>
        <v>-17130</v>
      </c>
      <c r="I158" s="54" t="s">
        <v>261</v>
      </c>
      <c r="J158" s="261">
        <f>ROUND(G158,0)</f>
        <v>997016</v>
      </c>
      <c r="K158" s="261">
        <f t="shared" si="41"/>
        <v>0</v>
      </c>
      <c r="L158" s="53"/>
      <c r="M158" s="261">
        <f>ROUND(J158,0)-73+27000+8000+50000+1000</f>
        <v>1082943</v>
      </c>
      <c r="N158" s="261">
        <f t="shared" si="42"/>
        <v>85927</v>
      </c>
      <c r="O158" s="53" t="s">
        <v>867</v>
      </c>
    </row>
    <row r="159" spans="1:15" ht="18.600000000000001" customHeight="1" x14ac:dyDescent="0.25">
      <c r="A159" s="323" t="s">
        <v>302</v>
      </c>
      <c r="B159" s="328" t="s">
        <v>303</v>
      </c>
      <c r="C159" s="12">
        <v>40000</v>
      </c>
      <c r="D159" s="12">
        <f t="shared" ref="D159:D164" si="52">ROUND(C159,0)</f>
        <v>40000</v>
      </c>
      <c r="E159" s="261">
        <f t="shared" si="39"/>
        <v>0</v>
      </c>
      <c r="F159" s="53"/>
      <c r="G159" s="261">
        <f t="shared" ref="G159:G164" si="53">ROUND(D159,0)</f>
        <v>40000</v>
      </c>
      <c r="H159" s="261">
        <f t="shared" si="40"/>
        <v>0</v>
      </c>
      <c r="I159" s="53"/>
      <c r="J159" s="261">
        <f>ROUND(G159,0)+1630</f>
        <v>41630</v>
      </c>
      <c r="K159" s="261">
        <f t="shared" si="41"/>
        <v>1630</v>
      </c>
      <c r="L159" s="53" t="s">
        <v>304</v>
      </c>
      <c r="M159" s="261">
        <f t="shared" ref="M159:M164" si="54">ROUND(J159,0)</f>
        <v>41630</v>
      </c>
      <c r="N159" s="261">
        <f t="shared" si="42"/>
        <v>0</v>
      </c>
      <c r="O159" s="53"/>
    </row>
    <row r="160" spans="1:15" ht="16.5" customHeight="1" x14ac:dyDescent="0.25">
      <c r="A160" s="323" t="s">
        <v>305</v>
      </c>
      <c r="B160" s="328" t="s">
        <v>306</v>
      </c>
      <c r="C160" s="12">
        <v>10000</v>
      </c>
      <c r="D160" s="12">
        <f t="shared" si="52"/>
        <v>10000</v>
      </c>
      <c r="E160" s="261">
        <f t="shared" si="39"/>
        <v>0</v>
      </c>
      <c r="F160" s="53"/>
      <c r="G160" s="261">
        <f t="shared" si="53"/>
        <v>10000</v>
      </c>
      <c r="H160" s="261">
        <f t="shared" si="40"/>
        <v>0</v>
      </c>
      <c r="I160" s="53"/>
      <c r="J160" s="261">
        <f>ROUND(G160,0)</f>
        <v>10000</v>
      </c>
      <c r="K160" s="261">
        <f t="shared" si="41"/>
        <v>0</v>
      </c>
      <c r="L160" s="53"/>
      <c r="M160" s="261">
        <f t="shared" si="54"/>
        <v>10000</v>
      </c>
      <c r="N160" s="261">
        <f t="shared" si="42"/>
        <v>0</v>
      </c>
      <c r="O160" s="53"/>
    </row>
    <row r="161" spans="1:15" ht="28.2" customHeight="1" x14ac:dyDescent="0.25">
      <c r="A161" s="329" t="s">
        <v>307</v>
      </c>
      <c r="B161" s="330" t="s">
        <v>308</v>
      </c>
      <c r="C161" s="12">
        <v>42000</v>
      </c>
      <c r="D161" s="12">
        <f>ROUND(C161,0)+18000</f>
        <v>60000</v>
      </c>
      <c r="E161" s="261">
        <f t="shared" si="39"/>
        <v>18000</v>
      </c>
      <c r="F161" s="53" t="s">
        <v>309</v>
      </c>
      <c r="G161" s="261">
        <f t="shared" si="53"/>
        <v>60000</v>
      </c>
      <c r="H161" s="261">
        <f t="shared" si="40"/>
        <v>0</v>
      </c>
      <c r="I161" s="53"/>
      <c r="J161" s="261">
        <f>ROUND(G161,0)</f>
        <v>60000</v>
      </c>
      <c r="K161" s="261">
        <f t="shared" si="41"/>
        <v>0</v>
      </c>
      <c r="L161" s="53"/>
      <c r="M161" s="261">
        <f t="shared" si="54"/>
        <v>60000</v>
      </c>
      <c r="N161" s="261">
        <f t="shared" si="42"/>
        <v>0</v>
      </c>
      <c r="O161" s="53"/>
    </row>
    <row r="162" spans="1:15" ht="32.4" customHeight="1" x14ac:dyDescent="0.25">
      <c r="A162" s="329" t="s">
        <v>310</v>
      </c>
      <c r="B162" s="331" t="s">
        <v>311</v>
      </c>
      <c r="C162" s="12">
        <v>85290</v>
      </c>
      <c r="D162" s="12">
        <f t="shared" si="52"/>
        <v>85290</v>
      </c>
      <c r="E162" s="261">
        <f t="shared" si="39"/>
        <v>0</v>
      </c>
      <c r="F162" s="53"/>
      <c r="G162" s="261">
        <f t="shared" si="53"/>
        <v>85290</v>
      </c>
      <c r="H162" s="261">
        <f t="shared" si="40"/>
        <v>0</v>
      </c>
      <c r="I162" s="53"/>
      <c r="J162" s="261">
        <f>ROUND(G162,0)</f>
        <v>85290</v>
      </c>
      <c r="K162" s="261">
        <f t="shared" si="41"/>
        <v>0</v>
      </c>
      <c r="L162" s="53"/>
      <c r="M162" s="261">
        <f t="shared" si="54"/>
        <v>85290</v>
      </c>
      <c r="N162" s="261">
        <f t="shared" si="42"/>
        <v>0</v>
      </c>
      <c r="O162" s="53"/>
    </row>
    <row r="163" spans="1:15" ht="15.75" customHeight="1" x14ac:dyDescent="0.25">
      <c r="A163" s="329" t="s">
        <v>312</v>
      </c>
      <c r="B163" s="331" t="s">
        <v>175</v>
      </c>
      <c r="C163" s="12">
        <v>236171</v>
      </c>
      <c r="D163" s="12">
        <f t="shared" si="52"/>
        <v>236171</v>
      </c>
      <c r="E163" s="261">
        <f t="shared" si="39"/>
        <v>0</v>
      </c>
      <c r="F163" s="53"/>
      <c r="G163" s="261">
        <f t="shared" si="53"/>
        <v>236171</v>
      </c>
      <c r="H163" s="261">
        <f t="shared" si="40"/>
        <v>0</v>
      </c>
      <c r="I163" s="53"/>
      <c r="J163" s="261">
        <f>ROUND(G163,0)</f>
        <v>236171</v>
      </c>
      <c r="K163" s="261">
        <f t="shared" si="41"/>
        <v>0</v>
      </c>
      <c r="L163" s="53"/>
      <c r="M163" s="261">
        <f t="shared" si="54"/>
        <v>236171</v>
      </c>
      <c r="N163" s="261">
        <f t="shared" si="42"/>
        <v>0</v>
      </c>
      <c r="O163" s="53"/>
    </row>
    <row r="164" spans="1:15" ht="25.2" customHeight="1" x14ac:dyDescent="0.25">
      <c r="A164" s="329" t="s">
        <v>313</v>
      </c>
      <c r="B164" s="331" t="s">
        <v>146</v>
      </c>
      <c r="C164" s="12">
        <v>53240</v>
      </c>
      <c r="D164" s="12">
        <f t="shared" si="52"/>
        <v>53240</v>
      </c>
      <c r="E164" s="261">
        <f t="shared" si="39"/>
        <v>0</v>
      </c>
      <c r="F164" s="20"/>
      <c r="G164" s="261">
        <f t="shared" si="53"/>
        <v>53240</v>
      </c>
      <c r="H164" s="261">
        <f t="shared" si="40"/>
        <v>0</v>
      </c>
      <c r="I164" s="20"/>
      <c r="J164" s="261">
        <f>ROUND(G164,0)</f>
        <v>53240</v>
      </c>
      <c r="K164" s="261">
        <f t="shared" si="41"/>
        <v>0</v>
      </c>
      <c r="L164" s="20"/>
      <c r="M164" s="261">
        <f t="shared" si="54"/>
        <v>53240</v>
      </c>
      <c r="N164" s="261">
        <f t="shared" si="42"/>
        <v>0</v>
      </c>
      <c r="O164" s="20"/>
    </row>
    <row r="165" spans="1:15" ht="13.2" customHeight="1" x14ac:dyDescent="0.25">
      <c r="A165" s="329" t="s">
        <v>314</v>
      </c>
      <c r="B165" s="279" t="s">
        <v>315</v>
      </c>
      <c r="C165" s="12">
        <v>32020</v>
      </c>
      <c r="D165" s="12">
        <f>32020-18000-5033</f>
        <v>8987</v>
      </c>
      <c r="E165" s="261">
        <f t="shared" si="39"/>
        <v>-23033</v>
      </c>
      <c r="F165" s="53" t="s">
        <v>316</v>
      </c>
      <c r="G165" s="261">
        <f>32020-18000-5033</f>
        <v>8987</v>
      </c>
      <c r="H165" s="261">
        <f t="shared" si="40"/>
        <v>0</v>
      </c>
      <c r="I165" s="53"/>
      <c r="J165" s="261">
        <f>32020-18000-5033</f>
        <v>8987</v>
      </c>
      <c r="K165" s="261">
        <f t="shared" si="41"/>
        <v>0</v>
      </c>
      <c r="L165" s="53"/>
      <c r="M165" s="261">
        <f>32020-18000-5033</f>
        <v>8987</v>
      </c>
      <c r="N165" s="261">
        <f t="shared" si="42"/>
        <v>0</v>
      </c>
      <c r="O165" s="53"/>
    </row>
    <row r="166" spans="1:15" ht="40.799999999999997" customHeight="1" x14ac:dyDescent="0.25">
      <c r="A166" s="329" t="s">
        <v>317</v>
      </c>
      <c r="B166" s="331" t="s">
        <v>318</v>
      </c>
      <c r="C166" s="12">
        <v>4136</v>
      </c>
      <c r="D166" s="12">
        <v>4136</v>
      </c>
      <c r="E166" s="261">
        <f t="shared" si="39"/>
        <v>0</v>
      </c>
      <c r="F166" s="53"/>
      <c r="G166" s="261">
        <f>4136-1298</f>
        <v>2838</v>
      </c>
      <c r="H166" s="261">
        <f t="shared" si="40"/>
        <v>-1298</v>
      </c>
      <c r="I166" s="370" t="s">
        <v>319</v>
      </c>
      <c r="J166" s="261">
        <f>4136-1298-1630</f>
        <v>1208</v>
      </c>
      <c r="K166" s="261">
        <f t="shared" si="41"/>
        <v>-1630</v>
      </c>
      <c r="L166" s="53" t="s">
        <v>304</v>
      </c>
      <c r="M166" s="261">
        <f>4136-1298-1630-1000</f>
        <v>208</v>
      </c>
      <c r="N166" s="261">
        <f t="shared" si="42"/>
        <v>-1000</v>
      </c>
      <c r="O166" s="53" t="s">
        <v>868</v>
      </c>
    </row>
    <row r="167" spans="1:15" ht="32.4" customHeight="1" x14ac:dyDescent="0.25">
      <c r="A167" s="329" t="s">
        <v>320</v>
      </c>
      <c r="B167" s="331" t="s">
        <v>177</v>
      </c>
      <c r="C167" s="12">
        <v>15000</v>
      </c>
      <c r="D167" s="12">
        <v>15000</v>
      </c>
      <c r="E167" s="261">
        <f t="shared" si="39"/>
        <v>0</v>
      </c>
      <c r="F167" s="53"/>
      <c r="G167" s="261">
        <f>15000+1298</f>
        <v>16298</v>
      </c>
      <c r="H167" s="261">
        <f t="shared" si="40"/>
        <v>1298</v>
      </c>
      <c r="I167" s="371"/>
      <c r="J167" s="261">
        <f>15000+1298</f>
        <v>16298</v>
      </c>
      <c r="K167" s="261">
        <f t="shared" si="41"/>
        <v>0</v>
      </c>
      <c r="L167" s="55"/>
      <c r="M167" s="261">
        <f>15000+1298+73</f>
        <v>16371</v>
      </c>
      <c r="N167" s="261">
        <f t="shared" si="42"/>
        <v>73</v>
      </c>
      <c r="O167" s="55" t="s">
        <v>301</v>
      </c>
    </row>
    <row r="168" spans="1:15" ht="29.25" customHeight="1" x14ac:dyDescent="0.25">
      <c r="A168" s="317" t="s">
        <v>321</v>
      </c>
      <c r="B168" s="325" t="s">
        <v>322</v>
      </c>
      <c r="C168" s="50">
        <v>14073176.489507999</v>
      </c>
      <c r="D168" s="50">
        <f t="shared" ref="D168" si="55">SUM(D169:D174,D178:D186)</f>
        <v>14073176</v>
      </c>
      <c r="E168" s="326">
        <f t="shared" si="39"/>
        <v>-0.4895079992711544</v>
      </c>
      <c r="F168" s="56"/>
      <c r="G168" s="326">
        <f>SUM(G169:G174,G178:G186)</f>
        <v>14408694</v>
      </c>
      <c r="H168" s="326">
        <f t="shared" si="40"/>
        <v>335518</v>
      </c>
      <c r="I168" s="56"/>
      <c r="J168" s="326">
        <f>SUM(J169:J174,J178:J186)</f>
        <v>14486020</v>
      </c>
      <c r="K168" s="326">
        <f t="shared" si="41"/>
        <v>77326</v>
      </c>
      <c r="L168" s="56"/>
      <c r="M168" s="326">
        <f>SUM(M169:M174,M178:M186)</f>
        <v>14426195</v>
      </c>
      <c r="N168" s="326">
        <f t="shared" si="42"/>
        <v>-59825</v>
      </c>
      <c r="O168" s="56"/>
    </row>
    <row r="169" spans="1:15" s="280" customFormat="1" ht="17.25" hidden="1" customHeight="1" outlineLevel="1" x14ac:dyDescent="0.25">
      <c r="A169" s="332" t="s">
        <v>323</v>
      </c>
      <c r="B169" s="333" t="s">
        <v>324</v>
      </c>
      <c r="C169" s="12">
        <v>0</v>
      </c>
      <c r="D169" s="12">
        <f>ROUND(C169,0)</f>
        <v>0</v>
      </c>
      <c r="E169" s="261">
        <f t="shared" si="39"/>
        <v>0</v>
      </c>
      <c r="F169" s="57"/>
      <c r="G169" s="261">
        <f>ROUND(D169,0)</f>
        <v>0</v>
      </c>
      <c r="H169" s="261">
        <f t="shared" si="40"/>
        <v>0</v>
      </c>
      <c r="I169" s="57"/>
      <c r="J169" s="261">
        <f>ROUND(G169,0)</f>
        <v>0</v>
      </c>
      <c r="K169" s="261">
        <f t="shared" si="41"/>
        <v>0</v>
      </c>
      <c r="L169" s="57"/>
      <c r="M169" s="261">
        <f>ROUND(J169,0)</f>
        <v>0</v>
      </c>
      <c r="N169" s="261">
        <f t="shared" si="42"/>
        <v>0</v>
      </c>
      <c r="O169" s="57"/>
    </row>
    <row r="170" spans="1:15" ht="15.75" customHeight="1" collapsed="1" x14ac:dyDescent="0.25">
      <c r="A170" s="323" t="s">
        <v>323</v>
      </c>
      <c r="B170" s="334" t="s">
        <v>325</v>
      </c>
      <c r="C170" s="12">
        <v>160572.14087500004</v>
      </c>
      <c r="D170" s="12">
        <f>ROUND(C170,0)</f>
        <v>160572</v>
      </c>
      <c r="E170" s="261">
        <f t="shared" si="39"/>
        <v>-0.14087500004097819</v>
      </c>
      <c r="F170" s="55"/>
      <c r="G170" s="261">
        <f>ROUND(D170,0)</f>
        <v>160572</v>
      </c>
      <c r="H170" s="261">
        <f t="shared" si="40"/>
        <v>0</v>
      </c>
      <c r="I170" s="55"/>
      <c r="J170" s="261">
        <f>ROUND(G170,0)</f>
        <v>160572</v>
      </c>
      <c r="K170" s="261">
        <f t="shared" si="41"/>
        <v>0</v>
      </c>
      <c r="L170" s="55"/>
      <c r="M170" s="261">
        <f>ROUND(J170,0)</f>
        <v>160572</v>
      </c>
      <c r="N170" s="261">
        <f t="shared" si="42"/>
        <v>0</v>
      </c>
      <c r="O170" s="55"/>
    </row>
    <row r="171" spans="1:15" ht="13.95" customHeight="1" x14ac:dyDescent="0.25">
      <c r="A171" s="323" t="s">
        <v>326</v>
      </c>
      <c r="B171" s="331" t="s">
        <v>327</v>
      </c>
      <c r="C171" s="12">
        <v>355701</v>
      </c>
      <c r="D171" s="12">
        <f t="shared" ref="D171:D183" si="56">ROUND(C171,0)</f>
        <v>355701</v>
      </c>
      <c r="E171" s="261">
        <f t="shared" si="39"/>
        <v>0</v>
      </c>
      <c r="F171" s="53"/>
      <c r="G171" s="261">
        <f>ROUND(D171,0)</f>
        <v>355701</v>
      </c>
      <c r="H171" s="261">
        <f t="shared" si="40"/>
        <v>0</v>
      </c>
      <c r="I171" s="53"/>
      <c r="J171" s="261">
        <f>ROUND(G171,0)</f>
        <v>355701</v>
      </c>
      <c r="K171" s="261">
        <f t="shared" si="41"/>
        <v>0</v>
      </c>
      <c r="L171" s="53"/>
      <c r="M171" s="261">
        <f>ROUND(J171,0)</f>
        <v>355701</v>
      </c>
      <c r="N171" s="261">
        <f t="shared" si="42"/>
        <v>0</v>
      </c>
      <c r="O171" s="53"/>
    </row>
    <row r="172" spans="1:15" ht="27" customHeight="1" x14ac:dyDescent="0.25">
      <c r="A172" s="329" t="s">
        <v>328</v>
      </c>
      <c r="B172" s="331" t="s">
        <v>235</v>
      </c>
      <c r="C172" s="12">
        <v>891139</v>
      </c>
      <c r="D172" s="12">
        <f t="shared" si="56"/>
        <v>891139</v>
      </c>
      <c r="E172" s="261">
        <f t="shared" si="39"/>
        <v>0</v>
      </c>
      <c r="F172" s="53"/>
      <c r="G172" s="261">
        <f>ROUND(D172,0)</f>
        <v>891139</v>
      </c>
      <c r="H172" s="261">
        <f t="shared" si="40"/>
        <v>0</v>
      </c>
      <c r="I172" s="53"/>
      <c r="J172" s="261">
        <f>ROUND(G172,0)</f>
        <v>891139</v>
      </c>
      <c r="K172" s="261">
        <f t="shared" si="41"/>
        <v>0</v>
      </c>
      <c r="L172" s="53"/>
      <c r="M172" s="261">
        <f>ROUND(J172,0)</f>
        <v>891139</v>
      </c>
      <c r="N172" s="261">
        <f t="shared" si="42"/>
        <v>0</v>
      </c>
      <c r="O172" s="53"/>
    </row>
    <row r="173" spans="1:15" ht="25.95" customHeight="1" x14ac:dyDescent="0.25">
      <c r="A173" s="323" t="s">
        <v>329</v>
      </c>
      <c r="B173" s="334" t="s">
        <v>330</v>
      </c>
      <c r="C173" s="12">
        <v>3779449</v>
      </c>
      <c r="D173" s="12">
        <f t="shared" si="56"/>
        <v>3779449</v>
      </c>
      <c r="E173" s="261">
        <f t="shared" si="39"/>
        <v>0</v>
      </c>
      <c r="F173" s="53"/>
      <c r="G173" s="261">
        <f>ROUND(D173,0)</f>
        <v>3779449</v>
      </c>
      <c r="H173" s="261">
        <f t="shared" si="40"/>
        <v>0</v>
      </c>
      <c r="I173" s="53"/>
      <c r="J173" s="261">
        <f>ROUND(G173,0)</f>
        <v>3779449</v>
      </c>
      <c r="K173" s="261">
        <f t="shared" si="41"/>
        <v>0</v>
      </c>
      <c r="L173" s="53"/>
      <c r="M173" s="261">
        <f>ROUND(J173,0)</f>
        <v>3779449</v>
      </c>
      <c r="N173" s="261">
        <f t="shared" si="42"/>
        <v>0</v>
      </c>
      <c r="O173" s="53"/>
    </row>
    <row r="174" spans="1:15" ht="32.25" customHeight="1" x14ac:dyDescent="0.25">
      <c r="A174" s="323" t="s">
        <v>331</v>
      </c>
      <c r="B174" s="334" t="s">
        <v>332</v>
      </c>
      <c r="C174" s="58">
        <v>5552774.9964329991</v>
      </c>
      <c r="D174" s="58">
        <f>SUM(D175:D177)</f>
        <v>5552775</v>
      </c>
      <c r="E174" s="261">
        <f t="shared" si="39"/>
        <v>3.5670008510351181E-3</v>
      </c>
      <c r="F174" s="53"/>
      <c r="G174" s="285">
        <f>SUM(G175:G177)</f>
        <v>5888293</v>
      </c>
      <c r="H174" s="261">
        <f t="shared" si="40"/>
        <v>335518</v>
      </c>
      <c r="I174" s="53"/>
      <c r="J174" s="285">
        <f>SUM(J175:J177)</f>
        <v>5908293</v>
      </c>
      <c r="K174" s="261">
        <f t="shared" si="41"/>
        <v>20000</v>
      </c>
      <c r="L174" s="53"/>
      <c r="M174" s="285">
        <f>SUM(M175:M177)</f>
        <v>5883468</v>
      </c>
      <c r="N174" s="261">
        <f t="shared" si="42"/>
        <v>-24825</v>
      </c>
      <c r="O174" s="53"/>
    </row>
    <row r="175" spans="1:15" ht="54" customHeight="1" x14ac:dyDescent="0.25">
      <c r="A175" s="335" t="s">
        <v>333</v>
      </c>
      <c r="B175" s="336" t="s">
        <v>334</v>
      </c>
      <c r="C175" s="58">
        <v>4996040.3361329995</v>
      </c>
      <c r="D175" s="58">
        <f t="shared" si="56"/>
        <v>4996040</v>
      </c>
      <c r="E175" s="261">
        <f t="shared" si="39"/>
        <v>-0.33613299950957298</v>
      </c>
      <c r="F175" s="53"/>
      <c r="G175" s="285">
        <f>ROUND(D175,0)-18000+16000+21000+30000+5000+30000+12000+36000+(54000+126000)+15597</f>
        <v>5323637</v>
      </c>
      <c r="H175" s="262">
        <f t="shared" si="40"/>
        <v>327597</v>
      </c>
      <c r="I175" s="54" t="s">
        <v>335</v>
      </c>
      <c r="J175" s="285">
        <f>ROUND(G175,0)-17977-99-410-4242-202-86-55-19408-8457</f>
        <v>5272701</v>
      </c>
      <c r="K175" s="261">
        <f t="shared" si="41"/>
        <v>-50936</v>
      </c>
      <c r="L175" s="53" t="s">
        <v>336</v>
      </c>
      <c r="M175" s="285">
        <f>ROUND(J175,0)-50000+25175</f>
        <v>5247876</v>
      </c>
      <c r="N175" s="261">
        <f t="shared" si="42"/>
        <v>-24825</v>
      </c>
      <c r="O175" s="53" t="s">
        <v>869</v>
      </c>
    </row>
    <row r="176" spans="1:15" ht="16.95" customHeight="1" x14ac:dyDescent="0.25">
      <c r="A176" s="335" t="s">
        <v>337</v>
      </c>
      <c r="B176" s="336" t="s">
        <v>338</v>
      </c>
      <c r="C176" s="58">
        <v>295000</v>
      </c>
      <c r="D176" s="58">
        <f t="shared" si="56"/>
        <v>295000</v>
      </c>
      <c r="E176" s="261">
        <f t="shared" si="39"/>
        <v>0</v>
      </c>
      <c r="F176" s="53"/>
      <c r="G176" s="285">
        <f t="shared" ref="G176:G186" si="57">ROUND(D176,0)</f>
        <v>295000</v>
      </c>
      <c r="H176" s="261">
        <f t="shared" si="40"/>
        <v>0</v>
      </c>
      <c r="I176" s="53"/>
      <c r="J176" s="285">
        <f>ROUND(G176,0)+27920</f>
        <v>322920</v>
      </c>
      <c r="K176" s="261">
        <f t="shared" si="41"/>
        <v>27920</v>
      </c>
      <c r="L176" s="53"/>
      <c r="M176" s="285">
        <f>ROUND(J176,0)</f>
        <v>322920</v>
      </c>
      <c r="N176" s="261">
        <f t="shared" si="42"/>
        <v>0</v>
      </c>
      <c r="O176" s="53"/>
    </row>
    <row r="177" spans="1:15" ht="15" customHeight="1" x14ac:dyDescent="0.25">
      <c r="A177" s="335" t="s">
        <v>339</v>
      </c>
      <c r="B177" s="336" t="s">
        <v>340</v>
      </c>
      <c r="C177" s="58">
        <v>261734.66029999999</v>
      </c>
      <c r="D177" s="58">
        <f t="shared" si="56"/>
        <v>261735</v>
      </c>
      <c r="E177" s="261">
        <f t="shared" si="39"/>
        <v>0.33970000001136214</v>
      </c>
      <c r="F177" s="53"/>
      <c r="G177" s="285">
        <f>ROUND(D177,0)+7921</f>
        <v>269656</v>
      </c>
      <c r="H177" s="261">
        <f t="shared" si="40"/>
        <v>7921</v>
      </c>
      <c r="I177" s="53" t="s">
        <v>341</v>
      </c>
      <c r="J177" s="285">
        <f>ROUND(G177,0)+17977+99+410+4242+202+86+20000</f>
        <v>312672</v>
      </c>
      <c r="K177" s="261">
        <f t="shared" si="41"/>
        <v>43016</v>
      </c>
      <c r="L177" s="53" t="s">
        <v>342</v>
      </c>
      <c r="M177" s="285">
        <f>ROUND(J177,0)</f>
        <v>312672</v>
      </c>
      <c r="N177" s="261">
        <f t="shared" si="42"/>
        <v>0</v>
      </c>
      <c r="O177" s="53"/>
    </row>
    <row r="178" spans="1:15" ht="29.25" hidden="1" customHeight="1" outlineLevel="1" x14ac:dyDescent="0.25">
      <c r="A178" s="323" t="s">
        <v>343</v>
      </c>
      <c r="B178" s="334" t="s">
        <v>344</v>
      </c>
      <c r="C178" s="12">
        <v>0</v>
      </c>
      <c r="D178" s="12">
        <f t="shared" si="56"/>
        <v>0</v>
      </c>
      <c r="E178" s="261">
        <f t="shared" si="39"/>
        <v>0</v>
      </c>
      <c r="F178" s="20"/>
      <c r="G178" s="261">
        <f t="shared" si="57"/>
        <v>0</v>
      </c>
      <c r="H178" s="261">
        <f t="shared" si="40"/>
        <v>0</v>
      </c>
      <c r="I178" s="20"/>
      <c r="J178" s="261">
        <f t="shared" ref="J178:J186" si="58">ROUND(G178,0)</f>
        <v>0</v>
      </c>
      <c r="K178" s="261">
        <f t="shared" si="41"/>
        <v>0</v>
      </c>
      <c r="L178" s="20"/>
      <c r="M178" s="261">
        <f t="shared" ref="M178:M180" si="59">ROUND(J178,0)</f>
        <v>0</v>
      </c>
      <c r="N178" s="261">
        <f t="shared" si="42"/>
        <v>0</v>
      </c>
      <c r="O178" s="20"/>
    </row>
    <row r="179" spans="1:15" ht="39.6" customHeight="1" collapsed="1" x14ac:dyDescent="0.25">
      <c r="A179" s="329" t="s">
        <v>345</v>
      </c>
      <c r="B179" s="331" t="s">
        <v>148</v>
      </c>
      <c r="C179" s="12">
        <v>391245.35220000002</v>
      </c>
      <c r="D179" s="12">
        <f t="shared" si="56"/>
        <v>391245</v>
      </c>
      <c r="E179" s="261">
        <f t="shared" si="39"/>
        <v>-0.35220000002300367</v>
      </c>
      <c r="F179" s="53"/>
      <c r="G179" s="261">
        <f t="shared" si="57"/>
        <v>391245</v>
      </c>
      <c r="H179" s="261">
        <f t="shared" si="40"/>
        <v>0</v>
      </c>
      <c r="I179" s="53"/>
      <c r="J179" s="261">
        <f t="shared" si="58"/>
        <v>391245</v>
      </c>
      <c r="K179" s="261">
        <f t="shared" si="41"/>
        <v>0</v>
      </c>
      <c r="L179" s="53"/>
      <c r="M179" s="261">
        <f t="shared" si="59"/>
        <v>391245</v>
      </c>
      <c r="N179" s="261">
        <f t="shared" si="42"/>
        <v>0</v>
      </c>
      <c r="O179" s="53"/>
    </row>
    <row r="180" spans="1:15" ht="16.2" customHeight="1" x14ac:dyDescent="0.25">
      <c r="A180" s="329" t="s">
        <v>346</v>
      </c>
      <c r="B180" s="331" t="s">
        <v>347</v>
      </c>
      <c r="C180" s="12">
        <v>32000</v>
      </c>
      <c r="D180" s="12">
        <f t="shared" si="56"/>
        <v>32000</v>
      </c>
      <c r="E180" s="261">
        <f t="shared" si="39"/>
        <v>0</v>
      </c>
      <c r="F180" s="53"/>
      <c r="G180" s="261">
        <f t="shared" si="57"/>
        <v>32000</v>
      </c>
      <c r="H180" s="261">
        <f t="shared" si="40"/>
        <v>0</v>
      </c>
      <c r="I180" s="53"/>
      <c r="J180" s="261">
        <f t="shared" si="58"/>
        <v>32000</v>
      </c>
      <c r="K180" s="261">
        <f t="shared" si="41"/>
        <v>0</v>
      </c>
      <c r="L180" s="53" t="s">
        <v>348</v>
      </c>
      <c r="M180" s="261">
        <f t="shared" si="59"/>
        <v>32000</v>
      </c>
      <c r="N180" s="261">
        <f t="shared" si="42"/>
        <v>0</v>
      </c>
      <c r="O180" s="53"/>
    </row>
    <row r="181" spans="1:15" ht="46.8" customHeight="1" x14ac:dyDescent="0.25">
      <c r="A181" s="329" t="s">
        <v>349</v>
      </c>
      <c r="B181" s="331" t="s">
        <v>246</v>
      </c>
      <c r="C181" s="12">
        <v>293146</v>
      </c>
      <c r="D181" s="12">
        <f t="shared" si="56"/>
        <v>293146</v>
      </c>
      <c r="E181" s="261">
        <f t="shared" si="39"/>
        <v>0</v>
      </c>
      <c r="F181" s="53"/>
      <c r="G181" s="261">
        <f t="shared" si="57"/>
        <v>293146</v>
      </c>
      <c r="H181" s="261">
        <f t="shared" si="40"/>
        <v>0</v>
      </c>
      <c r="I181" s="53"/>
      <c r="J181" s="261">
        <f>ROUND(G181,0)+57326</f>
        <v>350472</v>
      </c>
      <c r="K181" s="261">
        <f t="shared" si="41"/>
        <v>57326</v>
      </c>
      <c r="L181" s="53" t="s">
        <v>247</v>
      </c>
      <c r="M181" s="261">
        <f>ROUND(J181,0)-27000</f>
        <v>323472</v>
      </c>
      <c r="N181" s="261">
        <f t="shared" si="42"/>
        <v>-27000</v>
      </c>
      <c r="O181" s="53" t="s">
        <v>870</v>
      </c>
    </row>
    <row r="182" spans="1:15" ht="28.2" customHeight="1" x14ac:dyDescent="0.25">
      <c r="A182" s="329" t="s">
        <v>350</v>
      </c>
      <c r="B182" s="331" t="s">
        <v>249</v>
      </c>
      <c r="C182" s="12">
        <v>180000</v>
      </c>
      <c r="D182" s="12">
        <f t="shared" si="56"/>
        <v>180000</v>
      </c>
      <c r="E182" s="261">
        <f t="shared" si="39"/>
        <v>0</v>
      </c>
      <c r="F182" s="53"/>
      <c r="G182" s="261">
        <f t="shared" si="57"/>
        <v>180000</v>
      </c>
      <c r="H182" s="261">
        <f t="shared" si="40"/>
        <v>0</v>
      </c>
      <c r="I182" s="53"/>
      <c r="J182" s="261">
        <f t="shared" si="58"/>
        <v>180000</v>
      </c>
      <c r="K182" s="261">
        <f t="shared" si="41"/>
        <v>0</v>
      </c>
      <c r="L182" s="53"/>
      <c r="M182" s="261">
        <f>ROUND(J182,0)-8000</f>
        <v>172000</v>
      </c>
      <c r="N182" s="261">
        <f t="shared" si="42"/>
        <v>-8000</v>
      </c>
      <c r="O182" s="53" t="s">
        <v>866</v>
      </c>
    </row>
    <row r="183" spans="1:15" ht="18.600000000000001" customHeight="1" x14ac:dyDescent="0.25">
      <c r="A183" s="329" t="s">
        <v>351</v>
      </c>
      <c r="B183" s="338" t="s">
        <v>242</v>
      </c>
      <c r="C183" s="12">
        <v>645000</v>
      </c>
      <c r="D183" s="12">
        <f t="shared" si="56"/>
        <v>645000</v>
      </c>
      <c r="E183" s="261">
        <f t="shared" si="39"/>
        <v>0</v>
      </c>
      <c r="F183" s="53"/>
      <c r="G183" s="261">
        <f t="shared" si="57"/>
        <v>645000</v>
      </c>
      <c r="H183" s="261">
        <f t="shared" si="40"/>
        <v>0</v>
      </c>
      <c r="I183" s="53"/>
      <c r="J183" s="261">
        <f t="shared" si="58"/>
        <v>645000</v>
      </c>
      <c r="K183" s="261">
        <f t="shared" si="41"/>
        <v>0</v>
      </c>
      <c r="L183" s="53"/>
      <c r="M183" s="261">
        <f t="shared" ref="M183:M186" si="60">ROUND(J183,0)</f>
        <v>645000</v>
      </c>
      <c r="N183" s="261">
        <f t="shared" si="42"/>
        <v>0</v>
      </c>
      <c r="O183" s="53"/>
    </row>
    <row r="184" spans="1:15" ht="18.600000000000001" customHeight="1" x14ac:dyDescent="0.25">
      <c r="A184" s="329" t="s">
        <v>352</v>
      </c>
      <c r="B184" s="334" t="s">
        <v>179</v>
      </c>
      <c r="C184" s="12">
        <v>546771</v>
      </c>
      <c r="D184" s="12">
        <f>ROUND(C184,0)</f>
        <v>546771</v>
      </c>
      <c r="E184" s="261">
        <f>D184-C184</f>
        <v>0</v>
      </c>
      <c r="F184" s="53"/>
      <c r="G184" s="261">
        <f t="shared" si="57"/>
        <v>546771</v>
      </c>
      <c r="H184" s="261">
        <f t="shared" si="40"/>
        <v>0</v>
      </c>
      <c r="I184" s="53"/>
      <c r="J184" s="261">
        <f t="shared" si="58"/>
        <v>546771</v>
      </c>
      <c r="K184" s="261">
        <f t="shared" si="41"/>
        <v>0</v>
      </c>
      <c r="L184" s="53" t="s">
        <v>348</v>
      </c>
      <c r="M184" s="261">
        <f t="shared" si="60"/>
        <v>546771</v>
      </c>
      <c r="N184" s="261">
        <f t="shared" si="42"/>
        <v>0</v>
      </c>
      <c r="O184" s="53"/>
    </row>
    <row r="185" spans="1:15" ht="18" customHeight="1" x14ac:dyDescent="0.25">
      <c r="A185" s="329" t="s">
        <v>353</v>
      </c>
      <c r="B185" s="334" t="s">
        <v>181</v>
      </c>
      <c r="C185" s="12">
        <v>1204480</v>
      </c>
      <c r="D185" s="12">
        <f>ROUND(C185,0)</f>
        <v>1204480</v>
      </c>
      <c r="E185" s="261">
        <f>D185-C185</f>
        <v>0</v>
      </c>
      <c r="F185" s="53"/>
      <c r="G185" s="261">
        <f t="shared" si="57"/>
        <v>1204480</v>
      </c>
      <c r="H185" s="261">
        <f t="shared" si="40"/>
        <v>0</v>
      </c>
      <c r="I185" s="53"/>
      <c r="J185" s="261">
        <f t="shared" si="58"/>
        <v>1204480</v>
      </c>
      <c r="K185" s="261">
        <f t="shared" si="41"/>
        <v>0</v>
      </c>
      <c r="L185" s="53"/>
      <c r="M185" s="261">
        <f t="shared" si="60"/>
        <v>1204480</v>
      </c>
      <c r="N185" s="261">
        <f t="shared" si="42"/>
        <v>0</v>
      </c>
      <c r="O185" s="53"/>
    </row>
    <row r="186" spans="1:15" ht="27.6" customHeight="1" x14ac:dyDescent="0.25">
      <c r="A186" s="329" t="s">
        <v>354</v>
      </c>
      <c r="B186" s="338" t="s">
        <v>355</v>
      </c>
      <c r="C186" s="12">
        <v>40898</v>
      </c>
      <c r="D186" s="12">
        <f>ROUND(C186,0)</f>
        <v>40898</v>
      </c>
      <c r="E186" s="261">
        <f>D186-C186</f>
        <v>0</v>
      </c>
      <c r="F186" s="20"/>
      <c r="G186" s="261">
        <f t="shared" si="57"/>
        <v>40898</v>
      </c>
      <c r="H186" s="261">
        <f t="shared" si="40"/>
        <v>0</v>
      </c>
      <c r="I186" s="20"/>
      <c r="J186" s="261">
        <f t="shared" si="58"/>
        <v>40898</v>
      </c>
      <c r="K186" s="261">
        <f t="shared" si="41"/>
        <v>0</v>
      </c>
      <c r="L186" s="20"/>
      <c r="M186" s="261">
        <f t="shared" si="60"/>
        <v>40898</v>
      </c>
      <c r="N186" s="261">
        <f t="shared" si="42"/>
        <v>0</v>
      </c>
      <c r="O186" s="20"/>
    </row>
    <row r="187" spans="1:15" x14ac:dyDescent="0.25">
      <c r="A187" s="320" t="s">
        <v>71</v>
      </c>
      <c r="B187" s="321" t="s">
        <v>356</v>
      </c>
      <c r="C187" s="14">
        <v>2486998.34369</v>
      </c>
      <c r="D187" s="14">
        <f t="shared" ref="D187" si="61">SUM(D188,D192:D199)</f>
        <v>2486999</v>
      </c>
      <c r="E187" s="265">
        <f>SUM(E188,E193:E199)</f>
        <v>0.25630999998065818</v>
      </c>
      <c r="F187" s="265"/>
      <c r="G187" s="265">
        <f>SUM(G188,G192:G199)</f>
        <v>2523654</v>
      </c>
      <c r="H187" s="265">
        <f t="shared" si="40"/>
        <v>36655</v>
      </c>
      <c r="I187" s="265"/>
      <c r="J187" s="265">
        <f>SUM(J188,J192:J199)</f>
        <v>2540654</v>
      </c>
      <c r="K187" s="265">
        <f t="shared" si="41"/>
        <v>17000</v>
      </c>
      <c r="L187" s="265"/>
      <c r="M187" s="265">
        <f>SUM(M188,M192:M199)</f>
        <v>2543558</v>
      </c>
      <c r="N187" s="265">
        <f t="shared" si="42"/>
        <v>2904</v>
      </c>
      <c r="O187" s="265"/>
    </row>
    <row r="188" spans="1:15" ht="23.25" customHeight="1" x14ac:dyDescent="0.25">
      <c r="A188" s="317" t="s">
        <v>73</v>
      </c>
      <c r="B188" s="318" t="s">
        <v>357</v>
      </c>
      <c r="C188" s="26">
        <v>1187107.66267</v>
      </c>
      <c r="D188" s="26">
        <f t="shared" ref="D188:E188" si="62">SUM(D189:D191)</f>
        <v>1187108</v>
      </c>
      <c r="E188" s="272">
        <f t="shared" si="62"/>
        <v>0.3373299999802839</v>
      </c>
      <c r="F188" s="272"/>
      <c r="G188" s="272">
        <f>SUM(G189:G191)</f>
        <v>1189606</v>
      </c>
      <c r="H188" s="272">
        <f t="shared" si="40"/>
        <v>2498</v>
      </c>
      <c r="I188" s="272"/>
      <c r="J188" s="272">
        <f>SUM(J189:J191)</f>
        <v>1206606</v>
      </c>
      <c r="K188" s="272">
        <f t="shared" si="41"/>
        <v>17000</v>
      </c>
      <c r="L188" s="272"/>
      <c r="M188" s="272">
        <f>SUM(M189:M191)</f>
        <v>1206606</v>
      </c>
      <c r="N188" s="272">
        <f t="shared" si="42"/>
        <v>0</v>
      </c>
      <c r="O188" s="272"/>
    </row>
    <row r="189" spans="1:15" ht="15" customHeight="1" x14ac:dyDescent="0.25">
      <c r="A189" s="323" t="s">
        <v>358</v>
      </c>
      <c r="B189" s="324" t="s">
        <v>359</v>
      </c>
      <c r="C189" s="12">
        <v>589107.49502000003</v>
      </c>
      <c r="D189" s="12">
        <f>ROUND(C189,0)</f>
        <v>589107</v>
      </c>
      <c r="E189" s="261">
        <f t="shared" si="39"/>
        <v>-0.49502000003121793</v>
      </c>
      <c r="F189" s="53"/>
      <c r="G189" s="261">
        <f>ROUND(D189,0)+2498</f>
        <v>591605</v>
      </c>
      <c r="H189" s="262">
        <f t="shared" si="40"/>
        <v>2498</v>
      </c>
      <c r="I189" s="59" t="s">
        <v>360</v>
      </c>
      <c r="J189" s="261">
        <f>ROUND(G189,0)+17000</f>
        <v>608605</v>
      </c>
      <c r="K189" s="261">
        <f t="shared" si="41"/>
        <v>17000</v>
      </c>
      <c r="L189" s="60" t="s">
        <v>361</v>
      </c>
      <c r="M189" s="261">
        <f>ROUND(J189,0)</f>
        <v>608605</v>
      </c>
      <c r="N189" s="261">
        <f t="shared" si="42"/>
        <v>0</v>
      </c>
      <c r="O189" s="60"/>
    </row>
    <row r="190" spans="1:15" ht="16.2" customHeight="1" x14ac:dyDescent="0.25">
      <c r="A190" s="323" t="s">
        <v>362</v>
      </c>
      <c r="B190" s="324" t="s">
        <v>363</v>
      </c>
      <c r="C190" s="12">
        <v>409633.66324999998</v>
      </c>
      <c r="D190" s="12">
        <f>ROUND(C190,0)</f>
        <v>409634</v>
      </c>
      <c r="E190" s="261">
        <f t="shared" si="39"/>
        <v>0.33675000001676381</v>
      </c>
      <c r="F190" s="53"/>
      <c r="G190" s="261">
        <f>ROUND(D190,0)</f>
        <v>409634</v>
      </c>
      <c r="H190" s="261">
        <f t="shared" si="40"/>
        <v>0</v>
      </c>
      <c r="I190" s="53"/>
      <c r="J190" s="261">
        <f t="shared" ref="J190:J199" si="63">ROUND(G190,0)</f>
        <v>409634</v>
      </c>
      <c r="K190" s="261">
        <f t="shared" si="41"/>
        <v>0</v>
      </c>
      <c r="L190" s="53"/>
      <c r="M190" s="261">
        <f t="shared" ref="M190:M199" si="64">ROUND(J190,0)</f>
        <v>409634</v>
      </c>
      <c r="N190" s="261">
        <f t="shared" si="42"/>
        <v>0</v>
      </c>
      <c r="O190" s="53"/>
    </row>
    <row r="191" spans="1:15" ht="13.2" customHeight="1" x14ac:dyDescent="0.25">
      <c r="A191" s="323" t="s">
        <v>364</v>
      </c>
      <c r="B191" s="324" t="s">
        <v>365</v>
      </c>
      <c r="C191" s="12">
        <v>188366.50440000001</v>
      </c>
      <c r="D191" s="12">
        <f>ROUND(C191,0)</f>
        <v>188367</v>
      </c>
      <c r="E191" s="261">
        <f t="shared" si="39"/>
        <v>0.49559999999473803</v>
      </c>
      <c r="F191" s="20"/>
      <c r="G191" s="261">
        <f>ROUND(D191,0)</f>
        <v>188367</v>
      </c>
      <c r="H191" s="261">
        <f t="shared" si="40"/>
        <v>0</v>
      </c>
      <c r="I191" s="20"/>
      <c r="J191" s="261">
        <f t="shared" si="63"/>
        <v>188367</v>
      </c>
      <c r="K191" s="261">
        <f t="shared" si="41"/>
        <v>0</v>
      </c>
      <c r="L191" s="20"/>
      <c r="M191" s="261">
        <f t="shared" si="64"/>
        <v>188367</v>
      </c>
      <c r="N191" s="261">
        <f t="shared" si="42"/>
        <v>0</v>
      </c>
      <c r="O191" s="20"/>
    </row>
    <row r="192" spans="1:15" ht="16.8" customHeight="1" x14ac:dyDescent="0.25">
      <c r="A192" s="339" t="s">
        <v>74</v>
      </c>
      <c r="B192" s="318" t="s">
        <v>366</v>
      </c>
      <c r="C192" s="26">
        <v>135145.60000000001</v>
      </c>
      <c r="D192" s="26">
        <f>ROUND(C192,0)</f>
        <v>135146</v>
      </c>
      <c r="E192" s="272">
        <f>D192-C192</f>
        <v>0.39999999999417923</v>
      </c>
      <c r="F192" s="61"/>
      <c r="G192" s="272">
        <f>ROUND(D192,0)+20000</f>
        <v>155146</v>
      </c>
      <c r="H192" s="319">
        <f t="shared" si="40"/>
        <v>20000</v>
      </c>
      <c r="I192" s="62" t="s">
        <v>367</v>
      </c>
      <c r="J192" s="272">
        <f t="shared" si="63"/>
        <v>155146</v>
      </c>
      <c r="K192" s="272">
        <f t="shared" si="41"/>
        <v>0</v>
      </c>
      <c r="L192" s="61"/>
      <c r="M192" s="272">
        <f t="shared" si="64"/>
        <v>155146</v>
      </c>
      <c r="N192" s="272">
        <f t="shared" si="42"/>
        <v>0</v>
      </c>
      <c r="O192" s="61"/>
    </row>
    <row r="193" spans="1:15" ht="29.4" customHeight="1" x14ac:dyDescent="0.25">
      <c r="A193" s="339" t="s">
        <v>368</v>
      </c>
      <c r="B193" s="318" t="s">
        <v>369</v>
      </c>
      <c r="C193" s="26">
        <v>212422.11000000002</v>
      </c>
      <c r="D193" s="26">
        <f t="shared" ref="D193:D199" si="65">ROUND(C193,0)</f>
        <v>212422</v>
      </c>
      <c r="E193" s="272">
        <f t="shared" si="39"/>
        <v>-0.11000000001513399</v>
      </c>
      <c r="F193" s="61"/>
      <c r="G193" s="272">
        <f>ROUND(D193,0)</f>
        <v>212422</v>
      </c>
      <c r="H193" s="272">
        <f t="shared" si="40"/>
        <v>0</v>
      </c>
      <c r="I193" s="61"/>
      <c r="J193" s="272">
        <f t="shared" si="63"/>
        <v>212422</v>
      </c>
      <c r="K193" s="272">
        <f t="shared" si="41"/>
        <v>0</v>
      </c>
      <c r="L193" s="61"/>
      <c r="M193" s="272">
        <f t="shared" si="64"/>
        <v>212422</v>
      </c>
      <c r="N193" s="272">
        <f t="shared" si="42"/>
        <v>0</v>
      </c>
      <c r="O193" s="61"/>
    </row>
    <row r="194" spans="1:15" ht="27" customHeight="1" x14ac:dyDescent="0.25">
      <c r="A194" s="339" t="s">
        <v>370</v>
      </c>
      <c r="B194" s="318" t="s">
        <v>168</v>
      </c>
      <c r="C194" s="26">
        <v>15704.03</v>
      </c>
      <c r="D194" s="26">
        <f t="shared" si="65"/>
        <v>15704</v>
      </c>
      <c r="E194" s="272">
        <f t="shared" si="39"/>
        <v>-3.0000000000654836E-2</v>
      </c>
      <c r="F194" s="27"/>
      <c r="G194" s="272">
        <f>ROUND(D194,0)</f>
        <v>15704</v>
      </c>
      <c r="H194" s="272">
        <f t="shared" si="40"/>
        <v>0</v>
      </c>
      <c r="I194" s="27"/>
      <c r="J194" s="272">
        <f t="shared" si="63"/>
        <v>15704</v>
      </c>
      <c r="K194" s="272">
        <f t="shared" si="41"/>
        <v>0</v>
      </c>
      <c r="L194" s="27"/>
      <c r="M194" s="272">
        <f t="shared" si="64"/>
        <v>15704</v>
      </c>
      <c r="N194" s="272">
        <f t="shared" si="42"/>
        <v>0</v>
      </c>
      <c r="O194" s="27"/>
    </row>
    <row r="195" spans="1:15" ht="15" customHeight="1" x14ac:dyDescent="0.25">
      <c r="A195" s="317" t="s">
        <v>371</v>
      </c>
      <c r="B195" s="318" t="s">
        <v>372</v>
      </c>
      <c r="C195" s="26">
        <v>121138.2865</v>
      </c>
      <c r="D195" s="26">
        <f t="shared" si="65"/>
        <v>121138</v>
      </c>
      <c r="E195" s="272">
        <f t="shared" si="39"/>
        <v>-0.28650000000197906</v>
      </c>
      <c r="F195" s="61"/>
      <c r="G195" s="272">
        <f>ROUND(D195,0)+13657+500</f>
        <v>135295</v>
      </c>
      <c r="H195" s="319">
        <f t="shared" si="40"/>
        <v>14157</v>
      </c>
      <c r="I195" s="62" t="s">
        <v>373</v>
      </c>
      <c r="J195" s="272">
        <f t="shared" si="63"/>
        <v>135295</v>
      </c>
      <c r="K195" s="272">
        <f t="shared" si="41"/>
        <v>0</v>
      </c>
      <c r="L195" s="61"/>
      <c r="M195" s="272">
        <f t="shared" si="64"/>
        <v>135295</v>
      </c>
      <c r="N195" s="272">
        <f t="shared" si="42"/>
        <v>0</v>
      </c>
      <c r="O195" s="61"/>
    </row>
    <row r="196" spans="1:15" ht="15.6" customHeight="1" x14ac:dyDescent="0.25">
      <c r="A196" s="317" t="s">
        <v>374</v>
      </c>
      <c r="B196" s="318" t="s">
        <v>375</v>
      </c>
      <c r="C196" s="26">
        <v>62655.829250000003</v>
      </c>
      <c r="D196" s="26">
        <f t="shared" si="65"/>
        <v>62656</v>
      </c>
      <c r="E196" s="272">
        <f t="shared" si="39"/>
        <v>0.17074999999749707</v>
      </c>
      <c r="F196" s="61"/>
      <c r="G196" s="272">
        <f>ROUND(D196,0)</f>
        <v>62656</v>
      </c>
      <c r="H196" s="272">
        <f t="shared" si="40"/>
        <v>0</v>
      </c>
      <c r="I196" s="61"/>
      <c r="J196" s="272">
        <f t="shared" si="63"/>
        <v>62656</v>
      </c>
      <c r="K196" s="272">
        <f t="shared" si="41"/>
        <v>0</v>
      </c>
      <c r="L196" s="61"/>
      <c r="M196" s="272">
        <f>ROUND(J196,0)+2904</f>
        <v>65560</v>
      </c>
      <c r="N196" s="272">
        <f t="shared" si="42"/>
        <v>2904</v>
      </c>
      <c r="O196" s="61" t="s">
        <v>376</v>
      </c>
    </row>
    <row r="197" spans="1:15" ht="15.6" customHeight="1" x14ac:dyDescent="0.25">
      <c r="A197" s="317" t="s">
        <v>377</v>
      </c>
      <c r="B197" s="318" t="s">
        <v>378</v>
      </c>
      <c r="C197" s="26">
        <v>729596.65136999998</v>
      </c>
      <c r="D197" s="26">
        <f t="shared" si="65"/>
        <v>729597</v>
      </c>
      <c r="E197" s="272">
        <f t="shared" ref="E197:E260" si="66">D197-C197</f>
        <v>0.34863000002223998</v>
      </c>
      <c r="F197" s="27"/>
      <c r="G197" s="272">
        <f>ROUND(D197,0)</f>
        <v>729597</v>
      </c>
      <c r="H197" s="272">
        <f t="shared" ref="H197:H260" si="67">G197-D197</f>
        <v>0</v>
      </c>
      <c r="I197" s="27"/>
      <c r="J197" s="272">
        <f t="shared" si="63"/>
        <v>729597</v>
      </c>
      <c r="K197" s="272">
        <f t="shared" ref="K197:K260" si="68">J197-G197</f>
        <v>0</v>
      </c>
      <c r="L197" s="27"/>
      <c r="M197" s="272">
        <f>ROUND(J197,0)</f>
        <v>729597</v>
      </c>
      <c r="N197" s="272">
        <f t="shared" ref="N197:N260" si="69">M197-J197</f>
        <v>0</v>
      </c>
      <c r="O197" s="27"/>
    </row>
    <row r="198" spans="1:15" ht="15.6" customHeight="1" x14ac:dyDescent="0.25">
      <c r="A198" s="317" t="s">
        <v>379</v>
      </c>
      <c r="B198" s="318" t="s">
        <v>380</v>
      </c>
      <c r="C198" s="26">
        <v>4000</v>
      </c>
      <c r="D198" s="26">
        <f t="shared" si="65"/>
        <v>4000</v>
      </c>
      <c r="E198" s="272">
        <f t="shared" si="66"/>
        <v>0</v>
      </c>
      <c r="F198" s="48"/>
      <c r="G198" s="272">
        <f>ROUND(D198,0)</f>
        <v>4000</v>
      </c>
      <c r="H198" s="272">
        <f t="shared" si="67"/>
        <v>0</v>
      </c>
      <c r="I198" s="48"/>
      <c r="J198" s="272">
        <f t="shared" si="63"/>
        <v>4000</v>
      </c>
      <c r="K198" s="272">
        <f t="shared" si="68"/>
        <v>0</v>
      </c>
      <c r="L198" s="48"/>
      <c r="M198" s="272">
        <f t="shared" si="64"/>
        <v>4000</v>
      </c>
      <c r="N198" s="272">
        <f t="shared" si="69"/>
        <v>0</v>
      </c>
      <c r="O198" s="48"/>
    </row>
    <row r="199" spans="1:15" ht="15.6" customHeight="1" x14ac:dyDescent="0.25">
      <c r="A199" s="317" t="s">
        <v>381</v>
      </c>
      <c r="B199" s="318" t="s">
        <v>382</v>
      </c>
      <c r="C199" s="26">
        <v>19228.173900000002</v>
      </c>
      <c r="D199" s="26">
        <f t="shared" si="65"/>
        <v>19228</v>
      </c>
      <c r="E199" s="272">
        <f t="shared" si="66"/>
        <v>-0.17390000000159489</v>
      </c>
      <c r="F199" s="48"/>
      <c r="G199" s="272">
        <f>ROUND(D199,0)</f>
        <v>19228</v>
      </c>
      <c r="H199" s="272">
        <f t="shared" si="67"/>
        <v>0</v>
      </c>
      <c r="I199" s="48"/>
      <c r="J199" s="272">
        <f t="shared" si="63"/>
        <v>19228</v>
      </c>
      <c r="K199" s="272">
        <f t="shared" si="68"/>
        <v>0</v>
      </c>
      <c r="L199" s="48"/>
      <c r="M199" s="272">
        <f t="shared" si="64"/>
        <v>19228</v>
      </c>
      <c r="N199" s="272">
        <f t="shared" si="69"/>
        <v>0</v>
      </c>
      <c r="O199" s="48"/>
    </row>
    <row r="200" spans="1:15" s="311" customFormat="1" ht="15.6" customHeight="1" x14ac:dyDescent="0.25">
      <c r="A200" s="320" t="s">
        <v>76</v>
      </c>
      <c r="B200" s="321" t="s">
        <v>383</v>
      </c>
      <c r="C200" s="14">
        <v>4201176.8811799996</v>
      </c>
      <c r="D200" s="14">
        <f t="shared" ref="D200" si="70">D201+D207+D210+D214+D215+D216+D217+D218</f>
        <v>4201177</v>
      </c>
      <c r="E200" s="265">
        <f>E201+E207+E210+E214+E215+E216</f>
        <v>0.11881999997422099</v>
      </c>
      <c r="F200" s="265"/>
      <c r="G200" s="265">
        <f>G201+G207+G210+G214+G215+G216+G217+G218</f>
        <v>4179627</v>
      </c>
      <c r="H200" s="265">
        <f t="shared" si="67"/>
        <v>-21550</v>
      </c>
      <c r="I200" s="265"/>
      <c r="J200" s="265">
        <f>J201+J207+J210+J214+J215+J216+J217+J218</f>
        <v>4179627</v>
      </c>
      <c r="K200" s="265">
        <f t="shared" si="68"/>
        <v>0</v>
      </c>
      <c r="L200" s="265"/>
      <c r="M200" s="265">
        <f>M201+M207+M210+M214+M215+M216+M217+M218</f>
        <v>4169807</v>
      </c>
      <c r="N200" s="265">
        <f t="shared" si="69"/>
        <v>-9820</v>
      </c>
      <c r="O200" s="265"/>
    </row>
    <row r="201" spans="1:15" s="311" customFormat="1" ht="15" customHeight="1" x14ac:dyDescent="0.25">
      <c r="A201" s="317" t="s">
        <v>78</v>
      </c>
      <c r="B201" s="318" t="s">
        <v>384</v>
      </c>
      <c r="C201" s="26">
        <v>2428655</v>
      </c>
      <c r="D201" s="26">
        <f t="shared" ref="D201:E201" si="71">D202+D203+D204+D205+D206</f>
        <v>2428655</v>
      </c>
      <c r="E201" s="272">
        <f t="shared" si="71"/>
        <v>0</v>
      </c>
      <c r="F201" s="272"/>
      <c r="G201" s="272">
        <f>G202+G203+G204+G205+G206</f>
        <v>2415355</v>
      </c>
      <c r="H201" s="272">
        <f t="shared" si="67"/>
        <v>-13300</v>
      </c>
      <c r="I201" s="272"/>
      <c r="J201" s="272">
        <f>J202+J203+J204+J205+J206</f>
        <v>2415355</v>
      </c>
      <c r="K201" s="272">
        <f t="shared" si="68"/>
        <v>0</v>
      </c>
      <c r="L201" s="272"/>
      <c r="M201" s="272">
        <f>M202+M203+M204+M205+M206</f>
        <v>2405535</v>
      </c>
      <c r="N201" s="272">
        <f t="shared" si="69"/>
        <v>-9820</v>
      </c>
      <c r="O201" s="272"/>
    </row>
    <row r="202" spans="1:15" s="340" customFormat="1" ht="43.8" customHeight="1" outlineLevel="1" x14ac:dyDescent="0.25">
      <c r="A202" s="341" t="s">
        <v>385</v>
      </c>
      <c r="B202" s="342" t="s">
        <v>386</v>
      </c>
      <c r="C202" s="63">
        <v>601819</v>
      </c>
      <c r="D202" s="63">
        <f>ROUND(C202,0)</f>
        <v>601819</v>
      </c>
      <c r="E202" s="337">
        <f t="shared" si="66"/>
        <v>0</v>
      </c>
      <c r="F202" s="64"/>
      <c r="G202" s="337">
        <f>ROUND(D202,0)-13300</f>
        <v>588519</v>
      </c>
      <c r="H202" s="343">
        <f t="shared" si="67"/>
        <v>-13300</v>
      </c>
      <c r="I202" s="54" t="s">
        <v>261</v>
      </c>
      <c r="J202" s="337">
        <f>ROUND(G202,0)</f>
        <v>588519</v>
      </c>
      <c r="K202" s="337">
        <f t="shared" si="68"/>
        <v>0</v>
      </c>
      <c r="L202" s="53"/>
      <c r="M202" s="337">
        <f>ROUND(J202,0)-9820</f>
        <v>578699</v>
      </c>
      <c r="N202" s="337">
        <f t="shared" si="69"/>
        <v>-9820</v>
      </c>
      <c r="O202" s="53" t="s">
        <v>387</v>
      </c>
    </row>
    <row r="203" spans="1:15" s="340" customFormat="1" ht="16.2" customHeight="1" outlineLevel="1" x14ac:dyDescent="0.25">
      <c r="A203" s="341" t="s">
        <v>388</v>
      </c>
      <c r="B203" s="342" t="s">
        <v>389</v>
      </c>
      <c r="C203" s="63">
        <v>1373990</v>
      </c>
      <c r="D203" s="63">
        <f>ROUND(C203,0)</f>
        <v>1373990</v>
      </c>
      <c r="E203" s="337">
        <f t="shared" si="66"/>
        <v>0</v>
      </c>
      <c r="F203" s="27"/>
      <c r="G203" s="337">
        <f>ROUND(D203,0)</f>
        <v>1373990</v>
      </c>
      <c r="H203" s="337">
        <f t="shared" si="67"/>
        <v>0</v>
      </c>
      <c r="I203" s="28"/>
      <c r="J203" s="337">
        <f>ROUND(G203,0)</f>
        <v>1373990</v>
      </c>
      <c r="K203" s="337">
        <f t="shared" si="68"/>
        <v>0</v>
      </c>
      <c r="L203" s="28"/>
      <c r="M203" s="337">
        <f>ROUND(J203,0)</f>
        <v>1373990</v>
      </c>
      <c r="N203" s="337">
        <f t="shared" si="69"/>
        <v>0</v>
      </c>
      <c r="O203" s="28"/>
    </row>
    <row r="204" spans="1:15" s="340" customFormat="1" ht="17.399999999999999" customHeight="1" outlineLevel="1" x14ac:dyDescent="0.25">
      <c r="A204" s="341" t="s">
        <v>390</v>
      </c>
      <c r="B204" s="342" t="s">
        <v>391</v>
      </c>
      <c r="C204" s="63">
        <v>25954</v>
      </c>
      <c r="D204" s="63">
        <f>ROUND(C204,0)</f>
        <v>25954</v>
      </c>
      <c r="E204" s="337">
        <f t="shared" si="66"/>
        <v>0</v>
      </c>
      <c r="F204" s="28"/>
      <c r="G204" s="337">
        <f>ROUND(D204,0)</f>
        <v>25954</v>
      </c>
      <c r="H204" s="337">
        <f t="shared" si="67"/>
        <v>0</v>
      </c>
      <c r="I204" s="28"/>
      <c r="J204" s="337">
        <f>ROUND(G204,0)</f>
        <v>25954</v>
      </c>
      <c r="K204" s="337">
        <f t="shared" si="68"/>
        <v>0</v>
      </c>
      <c r="L204" s="28"/>
      <c r="M204" s="337">
        <f>ROUND(J204,0)</f>
        <v>25954</v>
      </c>
      <c r="N204" s="337">
        <f t="shared" si="69"/>
        <v>0</v>
      </c>
      <c r="O204" s="28"/>
    </row>
    <row r="205" spans="1:15" s="340" customFormat="1" outlineLevel="1" x14ac:dyDescent="0.25">
      <c r="A205" s="341" t="s">
        <v>392</v>
      </c>
      <c r="B205" s="342" t="s">
        <v>393</v>
      </c>
      <c r="C205" s="63">
        <v>421092</v>
      </c>
      <c r="D205" s="63">
        <f>ROUND(C205,0)</f>
        <v>421092</v>
      </c>
      <c r="E205" s="337">
        <f t="shared" si="66"/>
        <v>0</v>
      </c>
      <c r="F205" s="64"/>
      <c r="G205" s="337">
        <f>ROUND(D205,0)</f>
        <v>421092</v>
      </c>
      <c r="H205" s="337">
        <f t="shared" si="67"/>
        <v>0</v>
      </c>
      <c r="I205" s="64"/>
      <c r="J205" s="337">
        <f>ROUND(G205,0)</f>
        <v>421092</v>
      </c>
      <c r="K205" s="337">
        <f t="shared" si="68"/>
        <v>0</v>
      </c>
      <c r="L205" s="64"/>
      <c r="M205" s="337">
        <f>ROUND(J205,0)</f>
        <v>421092</v>
      </c>
      <c r="N205" s="337">
        <f t="shared" si="69"/>
        <v>0</v>
      </c>
      <c r="O205" s="64"/>
    </row>
    <row r="206" spans="1:15" s="340" customFormat="1" outlineLevel="1" x14ac:dyDescent="0.25">
      <c r="A206" s="341" t="s">
        <v>394</v>
      </c>
      <c r="B206" s="342" t="s">
        <v>395</v>
      </c>
      <c r="C206" s="63">
        <v>5800</v>
      </c>
      <c r="D206" s="63">
        <f>ROUND(C206,0)</f>
        <v>5800</v>
      </c>
      <c r="E206" s="337">
        <f t="shared" si="66"/>
        <v>0</v>
      </c>
      <c r="F206" s="64"/>
      <c r="G206" s="337">
        <f>ROUND(D206,0)</f>
        <v>5800</v>
      </c>
      <c r="H206" s="337">
        <f t="shared" si="67"/>
        <v>0</v>
      </c>
      <c r="I206" s="64"/>
      <c r="J206" s="337">
        <f>ROUND(G206,0)</f>
        <v>5800</v>
      </c>
      <c r="K206" s="337">
        <f t="shared" si="68"/>
        <v>0</v>
      </c>
      <c r="L206" s="64"/>
      <c r="M206" s="337">
        <f>ROUND(J206,0)</f>
        <v>5800</v>
      </c>
      <c r="N206" s="337">
        <f t="shared" si="69"/>
        <v>0</v>
      </c>
      <c r="O206" s="64"/>
    </row>
    <row r="207" spans="1:15" s="311" customFormat="1" ht="19.5" customHeight="1" x14ac:dyDescent="0.25">
      <c r="A207" s="317" t="s">
        <v>82</v>
      </c>
      <c r="B207" s="318" t="s">
        <v>396</v>
      </c>
      <c r="C207" s="26">
        <v>10038</v>
      </c>
      <c r="D207" s="26">
        <f>D208+D209</f>
        <v>10038</v>
      </c>
      <c r="E207" s="272">
        <f t="shared" si="66"/>
        <v>0</v>
      </c>
      <c r="F207" s="27"/>
      <c r="G207" s="272">
        <f>G208+G209</f>
        <v>10038</v>
      </c>
      <c r="H207" s="272">
        <f t="shared" si="67"/>
        <v>0</v>
      </c>
      <c r="I207" s="27"/>
      <c r="J207" s="272">
        <f>J208+J209</f>
        <v>10038</v>
      </c>
      <c r="K207" s="272">
        <f t="shared" si="68"/>
        <v>0</v>
      </c>
      <c r="L207" s="27"/>
      <c r="M207" s="272">
        <f>M208+M209</f>
        <v>10038</v>
      </c>
      <c r="N207" s="272">
        <f t="shared" si="69"/>
        <v>0</v>
      </c>
      <c r="O207" s="27"/>
    </row>
    <row r="208" spans="1:15" s="340" customFormat="1" outlineLevel="1" x14ac:dyDescent="0.25">
      <c r="A208" s="341" t="s">
        <v>397</v>
      </c>
      <c r="B208" s="342" t="s">
        <v>398</v>
      </c>
      <c r="C208" s="63">
        <v>1407</v>
      </c>
      <c r="D208" s="63">
        <f>ROUND(C208,0)</f>
        <v>1407</v>
      </c>
      <c r="E208" s="337">
        <f t="shared" si="66"/>
        <v>0</v>
      </c>
      <c r="F208" s="64"/>
      <c r="G208" s="337">
        <f>ROUND(D208,0)</f>
        <v>1407</v>
      </c>
      <c r="H208" s="337">
        <f t="shared" si="67"/>
        <v>0</v>
      </c>
      <c r="I208" s="64"/>
      <c r="J208" s="337">
        <f>ROUND(G208,0)</f>
        <v>1407</v>
      </c>
      <c r="K208" s="337">
        <f t="shared" si="68"/>
        <v>0</v>
      </c>
      <c r="L208" s="64"/>
      <c r="M208" s="337">
        <f>ROUND(J208,0)</f>
        <v>1407</v>
      </c>
      <c r="N208" s="337">
        <f t="shared" si="69"/>
        <v>0</v>
      </c>
      <c r="O208" s="64"/>
    </row>
    <row r="209" spans="1:15" s="340" customFormat="1" outlineLevel="1" x14ac:dyDescent="0.25">
      <c r="A209" s="341" t="s">
        <v>399</v>
      </c>
      <c r="B209" s="342" t="s">
        <v>400</v>
      </c>
      <c r="C209" s="63">
        <v>8631</v>
      </c>
      <c r="D209" s="63">
        <f>ROUND(C209,0)</f>
        <v>8631</v>
      </c>
      <c r="E209" s="337">
        <f t="shared" si="66"/>
        <v>0</v>
      </c>
      <c r="F209" s="64"/>
      <c r="G209" s="337">
        <f>ROUND(D209,0)</f>
        <v>8631</v>
      </c>
      <c r="H209" s="337">
        <f t="shared" si="67"/>
        <v>0</v>
      </c>
      <c r="I209" s="64"/>
      <c r="J209" s="337">
        <f>ROUND(G209,0)</f>
        <v>8631</v>
      </c>
      <c r="K209" s="337">
        <f t="shared" si="68"/>
        <v>0</v>
      </c>
      <c r="L209" s="64"/>
      <c r="M209" s="337">
        <f>ROUND(J209,0)</f>
        <v>8631</v>
      </c>
      <c r="N209" s="337">
        <f t="shared" si="69"/>
        <v>0</v>
      </c>
      <c r="O209" s="64"/>
    </row>
    <row r="210" spans="1:15" s="311" customFormat="1" ht="30.6" customHeight="1" x14ac:dyDescent="0.25">
      <c r="A210" s="317" t="s">
        <v>84</v>
      </c>
      <c r="B210" s="318" t="s">
        <v>401</v>
      </c>
      <c r="C210" s="65">
        <v>839598</v>
      </c>
      <c r="D210" s="65">
        <f t="shared" ref="D210:E210" si="72">SUM(D211:D213)</f>
        <v>839598</v>
      </c>
      <c r="E210" s="344">
        <f t="shared" si="72"/>
        <v>0</v>
      </c>
      <c r="F210" s="48"/>
      <c r="G210" s="344">
        <f>SUM(G211:G213)</f>
        <v>818057</v>
      </c>
      <c r="H210" s="344">
        <f t="shared" si="67"/>
        <v>-21541</v>
      </c>
      <c r="I210" s="48"/>
      <c r="J210" s="344">
        <f>SUM(J211:J213)</f>
        <v>818057</v>
      </c>
      <c r="K210" s="344">
        <f t="shared" si="68"/>
        <v>0</v>
      </c>
      <c r="L210" s="48"/>
      <c r="M210" s="344">
        <f>SUM(M211:M213)</f>
        <v>818057</v>
      </c>
      <c r="N210" s="344">
        <f t="shared" si="69"/>
        <v>0</v>
      </c>
      <c r="O210" s="48"/>
    </row>
    <row r="211" spans="1:15" s="311" customFormat="1" ht="15" customHeight="1" x14ac:dyDescent="0.25">
      <c r="A211" s="345" t="s">
        <v>402</v>
      </c>
      <c r="B211" s="346" t="s">
        <v>403</v>
      </c>
      <c r="C211" s="12">
        <v>347838</v>
      </c>
      <c r="D211" s="12">
        <f t="shared" ref="D211:D216" si="73">ROUND(C211,0)</f>
        <v>347838</v>
      </c>
      <c r="E211" s="261">
        <f t="shared" si="66"/>
        <v>0</v>
      </c>
      <c r="F211" s="13"/>
      <c r="G211" s="261">
        <f>ROUND(D211,0)-21541</f>
        <v>326297</v>
      </c>
      <c r="H211" s="262">
        <f t="shared" si="67"/>
        <v>-21541</v>
      </c>
      <c r="I211" s="54" t="s">
        <v>261</v>
      </c>
      <c r="J211" s="261">
        <f t="shared" ref="J211:J218" si="74">ROUND(G211,0)</f>
        <v>326297</v>
      </c>
      <c r="K211" s="261">
        <f t="shared" si="68"/>
        <v>0</v>
      </c>
      <c r="L211" s="53"/>
      <c r="M211" s="261">
        <f t="shared" ref="M211:M218" si="75">ROUND(J211,0)</f>
        <v>326297</v>
      </c>
      <c r="N211" s="261">
        <f t="shared" si="69"/>
        <v>0</v>
      </c>
      <c r="O211" s="53"/>
    </row>
    <row r="212" spans="1:15" s="311" customFormat="1" ht="15.75" customHeight="1" x14ac:dyDescent="0.25">
      <c r="A212" s="347" t="s">
        <v>404</v>
      </c>
      <c r="B212" s="346" t="s">
        <v>405</v>
      </c>
      <c r="C212" s="12">
        <v>161090</v>
      </c>
      <c r="D212" s="12">
        <f t="shared" si="73"/>
        <v>161090</v>
      </c>
      <c r="E212" s="261">
        <f t="shared" si="66"/>
        <v>0</v>
      </c>
      <c r="F212" s="13"/>
      <c r="G212" s="261">
        <f t="shared" ref="G212:G218" si="76">ROUND(D212,0)</f>
        <v>161090</v>
      </c>
      <c r="H212" s="261">
        <f t="shared" si="67"/>
        <v>0</v>
      </c>
      <c r="I212" s="13"/>
      <c r="J212" s="261">
        <f t="shared" si="74"/>
        <v>161090</v>
      </c>
      <c r="K212" s="261">
        <f t="shared" si="68"/>
        <v>0</v>
      </c>
      <c r="L212" s="13"/>
      <c r="M212" s="261">
        <f t="shared" si="75"/>
        <v>161090</v>
      </c>
      <c r="N212" s="261">
        <f t="shared" si="69"/>
        <v>0</v>
      </c>
      <c r="O212" s="13"/>
    </row>
    <row r="213" spans="1:15" s="311" customFormat="1" ht="15.6" customHeight="1" x14ac:dyDescent="0.25">
      <c r="A213" s="345" t="s">
        <v>406</v>
      </c>
      <c r="B213" s="346" t="s">
        <v>407</v>
      </c>
      <c r="C213" s="12">
        <v>330670</v>
      </c>
      <c r="D213" s="12">
        <f t="shared" si="73"/>
        <v>330670</v>
      </c>
      <c r="E213" s="261">
        <f t="shared" si="66"/>
        <v>0</v>
      </c>
      <c r="F213" s="13"/>
      <c r="G213" s="261">
        <f t="shared" si="76"/>
        <v>330670</v>
      </c>
      <c r="H213" s="261">
        <f t="shared" si="67"/>
        <v>0</v>
      </c>
      <c r="I213" s="13"/>
      <c r="J213" s="261">
        <f t="shared" si="74"/>
        <v>330670</v>
      </c>
      <c r="K213" s="261">
        <f t="shared" si="68"/>
        <v>0</v>
      </c>
      <c r="L213" s="13"/>
      <c r="M213" s="261">
        <f t="shared" si="75"/>
        <v>330670</v>
      </c>
      <c r="N213" s="261">
        <f t="shared" si="69"/>
        <v>0</v>
      </c>
      <c r="O213" s="13"/>
    </row>
    <row r="214" spans="1:15" s="311" customFormat="1" ht="16.2" customHeight="1" x14ac:dyDescent="0.25">
      <c r="A214" s="317" t="s">
        <v>408</v>
      </c>
      <c r="B214" s="318" t="s">
        <v>409</v>
      </c>
      <c r="C214" s="26">
        <v>132505.09117999999</v>
      </c>
      <c r="D214" s="26">
        <f t="shared" si="73"/>
        <v>132505</v>
      </c>
      <c r="E214" s="272">
        <f t="shared" si="66"/>
        <v>-9.1179999988526106E-2</v>
      </c>
      <c r="F214" s="48"/>
      <c r="G214" s="272">
        <f>ROUND(D214,0)-6709</f>
        <v>125796</v>
      </c>
      <c r="H214" s="319">
        <f t="shared" si="67"/>
        <v>-6709</v>
      </c>
      <c r="I214" s="47" t="s">
        <v>261</v>
      </c>
      <c r="J214" s="272">
        <f t="shared" si="74"/>
        <v>125796</v>
      </c>
      <c r="K214" s="272">
        <f t="shared" si="68"/>
        <v>0</v>
      </c>
      <c r="L214" s="27"/>
      <c r="M214" s="272">
        <f t="shared" si="75"/>
        <v>125796</v>
      </c>
      <c r="N214" s="272">
        <f t="shared" si="69"/>
        <v>0</v>
      </c>
      <c r="O214" s="27"/>
    </row>
    <row r="215" spans="1:15" s="311" customFormat="1" ht="18.75" customHeight="1" x14ac:dyDescent="0.25">
      <c r="A215" s="317" t="s">
        <v>410</v>
      </c>
      <c r="B215" s="318" t="s">
        <v>131</v>
      </c>
      <c r="C215" s="26">
        <v>50000</v>
      </c>
      <c r="D215" s="26">
        <f t="shared" si="73"/>
        <v>50000</v>
      </c>
      <c r="E215" s="272">
        <f t="shared" si="66"/>
        <v>0</v>
      </c>
      <c r="F215" s="48"/>
      <c r="G215" s="272">
        <f>ROUND(D215,0)+20000</f>
        <v>70000</v>
      </c>
      <c r="H215" s="272">
        <f t="shared" si="67"/>
        <v>20000</v>
      </c>
      <c r="I215" s="48" t="s">
        <v>132</v>
      </c>
      <c r="J215" s="272">
        <f t="shared" si="74"/>
        <v>70000</v>
      </c>
      <c r="K215" s="272">
        <f t="shared" si="68"/>
        <v>0</v>
      </c>
      <c r="L215" s="48"/>
      <c r="M215" s="272">
        <f t="shared" si="75"/>
        <v>70000</v>
      </c>
      <c r="N215" s="272">
        <f t="shared" si="69"/>
        <v>0</v>
      </c>
      <c r="O215" s="48"/>
    </row>
    <row r="216" spans="1:15" s="311" customFormat="1" ht="18.75" customHeight="1" x14ac:dyDescent="0.25">
      <c r="A216" s="317" t="s">
        <v>411</v>
      </c>
      <c r="B216" s="318" t="s">
        <v>134</v>
      </c>
      <c r="C216" s="26">
        <v>698343.79</v>
      </c>
      <c r="D216" s="26">
        <f t="shared" si="73"/>
        <v>698344</v>
      </c>
      <c r="E216" s="272">
        <f t="shared" si="66"/>
        <v>0.2099999999627471</v>
      </c>
      <c r="F216" s="48"/>
      <c r="G216" s="272">
        <f t="shared" si="76"/>
        <v>698344</v>
      </c>
      <c r="H216" s="272">
        <f t="shared" si="67"/>
        <v>0</v>
      </c>
      <c r="I216" s="48"/>
      <c r="J216" s="272">
        <f t="shared" si="74"/>
        <v>698344</v>
      </c>
      <c r="K216" s="272">
        <f t="shared" si="68"/>
        <v>0</v>
      </c>
      <c r="L216" s="48"/>
      <c r="M216" s="272">
        <f t="shared" si="75"/>
        <v>698344</v>
      </c>
      <c r="N216" s="272">
        <f t="shared" si="69"/>
        <v>0</v>
      </c>
      <c r="O216" s="48"/>
    </row>
    <row r="217" spans="1:15" ht="40.950000000000003" customHeight="1" x14ac:dyDescent="0.25">
      <c r="A217" s="317" t="s">
        <v>412</v>
      </c>
      <c r="B217" s="318" t="s">
        <v>413</v>
      </c>
      <c r="C217" s="12">
        <v>23597</v>
      </c>
      <c r="D217" s="12">
        <f>ROUND(C217,0)</f>
        <v>23597</v>
      </c>
      <c r="E217" s="261">
        <f>D217-C217</f>
        <v>0</v>
      </c>
      <c r="F217" s="53"/>
      <c r="G217" s="261">
        <f t="shared" si="76"/>
        <v>23597</v>
      </c>
      <c r="H217" s="261">
        <f t="shared" si="67"/>
        <v>0</v>
      </c>
      <c r="I217" s="53"/>
      <c r="J217" s="261">
        <f t="shared" si="74"/>
        <v>23597</v>
      </c>
      <c r="K217" s="261">
        <f t="shared" si="68"/>
        <v>0</v>
      </c>
      <c r="L217" s="53"/>
      <c r="M217" s="261">
        <f t="shared" si="75"/>
        <v>23597</v>
      </c>
      <c r="N217" s="261">
        <f t="shared" si="69"/>
        <v>0</v>
      </c>
      <c r="O217" s="53"/>
    </row>
    <row r="218" spans="1:15" ht="44.4" customHeight="1" x14ac:dyDescent="0.25">
      <c r="A218" s="317" t="s">
        <v>414</v>
      </c>
      <c r="B218" s="318" t="s">
        <v>415</v>
      </c>
      <c r="C218" s="12">
        <v>18440</v>
      </c>
      <c r="D218" s="12">
        <f>ROUND(C218,0)</f>
        <v>18440</v>
      </c>
      <c r="E218" s="261">
        <f>D218-C218</f>
        <v>0</v>
      </c>
      <c r="F218" s="53"/>
      <c r="G218" s="261">
        <f t="shared" si="76"/>
        <v>18440</v>
      </c>
      <c r="H218" s="261">
        <f t="shared" si="67"/>
        <v>0</v>
      </c>
      <c r="I218" s="53"/>
      <c r="J218" s="261">
        <f t="shared" si="74"/>
        <v>18440</v>
      </c>
      <c r="K218" s="261">
        <f t="shared" si="68"/>
        <v>0</v>
      </c>
      <c r="L218" s="53"/>
      <c r="M218" s="261">
        <f t="shared" si="75"/>
        <v>18440</v>
      </c>
      <c r="N218" s="261">
        <f t="shared" si="69"/>
        <v>0</v>
      </c>
      <c r="O218" s="53"/>
    </row>
    <row r="219" spans="1:15" x14ac:dyDescent="0.25">
      <c r="A219" s="320" t="s">
        <v>86</v>
      </c>
      <c r="B219" s="321" t="s">
        <v>416</v>
      </c>
      <c r="C219" s="14">
        <v>21517854.165859237</v>
      </c>
      <c r="D219" s="14">
        <f>D220+D221+D224+D227+D231+D235+D239+D247+D248+D259+D262+D265+D266+D267+D268+D269+D270</f>
        <v>21576210</v>
      </c>
      <c r="E219" s="265">
        <f>E220+E221+E224+E227+E231+E235+E239+E248+E259+E262+E265+E266+E267+E268+E269+E270</f>
        <v>58356.224140764331</v>
      </c>
      <c r="F219" s="265"/>
      <c r="G219" s="265">
        <f>G220+G221+G224+G227+G231+G235+G239+G247+G248+G259+G262+G265+G266+G267+G268+G269+G270</f>
        <v>21675003</v>
      </c>
      <c r="H219" s="265">
        <f t="shared" si="67"/>
        <v>98793</v>
      </c>
      <c r="I219" s="265"/>
      <c r="J219" s="265">
        <f>J220+J221+J224+J227+J231+J235+J239+J247+J248+J259+J262+J265+J266+J267+J268+J269+J270</f>
        <v>21738469</v>
      </c>
      <c r="K219" s="265">
        <f t="shared" si="68"/>
        <v>63466</v>
      </c>
      <c r="L219" s="265"/>
      <c r="M219" s="265">
        <f>M220+M221+M224+M227+M231+M235+M239+M247+M248+M259+M262+M265+M266+M267+M268+M269+M270</f>
        <v>21748289</v>
      </c>
      <c r="N219" s="265">
        <f t="shared" si="69"/>
        <v>9820</v>
      </c>
      <c r="O219" s="265"/>
    </row>
    <row r="220" spans="1:15" ht="27.6" customHeight="1" x14ac:dyDescent="0.25">
      <c r="A220" s="317" t="s">
        <v>417</v>
      </c>
      <c r="B220" s="325" t="s">
        <v>418</v>
      </c>
      <c r="C220" s="26">
        <v>1009440</v>
      </c>
      <c r="D220" s="26">
        <f>ROUND(C220,0)</f>
        <v>1009440</v>
      </c>
      <c r="E220" s="272">
        <f t="shared" si="66"/>
        <v>0</v>
      </c>
      <c r="F220" s="27"/>
      <c r="G220" s="272">
        <f>ROUND(D220,0)</f>
        <v>1009440</v>
      </c>
      <c r="H220" s="272">
        <f t="shared" si="67"/>
        <v>0</v>
      </c>
      <c r="I220" s="27"/>
      <c r="J220" s="272">
        <f>ROUND(G220,0)</f>
        <v>1009440</v>
      </c>
      <c r="K220" s="272">
        <f t="shared" si="68"/>
        <v>0</v>
      </c>
      <c r="L220" s="27"/>
      <c r="M220" s="272">
        <f>ROUND(J220,0)</f>
        <v>1009440</v>
      </c>
      <c r="N220" s="272">
        <f t="shared" si="69"/>
        <v>0</v>
      </c>
      <c r="O220" s="27"/>
    </row>
    <row r="221" spans="1:15" ht="18" customHeight="1" x14ac:dyDescent="0.25">
      <c r="A221" s="317" t="s">
        <v>419</v>
      </c>
      <c r="B221" s="325" t="s">
        <v>420</v>
      </c>
      <c r="C221" s="26">
        <v>1943919.3519472245</v>
      </c>
      <c r="D221" s="26">
        <f t="shared" ref="D221" si="77">SUM(D222:D223)</f>
        <v>1943919</v>
      </c>
      <c r="E221" s="272">
        <f t="shared" si="66"/>
        <v>-0.35194722446613014</v>
      </c>
      <c r="F221" s="48"/>
      <c r="G221" s="272">
        <f>SUM(G222:G223)</f>
        <v>1956009</v>
      </c>
      <c r="H221" s="272">
        <f t="shared" si="67"/>
        <v>12090</v>
      </c>
      <c r="I221" s="48"/>
      <c r="J221" s="272">
        <f>SUM(J222:J223)</f>
        <v>1960502</v>
      </c>
      <c r="K221" s="272">
        <f t="shared" si="68"/>
        <v>4493</v>
      </c>
      <c r="L221" s="48"/>
      <c r="M221" s="272">
        <f>SUM(M222:M223)</f>
        <v>1960502</v>
      </c>
      <c r="N221" s="272">
        <f t="shared" si="69"/>
        <v>0</v>
      </c>
      <c r="O221" s="48"/>
    </row>
    <row r="222" spans="1:15" ht="16.2" customHeight="1" x14ac:dyDescent="0.25">
      <c r="A222" s="323" t="s">
        <v>421</v>
      </c>
      <c r="B222" s="299" t="s">
        <v>422</v>
      </c>
      <c r="C222" s="66">
        <v>273761</v>
      </c>
      <c r="D222" s="66">
        <f>ROUND(C222,0)</f>
        <v>273761</v>
      </c>
      <c r="E222" s="348">
        <f t="shared" si="66"/>
        <v>0</v>
      </c>
      <c r="F222" s="20"/>
      <c r="G222" s="348">
        <f>ROUND(D222,0)</f>
        <v>273761</v>
      </c>
      <c r="H222" s="348">
        <f t="shared" si="67"/>
        <v>0</v>
      </c>
      <c r="I222" s="20"/>
      <c r="J222" s="348">
        <f>ROUND(G222,0)+4493</f>
        <v>278254</v>
      </c>
      <c r="K222" s="348">
        <f t="shared" si="68"/>
        <v>4493</v>
      </c>
      <c r="L222" s="20" t="s">
        <v>103</v>
      </c>
      <c r="M222" s="348">
        <f>ROUND(J222,0)</f>
        <v>278254</v>
      </c>
      <c r="N222" s="348">
        <f t="shared" si="69"/>
        <v>0</v>
      </c>
      <c r="O222" s="20"/>
    </row>
    <row r="223" spans="1:15" ht="15" customHeight="1" x14ac:dyDescent="0.25">
      <c r="A223" s="323" t="s">
        <v>423</v>
      </c>
      <c r="B223" s="299" t="s">
        <v>424</v>
      </c>
      <c r="C223" s="66">
        <v>1670158.3519472245</v>
      </c>
      <c r="D223" s="66">
        <f>ROUND(C223,0)</f>
        <v>1670158</v>
      </c>
      <c r="E223" s="348">
        <f t="shared" si="66"/>
        <v>-0.35194722446613014</v>
      </c>
      <c r="F223" s="67"/>
      <c r="G223" s="348">
        <f>ROUND(D223,0)-7910+20000</f>
        <v>1682248</v>
      </c>
      <c r="H223" s="349">
        <f t="shared" si="67"/>
        <v>12090</v>
      </c>
      <c r="I223" s="21" t="s">
        <v>425</v>
      </c>
      <c r="J223" s="348">
        <f>ROUND(G223,0)</f>
        <v>1682248</v>
      </c>
      <c r="K223" s="348">
        <f t="shared" si="68"/>
        <v>0</v>
      </c>
      <c r="L223" s="20"/>
      <c r="M223" s="348">
        <f>ROUND(J223,0)</f>
        <v>1682248</v>
      </c>
      <c r="N223" s="348">
        <f t="shared" si="69"/>
        <v>0</v>
      </c>
      <c r="O223" s="20"/>
    </row>
    <row r="224" spans="1:15" ht="18" customHeight="1" x14ac:dyDescent="0.25">
      <c r="A224" s="317" t="s">
        <v>426</v>
      </c>
      <c r="B224" s="325" t="s">
        <v>427</v>
      </c>
      <c r="C224" s="26">
        <v>1237573.6494368</v>
      </c>
      <c r="D224" s="26">
        <f>D225+D226</f>
        <v>1237574</v>
      </c>
      <c r="E224" s="272">
        <f t="shared" si="66"/>
        <v>0.35056319995783269</v>
      </c>
      <c r="F224" s="48"/>
      <c r="G224" s="272">
        <f>G225+G226</f>
        <v>1230777</v>
      </c>
      <c r="H224" s="272">
        <f t="shared" si="67"/>
        <v>-6797</v>
      </c>
      <c r="I224" s="48"/>
      <c r="J224" s="272">
        <f>J225+J226</f>
        <v>1232647</v>
      </c>
      <c r="K224" s="272">
        <f t="shared" si="68"/>
        <v>1870</v>
      </c>
      <c r="L224" s="48"/>
      <c r="M224" s="272">
        <f>M225+M226</f>
        <v>1232647</v>
      </c>
      <c r="N224" s="272">
        <f t="shared" si="69"/>
        <v>0</v>
      </c>
      <c r="O224" s="48"/>
    </row>
    <row r="225" spans="1:15" ht="16.5" customHeight="1" x14ac:dyDescent="0.25">
      <c r="A225" s="323" t="s">
        <v>428</v>
      </c>
      <c r="B225" s="299" t="s">
        <v>422</v>
      </c>
      <c r="C225" s="12">
        <v>113943</v>
      </c>
      <c r="D225" s="12">
        <f>ROUND(C225,0)</f>
        <v>113943</v>
      </c>
      <c r="E225" s="261">
        <f t="shared" si="66"/>
        <v>0</v>
      </c>
      <c r="F225" s="20"/>
      <c r="G225" s="261">
        <f>ROUND(D225,0)</f>
        <v>113943</v>
      </c>
      <c r="H225" s="261">
        <f t="shared" si="67"/>
        <v>0</v>
      </c>
      <c r="I225" s="20"/>
      <c r="J225" s="261">
        <f>ROUND(G225,0)+1870</f>
        <v>115813</v>
      </c>
      <c r="K225" s="261">
        <f t="shared" si="68"/>
        <v>1870</v>
      </c>
      <c r="L225" s="20" t="s">
        <v>103</v>
      </c>
      <c r="M225" s="261">
        <f>ROUND(J225,0)</f>
        <v>115813</v>
      </c>
      <c r="N225" s="261">
        <f t="shared" si="69"/>
        <v>0</v>
      </c>
      <c r="O225" s="20"/>
    </row>
    <row r="226" spans="1:15" ht="13.2" customHeight="1" x14ac:dyDescent="0.25">
      <c r="A226" s="323" t="s">
        <v>429</v>
      </c>
      <c r="B226" s="299" t="s">
        <v>424</v>
      </c>
      <c r="C226" s="12">
        <v>1123630.6494368</v>
      </c>
      <c r="D226" s="12">
        <f>ROUND(C226,0)</f>
        <v>1123631</v>
      </c>
      <c r="E226" s="261">
        <f t="shared" si="66"/>
        <v>0.35056319995783269</v>
      </c>
      <c r="F226" s="20"/>
      <c r="G226" s="261">
        <f>ROUND(D226,0)-6797</f>
        <v>1116834</v>
      </c>
      <c r="H226" s="262">
        <f t="shared" si="67"/>
        <v>-6797</v>
      </c>
      <c r="I226" s="21" t="s">
        <v>261</v>
      </c>
      <c r="J226" s="261">
        <f>ROUND(G226,0)</f>
        <v>1116834</v>
      </c>
      <c r="K226" s="261">
        <f t="shared" si="68"/>
        <v>0</v>
      </c>
      <c r="L226" s="20"/>
      <c r="M226" s="261">
        <f>ROUND(J226,0)</f>
        <v>1116834</v>
      </c>
      <c r="N226" s="261">
        <f t="shared" si="69"/>
        <v>0</v>
      </c>
      <c r="O226" s="20"/>
    </row>
    <row r="227" spans="1:15" ht="18" customHeight="1" x14ac:dyDescent="0.25">
      <c r="A227" s="350" t="s">
        <v>430</v>
      </c>
      <c r="B227" s="325" t="s">
        <v>431</v>
      </c>
      <c r="C227" s="26">
        <v>1320896.3067867202</v>
      </c>
      <c r="D227" s="26">
        <f>D228+D229+D230</f>
        <v>1320896</v>
      </c>
      <c r="E227" s="272">
        <f t="shared" si="66"/>
        <v>-0.30678672017529607</v>
      </c>
      <c r="F227" s="48"/>
      <c r="G227" s="272">
        <f>G228+G229+G230</f>
        <v>1320896</v>
      </c>
      <c r="H227" s="272">
        <f t="shared" si="67"/>
        <v>0</v>
      </c>
      <c r="I227" s="48"/>
      <c r="J227" s="272">
        <f>J228+J229+J230</f>
        <v>1323864</v>
      </c>
      <c r="K227" s="272">
        <f t="shared" si="68"/>
        <v>2968</v>
      </c>
      <c r="L227" s="48"/>
      <c r="M227" s="272">
        <f>M228+M229+M230</f>
        <v>1323864</v>
      </c>
      <c r="N227" s="272">
        <f t="shared" si="69"/>
        <v>0</v>
      </c>
      <c r="O227" s="48"/>
    </row>
    <row r="228" spans="1:15" ht="13.5" customHeight="1" x14ac:dyDescent="0.25">
      <c r="A228" s="323" t="s">
        <v>432</v>
      </c>
      <c r="B228" s="299" t="s">
        <v>422</v>
      </c>
      <c r="C228" s="12">
        <v>192011</v>
      </c>
      <c r="D228" s="12">
        <f>ROUND(C228,0)</f>
        <v>192011</v>
      </c>
      <c r="E228" s="261">
        <f t="shared" si="66"/>
        <v>0</v>
      </c>
      <c r="F228" s="20"/>
      <c r="G228" s="261">
        <f>ROUND(D228,0)</f>
        <v>192011</v>
      </c>
      <c r="H228" s="261">
        <f t="shared" si="67"/>
        <v>0</v>
      </c>
      <c r="I228" s="20"/>
      <c r="J228" s="261">
        <f>ROUND(G228,0)+2968</f>
        <v>194979</v>
      </c>
      <c r="K228" s="261">
        <f t="shared" si="68"/>
        <v>2968</v>
      </c>
      <c r="L228" s="20" t="s">
        <v>103</v>
      </c>
      <c r="M228" s="261">
        <f>ROUND(J228,0)</f>
        <v>194979</v>
      </c>
      <c r="N228" s="261">
        <f t="shared" si="69"/>
        <v>0</v>
      </c>
      <c r="O228" s="20"/>
    </row>
    <row r="229" spans="1:15" ht="17.399999999999999" customHeight="1" x14ac:dyDescent="0.25">
      <c r="A229" s="323" t="s">
        <v>433</v>
      </c>
      <c r="B229" s="299" t="s">
        <v>424</v>
      </c>
      <c r="C229" s="12">
        <v>968536.30678672018</v>
      </c>
      <c r="D229" s="12">
        <f>ROUND(C229,0)</f>
        <v>968536</v>
      </c>
      <c r="E229" s="261">
        <f t="shared" si="66"/>
        <v>-0.30678672017529607</v>
      </c>
      <c r="F229" s="20"/>
      <c r="G229" s="261">
        <f>ROUND(D229,0)</f>
        <v>968536</v>
      </c>
      <c r="H229" s="261">
        <f t="shared" si="67"/>
        <v>0</v>
      </c>
      <c r="I229" s="20"/>
      <c r="J229" s="261">
        <f>ROUND(G229,0)</f>
        <v>968536</v>
      </c>
      <c r="K229" s="261">
        <f t="shared" si="68"/>
        <v>0</v>
      </c>
      <c r="L229" s="20"/>
      <c r="M229" s="261">
        <f>ROUND(J229,0)</f>
        <v>968536</v>
      </c>
      <c r="N229" s="261">
        <f t="shared" si="69"/>
        <v>0</v>
      </c>
      <c r="O229" s="20"/>
    </row>
    <row r="230" spans="1:15" ht="17.399999999999999" customHeight="1" x14ac:dyDescent="0.25">
      <c r="A230" s="323" t="s">
        <v>434</v>
      </c>
      <c r="B230" s="299" t="s">
        <v>435</v>
      </c>
      <c r="C230" s="12">
        <v>160349</v>
      </c>
      <c r="D230" s="12">
        <f>ROUND(C230,0)</f>
        <v>160349</v>
      </c>
      <c r="E230" s="261">
        <f>D230-C230</f>
        <v>0</v>
      </c>
      <c r="F230" s="20"/>
      <c r="G230" s="261">
        <f>ROUND(D230,0)</f>
        <v>160349</v>
      </c>
      <c r="H230" s="261">
        <f t="shared" si="67"/>
        <v>0</v>
      </c>
      <c r="I230" s="20"/>
      <c r="J230" s="261">
        <f>ROUND(G230,0)</f>
        <v>160349</v>
      </c>
      <c r="K230" s="261">
        <f t="shared" si="68"/>
        <v>0</v>
      </c>
      <c r="L230" s="20"/>
      <c r="M230" s="261">
        <f>ROUND(J230,0)</f>
        <v>160349</v>
      </c>
      <c r="N230" s="261">
        <f t="shared" si="69"/>
        <v>0</v>
      </c>
      <c r="O230" s="20"/>
    </row>
    <row r="231" spans="1:15" x14ac:dyDescent="0.25">
      <c r="A231" s="350" t="s">
        <v>436</v>
      </c>
      <c r="B231" s="325" t="s">
        <v>437</v>
      </c>
      <c r="C231" s="26">
        <v>1231648.2936508402</v>
      </c>
      <c r="D231" s="26">
        <f t="shared" ref="D231" si="78">SUM(D232:D234)</f>
        <v>1231648</v>
      </c>
      <c r="E231" s="272">
        <f t="shared" si="66"/>
        <v>-0.29365084017626941</v>
      </c>
      <c r="F231" s="48"/>
      <c r="G231" s="272">
        <f>SUM(G232:G234)</f>
        <v>1233648</v>
      </c>
      <c r="H231" s="272">
        <f t="shared" si="67"/>
        <v>2000</v>
      </c>
      <c r="I231" s="48"/>
      <c r="J231" s="272">
        <f>SUM(J232:J234)</f>
        <v>1234807</v>
      </c>
      <c r="K231" s="272">
        <f t="shared" si="68"/>
        <v>1159</v>
      </c>
      <c r="L231" s="48"/>
      <c r="M231" s="272">
        <f>SUM(M232:M234)</f>
        <v>1234807</v>
      </c>
      <c r="N231" s="272">
        <f t="shared" si="69"/>
        <v>0</v>
      </c>
      <c r="O231" s="48"/>
    </row>
    <row r="232" spans="1:15" s="351" customFormat="1" ht="17.25" customHeight="1" x14ac:dyDescent="0.25">
      <c r="A232" s="323" t="s">
        <v>438</v>
      </c>
      <c r="B232" s="299" t="s">
        <v>422</v>
      </c>
      <c r="C232" s="12">
        <v>71133</v>
      </c>
      <c r="D232" s="12">
        <f>ROUND(C232,0)</f>
        <v>71133</v>
      </c>
      <c r="E232" s="348">
        <f t="shared" si="66"/>
        <v>0</v>
      </c>
      <c r="F232" s="13"/>
      <c r="G232" s="261">
        <f>ROUND(D232,0)</f>
        <v>71133</v>
      </c>
      <c r="H232" s="348">
        <f t="shared" si="67"/>
        <v>0</v>
      </c>
      <c r="I232" s="13"/>
      <c r="J232" s="261">
        <f>ROUND(G232,0)+1159</f>
        <v>72292</v>
      </c>
      <c r="K232" s="348">
        <f t="shared" si="68"/>
        <v>1159</v>
      </c>
      <c r="L232" s="13" t="s">
        <v>103</v>
      </c>
      <c r="M232" s="261">
        <f>ROUND(J232,0)</f>
        <v>72292</v>
      </c>
      <c r="N232" s="348">
        <f t="shared" si="69"/>
        <v>0</v>
      </c>
      <c r="O232" s="13"/>
    </row>
    <row r="233" spans="1:15" s="351" customFormat="1" ht="15.6" customHeight="1" x14ac:dyDescent="0.25">
      <c r="A233" s="323" t="s">
        <v>439</v>
      </c>
      <c r="B233" s="299" t="s">
        <v>424</v>
      </c>
      <c r="C233" s="12">
        <v>1001768.2936508402</v>
      </c>
      <c r="D233" s="12">
        <f>ROUND(C233,0)</f>
        <v>1001768</v>
      </c>
      <c r="E233" s="348">
        <f t="shared" si="66"/>
        <v>-0.29365084017626941</v>
      </c>
      <c r="F233" s="20"/>
      <c r="G233" s="261">
        <f>ROUND(D233,0)+2000</f>
        <v>1003768</v>
      </c>
      <c r="H233" s="348">
        <f t="shared" si="67"/>
        <v>2000</v>
      </c>
      <c r="I233" s="13" t="s">
        <v>440</v>
      </c>
      <c r="J233" s="261">
        <f>ROUND(G233,0)</f>
        <v>1003768</v>
      </c>
      <c r="K233" s="348">
        <f t="shared" si="68"/>
        <v>0</v>
      </c>
      <c r="L233" s="13"/>
      <c r="M233" s="261">
        <f>ROUND(J233,0)</f>
        <v>1003768</v>
      </c>
      <c r="N233" s="348">
        <f t="shared" si="69"/>
        <v>0</v>
      </c>
      <c r="O233" s="13"/>
    </row>
    <row r="234" spans="1:15" s="351" customFormat="1" ht="13.8" customHeight="1" x14ac:dyDescent="0.25">
      <c r="A234" s="323" t="s">
        <v>441</v>
      </c>
      <c r="B234" s="299" t="s">
        <v>435</v>
      </c>
      <c r="C234" s="12">
        <v>158747</v>
      </c>
      <c r="D234" s="12">
        <f>ROUND(C234,0)</f>
        <v>158747</v>
      </c>
      <c r="E234" s="348">
        <f>D234-C234</f>
        <v>0</v>
      </c>
      <c r="F234" s="20"/>
      <c r="G234" s="261">
        <f>ROUND(D234,0)</f>
        <v>158747</v>
      </c>
      <c r="H234" s="348">
        <f t="shared" si="67"/>
        <v>0</v>
      </c>
      <c r="I234" s="20"/>
      <c r="J234" s="261">
        <f>ROUND(G234,0)</f>
        <v>158747</v>
      </c>
      <c r="K234" s="348">
        <f t="shared" si="68"/>
        <v>0</v>
      </c>
      <c r="L234" s="20"/>
      <c r="M234" s="261">
        <f>ROUND(J234,0)</f>
        <v>158747</v>
      </c>
      <c r="N234" s="348">
        <f t="shared" si="69"/>
        <v>0</v>
      </c>
      <c r="O234" s="20"/>
    </row>
    <row r="235" spans="1:15" x14ac:dyDescent="0.25">
      <c r="A235" s="350" t="s">
        <v>442</v>
      </c>
      <c r="B235" s="325" t="s">
        <v>443</v>
      </c>
      <c r="C235" s="26">
        <v>2137999</v>
      </c>
      <c r="D235" s="26">
        <f>D236+D237+D238</f>
        <v>2137999</v>
      </c>
      <c r="E235" s="272">
        <f t="shared" si="66"/>
        <v>0</v>
      </c>
      <c r="F235" s="48"/>
      <c r="G235" s="272">
        <f>G236+G237+G238</f>
        <v>2137999</v>
      </c>
      <c r="H235" s="272">
        <f t="shared" si="67"/>
        <v>0</v>
      </c>
      <c r="I235" s="48"/>
      <c r="J235" s="272">
        <f>J236+J237+J238</f>
        <v>2137999</v>
      </c>
      <c r="K235" s="272">
        <f t="shared" si="68"/>
        <v>0</v>
      </c>
      <c r="L235" s="48"/>
      <c r="M235" s="272">
        <f>M236+M237+M238</f>
        <v>2137999</v>
      </c>
      <c r="N235" s="272">
        <f t="shared" si="69"/>
        <v>0</v>
      </c>
      <c r="O235" s="48"/>
    </row>
    <row r="236" spans="1:15" s="351" customFormat="1" x14ac:dyDescent="0.25">
      <c r="A236" s="352" t="s">
        <v>444</v>
      </c>
      <c r="B236" s="353" t="s">
        <v>445</v>
      </c>
      <c r="C236" s="12">
        <v>625207</v>
      </c>
      <c r="D236" s="12">
        <f>ROUND(C236,0)</f>
        <v>625207</v>
      </c>
      <c r="E236" s="348">
        <f t="shared" si="66"/>
        <v>0</v>
      </c>
      <c r="F236" s="13"/>
      <c r="G236" s="261">
        <f>ROUND(D236,0)</f>
        <v>625207</v>
      </c>
      <c r="H236" s="348">
        <f t="shared" si="67"/>
        <v>0</v>
      </c>
      <c r="I236" s="13"/>
      <c r="J236" s="261">
        <f>ROUND(G236,0)</f>
        <v>625207</v>
      </c>
      <c r="K236" s="348">
        <f t="shared" si="68"/>
        <v>0</v>
      </c>
      <c r="L236" s="13"/>
      <c r="M236" s="261">
        <f>ROUND(J236,0)</f>
        <v>625207</v>
      </c>
      <c r="N236" s="348">
        <f t="shared" si="69"/>
        <v>0</v>
      </c>
      <c r="O236" s="13"/>
    </row>
    <row r="237" spans="1:15" s="351" customFormat="1" ht="16.2" customHeight="1" x14ac:dyDescent="0.25">
      <c r="A237" s="352" t="s">
        <v>446</v>
      </c>
      <c r="B237" s="353" t="s">
        <v>447</v>
      </c>
      <c r="C237" s="12">
        <v>135000</v>
      </c>
      <c r="D237" s="12">
        <f>ROUND(C237,0)</f>
        <v>135000</v>
      </c>
      <c r="E237" s="348">
        <f t="shared" si="66"/>
        <v>0</v>
      </c>
      <c r="F237" s="13"/>
      <c r="G237" s="261">
        <f>ROUND(D237,0)</f>
        <v>135000</v>
      </c>
      <c r="H237" s="348">
        <f t="shared" si="67"/>
        <v>0</v>
      </c>
      <c r="I237" s="13"/>
      <c r="J237" s="261">
        <f>ROUND(G237,0)</f>
        <v>135000</v>
      </c>
      <c r="K237" s="348">
        <f t="shared" si="68"/>
        <v>0</v>
      </c>
      <c r="L237" s="13"/>
      <c r="M237" s="261">
        <f>ROUND(J237,0)</f>
        <v>135000</v>
      </c>
      <c r="N237" s="348">
        <f t="shared" si="69"/>
        <v>0</v>
      </c>
      <c r="O237" s="13"/>
    </row>
    <row r="238" spans="1:15" x14ac:dyDescent="0.25">
      <c r="A238" s="323" t="s">
        <v>448</v>
      </c>
      <c r="B238" s="299" t="s">
        <v>449</v>
      </c>
      <c r="C238" s="12">
        <v>1377792</v>
      </c>
      <c r="D238" s="12">
        <f>ROUND(C238,0)</f>
        <v>1377792</v>
      </c>
      <c r="E238" s="348">
        <f t="shared" si="66"/>
        <v>0</v>
      </c>
      <c r="F238" s="13"/>
      <c r="G238" s="261">
        <f>ROUND(D238,0)</f>
        <v>1377792</v>
      </c>
      <c r="H238" s="348">
        <f t="shared" si="67"/>
        <v>0</v>
      </c>
      <c r="I238" s="13"/>
      <c r="J238" s="261">
        <f>ROUND(G238,0)</f>
        <v>1377792</v>
      </c>
      <c r="K238" s="348">
        <f t="shared" si="68"/>
        <v>0</v>
      </c>
      <c r="L238" s="13"/>
      <c r="M238" s="261">
        <f>ROUND(J238,0)</f>
        <v>1377792</v>
      </c>
      <c r="N238" s="348">
        <f t="shared" si="69"/>
        <v>0</v>
      </c>
      <c r="O238" s="13"/>
    </row>
    <row r="239" spans="1:15" s="311" customFormat="1" ht="15.75" customHeight="1" x14ac:dyDescent="0.25">
      <c r="A239" s="350" t="s">
        <v>450</v>
      </c>
      <c r="B239" s="325" t="s">
        <v>451</v>
      </c>
      <c r="C239" s="50">
        <v>1977338.5930570001</v>
      </c>
      <c r="D239" s="50">
        <f t="shared" ref="D239" si="79">D240+D241+D242+D243+D244+D245+D246</f>
        <v>1974553</v>
      </c>
      <c r="E239" s="326">
        <f t="shared" si="66"/>
        <v>-2785.5930570000783</v>
      </c>
      <c r="F239" s="56"/>
      <c r="G239" s="326">
        <f>G240+G241+G242+G243+G244+G245+G246</f>
        <v>1979553</v>
      </c>
      <c r="H239" s="326">
        <f t="shared" si="67"/>
        <v>5000</v>
      </c>
      <c r="I239" s="56"/>
      <c r="J239" s="326">
        <f>J240+J241+J242+J243+J244+J245+J246</f>
        <v>1990205</v>
      </c>
      <c r="K239" s="326">
        <f t="shared" si="68"/>
        <v>10652</v>
      </c>
      <c r="L239" s="56"/>
      <c r="M239" s="326">
        <f>M240+M241+M242+M243+M244+M245+M246</f>
        <v>1990205</v>
      </c>
      <c r="N239" s="326">
        <f t="shared" si="69"/>
        <v>0</v>
      </c>
      <c r="O239" s="56"/>
    </row>
    <row r="240" spans="1:15" s="258" customFormat="1" ht="17.25" customHeight="1" x14ac:dyDescent="0.25">
      <c r="A240" s="323" t="s">
        <v>452</v>
      </c>
      <c r="B240" s="299" t="s">
        <v>422</v>
      </c>
      <c r="C240" s="12">
        <v>926167</v>
      </c>
      <c r="D240" s="12">
        <f>ROUND(C240,0)</f>
        <v>926167</v>
      </c>
      <c r="E240" s="261">
        <f t="shared" si="66"/>
        <v>0</v>
      </c>
      <c r="F240" s="20"/>
      <c r="G240" s="261">
        <f>ROUND(D240,0)</f>
        <v>926167</v>
      </c>
      <c r="H240" s="261">
        <f t="shared" si="67"/>
        <v>0</v>
      </c>
      <c r="I240" s="20"/>
      <c r="J240" s="261">
        <f>ROUND(G240,0)+10652</f>
        <v>936819</v>
      </c>
      <c r="K240" s="261">
        <f t="shared" si="68"/>
        <v>10652</v>
      </c>
      <c r="L240" s="20" t="s">
        <v>103</v>
      </c>
      <c r="M240" s="261">
        <f>ROUND(J240,0)</f>
        <v>936819</v>
      </c>
      <c r="N240" s="261">
        <f t="shared" si="69"/>
        <v>0</v>
      </c>
      <c r="O240" s="20"/>
    </row>
    <row r="241" spans="1:15" s="258" customFormat="1" x14ac:dyDescent="0.25">
      <c r="A241" s="323" t="s">
        <v>453</v>
      </c>
      <c r="B241" s="299" t="s">
        <v>454</v>
      </c>
      <c r="C241" s="12">
        <v>74869</v>
      </c>
      <c r="D241" s="12">
        <f>ROUND(C241,0)</f>
        <v>74869</v>
      </c>
      <c r="E241" s="261">
        <f t="shared" si="66"/>
        <v>0</v>
      </c>
      <c r="F241" s="20"/>
      <c r="G241" s="261">
        <f>ROUND(D241,0)</f>
        <v>74869</v>
      </c>
      <c r="H241" s="261">
        <f t="shared" si="67"/>
        <v>0</v>
      </c>
      <c r="I241" s="20"/>
      <c r="J241" s="261">
        <f t="shared" ref="J241:J247" si="80">ROUND(G241,0)</f>
        <v>74869</v>
      </c>
      <c r="K241" s="261">
        <f t="shared" si="68"/>
        <v>0</v>
      </c>
      <c r="L241" s="20"/>
      <c r="M241" s="261">
        <f t="shared" ref="M241:M246" si="81">ROUND(J241,0)</f>
        <v>74869</v>
      </c>
      <c r="N241" s="261">
        <f t="shared" si="69"/>
        <v>0</v>
      </c>
      <c r="O241" s="20"/>
    </row>
    <row r="242" spans="1:15" s="258" customFormat="1" ht="17.25" customHeight="1" x14ac:dyDescent="0.25">
      <c r="A242" s="323" t="s">
        <v>455</v>
      </c>
      <c r="B242" s="299" t="s">
        <v>424</v>
      </c>
      <c r="C242" s="12">
        <v>682154.59305699996</v>
      </c>
      <c r="D242" s="12">
        <f t="shared" ref="D242:D247" si="82">ROUND(C242,0)</f>
        <v>682155</v>
      </c>
      <c r="E242" s="261">
        <f t="shared" si="66"/>
        <v>0.40694300003815442</v>
      </c>
      <c r="F242" s="20"/>
      <c r="G242" s="261">
        <f>ROUND(D242,0)</f>
        <v>682155</v>
      </c>
      <c r="H242" s="261">
        <f t="shared" si="67"/>
        <v>0</v>
      </c>
      <c r="I242" s="20"/>
      <c r="J242" s="261">
        <f t="shared" si="80"/>
        <v>682155</v>
      </c>
      <c r="K242" s="261">
        <f t="shared" si="68"/>
        <v>0</v>
      </c>
      <c r="L242" s="20"/>
      <c r="M242" s="261">
        <f t="shared" si="81"/>
        <v>682155</v>
      </c>
      <c r="N242" s="261">
        <f t="shared" si="69"/>
        <v>0</v>
      </c>
      <c r="O242" s="20"/>
    </row>
    <row r="243" spans="1:15" s="258" customFormat="1" ht="17.25" customHeight="1" x14ac:dyDescent="0.25">
      <c r="A243" s="323" t="s">
        <v>456</v>
      </c>
      <c r="B243" s="299" t="s">
        <v>435</v>
      </c>
      <c r="C243" s="12">
        <v>241081</v>
      </c>
      <c r="D243" s="12">
        <f t="shared" si="82"/>
        <v>241081</v>
      </c>
      <c r="E243" s="261">
        <f t="shared" si="66"/>
        <v>0</v>
      </c>
      <c r="F243" s="20"/>
      <c r="G243" s="261">
        <f>ROUND(D243,0)</f>
        <v>241081</v>
      </c>
      <c r="H243" s="261">
        <f t="shared" si="67"/>
        <v>0</v>
      </c>
      <c r="I243" s="20"/>
      <c r="J243" s="261">
        <f t="shared" si="80"/>
        <v>241081</v>
      </c>
      <c r="K243" s="261">
        <f t="shared" si="68"/>
        <v>0</v>
      </c>
      <c r="L243" s="20"/>
      <c r="M243" s="261">
        <f t="shared" si="81"/>
        <v>241081</v>
      </c>
      <c r="N243" s="261">
        <f t="shared" si="69"/>
        <v>0</v>
      </c>
      <c r="O243" s="20"/>
    </row>
    <row r="244" spans="1:15" s="258" customFormat="1" ht="16.95" customHeight="1" x14ac:dyDescent="0.25">
      <c r="A244" s="323" t="s">
        <v>457</v>
      </c>
      <c r="B244" s="299" t="s">
        <v>458</v>
      </c>
      <c r="C244" s="12">
        <v>6454</v>
      </c>
      <c r="D244" s="12">
        <f>ROUND(C244,0)-2786</f>
        <v>3668</v>
      </c>
      <c r="E244" s="261">
        <f t="shared" si="66"/>
        <v>-2786</v>
      </c>
      <c r="F244" s="13" t="s">
        <v>118</v>
      </c>
      <c r="G244" s="261">
        <f>ROUND(D244,0)</f>
        <v>3668</v>
      </c>
      <c r="H244" s="261">
        <f t="shared" si="67"/>
        <v>0</v>
      </c>
      <c r="I244" s="13"/>
      <c r="J244" s="261">
        <f t="shared" si="80"/>
        <v>3668</v>
      </c>
      <c r="K244" s="261">
        <f t="shared" si="68"/>
        <v>0</v>
      </c>
      <c r="L244" s="13"/>
      <c r="M244" s="261">
        <f t="shared" si="81"/>
        <v>3668</v>
      </c>
      <c r="N244" s="261">
        <f t="shared" si="69"/>
        <v>0</v>
      </c>
      <c r="O244" s="13"/>
    </row>
    <row r="245" spans="1:15" s="311" customFormat="1" ht="13.8" customHeight="1" x14ac:dyDescent="0.25">
      <c r="A245" s="323" t="s">
        <v>459</v>
      </c>
      <c r="B245" s="299" t="s">
        <v>460</v>
      </c>
      <c r="C245" s="12">
        <v>46613</v>
      </c>
      <c r="D245" s="12">
        <f t="shared" si="82"/>
        <v>46613</v>
      </c>
      <c r="E245" s="261">
        <f t="shared" si="66"/>
        <v>0</v>
      </c>
      <c r="F245" s="13"/>
      <c r="G245" s="261">
        <f>ROUND(D245,0)+5000</f>
        <v>51613</v>
      </c>
      <c r="H245" s="261">
        <f t="shared" si="67"/>
        <v>5000</v>
      </c>
      <c r="I245" s="29" t="s">
        <v>171</v>
      </c>
      <c r="J245" s="261">
        <f t="shared" si="80"/>
        <v>51613</v>
      </c>
      <c r="K245" s="261">
        <f t="shared" si="68"/>
        <v>0</v>
      </c>
      <c r="L245" s="29"/>
      <c r="M245" s="261">
        <f t="shared" si="81"/>
        <v>51613</v>
      </c>
      <c r="N245" s="261">
        <f t="shared" si="69"/>
        <v>0</v>
      </c>
      <c r="O245" s="29"/>
    </row>
    <row r="246" spans="1:15" s="311" customFormat="1" ht="15" customHeight="1" x14ac:dyDescent="0.25">
      <c r="A246" s="323" t="s">
        <v>461</v>
      </c>
      <c r="B246" s="299" t="s">
        <v>462</v>
      </c>
      <c r="C246" s="12">
        <v>0</v>
      </c>
      <c r="D246" s="12">
        <f t="shared" si="82"/>
        <v>0</v>
      </c>
      <c r="E246" s="261">
        <f t="shared" si="66"/>
        <v>0</v>
      </c>
      <c r="F246" s="13"/>
      <c r="G246" s="261">
        <f>ROUND(D246,0)</f>
        <v>0</v>
      </c>
      <c r="H246" s="261">
        <f t="shared" si="67"/>
        <v>0</v>
      </c>
      <c r="I246" s="13"/>
      <c r="J246" s="261">
        <f t="shared" si="80"/>
        <v>0</v>
      </c>
      <c r="K246" s="261">
        <f t="shared" si="68"/>
        <v>0</v>
      </c>
      <c r="L246" s="13"/>
      <c r="M246" s="261">
        <f t="shared" si="81"/>
        <v>0</v>
      </c>
      <c r="N246" s="261">
        <f t="shared" si="69"/>
        <v>0</v>
      </c>
      <c r="O246" s="13"/>
    </row>
    <row r="247" spans="1:15" s="258" customFormat="1" ht="18" customHeight="1" x14ac:dyDescent="0.25">
      <c r="A247" s="350" t="s">
        <v>463</v>
      </c>
      <c r="B247" s="325" t="s">
        <v>238</v>
      </c>
      <c r="C247" s="50">
        <v>836633.39</v>
      </c>
      <c r="D247" s="50">
        <f t="shared" si="82"/>
        <v>836633</v>
      </c>
      <c r="E247" s="326">
        <f>D247-C247</f>
        <v>-0.39000000001396984</v>
      </c>
      <c r="F247" s="27"/>
      <c r="G247" s="326">
        <f>ROUND(D247,0)</f>
        <v>836633</v>
      </c>
      <c r="H247" s="326">
        <f t="shared" si="67"/>
        <v>0</v>
      </c>
      <c r="I247" s="27"/>
      <c r="J247" s="326">
        <f t="shared" si="80"/>
        <v>836633</v>
      </c>
      <c r="K247" s="326">
        <f t="shared" si="68"/>
        <v>0</v>
      </c>
      <c r="L247" s="27"/>
      <c r="M247" s="326">
        <f>ROUND(J247,0)</f>
        <v>836633</v>
      </c>
      <c r="N247" s="326">
        <f t="shared" si="69"/>
        <v>0</v>
      </c>
      <c r="O247" s="27"/>
    </row>
    <row r="248" spans="1:15" s="258" customFormat="1" ht="15.75" customHeight="1" x14ac:dyDescent="0.25">
      <c r="A248" s="350" t="s">
        <v>464</v>
      </c>
      <c r="B248" s="325" t="s">
        <v>465</v>
      </c>
      <c r="C248" s="50">
        <v>7240446.2743386505</v>
      </c>
      <c r="D248" s="50">
        <f>D249+D250+D251+D252+D253+D254+D255+D256</f>
        <v>7249299</v>
      </c>
      <c r="E248" s="326">
        <f t="shared" si="66"/>
        <v>8852.7256613494828</v>
      </c>
      <c r="F248" s="27"/>
      <c r="G248" s="326">
        <f>G249+G250+G251+G252+G253+G254+G255+G256</f>
        <v>7335799</v>
      </c>
      <c r="H248" s="326">
        <f t="shared" si="67"/>
        <v>86500</v>
      </c>
      <c r="I248" s="27"/>
      <c r="J248" s="326">
        <f>J249+J250+J251+J252+J253+J254+J255+J256</f>
        <v>7378123</v>
      </c>
      <c r="K248" s="326">
        <f t="shared" si="68"/>
        <v>42324</v>
      </c>
      <c r="L248" s="27"/>
      <c r="M248" s="326">
        <f>M249+M250+M251+M252+M253+M254+M255+M256</f>
        <v>7378123</v>
      </c>
      <c r="N248" s="326">
        <f t="shared" si="69"/>
        <v>0</v>
      </c>
      <c r="O248" s="27"/>
    </row>
    <row r="249" spans="1:15" s="258" customFormat="1" ht="17.25" customHeight="1" x14ac:dyDescent="0.25">
      <c r="A249" s="323" t="s">
        <v>466</v>
      </c>
      <c r="B249" s="299" t="s">
        <v>422</v>
      </c>
      <c r="C249" s="12">
        <v>3750643</v>
      </c>
      <c r="D249" s="12">
        <f>ROUND(C249,0)</f>
        <v>3750643</v>
      </c>
      <c r="E249" s="261">
        <f t="shared" si="66"/>
        <v>0</v>
      </c>
      <c r="F249" s="20"/>
      <c r="G249" s="261">
        <f t="shared" ref="G249:G255" si="83">ROUND(D249,0)</f>
        <v>3750643</v>
      </c>
      <c r="H249" s="261">
        <f t="shared" si="67"/>
        <v>0</v>
      </c>
      <c r="I249" s="20"/>
      <c r="J249" s="261">
        <f>ROUND(G249,0)+41084</f>
        <v>3791727</v>
      </c>
      <c r="K249" s="261">
        <f t="shared" si="68"/>
        <v>41084</v>
      </c>
      <c r="L249" s="20" t="s">
        <v>103</v>
      </c>
      <c r="M249" s="261">
        <f>ROUND(J249,0)</f>
        <v>3791727</v>
      </c>
      <c r="N249" s="261">
        <f t="shared" si="69"/>
        <v>0</v>
      </c>
      <c r="O249" s="20"/>
    </row>
    <row r="250" spans="1:15" s="258" customFormat="1" ht="18" customHeight="1" x14ac:dyDescent="0.25">
      <c r="A250" s="323" t="s">
        <v>467</v>
      </c>
      <c r="B250" s="299" t="s">
        <v>424</v>
      </c>
      <c r="C250" s="12">
        <v>1425817.7494320502</v>
      </c>
      <c r="D250" s="12">
        <f>ROUND(C250,0)+10864</f>
        <v>1436682</v>
      </c>
      <c r="E250" s="261">
        <f t="shared" si="66"/>
        <v>10864.250567949843</v>
      </c>
      <c r="F250" s="20" t="s">
        <v>468</v>
      </c>
      <c r="G250" s="261">
        <f>ROUND(D250,0)+43000</f>
        <v>1479682</v>
      </c>
      <c r="H250" s="262">
        <f t="shared" si="67"/>
        <v>43000</v>
      </c>
      <c r="I250" s="21" t="s">
        <v>469</v>
      </c>
      <c r="J250" s="261">
        <f t="shared" ref="J250:J255" si="84">ROUND(G250,0)</f>
        <v>1479682</v>
      </c>
      <c r="K250" s="261">
        <f t="shared" si="68"/>
        <v>0</v>
      </c>
      <c r="L250" s="20"/>
      <c r="M250" s="261">
        <f t="shared" ref="M250:M255" si="85">ROUND(J250,0)</f>
        <v>1479682</v>
      </c>
      <c r="N250" s="261">
        <f t="shared" si="69"/>
        <v>0</v>
      </c>
      <c r="O250" s="20"/>
    </row>
    <row r="251" spans="1:15" s="258" customFormat="1" ht="17.399999999999999" customHeight="1" x14ac:dyDescent="0.25">
      <c r="A251" s="323" t="s">
        <v>470</v>
      </c>
      <c r="B251" s="299" t="s">
        <v>460</v>
      </c>
      <c r="C251" s="12">
        <v>250373</v>
      </c>
      <c r="D251" s="12">
        <f>ROUND(C251,0)</f>
        <v>250373</v>
      </c>
      <c r="E251" s="261">
        <f t="shared" si="66"/>
        <v>0</v>
      </c>
      <c r="F251" s="13"/>
      <c r="G251" s="261">
        <f t="shared" si="83"/>
        <v>250373</v>
      </c>
      <c r="H251" s="261">
        <f t="shared" si="67"/>
        <v>0</v>
      </c>
      <c r="I251" s="13"/>
      <c r="J251" s="261">
        <f t="shared" si="84"/>
        <v>250373</v>
      </c>
      <c r="K251" s="261">
        <f t="shared" si="68"/>
        <v>0</v>
      </c>
      <c r="L251" s="13"/>
      <c r="M251" s="261">
        <f t="shared" si="85"/>
        <v>250373</v>
      </c>
      <c r="N251" s="261">
        <f t="shared" si="69"/>
        <v>0</v>
      </c>
      <c r="O251" s="13"/>
    </row>
    <row r="252" spans="1:15" s="258" customFormat="1" ht="16.2" customHeight="1" x14ac:dyDescent="0.25">
      <c r="A252" s="323" t="s">
        <v>471</v>
      </c>
      <c r="B252" s="299" t="s">
        <v>458</v>
      </c>
      <c r="C252" s="12">
        <v>16158</v>
      </c>
      <c r="D252" s="12">
        <f>ROUND(C252,0)-2011</f>
        <v>14147</v>
      </c>
      <c r="E252" s="261">
        <f t="shared" si="66"/>
        <v>-2011</v>
      </c>
      <c r="F252" s="13" t="s">
        <v>118</v>
      </c>
      <c r="G252" s="261">
        <f t="shared" si="83"/>
        <v>14147</v>
      </c>
      <c r="H252" s="261">
        <f t="shared" si="67"/>
        <v>0</v>
      </c>
      <c r="I252" s="13"/>
      <c r="J252" s="261">
        <f t="shared" si="84"/>
        <v>14147</v>
      </c>
      <c r="K252" s="261">
        <f t="shared" si="68"/>
        <v>0</v>
      </c>
      <c r="L252" s="13"/>
      <c r="M252" s="261">
        <f t="shared" si="85"/>
        <v>14147</v>
      </c>
      <c r="N252" s="261">
        <f t="shared" si="69"/>
        <v>0</v>
      </c>
      <c r="O252" s="13"/>
    </row>
    <row r="253" spans="1:15" s="354" customFormat="1" ht="42.6" customHeight="1" x14ac:dyDescent="0.25">
      <c r="A253" s="323" t="s">
        <v>472</v>
      </c>
      <c r="B253" s="299" t="s">
        <v>240</v>
      </c>
      <c r="C253" s="12">
        <v>390000</v>
      </c>
      <c r="D253" s="12">
        <f>ROUND(C253,0)</f>
        <v>390000</v>
      </c>
      <c r="E253" s="261">
        <f t="shared" si="66"/>
        <v>0</v>
      </c>
      <c r="F253" s="20"/>
      <c r="G253" s="261">
        <f>ROUND(D253,0)+43500</f>
        <v>433500</v>
      </c>
      <c r="H253" s="262">
        <f t="shared" si="67"/>
        <v>43500</v>
      </c>
      <c r="I253" s="21" t="s">
        <v>473</v>
      </c>
      <c r="J253" s="261">
        <f t="shared" si="84"/>
        <v>433500</v>
      </c>
      <c r="K253" s="261">
        <f t="shared" si="68"/>
        <v>0</v>
      </c>
      <c r="L253" s="20"/>
      <c r="M253" s="261">
        <f t="shared" si="85"/>
        <v>433500</v>
      </c>
      <c r="N253" s="261">
        <f t="shared" si="69"/>
        <v>0</v>
      </c>
      <c r="O253" s="20"/>
    </row>
    <row r="254" spans="1:15" s="354" customFormat="1" ht="19.2" customHeight="1" x14ac:dyDescent="0.25">
      <c r="A254" s="323" t="s">
        <v>474</v>
      </c>
      <c r="B254" s="299" t="s">
        <v>475</v>
      </c>
      <c r="C254" s="12">
        <v>838367.24456400005</v>
      </c>
      <c r="D254" s="12">
        <f>ROUND(C254,0)</f>
        <v>838367</v>
      </c>
      <c r="E254" s="261">
        <f t="shared" si="66"/>
        <v>-0.24456400005146861</v>
      </c>
      <c r="F254" s="20" t="s">
        <v>476</v>
      </c>
      <c r="G254" s="261">
        <f t="shared" si="83"/>
        <v>838367</v>
      </c>
      <c r="H254" s="261">
        <f t="shared" si="67"/>
        <v>0</v>
      </c>
      <c r="I254" s="20"/>
      <c r="J254" s="261">
        <f t="shared" si="84"/>
        <v>838367</v>
      </c>
      <c r="K254" s="261">
        <f t="shared" si="68"/>
        <v>0</v>
      </c>
      <c r="L254" s="20"/>
      <c r="M254" s="261">
        <f t="shared" si="85"/>
        <v>838367</v>
      </c>
      <c r="N254" s="261">
        <f t="shared" si="69"/>
        <v>0</v>
      </c>
      <c r="O254" s="20"/>
    </row>
    <row r="255" spans="1:15" s="354" customFormat="1" ht="15" customHeight="1" x14ac:dyDescent="0.25">
      <c r="A255" s="323" t="s">
        <v>477</v>
      </c>
      <c r="B255" s="299" t="s">
        <v>478</v>
      </c>
      <c r="C255" s="12">
        <v>173758</v>
      </c>
      <c r="D255" s="12">
        <f>ROUND(C255,0)</f>
        <v>173758</v>
      </c>
      <c r="E255" s="261">
        <f t="shared" si="66"/>
        <v>0</v>
      </c>
      <c r="F255" s="13"/>
      <c r="G255" s="261">
        <f t="shared" si="83"/>
        <v>173758</v>
      </c>
      <c r="H255" s="261">
        <f t="shared" si="67"/>
        <v>0</v>
      </c>
      <c r="I255" s="13"/>
      <c r="J255" s="261">
        <f t="shared" si="84"/>
        <v>173758</v>
      </c>
      <c r="K255" s="261">
        <f t="shared" si="68"/>
        <v>0</v>
      </c>
      <c r="L255" s="13"/>
      <c r="M255" s="261">
        <f t="shared" si="85"/>
        <v>173758</v>
      </c>
      <c r="N255" s="261">
        <f t="shared" si="69"/>
        <v>0</v>
      </c>
      <c r="O255" s="13"/>
    </row>
    <row r="256" spans="1:15" s="358" customFormat="1" ht="13.95" customHeight="1" x14ac:dyDescent="0.25">
      <c r="A256" s="355" t="s">
        <v>479</v>
      </c>
      <c r="B256" s="356" t="s">
        <v>480</v>
      </c>
      <c r="C256" s="68">
        <v>395329.28034260002</v>
      </c>
      <c r="D256" s="68">
        <f t="shared" ref="D256:E256" si="86">D257+D258</f>
        <v>395329</v>
      </c>
      <c r="E256" s="357">
        <f t="shared" si="86"/>
        <v>-0.28034260001732036</v>
      </c>
      <c r="F256" s="357"/>
      <c r="G256" s="357">
        <f>G257+G258</f>
        <v>395329</v>
      </c>
      <c r="H256" s="357">
        <f t="shared" si="67"/>
        <v>0</v>
      </c>
      <c r="I256" s="357"/>
      <c r="J256" s="357">
        <f>J257+J258</f>
        <v>396569</v>
      </c>
      <c r="K256" s="357">
        <f t="shared" si="68"/>
        <v>1240</v>
      </c>
      <c r="L256" s="357"/>
      <c r="M256" s="357">
        <f>M257+M258</f>
        <v>396569</v>
      </c>
      <c r="N256" s="357">
        <f t="shared" si="69"/>
        <v>0</v>
      </c>
      <c r="O256" s="357"/>
    </row>
    <row r="257" spans="1:15" s="354" customFormat="1" ht="12" customHeight="1" x14ac:dyDescent="0.25">
      <c r="A257" s="359" t="s">
        <v>481</v>
      </c>
      <c r="B257" s="299" t="s">
        <v>482</v>
      </c>
      <c r="C257" s="12">
        <v>83788</v>
      </c>
      <c r="D257" s="12">
        <f>ROUND(C257,0)</f>
        <v>83788</v>
      </c>
      <c r="E257" s="261">
        <f t="shared" si="66"/>
        <v>0</v>
      </c>
      <c r="F257" s="20"/>
      <c r="G257" s="261">
        <f>ROUND(D257,0)</f>
        <v>83788</v>
      </c>
      <c r="H257" s="261">
        <f t="shared" si="67"/>
        <v>0</v>
      </c>
      <c r="I257" s="20"/>
      <c r="J257" s="261">
        <f>ROUND(G257,0)+1240</f>
        <v>85028</v>
      </c>
      <c r="K257" s="261">
        <f t="shared" si="68"/>
        <v>1240</v>
      </c>
      <c r="L257" s="20" t="s">
        <v>103</v>
      </c>
      <c r="M257" s="261">
        <f>ROUND(J257,0)</f>
        <v>85028</v>
      </c>
      <c r="N257" s="261">
        <f t="shared" si="69"/>
        <v>0</v>
      </c>
      <c r="O257" s="20"/>
    </row>
    <row r="258" spans="1:15" s="311" customFormat="1" ht="12.6" customHeight="1" x14ac:dyDescent="0.25">
      <c r="A258" s="359" t="s">
        <v>483</v>
      </c>
      <c r="B258" s="299" t="s">
        <v>484</v>
      </c>
      <c r="C258" s="12">
        <v>311541.28034260002</v>
      </c>
      <c r="D258" s="12">
        <f>ROUND(C258,0)</f>
        <v>311541</v>
      </c>
      <c r="E258" s="261">
        <f t="shared" si="66"/>
        <v>-0.28034260001732036</v>
      </c>
      <c r="F258" s="13"/>
      <c r="G258" s="261">
        <f>ROUND(D258,0)</f>
        <v>311541</v>
      </c>
      <c r="H258" s="261">
        <f t="shared" si="67"/>
        <v>0</v>
      </c>
      <c r="I258" s="13"/>
      <c r="J258" s="261">
        <f>ROUND(G258,0)</f>
        <v>311541</v>
      </c>
      <c r="K258" s="261">
        <f t="shared" si="68"/>
        <v>0</v>
      </c>
      <c r="L258" s="13"/>
      <c r="M258" s="261">
        <f>ROUND(J258,0)</f>
        <v>311541</v>
      </c>
      <c r="N258" s="261">
        <f t="shared" si="69"/>
        <v>0</v>
      </c>
      <c r="O258" s="13"/>
    </row>
    <row r="259" spans="1:15" ht="18" customHeight="1" x14ac:dyDescent="0.25">
      <c r="A259" s="350" t="s">
        <v>485</v>
      </c>
      <c r="B259" s="325" t="s">
        <v>486</v>
      </c>
      <c r="C259" s="50">
        <v>1489092.9817770002</v>
      </c>
      <c r="D259" s="50">
        <f t="shared" ref="D259" si="87">D260+D261</f>
        <v>1541382</v>
      </c>
      <c r="E259" s="326">
        <f t="shared" si="66"/>
        <v>52289.018222999759</v>
      </c>
      <c r="F259" s="326"/>
      <c r="G259" s="326">
        <f>G260+G261</f>
        <v>1541382</v>
      </c>
      <c r="H259" s="326">
        <f t="shared" si="67"/>
        <v>0</v>
      </c>
      <c r="I259" s="326"/>
      <c r="J259" s="326">
        <f>J260+J261</f>
        <v>1541382</v>
      </c>
      <c r="K259" s="326">
        <f t="shared" si="68"/>
        <v>0</v>
      </c>
      <c r="L259" s="326"/>
      <c r="M259" s="326">
        <f>M260+M261</f>
        <v>1541382</v>
      </c>
      <c r="N259" s="326">
        <f t="shared" si="69"/>
        <v>0</v>
      </c>
      <c r="O259" s="326"/>
    </row>
    <row r="260" spans="1:15" ht="13.5" customHeight="1" x14ac:dyDescent="0.25">
      <c r="A260" s="323" t="s">
        <v>487</v>
      </c>
      <c r="B260" s="299" t="s">
        <v>488</v>
      </c>
      <c r="C260" s="12">
        <v>593640</v>
      </c>
      <c r="D260" s="12">
        <f>ROUND(C260,0)+52289</f>
        <v>645929</v>
      </c>
      <c r="E260" s="261">
        <f t="shared" si="66"/>
        <v>52289</v>
      </c>
      <c r="F260" s="20" t="s">
        <v>94</v>
      </c>
      <c r="G260" s="261">
        <f>ROUND(D260,0)</f>
        <v>645929</v>
      </c>
      <c r="H260" s="261">
        <f t="shared" si="67"/>
        <v>0</v>
      </c>
      <c r="I260" s="20"/>
      <c r="J260" s="261">
        <f>ROUND(G260,0)</f>
        <v>645929</v>
      </c>
      <c r="K260" s="261">
        <f t="shared" si="68"/>
        <v>0</v>
      </c>
      <c r="L260" s="20"/>
      <c r="M260" s="261">
        <f>ROUND(J260,0)</f>
        <v>645929</v>
      </c>
      <c r="N260" s="261">
        <f t="shared" si="69"/>
        <v>0</v>
      </c>
      <c r="O260" s="20"/>
    </row>
    <row r="261" spans="1:15" ht="28.8" customHeight="1" x14ac:dyDescent="0.25">
      <c r="A261" s="323" t="s">
        <v>489</v>
      </c>
      <c r="B261" s="299" t="s">
        <v>424</v>
      </c>
      <c r="C261" s="12">
        <v>895452.98177700012</v>
      </c>
      <c r="D261" s="12">
        <f>ROUND(C261,0)</f>
        <v>895453</v>
      </c>
      <c r="E261" s="261">
        <f t="shared" ref="E261:E279" si="88">D261-C261</f>
        <v>1.8222999875433743E-2</v>
      </c>
      <c r="F261" s="69"/>
      <c r="G261" s="261">
        <f>ROUND(D261,0)</f>
        <v>895453</v>
      </c>
      <c r="H261" s="261">
        <f t="shared" ref="H261:H279" si="89">G261-D261</f>
        <v>0</v>
      </c>
      <c r="I261" s="69"/>
      <c r="J261" s="261">
        <f>ROUND(G261,0)</f>
        <v>895453</v>
      </c>
      <c r="K261" s="261">
        <f t="shared" ref="K261:K279" si="90">J261-G261</f>
        <v>0</v>
      </c>
      <c r="L261" s="69"/>
      <c r="M261" s="261">
        <f>ROUND(J261,0)</f>
        <v>895453</v>
      </c>
      <c r="N261" s="261">
        <f t="shared" ref="N261:N279" si="91">M261-J261</f>
        <v>0</v>
      </c>
      <c r="O261" s="69"/>
    </row>
    <row r="262" spans="1:15" ht="16.2" customHeight="1" x14ac:dyDescent="0.25">
      <c r="A262" s="360" t="s">
        <v>490</v>
      </c>
      <c r="B262" s="325" t="s">
        <v>491</v>
      </c>
      <c r="C262" s="50">
        <v>643256.80554049998</v>
      </c>
      <c r="D262" s="50">
        <f>D263+D264</f>
        <v>643257</v>
      </c>
      <c r="E262" s="326">
        <f t="shared" si="88"/>
        <v>0.19445950002409518</v>
      </c>
      <c r="F262" s="56"/>
      <c r="G262" s="326">
        <f>G263+G264</f>
        <v>643257</v>
      </c>
      <c r="H262" s="326">
        <f t="shared" si="89"/>
        <v>0</v>
      </c>
      <c r="I262" s="56"/>
      <c r="J262" s="326">
        <f>J263+J264</f>
        <v>643257</v>
      </c>
      <c r="K262" s="326">
        <f t="shared" si="90"/>
        <v>0</v>
      </c>
      <c r="L262" s="56"/>
      <c r="M262" s="326">
        <f>M263+M264</f>
        <v>643257</v>
      </c>
      <c r="N262" s="326">
        <f t="shared" si="91"/>
        <v>0</v>
      </c>
      <c r="O262" s="56"/>
    </row>
    <row r="263" spans="1:15" ht="16.5" customHeight="1" x14ac:dyDescent="0.25">
      <c r="A263" s="323" t="s">
        <v>492</v>
      </c>
      <c r="B263" s="299" t="s">
        <v>488</v>
      </c>
      <c r="C263" s="12">
        <v>299308</v>
      </c>
      <c r="D263" s="12">
        <f t="shared" ref="D263:D269" si="92">ROUND(C263,0)</f>
        <v>299308</v>
      </c>
      <c r="E263" s="261">
        <f t="shared" si="88"/>
        <v>0</v>
      </c>
      <c r="F263" s="13"/>
      <c r="G263" s="261">
        <f t="shared" ref="G263:G269" si="93">ROUND(D263,0)</f>
        <v>299308</v>
      </c>
      <c r="H263" s="261">
        <f t="shared" si="89"/>
        <v>0</v>
      </c>
      <c r="I263" s="13"/>
      <c r="J263" s="261">
        <f t="shared" ref="J263:J269" si="94">ROUND(G263,0)</f>
        <v>299308</v>
      </c>
      <c r="K263" s="261">
        <f t="shared" si="90"/>
        <v>0</v>
      </c>
      <c r="L263" s="13"/>
      <c r="M263" s="261">
        <f t="shared" ref="M263:M269" si="95">ROUND(J263,0)</f>
        <v>299308</v>
      </c>
      <c r="N263" s="261">
        <f t="shared" si="91"/>
        <v>0</v>
      </c>
      <c r="O263" s="13"/>
    </row>
    <row r="264" spans="1:15" ht="16.5" customHeight="1" x14ac:dyDescent="0.25">
      <c r="A264" s="323" t="s">
        <v>493</v>
      </c>
      <c r="B264" s="299" t="s">
        <v>494</v>
      </c>
      <c r="C264" s="12">
        <v>343948.80554049998</v>
      </c>
      <c r="D264" s="12">
        <f t="shared" si="92"/>
        <v>343949</v>
      </c>
      <c r="E264" s="261">
        <f t="shared" si="88"/>
        <v>0.19445950002409518</v>
      </c>
      <c r="F264" s="20"/>
      <c r="G264" s="261">
        <f t="shared" si="93"/>
        <v>343949</v>
      </c>
      <c r="H264" s="261">
        <f t="shared" si="89"/>
        <v>0</v>
      </c>
      <c r="I264" s="20"/>
      <c r="J264" s="261">
        <f t="shared" si="94"/>
        <v>343949</v>
      </c>
      <c r="K264" s="261">
        <f t="shared" si="90"/>
        <v>0</v>
      </c>
      <c r="L264" s="20"/>
      <c r="M264" s="261">
        <f t="shared" si="95"/>
        <v>343949</v>
      </c>
      <c r="N264" s="261">
        <f t="shared" si="91"/>
        <v>0</v>
      </c>
      <c r="O264" s="20"/>
    </row>
    <row r="265" spans="1:15" ht="46.2" customHeight="1" x14ac:dyDescent="0.25">
      <c r="A265" s="360" t="s">
        <v>495</v>
      </c>
      <c r="B265" s="325" t="s">
        <v>496</v>
      </c>
      <c r="C265" s="26">
        <v>316025.5193245</v>
      </c>
      <c r="D265" s="26">
        <f t="shared" si="92"/>
        <v>316026</v>
      </c>
      <c r="E265" s="272">
        <f t="shared" si="88"/>
        <v>0.48067550000268966</v>
      </c>
      <c r="F265" s="27"/>
      <c r="G265" s="272">
        <f t="shared" si="93"/>
        <v>316026</v>
      </c>
      <c r="H265" s="272">
        <f t="shared" si="89"/>
        <v>0</v>
      </c>
      <c r="I265" s="27"/>
      <c r="J265" s="272">
        <f t="shared" si="94"/>
        <v>316026</v>
      </c>
      <c r="K265" s="272">
        <f t="shared" si="90"/>
        <v>0</v>
      </c>
      <c r="L265" s="27"/>
      <c r="M265" s="272">
        <f>ROUND(J265,0)+9820</f>
        <v>325846</v>
      </c>
      <c r="N265" s="272">
        <f t="shared" si="91"/>
        <v>9820</v>
      </c>
      <c r="O265" s="27" t="s">
        <v>387</v>
      </c>
    </row>
    <row r="266" spans="1:15" ht="32.4" customHeight="1" x14ac:dyDescent="0.25">
      <c r="A266" s="360" t="s">
        <v>497</v>
      </c>
      <c r="B266" s="325" t="s">
        <v>498</v>
      </c>
      <c r="C266" s="26">
        <v>3000</v>
      </c>
      <c r="D266" s="26">
        <f t="shared" si="92"/>
        <v>3000</v>
      </c>
      <c r="E266" s="272"/>
      <c r="F266" s="27"/>
      <c r="G266" s="272">
        <f t="shared" si="93"/>
        <v>3000</v>
      </c>
      <c r="H266" s="272">
        <f t="shared" si="89"/>
        <v>0</v>
      </c>
      <c r="I266" s="27"/>
      <c r="J266" s="272">
        <f t="shared" si="94"/>
        <v>3000</v>
      </c>
      <c r="K266" s="272">
        <f t="shared" si="90"/>
        <v>0</v>
      </c>
      <c r="L266" s="27"/>
      <c r="M266" s="272">
        <f t="shared" si="95"/>
        <v>3000</v>
      </c>
      <c r="N266" s="272">
        <f t="shared" si="91"/>
        <v>0</v>
      </c>
      <c r="O266" s="27"/>
    </row>
    <row r="267" spans="1:15" ht="31.8" customHeight="1" x14ac:dyDescent="0.25">
      <c r="A267" s="360" t="s">
        <v>499</v>
      </c>
      <c r="B267" s="325" t="s">
        <v>500</v>
      </c>
      <c r="C267" s="26">
        <v>16292</v>
      </c>
      <c r="D267" s="26">
        <f t="shared" si="92"/>
        <v>16292</v>
      </c>
      <c r="E267" s="272">
        <f t="shared" si="88"/>
        <v>0</v>
      </c>
      <c r="F267" s="27"/>
      <c r="G267" s="272">
        <f t="shared" si="93"/>
        <v>16292</v>
      </c>
      <c r="H267" s="272">
        <f t="shared" si="89"/>
        <v>0</v>
      </c>
      <c r="I267" s="27"/>
      <c r="J267" s="272">
        <f t="shared" si="94"/>
        <v>16292</v>
      </c>
      <c r="K267" s="272">
        <f t="shared" si="90"/>
        <v>0</v>
      </c>
      <c r="L267" s="27"/>
      <c r="M267" s="272">
        <f t="shared" si="95"/>
        <v>16292</v>
      </c>
      <c r="N267" s="272">
        <f t="shared" si="91"/>
        <v>0</v>
      </c>
      <c r="O267" s="27"/>
    </row>
    <row r="268" spans="1:15" ht="27" customHeight="1" x14ac:dyDescent="0.25">
      <c r="A268" s="360" t="s">
        <v>501</v>
      </c>
      <c r="B268" s="325" t="s">
        <v>162</v>
      </c>
      <c r="C268" s="26">
        <v>1049</v>
      </c>
      <c r="D268" s="26">
        <f t="shared" si="92"/>
        <v>1049</v>
      </c>
      <c r="E268" s="272">
        <f t="shared" si="88"/>
        <v>0</v>
      </c>
      <c r="F268" s="27"/>
      <c r="G268" s="272">
        <f t="shared" si="93"/>
        <v>1049</v>
      </c>
      <c r="H268" s="272">
        <f t="shared" si="89"/>
        <v>0</v>
      </c>
      <c r="I268" s="27"/>
      <c r="J268" s="272">
        <f t="shared" si="94"/>
        <v>1049</v>
      </c>
      <c r="K268" s="272">
        <f t="shared" si="90"/>
        <v>0</v>
      </c>
      <c r="L268" s="27"/>
      <c r="M268" s="272">
        <f t="shared" si="95"/>
        <v>1049</v>
      </c>
      <c r="N268" s="272">
        <f t="shared" si="91"/>
        <v>0</v>
      </c>
      <c r="O268" s="27"/>
    </row>
    <row r="269" spans="1:15" ht="57.6" customHeight="1" x14ac:dyDescent="0.25">
      <c r="A269" s="360" t="s">
        <v>502</v>
      </c>
      <c r="B269" s="325" t="s">
        <v>503</v>
      </c>
      <c r="C269" s="26">
        <v>7000</v>
      </c>
      <c r="D269" s="26">
        <f t="shared" si="92"/>
        <v>7000</v>
      </c>
      <c r="E269" s="272">
        <f t="shared" si="88"/>
        <v>0</v>
      </c>
      <c r="F269" s="27"/>
      <c r="G269" s="272">
        <f t="shared" si="93"/>
        <v>7000</v>
      </c>
      <c r="H269" s="272">
        <f t="shared" si="89"/>
        <v>0</v>
      </c>
      <c r="I269" s="27"/>
      <c r="J269" s="272">
        <f t="shared" si="94"/>
        <v>7000</v>
      </c>
      <c r="K269" s="272">
        <f t="shared" si="90"/>
        <v>0</v>
      </c>
      <c r="L269" s="27"/>
      <c r="M269" s="272">
        <f t="shared" si="95"/>
        <v>7000</v>
      </c>
      <c r="N269" s="272">
        <f t="shared" si="91"/>
        <v>0</v>
      </c>
      <c r="O269" s="27"/>
    </row>
    <row r="270" spans="1:15" ht="27" customHeight="1" x14ac:dyDescent="0.25">
      <c r="A270" s="350" t="s">
        <v>504</v>
      </c>
      <c r="B270" s="325" t="s">
        <v>152</v>
      </c>
      <c r="C270" s="65">
        <v>106243</v>
      </c>
      <c r="D270" s="65">
        <f>D271+D272</f>
        <v>106243</v>
      </c>
      <c r="E270" s="272">
        <f t="shared" si="88"/>
        <v>0</v>
      </c>
      <c r="F270" s="27"/>
      <c r="G270" s="344">
        <f>G271+G272</f>
        <v>106243</v>
      </c>
      <c r="H270" s="272">
        <f t="shared" si="89"/>
        <v>0</v>
      </c>
      <c r="I270" s="27"/>
      <c r="J270" s="344">
        <f>J271+J272</f>
        <v>106243</v>
      </c>
      <c r="K270" s="272">
        <f t="shared" si="90"/>
        <v>0</v>
      </c>
      <c r="L270" s="27"/>
      <c r="M270" s="344">
        <f>M271+M272</f>
        <v>106243</v>
      </c>
      <c r="N270" s="272">
        <f t="shared" si="91"/>
        <v>0</v>
      </c>
      <c r="O270" s="27"/>
    </row>
    <row r="271" spans="1:15" ht="14.4" customHeight="1" x14ac:dyDescent="0.25">
      <c r="A271" s="323" t="s">
        <v>505</v>
      </c>
      <c r="B271" s="299" t="s">
        <v>506</v>
      </c>
      <c r="C271" s="12">
        <v>70943</v>
      </c>
      <c r="D271" s="12">
        <f>ROUND(C271,0)</f>
        <v>70943</v>
      </c>
      <c r="E271" s="261">
        <f t="shared" si="88"/>
        <v>0</v>
      </c>
      <c r="F271" s="20"/>
      <c r="G271" s="261">
        <f>ROUND(D271,0)</f>
        <v>70943</v>
      </c>
      <c r="H271" s="261">
        <f t="shared" si="89"/>
        <v>0</v>
      </c>
      <c r="I271" s="20"/>
      <c r="J271" s="261">
        <f>ROUND(G271,0)</f>
        <v>70943</v>
      </c>
      <c r="K271" s="261">
        <f t="shared" si="90"/>
        <v>0</v>
      </c>
      <c r="L271" s="20"/>
      <c r="M271" s="261">
        <f>ROUND(J271,0)</f>
        <v>70943</v>
      </c>
      <c r="N271" s="261">
        <f t="shared" si="91"/>
        <v>0</v>
      </c>
      <c r="O271" s="20"/>
    </row>
    <row r="272" spans="1:15" s="311" customFormat="1" ht="15" customHeight="1" thickBot="1" x14ac:dyDescent="0.3">
      <c r="A272" s="323" t="s">
        <v>507</v>
      </c>
      <c r="B272" s="299" t="s">
        <v>508</v>
      </c>
      <c r="C272" s="12">
        <v>35300</v>
      </c>
      <c r="D272" s="12">
        <f>ROUND(C272,0)</f>
        <v>35300</v>
      </c>
      <c r="E272" s="261">
        <f t="shared" si="88"/>
        <v>0</v>
      </c>
      <c r="F272" s="20"/>
      <c r="G272" s="261">
        <f>ROUND(D272,0)</f>
        <v>35300</v>
      </c>
      <c r="H272" s="261">
        <f t="shared" si="89"/>
        <v>0</v>
      </c>
      <c r="I272" s="20"/>
      <c r="J272" s="261">
        <f>ROUND(G272,0)</f>
        <v>35300</v>
      </c>
      <c r="K272" s="261">
        <f t="shared" si="90"/>
        <v>0</v>
      </c>
      <c r="L272" s="20"/>
      <c r="M272" s="261">
        <f>ROUND(J272,0)</f>
        <v>35300</v>
      </c>
      <c r="N272" s="261">
        <f t="shared" si="91"/>
        <v>0</v>
      </c>
      <c r="O272" s="20"/>
    </row>
    <row r="273" spans="1:15" s="311" customFormat="1" ht="17.399999999999999" hidden="1" customHeight="1" outlineLevel="1" thickBot="1" x14ac:dyDescent="0.3">
      <c r="A273" s="320" t="s">
        <v>509</v>
      </c>
      <c r="B273" s="321" t="s">
        <v>510</v>
      </c>
      <c r="C273" s="14">
        <v>0</v>
      </c>
      <c r="D273" s="14">
        <f>SUM(D274:D275)</f>
        <v>0</v>
      </c>
      <c r="E273" s="265">
        <f t="shared" si="88"/>
        <v>0</v>
      </c>
      <c r="F273" s="15"/>
      <c r="G273" s="265">
        <f>SUM(G274:G275)</f>
        <v>0</v>
      </c>
      <c r="H273" s="265">
        <f t="shared" si="89"/>
        <v>0</v>
      </c>
      <c r="I273" s="15"/>
      <c r="J273" s="265">
        <f>SUM(J274:J275)</f>
        <v>0</v>
      </c>
      <c r="K273" s="265">
        <f t="shared" si="90"/>
        <v>0</v>
      </c>
      <c r="L273" s="15"/>
      <c r="M273" s="265">
        <f>SUM(M274:M275)</f>
        <v>0</v>
      </c>
      <c r="N273" s="265">
        <f t="shared" si="91"/>
        <v>0</v>
      </c>
      <c r="O273" s="15"/>
    </row>
    <row r="274" spans="1:15" ht="17.25" hidden="1" customHeight="1" outlineLevel="1" thickBot="1" x14ac:dyDescent="0.3">
      <c r="A274" s="317" t="s">
        <v>90</v>
      </c>
      <c r="B274" s="318" t="s">
        <v>511</v>
      </c>
      <c r="C274" s="26"/>
      <c r="D274" s="26"/>
      <c r="E274" s="272">
        <f t="shared" si="88"/>
        <v>0</v>
      </c>
      <c r="F274" s="27"/>
      <c r="G274" s="272"/>
      <c r="H274" s="272">
        <f t="shared" si="89"/>
        <v>0</v>
      </c>
      <c r="I274" s="27"/>
      <c r="J274" s="272"/>
      <c r="K274" s="272">
        <f t="shared" si="90"/>
        <v>0</v>
      </c>
      <c r="L274" s="27"/>
      <c r="M274" s="272"/>
      <c r="N274" s="272">
        <f t="shared" si="91"/>
        <v>0</v>
      </c>
      <c r="O274" s="27"/>
    </row>
    <row r="275" spans="1:15" ht="14.4" hidden="1" outlineLevel="1" thickBot="1" x14ac:dyDescent="0.3">
      <c r="A275" s="317" t="s">
        <v>139</v>
      </c>
      <c r="B275" s="318" t="s">
        <v>512</v>
      </c>
      <c r="C275" s="26"/>
      <c r="D275" s="26"/>
      <c r="E275" s="272">
        <f t="shared" si="88"/>
        <v>0</v>
      </c>
      <c r="F275" s="27"/>
      <c r="G275" s="272"/>
      <c r="H275" s="272">
        <f t="shared" si="89"/>
        <v>0</v>
      </c>
      <c r="I275" s="27"/>
      <c r="J275" s="272"/>
      <c r="K275" s="272">
        <f t="shared" si="90"/>
        <v>0</v>
      </c>
      <c r="L275" s="27"/>
      <c r="M275" s="272"/>
      <c r="N275" s="272">
        <f t="shared" si="91"/>
        <v>0</v>
      </c>
      <c r="O275" s="27"/>
    </row>
    <row r="276" spans="1:15" s="311" customFormat="1" ht="30" customHeight="1" collapsed="1" thickBot="1" x14ac:dyDescent="0.3">
      <c r="A276" s="361"/>
      <c r="B276" s="362" t="s">
        <v>513</v>
      </c>
      <c r="C276" s="70">
        <v>54533532.808720239</v>
      </c>
      <c r="D276" s="70">
        <f>D133+D143+D145+D146+D151+D153+D187+D200+D219+D273+0.5</f>
        <v>54591888.5</v>
      </c>
      <c r="E276" s="363">
        <f t="shared" si="88"/>
        <v>58355.691279761493</v>
      </c>
      <c r="F276" s="71"/>
      <c r="G276" s="363">
        <f>G133+G143+G145+G146+G151+G153+G187+G200+G219+G273+0.5</f>
        <v>55068746.5</v>
      </c>
      <c r="H276" s="363">
        <f t="shared" si="89"/>
        <v>476858</v>
      </c>
      <c r="I276" s="71"/>
      <c r="J276" s="363">
        <f>J133+J143+J145+J146+J151+J153+J187+J200+J219+J273+0.5</f>
        <v>55226538.5</v>
      </c>
      <c r="K276" s="363">
        <f t="shared" si="90"/>
        <v>157792</v>
      </c>
      <c r="L276" s="71"/>
      <c r="M276" s="363">
        <f>M133+M143+M145+M146+M151+M153+M187+M200+M219+M273+0.5</f>
        <v>55294618.5</v>
      </c>
      <c r="N276" s="363">
        <f t="shared" si="91"/>
        <v>68080</v>
      </c>
      <c r="O276" s="71"/>
    </row>
    <row r="277" spans="1:15" s="258" customFormat="1" ht="15.75" customHeight="1" thickBot="1" x14ac:dyDescent="0.3">
      <c r="A277" s="320" t="s">
        <v>184</v>
      </c>
      <c r="B277" s="321" t="s">
        <v>514</v>
      </c>
      <c r="C277" s="14">
        <v>3601890.1379218102</v>
      </c>
      <c r="D277" s="14">
        <f>ROUND(C277,0)</f>
        <v>3601890</v>
      </c>
      <c r="E277" s="265">
        <f t="shared" si="88"/>
        <v>-0.13792181015014648</v>
      </c>
      <c r="F277" s="19"/>
      <c r="G277" s="265">
        <f>ROUND(D277,0)</f>
        <v>3601890</v>
      </c>
      <c r="H277" s="265">
        <f t="shared" si="89"/>
        <v>0</v>
      </c>
      <c r="I277" s="19"/>
      <c r="J277" s="265">
        <f>ROUND(G277,0)</f>
        <v>3601890</v>
      </c>
      <c r="K277" s="265">
        <f t="shared" si="90"/>
        <v>0</v>
      </c>
      <c r="L277" s="19"/>
      <c r="M277" s="265">
        <f>ROUND(J277,0)</f>
        <v>3601890</v>
      </c>
      <c r="N277" s="265">
        <f t="shared" si="91"/>
        <v>0</v>
      </c>
      <c r="O277" s="19"/>
    </row>
    <row r="278" spans="1:15" ht="14.4" thickBot="1" x14ac:dyDescent="0.3">
      <c r="A278" s="361"/>
      <c r="B278" s="362" t="s">
        <v>515</v>
      </c>
      <c r="C278" s="72">
        <v>58135422.946642049</v>
      </c>
      <c r="D278" s="72">
        <f>D276+D277</f>
        <v>58193778.5</v>
      </c>
      <c r="E278" s="364">
        <f t="shared" si="88"/>
        <v>58355.553357951343</v>
      </c>
      <c r="F278" s="73"/>
      <c r="G278" s="364">
        <f>G276+G277</f>
        <v>58670636.5</v>
      </c>
      <c r="H278" s="364">
        <f t="shared" si="89"/>
        <v>476858</v>
      </c>
      <c r="I278" s="73"/>
      <c r="J278" s="364">
        <f>J276+J277</f>
        <v>58828428.5</v>
      </c>
      <c r="K278" s="364">
        <f t="shared" si="90"/>
        <v>157792</v>
      </c>
      <c r="L278" s="73"/>
      <c r="M278" s="364">
        <f>M276+M277</f>
        <v>58896508.5</v>
      </c>
      <c r="N278" s="364">
        <f t="shared" si="91"/>
        <v>68080</v>
      </c>
      <c r="O278" s="73"/>
    </row>
    <row r="279" spans="1:15" ht="15" thickTop="1" thickBot="1" x14ac:dyDescent="0.3">
      <c r="A279" s="365" t="s">
        <v>516</v>
      </c>
      <c r="B279" s="366" t="s">
        <v>517</v>
      </c>
      <c r="C279" s="74">
        <v>26873.285557955503</v>
      </c>
      <c r="D279" s="74">
        <f>D127-D278-0.2</f>
        <v>26873.3</v>
      </c>
      <c r="E279" s="367">
        <f t="shared" si="88"/>
        <v>1.4442044495808659E-2</v>
      </c>
      <c r="F279" s="75"/>
      <c r="G279" s="367">
        <f>G127-G278-0.2</f>
        <v>43996.3</v>
      </c>
      <c r="H279" s="367">
        <f t="shared" si="89"/>
        <v>17123.000000000004</v>
      </c>
      <c r="I279" s="75"/>
      <c r="J279" s="367">
        <f>J127-J278-0.2</f>
        <v>47155.3</v>
      </c>
      <c r="K279" s="367">
        <f t="shared" si="90"/>
        <v>3159</v>
      </c>
      <c r="L279" s="75"/>
      <c r="M279" s="367">
        <f>M127-M278-0.2</f>
        <v>47075.3</v>
      </c>
      <c r="N279" s="367">
        <f t="shared" si="91"/>
        <v>-80</v>
      </c>
      <c r="O279" s="75"/>
    </row>
  </sheetData>
  <mergeCells count="5">
    <mergeCell ref="A130:B130"/>
    <mergeCell ref="A131:B131"/>
    <mergeCell ref="I166:I167"/>
    <mergeCell ref="A2:B2"/>
    <mergeCell ref="A3:B3"/>
  </mergeCells>
  <conditionalFormatting sqref="C279:E279">
    <cfRule type="cellIs" dxfId="3" priority="5" operator="lessThan">
      <formula>0</formula>
    </cfRule>
  </conditionalFormatting>
  <conditionalFormatting sqref="G279:H279">
    <cfRule type="cellIs" dxfId="2" priority="3" operator="lessThan">
      <formula>0</formula>
    </cfRule>
  </conditionalFormatting>
  <conditionalFormatting sqref="J279:K279">
    <cfRule type="cellIs" dxfId="1" priority="2" operator="lessThan">
      <formula>0</formula>
    </cfRule>
  </conditionalFormatting>
  <conditionalFormatting sqref="M279:N279">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799FF-4F2B-4FC2-9D28-282DEDB33485}">
  <sheetPr>
    <pageSetUpPr fitToPage="1"/>
  </sheetPr>
  <dimension ref="A1:AB219"/>
  <sheetViews>
    <sheetView zoomScale="122" zoomScaleNormal="122" workbookViewId="0">
      <pane ySplit="6" topLeftCell="A115" activePane="bottomLeft" state="frozen"/>
      <selection activeCell="A4" sqref="A4"/>
      <selection pane="bottomLeft" activeCell="J118" sqref="J118"/>
    </sheetView>
  </sheetViews>
  <sheetFormatPr defaultColWidth="9.125" defaultRowHeight="13.2" x14ac:dyDescent="0.25"/>
  <cols>
    <col min="1" max="1" width="5.375" style="76" customWidth="1"/>
    <col min="2" max="2" width="26.75" style="78" customWidth="1"/>
    <col min="3" max="3" width="9" style="78" customWidth="1"/>
    <col min="4" max="4" width="9.375" style="78" customWidth="1" collapsed="1"/>
    <col min="5" max="5" width="0.25" style="79" customWidth="1"/>
    <col min="6" max="6" width="9.375" style="80" customWidth="1"/>
    <col min="7" max="7" width="9.375" style="78" customWidth="1"/>
    <col min="8" max="8" width="11" style="81" customWidth="1"/>
    <col min="9" max="9" width="6.25" style="78" customWidth="1"/>
    <col min="10" max="12" width="11.75" style="82" customWidth="1"/>
    <col min="13" max="18" width="11" style="82" customWidth="1"/>
    <col min="19" max="19" width="9.125" style="83"/>
    <col min="20" max="20" width="12.875" style="83" customWidth="1"/>
    <col min="21" max="21" width="14.375" style="78" customWidth="1"/>
    <col min="22" max="16384" width="9.125" style="78"/>
  </cols>
  <sheetData>
    <row r="1" spans="1:28" ht="17.399999999999999" x14ac:dyDescent="0.3">
      <c r="B1" s="77" t="s">
        <v>518</v>
      </c>
    </row>
    <row r="2" spans="1:28" ht="14.4" x14ac:dyDescent="0.3">
      <c r="A2" s="84" t="s">
        <v>519</v>
      </c>
      <c r="B2" s="84"/>
      <c r="H2" s="85"/>
      <c r="I2" s="86"/>
      <c r="Q2" s="87"/>
    </row>
    <row r="3" spans="1:28" ht="14.4" x14ac:dyDescent="0.3">
      <c r="A3" s="84"/>
      <c r="H3" s="85"/>
      <c r="I3" s="86"/>
      <c r="Q3" s="87"/>
    </row>
    <row r="4" spans="1:28" ht="12.75" customHeight="1" x14ac:dyDescent="0.25"/>
    <row r="5" spans="1:28" ht="4.5" customHeight="1" thickBot="1" x14ac:dyDescent="0.3"/>
    <row r="6" spans="1:28" s="95" customFormat="1" ht="36.75" customHeight="1" thickBot="1" x14ac:dyDescent="0.3">
      <c r="A6" s="373" t="s">
        <v>520</v>
      </c>
      <c r="B6" s="374"/>
      <c r="C6" s="88" t="s">
        <v>521</v>
      </c>
      <c r="D6" s="89" t="s">
        <v>522</v>
      </c>
      <c r="E6" s="90" t="s">
        <v>523</v>
      </c>
      <c r="F6" s="89" t="s">
        <v>523</v>
      </c>
      <c r="G6" s="89" t="s">
        <v>524</v>
      </c>
      <c r="H6" s="91" t="s">
        <v>525</v>
      </c>
      <c r="I6" s="92" t="s">
        <v>526</v>
      </c>
      <c r="J6" s="93" t="s">
        <v>527</v>
      </c>
      <c r="K6" s="93" t="s">
        <v>528</v>
      </c>
      <c r="L6" s="93" t="s">
        <v>529</v>
      </c>
      <c r="M6" s="93" t="s">
        <v>530</v>
      </c>
      <c r="N6" s="93" t="s">
        <v>531</v>
      </c>
      <c r="O6" s="93" t="s">
        <v>532</v>
      </c>
      <c r="P6" s="93" t="s">
        <v>533</v>
      </c>
      <c r="Q6" s="93" t="s">
        <v>534</v>
      </c>
      <c r="R6" s="93" t="s">
        <v>535</v>
      </c>
      <c r="S6" s="94"/>
    </row>
    <row r="7" spans="1:28" s="108" customFormat="1" x14ac:dyDescent="0.25">
      <c r="A7" s="96">
        <v>1</v>
      </c>
      <c r="B7" s="97" t="s">
        <v>536</v>
      </c>
      <c r="C7" s="98" t="s">
        <v>537</v>
      </c>
      <c r="D7" s="99" t="s">
        <v>538</v>
      </c>
      <c r="E7" s="100" t="s">
        <v>539</v>
      </c>
      <c r="F7" s="101" t="s">
        <v>540</v>
      </c>
      <c r="G7" s="101" t="s">
        <v>541</v>
      </c>
      <c r="H7" s="102">
        <v>2099988.6170255151</v>
      </c>
      <c r="I7" s="103" t="s">
        <v>542</v>
      </c>
      <c r="J7" s="104">
        <v>97945.803956721895</v>
      </c>
      <c r="K7" s="104">
        <v>97946.803956721895</v>
      </c>
      <c r="L7" s="104">
        <v>97946.803956721895</v>
      </c>
      <c r="M7" s="104">
        <v>97946.803956721895</v>
      </c>
      <c r="N7" s="104">
        <v>97946.803956721895</v>
      </c>
      <c r="O7" s="104">
        <v>97946.803956721895</v>
      </c>
      <c r="P7" s="104">
        <v>97946.803956721895</v>
      </c>
      <c r="Q7" s="104">
        <v>707172.96438950277</v>
      </c>
      <c r="R7" s="104">
        <v>1392799.5920865559</v>
      </c>
      <c r="S7" s="105"/>
      <c r="T7" s="106"/>
      <c r="U7" s="107"/>
    </row>
    <row r="8" spans="1:28" s="118" customFormat="1" ht="13.8" thickBot="1" x14ac:dyDescent="0.3">
      <c r="A8" s="109"/>
      <c r="B8" s="110" t="s">
        <v>543</v>
      </c>
      <c r="C8" s="111"/>
      <c r="D8" s="111"/>
      <c r="E8" s="112"/>
      <c r="F8" s="113"/>
      <c r="G8" s="114"/>
      <c r="H8" s="115"/>
      <c r="I8" s="116" t="s">
        <v>544</v>
      </c>
      <c r="J8" s="117">
        <v>24071.72</v>
      </c>
      <c r="K8" s="117">
        <v>50343.915282487949</v>
      </c>
      <c r="L8" s="117">
        <v>46535.743544650613</v>
      </c>
      <c r="M8" s="117">
        <v>42727.571806813263</v>
      </c>
      <c r="N8" s="117">
        <v>38919.40006897592</v>
      </c>
      <c r="O8" s="117">
        <v>35111.228331138569</v>
      </c>
      <c r="P8" s="117">
        <v>31303.056593301219</v>
      </c>
      <c r="Q8" s="117">
        <v>178716.75156051517</v>
      </c>
      <c r="R8" s="117">
        <v>447729.38718788279</v>
      </c>
      <c r="S8" s="105"/>
      <c r="T8" s="106"/>
      <c r="U8" s="107"/>
    </row>
    <row r="9" spans="1:28" s="108" customFormat="1" x14ac:dyDescent="0.25">
      <c r="A9" s="119">
        <v>2</v>
      </c>
      <c r="B9" s="120" t="s">
        <v>536</v>
      </c>
      <c r="C9" s="98" t="s">
        <v>545</v>
      </c>
      <c r="D9" s="121" t="s">
        <v>546</v>
      </c>
      <c r="E9" s="122">
        <v>40808</v>
      </c>
      <c r="F9" s="122">
        <v>40808</v>
      </c>
      <c r="G9" s="122" t="s">
        <v>547</v>
      </c>
      <c r="H9" s="102">
        <v>6628760.3540983843</v>
      </c>
      <c r="I9" s="123" t="s">
        <v>542</v>
      </c>
      <c r="J9" s="104">
        <v>392598.78998981224</v>
      </c>
      <c r="K9" s="124">
        <v>392598.78998981224</v>
      </c>
      <c r="L9" s="124">
        <v>392598.78998981224</v>
      </c>
      <c r="M9" s="124">
        <v>392598.78998981201</v>
      </c>
      <c r="N9" s="124">
        <v>392598.78998981224</v>
      </c>
      <c r="O9" s="124">
        <v>392598.78998981224</v>
      </c>
      <c r="P9" s="124">
        <v>392598.78998981224</v>
      </c>
      <c r="Q9" s="124">
        <v>785196.09009168996</v>
      </c>
      <c r="R9" s="124">
        <v>3533387.6200203756</v>
      </c>
      <c r="S9" s="105"/>
      <c r="T9" s="106"/>
      <c r="U9" s="107"/>
      <c r="V9" s="105"/>
      <c r="W9" s="105"/>
      <c r="X9" s="105"/>
      <c r="Y9" s="105"/>
      <c r="Z9" s="105"/>
      <c r="AA9" s="105"/>
      <c r="AB9" s="105"/>
    </row>
    <row r="10" spans="1:28" s="118" customFormat="1" ht="13.8" thickBot="1" x14ac:dyDescent="0.3">
      <c r="A10" s="109"/>
      <c r="B10" s="110" t="s">
        <v>548</v>
      </c>
      <c r="C10" s="111"/>
      <c r="D10" s="111"/>
      <c r="E10" s="112"/>
      <c r="F10" s="113"/>
      <c r="G10" s="114"/>
      <c r="H10" s="115"/>
      <c r="I10" s="116" t="s">
        <v>544</v>
      </c>
      <c r="J10" s="117">
        <v>61640.04</v>
      </c>
      <c r="K10" s="117">
        <v>81283.61492119098</v>
      </c>
      <c r="L10" s="117">
        <v>71123.158236254632</v>
      </c>
      <c r="M10" s="117">
        <v>60962.701551318292</v>
      </c>
      <c r="N10" s="117">
        <v>50802.24486638196</v>
      </c>
      <c r="O10" s="117">
        <v>40641.78818144562</v>
      </c>
      <c r="P10" s="117">
        <v>30481.33149650928</v>
      </c>
      <c r="Q10" s="117">
        <v>20320.874811572936</v>
      </c>
      <c r="R10" s="117">
        <v>417255.75406467373</v>
      </c>
      <c r="S10" s="105"/>
      <c r="T10" s="106"/>
      <c r="U10" s="107"/>
    </row>
    <row r="11" spans="1:28" s="108" customFormat="1" x14ac:dyDescent="0.25">
      <c r="A11" s="96">
        <v>3</v>
      </c>
      <c r="B11" s="97" t="s">
        <v>549</v>
      </c>
      <c r="C11" s="98" t="s">
        <v>550</v>
      </c>
      <c r="D11" s="125" t="s">
        <v>551</v>
      </c>
      <c r="E11" s="126">
        <v>2012</v>
      </c>
      <c r="F11" s="122">
        <v>41096</v>
      </c>
      <c r="G11" s="122" t="s">
        <v>552</v>
      </c>
      <c r="H11" s="102">
        <v>871076.43098217994</v>
      </c>
      <c r="I11" s="103" t="s">
        <v>542</v>
      </c>
      <c r="J11" s="104">
        <v>53323.543975276181</v>
      </c>
      <c r="K11" s="104">
        <v>53323.543975276181</v>
      </c>
      <c r="L11" s="104">
        <v>53323.543975276181</v>
      </c>
      <c r="M11" s="104">
        <v>53323.543975276181</v>
      </c>
      <c r="N11" s="104">
        <v>53323.543975276181</v>
      </c>
      <c r="O11" s="104">
        <v>53323.543975276181</v>
      </c>
      <c r="P11" s="104">
        <v>53323.543975276181</v>
      </c>
      <c r="Q11" s="104">
        <v>106647.54422251438</v>
      </c>
      <c r="R11" s="104">
        <v>479912.35204944765</v>
      </c>
      <c r="S11" s="105"/>
      <c r="T11" s="106"/>
      <c r="U11" s="107"/>
    </row>
    <row r="12" spans="1:28" s="118" customFormat="1" ht="13.8" thickBot="1" x14ac:dyDescent="0.3">
      <c r="A12" s="109"/>
      <c r="B12" s="110" t="s">
        <v>553</v>
      </c>
      <c r="C12" s="111"/>
      <c r="D12" s="111"/>
      <c r="E12" s="112"/>
      <c r="F12" s="113"/>
      <c r="G12" s="114"/>
      <c r="H12" s="115"/>
      <c r="I12" s="116" t="s">
        <v>544</v>
      </c>
      <c r="J12" s="117">
        <v>8935.44</v>
      </c>
      <c r="K12" s="117">
        <v>18637.66502476055</v>
      </c>
      <c r="L12" s="117">
        <v>16307.959388480736</v>
      </c>
      <c r="M12" s="117">
        <v>13978.253752200917</v>
      </c>
      <c r="N12" s="117">
        <v>11648.548115921101</v>
      </c>
      <c r="O12" s="117">
        <v>9318.8424796412855</v>
      </c>
      <c r="P12" s="117">
        <v>6989.1368433614689</v>
      </c>
      <c r="Q12" s="117">
        <v>13978.29362124496</v>
      </c>
      <c r="R12" s="117">
        <v>99794.139225611012</v>
      </c>
      <c r="S12" s="105"/>
      <c r="T12" s="106"/>
      <c r="U12" s="107"/>
    </row>
    <row r="13" spans="1:28" s="108" customFormat="1" x14ac:dyDescent="0.25">
      <c r="A13" s="96">
        <v>4</v>
      </c>
      <c r="B13" s="97" t="s">
        <v>554</v>
      </c>
      <c r="C13" s="98" t="s">
        <v>555</v>
      </c>
      <c r="D13" s="125" t="s">
        <v>556</v>
      </c>
      <c r="E13" s="126">
        <v>2012</v>
      </c>
      <c r="F13" s="122">
        <v>41604</v>
      </c>
      <c r="G13" s="127" t="s">
        <v>557</v>
      </c>
      <c r="H13" s="102">
        <v>520921.90710354527</v>
      </c>
      <c r="I13" s="103" t="s">
        <v>542</v>
      </c>
      <c r="J13" s="104">
        <v>57881</v>
      </c>
      <c r="K13" s="128">
        <v>0</v>
      </c>
      <c r="L13" s="128">
        <v>0</v>
      </c>
      <c r="M13" s="128">
        <v>0</v>
      </c>
      <c r="N13" s="128">
        <v>0</v>
      </c>
      <c r="O13" s="128">
        <v>0</v>
      </c>
      <c r="P13" s="128">
        <v>0</v>
      </c>
      <c r="Q13" s="128">
        <v>0</v>
      </c>
      <c r="R13" s="128">
        <v>57881</v>
      </c>
      <c r="S13" s="105"/>
      <c r="T13" s="106"/>
      <c r="U13" s="107"/>
    </row>
    <row r="14" spans="1:28" s="118" customFormat="1" ht="13.8" thickBot="1" x14ac:dyDescent="0.3">
      <c r="A14" s="109"/>
      <c r="B14" s="110" t="s">
        <v>558</v>
      </c>
      <c r="C14" s="111"/>
      <c r="D14" s="111"/>
      <c r="E14" s="112"/>
      <c r="F14" s="113"/>
      <c r="G14" s="114"/>
      <c r="H14" s="129"/>
      <c r="I14" s="116" t="s">
        <v>544</v>
      </c>
      <c r="J14" s="117">
        <v>1135.79</v>
      </c>
      <c r="K14" s="130">
        <v>0</v>
      </c>
      <c r="L14" s="130">
        <v>0</v>
      </c>
      <c r="M14" s="130">
        <v>0</v>
      </c>
      <c r="N14" s="130">
        <v>0</v>
      </c>
      <c r="O14" s="130">
        <v>0</v>
      </c>
      <c r="P14" s="130">
        <v>0</v>
      </c>
      <c r="Q14" s="130">
        <v>0</v>
      </c>
      <c r="R14" s="117">
        <v>1135.79</v>
      </c>
      <c r="S14" s="105"/>
      <c r="T14" s="106"/>
      <c r="U14" s="107"/>
    </row>
    <row r="15" spans="1:28" s="108" customFormat="1" x14ac:dyDescent="0.25">
      <c r="A15" s="96">
        <v>5</v>
      </c>
      <c r="B15" s="97" t="s">
        <v>559</v>
      </c>
      <c r="C15" s="98" t="s">
        <v>560</v>
      </c>
      <c r="D15" s="125" t="s">
        <v>561</v>
      </c>
      <c r="E15" s="131" t="s">
        <v>562</v>
      </c>
      <c r="F15" s="132" t="s">
        <v>562</v>
      </c>
      <c r="G15" s="133" t="s">
        <v>563</v>
      </c>
      <c r="H15" s="102">
        <v>1925611</v>
      </c>
      <c r="I15" s="103" t="s">
        <v>542</v>
      </c>
      <c r="J15" s="104">
        <v>132804</v>
      </c>
      <c r="K15" s="104">
        <v>132804</v>
      </c>
      <c r="L15" s="104">
        <v>132804</v>
      </c>
      <c r="M15" s="104">
        <v>132804</v>
      </c>
      <c r="N15" s="104">
        <v>132804</v>
      </c>
      <c r="O15" s="104">
        <v>132804</v>
      </c>
      <c r="P15" s="104">
        <v>132804</v>
      </c>
      <c r="Q15" s="104">
        <v>332010</v>
      </c>
      <c r="R15" s="104">
        <v>1261638</v>
      </c>
      <c r="S15" s="105"/>
      <c r="T15" s="106"/>
      <c r="U15" s="107"/>
    </row>
    <row r="16" spans="1:28" s="118" customFormat="1" ht="13.8" thickBot="1" x14ac:dyDescent="0.3">
      <c r="A16" s="109"/>
      <c r="B16" s="110" t="s">
        <v>564</v>
      </c>
      <c r="C16" s="111"/>
      <c r="D16" s="111"/>
      <c r="E16" s="112"/>
      <c r="F16" s="113"/>
      <c r="G16" s="114"/>
      <c r="H16" s="129"/>
      <c r="I16" s="116" t="s">
        <v>544</v>
      </c>
      <c r="J16" s="117">
        <v>18985.2</v>
      </c>
      <c r="K16" s="117">
        <v>45808.083720000002</v>
      </c>
      <c r="L16" s="117">
        <v>40418.897400000002</v>
      </c>
      <c r="M16" s="117">
        <v>35029.711080000001</v>
      </c>
      <c r="N16" s="117">
        <v>29640.524760000004</v>
      </c>
      <c r="O16" s="117">
        <v>24251.338440000003</v>
      </c>
      <c r="P16" s="117">
        <v>18862.152120000002</v>
      </c>
      <c r="Q16" s="117">
        <v>40418.897400000002</v>
      </c>
      <c r="R16" s="117">
        <v>253414.80492000002</v>
      </c>
      <c r="S16" s="105"/>
      <c r="T16" s="106"/>
      <c r="U16" s="107"/>
    </row>
    <row r="17" spans="1:21" s="108" customFormat="1" x14ac:dyDescent="0.25">
      <c r="A17" s="96">
        <v>6</v>
      </c>
      <c r="B17" s="97" t="s">
        <v>565</v>
      </c>
      <c r="C17" s="98" t="s">
        <v>566</v>
      </c>
      <c r="D17" s="125" t="s">
        <v>567</v>
      </c>
      <c r="E17" s="131" t="s">
        <v>568</v>
      </c>
      <c r="F17" s="131" t="s">
        <v>568</v>
      </c>
      <c r="G17" s="133" t="s">
        <v>569</v>
      </c>
      <c r="H17" s="102">
        <v>154450.12</v>
      </c>
      <c r="I17" s="103" t="s">
        <v>542</v>
      </c>
      <c r="J17" s="104">
        <v>10472</v>
      </c>
      <c r="K17" s="104">
        <v>10472</v>
      </c>
      <c r="L17" s="104">
        <v>10472</v>
      </c>
      <c r="M17" s="104">
        <v>10472</v>
      </c>
      <c r="N17" s="104">
        <v>10472</v>
      </c>
      <c r="O17" s="104">
        <v>10472</v>
      </c>
      <c r="P17" s="104">
        <v>10472</v>
      </c>
      <c r="Q17" s="104">
        <v>28798</v>
      </c>
      <c r="R17" s="104">
        <v>102102</v>
      </c>
      <c r="S17" s="105"/>
      <c r="T17" s="106"/>
      <c r="U17" s="107"/>
    </row>
    <row r="18" spans="1:21" s="118" customFormat="1" ht="13.8" thickBot="1" x14ac:dyDescent="0.3">
      <c r="A18" s="109"/>
      <c r="B18" s="110" t="s">
        <v>570</v>
      </c>
      <c r="C18" s="111"/>
      <c r="D18" s="111"/>
      <c r="E18" s="112"/>
      <c r="F18" s="113"/>
      <c r="G18" s="114"/>
      <c r="H18" s="129"/>
      <c r="I18" s="116" t="s">
        <v>544</v>
      </c>
      <c r="J18" s="117">
        <v>1519.8799999999999</v>
      </c>
      <c r="K18" s="117">
        <v>1282.82</v>
      </c>
      <c r="L18" s="117">
        <v>1136.212</v>
      </c>
      <c r="M18" s="117">
        <v>989.60400000000004</v>
      </c>
      <c r="N18" s="117">
        <v>842.99599999999998</v>
      </c>
      <c r="O18" s="117">
        <v>696.38800000000003</v>
      </c>
      <c r="P18" s="117">
        <v>549.78</v>
      </c>
      <c r="Q18" s="117">
        <v>1209.5160000000001</v>
      </c>
      <c r="R18" s="117">
        <v>8227.1959999999999</v>
      </c>
      <c r="S18" s="105"/>
      <c r="T18" s="106"/>
      <c r="U18" s="107"/>
    </row>
    <row r="19" spans="1:21" s="118" customFormat="1" x14ac:dyDescent="0.25">
      <c r="A19" s="119">
        <v>7</v>
      </c>
      <c r="B19" s="120" t="s">
        <v>571</v>
      </c>
      <c r="C19" s="134" t="s">
        <v>572</v>
      </c>
      <c r="D19" s="134" t="s">
        <v>573</v>
      </c>
      <c r="E19" s="135" t="s">
        <v>574</v>
      </c>
      <c r="F19" s="132" t="s">
        <v>574</v>
      </c>
      <c r="G19" s="133" t="s">
        <v>575</v>
      </c>
      <c r="H19" s="136">
        <v>134893</v>
      </c>
      <c r="I19" s="103" t="s">
        <v>542</v>
      </c>
      <c r="J19" s="104">
        <v>12848</v>
      </c>
      <c r="K19" s="128">
        <v>0</v>
      </c>
      <c r="L19" s="128">
        <v>0</v>
      </c>
      <c r="M19" s="128">
        <v>0</v>
      </c>
      <c r="N19" s="128">
        <v>0</v>
      </c>
      <c r="O19" s="128">
        <v>0</v>
      </c>
      <c r="P19" s="128">
        <v>0</v>
      </c>
      <c r="Q19" s="128">
        <v>0</v>
      </c>
      <c r="R19" s="104">
        <v>12848</v>
      </c>
      <c r="S19" s="105"/>
      <c r="T19" s="106"/>
      <c r="U19" s="107"/>
    </row>
    <row r="20" spans="1:21" s="118" customFormat="1" ht="13.8" thickBot="1" x14ac:dyDescent="0.3">
      <c r="A20" s="109"/>
      <c r="B20" s="110"/>
      <c r="C20" s="111"/>
      <c r="D20" s="111"/>
      <c r="E20" s="112"/>
      <c r="F20" s="113" t="s">
        <v>576</v>
      </c>
      <c r="G20" s="114"/>
      <c r="H20" s="115" t="s">
        <v>577</v>
      </c>
      <c r="I20" s="116" t="s">
        <v>544</v>
      </c>
      <c r="J20" s="117">
        <v>114.2</v>
      </c>
      <c r="K20" s="130">
        <v>0</v>
      </c>
      <c r="L20" s="130">
        <v>0</v>
      </c>
      <c r="M20" s="130">
        <v>0</v>
      </c>
      <c r="N20" s="130">
        <v>0</v>
      </c>
      <c r="O20" s="130">
        <v>0</v>
      </c>
      <c r="P20" s="130">
        <v>0</v>
      </c>
      <c r="Q20" s="130">
        <v>0</v>
      </c>
      <c r="R20" s="117">
        <v>114.2</v>
      </c>
      <c r="S20" s="105"/>
      <c r="T20" s="106"/>
      <c r="U20" s="107"/>
    </row>
    <row r="21" spans="1:21" s="118" customFormat="1" x14ac:dyDescent="0.25">
      <c r="A21" s="119" t="s">
        <v>82</v>
      </c>
      <c r="B21" s="97" t="s">
        <v>578</v>
      </c>
      <c r="C21" s="137" t="s">
        <v>579</v>
      </c>
      <c r="D21" s="137" t="s">
        <v>580</v>
      </c>
      <c r="E21" s="138" t="s">
        <v>581</v>
      </c>
      <c r="F21" s="138" t="s">
        <v>581</v>
      </c>
      <c r="G21" s="139" t="s">
        <v>582</v>
      </c>
      <c r="H21" s="140">
        <v>11123368</v>
      </c>
      <c r="I21" s="103" t="s">
        <v>542</v>
      </c>
      <c r="J21" s="104">
        <v>379984</v>
      </c>
      <c r="K21" s="104">
        <v>379984</v>
      </c>
      <c r="L21" s="104">
        <v>379984</v>
      </c>
      <c r="M21" s="104">
        <v>379984</v>
      </c>
      <c r="N21" s="104">
        <v>379984</v>
      </c>
      <c r="O21" s="104">
        <v>379984</v>
      </c>
      <c r="P21" s="104">
        <v>379984</v>
      </c>
      <c r="Q21" s="104">
        <v>6926878</v>
      </c>
      <c r="R21" s="104">
        <v>9586766</v>
      </c>
      <c r="S21" s="105"/>
      <c r="T21" s="106"/>
      <c r="U21" s="107"/>
    </row>
    <row r="22" spans="1:21" s="118" customFormat="1" ht="13.8" thickBot="1" x14ac:dyDescent="0.3">
      <c r="A22" s="109"/>
      <c r="B22" s="141" t="s">
        <v>583</v>
      </c>
      <c r="C22" s="111" t="s">
        <v>584</v>
      </c>
      <c r="D22" s="111"/>
      <c r="E22" s="112"/>
      <c r="F22" s="113"/>
      <c r="G22" s="114"/>
      <c r="H22" s="129"/>
      <c r="I22" s="116" t="s">
        <v>544</v>
      </c>
      <c r="J22" s="117">
        <v>165604.29999999999</v>
      </c>
      <c r="K22" s="117">
        <v>356486.59904000006</v>
      </c>
      <c r="L22" s="117">
        <v>341773.61856000003</v>
      </c>
      <c r="M22" s="117">
        <v>327060.63808000006</v>
      </c>
      <c r="N22" s="117">
        <v>312347.65760000004</v>
      </c>
      <c r="O22" s="117">
        <v>297634.67712000001</v>
      </c>
      <c r="P22" s="117">
        <v>282921.69664000004</v>
      </c>
      <c r="Q22" s="117">
        <v>4827756.8908799998</v>
      </c>
      <c r="R22" s="117">
        <v>6911586.0779200001</v>
      </c>
      <c r="S22" s="105"/>
      <c r="T22" s="106"/>
      <c r="U22" s="107"/>
    </row>
    <row r="23" spans="1:21" s="118" customFormat="1" x14ac:dyDescent="0.25">
      <c r="A23" s="96" t="s">
        <v>84</v>
      </c>
      <c r="B23" s="97" t="s">
        <v>578</v>
      </c>
      <c r="C23" s="137" t="s">
        <v>585</v>
      </c>
      <c r="D23" s="137" t="s">
        <v>586</v>
      </c>
      <c r="E23" s="142"/>
      <c r="F23" s="138" t="s">
        <v>587</v>
      </c>
      <c r="G23" s="139" t="s">
        <v>588</v>
      </c>
      <c r="H23" s="140">
        <v>2576367.7999999998</v>
      </c>
      <c r="I23" s="103" t="s">
        <v>542</v>
      </c>
      <c r="J23" s="104">
        <v>89924</v>
      </c>
      <c r="K23" s="104">
        <v>89924</v>
      </c>
      <c r="L23" s="104">
        <v>89924</v>
      </c>
      <c r="M23" s="104">
        <v>96316</v>
      </c>
      <c r="N23" s="104">
        <v>96316</v>
      </c>
      <c r="O23" s="104">
        <v>96316</v>
      </c>
      <c r="P23" s="104">
        <v>96316</v>
      </c>
      <c r="Q23" s="104">
        <v>1801021.7999999998</v>
      </c>
      <c r="R23" s="104">
        <v>2456057.7999999998</v>
      </c>
      <c r="S23" s="105"/>
      <c r="T23" s="106"/>
      <c r="U23" s="107"/>
    </row>
    <row r="24" spans="1:21" s="118" customFormat="1" ht="13.8" thickBot="1" x14ac:dyDescent="0.3">
      <c r="A24" s="109"/>
      <c r="B24" s="141" t="s">
        <v>589</v>
      </c>
      <c r="C24" s="111"/>
      <c r="D24" s="111"/>
      <c r="E24" s="112"/>
      <c r="F24" s="113"/>
      <c r="G24" s="114"/>
      <c r="H24" s="129"/>
      <c r="I24" s="116" t="s">
        <v>544</v>
      </c>
      <c r="J24" s="117">
        <v>85447.81</v>
      </c>
      <c r="K24" s="117">
        <v>142512.238774</v>
      </c>
      <c r="L24" s="117">
        <v>137096.11625399999</v>
      </c>
      <c r="M24" s="117">
        <v>131679.99373399999</v>
      </c>
      <c r="N24" s="117">
        <v>125878.88105399998</v>
      </c>
      <c r="O24" s="117">
        <v>120077.76837399999</v>
      </c>
      <c r="P24" s="117">
        <v>114276.65569399999</v>
      </c>
      <c r="Q24" s="117">
        <v>1952559.7742519996</v>
      </c>
      <c r="R24" s="117">
        <v>2809529.2381359995</v>
      </c>
      <c r="S24" s="105"/>
      <c r="T24" s="106"/>
      <c r="U24" s="107"/>
    </row>
    <row r="25" spans="1:21" s="118" customFormat="1" x14ac:dyDescent="0.25">
      <c r="A25" s="96">
        <v>9</v>
      </c>
      <c r="B25" s="97" t="s">
        <v>590</v>
      </c>
      <c r="C25" s="134" t="s">
        <v>591</v>
      </c>
      <c r="D25" s="134" t="s">
        <v>592</v>
      </c>
      <c r="E25" s="135"/>
      <c r="F25" s="137" t="s">
        <v>593</v>
      </c>
      <c r="G25" s="137" t="s">
        <v>594</v>
      </c>
      <c r="H25" s="143">
        <v>166837</v>
      </c>
      <c r="I25" s="103" t="s">
        <v>542</v>
      </c>
      <c r="J25" s="104">
        <v>37071</v>
      </c>
      <c r="K25" s="144">
        <v>37076</v>
      </c>
      <c r="L25" s="144">
        <v>37076</v>
      </c>
      <c r="M25" s="144">
        <v>37076</v>
      </c>
      <c r="N25" s="144">
        <v>18538</v>
      </c>
      <c r="O25" s="128">
        <v>0</v>
      </c>
      <c r="P25" s="128">
        <v>0</v>
      </c>
      <c r="Q25" s="128">
        <v>0</v>
      </c>
      <c r="R25" s="104">
        <v>166837</v>
      </c>
      <c r="S25" s="105"/>
      <c r="T25" s="106"/>
      <c r="U25" s="107"/>
    </row>
    <row r="26" spans="1:21" s="118" customFormat="1" ht="13.8" thickBot="1" x14ac:dyDescent="0.3">
      <c r="A26" s="109"/>
      <c r="B26" s="141"/>
      <c r="C26" s="111"/>
      <c r="D26" s="111"/>
      <c r="E26" s="112"/>
      <c r="F26" s="111"/>
      <c r="G26" s="111"/>
      <c r="H26" s="129"/>
      <c r="I26" s="116" t="s">
        <v>544</v>
      </c>
      <c r="J26" s="117">
        <v>3624.6899999999996</v>
      </c>
      <c r="K26" s="117">
        <v>2414.9452600000004</v>
      </c>
      <c r="L26" s="117">
        <v>1724.9609</v>
      </c>
      <c r="M26" s="117">
        <v>1034.9765400000001</v>
      </c>
      <c r="N26" s="117">
        <v>344.99218000000002</v>
      </c>
      <c r="O26" s="130">
        <v>0</v>
      </c>
      <c r="P26" s="130">
        <v>0</v>
      </c>
      <c r="Q26" s="130">
        <v>0</v>
      </c>
      <c r="R26" s="117">
        <v>9144.5648799999999</v>
      </c>
      <c r="S26" s="105"/>
      <c r="T26" s="106"/>
      <c r="U26" s="107"/>
    </row>
    <row r="27" spans="1:21" s="108" customFormat="1" x14ac:dyDescent="0.25">
      <c r="A27" s="96">
        <v>10</v>
      </c>
      <c r="B27" s="97" t="s">
        <v>595</v>
      </c>
      <c r="C27" s="98" t="s">
        <v>596</v>
      </c>
      <c r="D27" s="125" t="s">
        <v>597</v>
      </c>
      <c r="E27" s="131" t="s">
        <v>598</v>
      </c>
      <c r="F27" s="132" t="s">
        <v>598</v>
      </c>
      <c r="G27" s="127" t="s">
        <v>599</v>
      </c>
      <c r="H27" s="102">
        <v>388132.51</v>
      </c>
      <c r="I27" s="103" t="s">
        <v>542</v>
      </c>
      <c r="J27" s="104">
        <v>38968</v>
      </c>
      <c r="K27" s="104">
        <v>38968</v>
      </c>
      <c r="L27" s="104">
        <v>38968</v>
      </c>
      <c r="M27" s="104">
        <v>38968</v>
      </c>
      <c r="N27" s="104">
        <v>38968</v>
      </c>
      <c r="O27" s="104">
        <v>29226</v>
      </c>
      <c r="P27" s="128">
        <v>0</v>
      </c>
      <c r="Q27" s="128">
        <v>0</v>
      </c>
      <c r="R27" s="104">
        <v>224066</v>
      </c>
      <c r="S27" s="105"/>
      <c r="T27" s="106"/>
      <c r="U27" s="107"/>
    </row>
    <row r="28" spans="1:21" s="118" customFormat="1" ht="13.8" thickBot="1" x14ac:dyDescent="0.3">
      <c r="A28" s="109"/>
      <c r="B28" s="110"/>
      <c r="C28" s="111"/>
      <c r="D28" s="111"/>
      <c r="E28" s="112"/>
      <c r="F28" s="113"/>
      <c r="G28" s="114"/>
      <c r="H28" s="129"/>
      <c r="I28" s="116" t="s">
        <v>544</v>
      </c>
      <c r="J28" s="117">
        <v>5757.87</v>
      </c>
      <c r="K28" s="117">
        <v>5314.1635799999995</v>
      </c>
      <c r="L28" s="117">
        <v>4195.3922999999995</v>
      </c>
      <c r="M28" s="117">
        <v>3076.62102</v>
      </c>
      <c r="N28" s="117">
        <v>1957.8497399999999</v>
      </c>
      <c r="O28" s="117">
        <v>839.07845999999995</v>
      </c>
      <c r="P28" s="130">
        <v>0</v>
      </c>
      <c r="Q28" s="130">
        <v>0</v>
      </c>
      <c r="R28" s="117">
        <v>21140.9751</v>
      </c>
      <c r="S28" s="105"/>
      <c r="T28" s="106"/>
      <c r="U28" s="107"/>
    </row>
    <row r="29" spans="1:21" s="108" customFormat="1" x14ac:dyDescent="0.25">
      <c r="A29" s="96">
        <v>11</v>
      </c>
      <c r="B29" s="97" t="s">
        <v>600</v>
      </c>
      <c r="C29" s="98" t="s">
        <v>601</v>
      </c>
      <c r="D29" s="125" t="s">
        <v>602</v>
      </c>
      <c r="E29" s="131"/>
      <c r="F29" s="145">
        <v>44020</v>
      </c>
      <c r="G29" s="127">
        <v>49480</v>
      </c>
      <c r="H29" s="102">
        <v>1410783</v>
      </c>
      <c r="I29" s="103" t="s">
        <v>542</v>
      </c>
      <c r="J29" s="104">
        <v>88284</v>
      </c>
      <c r="K29" s="104">
        <v>88284</v>
      </c>
      <c r="L29" s="104">
        <v>88284</v>
      </c>
      <c r="M29" s="104">
        <v>88284</v>
      </c>
      <c r="N29" s="104">
        <v>88284</v>
      </c>
      <c r="O29" s="104">
        <v>88284</v>
      </c>
      <c r="P29" s="104">
        <v>88284</v>
      </c>
      <c r="Q29" s="104">
        <v>485562</v>
      </c>
      <c r="R29" s="104">
        <v>1103550</v>
      </c>
      <c r="S29" s="105"/>
      <c r="T29" s="106"/>
      <c r="U29" s="107"/>
    </row>
    <row r="30" spans="1:21" s="118" customFormat="1" ht="13.8" thickBot="1" x14ac:dyDescent="0.3">
      <c r="A30" s="109"/>
      <c r="B30" s="110"/>
      <c r="C30" s="111"/>
      <c r="D30" s="111"/>
      <c r="E30" s="113"/>
      <c r="F30" s="113"/>
      <c r="G30" s="114"/>
      <c r="H30" s="129"/>
      <c r="I30" s="116" t="s">
        <v>544</v>
      </c>
      <c r="J30" s="117">
        <v>25967.769999999997</v>
      </c>
      <c r="K30" s="117">
        <v>16132.576740000002</v>
      </c>
      <c r="L30" s="117">
        <v>14729.743980000001</v>
      </c>
      <c r="M30" s="117">
        <v>13326.911220000002</v>
      </c>
      <c r="N30" s="117">
        <v>11924.078460000001</v>
      </c>
      <c r="O30" s="117">
        <v>10521.245700000001</v>
      </c>
      <c r="P30" s="117">
        <v>9118.4129400000002</v>
      </c>
      <c r="Q30" s="117">
        <v>34720.110810000006</v>
      </c>
      <c r="R30" s="117">
        <v>136440.84985</v>
      </c>
      <c r="S30" s="105"/>
      <c r="T30" s="106"/>
      <c r="U30" s="107"/>
    </row>
    <row r="31" spans="1:21" s="108" customFormat="1" x14ac:dyDescent="0.25">
      <c r="A31" s="96">
        <v>12</v>
      </c>
      <c r="B31" s="97" t="s">
        <v>603</v>
      </c>
      <c r="C31" s="98" t="s">
        <v>604</v>
      </c>
      <c r="D31" s="125" t="s">
        <v>605</v>
      </c>
      <c r="E31" s="131"/>
      <c r="F31" s="132" t="s">
        <v>606</v>
      </c>
      <c r="G31" s="127" t="s">
        <v>607</v>
      </c>
      <c r="H31" s="102">
        <v>531484</v>
      </c>
      <c r="I31" s="103" t="s">
        <v>542</v>
      </c>
      <c r="J31" s="104">
        <v>36656</v>
      </c>
      <c r="K31" s="104">
        <v>36656</v>
      </c>
      <c r="L31" s="104">
        <v>36656</v>
      </c>
      <c r="M31" s="104">
        <v>36656</v>
      </c>
      <c r="N31" s="104">
        <v>36656</v>
      </c>
      <c r="O31" s="104">
        <v>36656</v>
      </c>
      <c r="P31" s="104">
        <v>36656</v>
      </c>
      <c r="Q31" s="104">
        <v>162248</v>
      </c>
      <c r="R31" s="104">
        <v>418840</v>
      </c>
      <c r="S31" s="105"/>
      <c r="T31" s="106"/>
      <c r="U31" s="107"/>
    </row>
    <row r="32" spans="1:21" s="118" customFormat="1" ht="13.8" thickBot="1" x14ac:dyDescent="0.3">
      <c r="A32" s="109"/>
      <c r="B32" s="110" t="s">
        <v>608</v>
      </c>
      <c r="C32" s="111"/>
      <c r="D32" s="111"/>
      <c r="E32" s="113"/>
      <c r="F32" s="113"/>
      <c r="G32" s="114"/>
      <c r="H32" s="129"/>
      <c r="I32" s="116" t="s">
        <v>544</v>
      </c>
      <c r="J32" s="117">
        <v>10431.01</v>
      </c>
      <c r="K32" s="117">
        <v>10395.4048</v>
      </c>
      <c r="L32" s="117">
        <v>9398.3616000000002</v>
      </c>
      <c r="M32" s="117">
        <v>8401.3184000000001</v>
      </c>
      <c r="N32" s="117">
        <v>7404.2752</v>
      </c>
      <c r="O32" s="117">
        <v>6407.232</v>
      </c>
      <c r="P32" s="117">
        <v>5410.1887999999999</v>
      </c>
      <c r="Q32" s="117">
        <v>17652.582399999999</v>
      </c>
      <c r="R32" s="117">
        <v>75500.373200000002</v>
      </c>
      <c r="S32" s="105"/>
      <c r="T32" s="106"/>
      <c r="U32" s="107"/>
    </row>
    <row r="33" spans="1:21" s="108" customFormat="1" x14ac:dyDescent="0.25">
      <c r="A33" s="96" t="s">
        <v>224</v>
      </c>
      <c r="B33" s="97" t="s">
        <v>609</v>
      </c>
      <c r="C33" s="98" t="s">
        <v>610</v>
      </c>
      <c r="D33" s="125" t="s">
        <v>611</v>
      </c>
      <c r="E33" s="131"/>
      <c r="F33" s="132" t="s">
        <v>612</v>
      </c>
      <c r="G33" s="127" t="s">
        <v>613</v>
      </c>
      <c r="H33" s="102">
        <v>1230506</v>
      </c>
      <c r="I33" s="123" t="s">
        <v>542</v>
      </c>
      <c r="J33" s="104">
        <v>64754</v>
      </c>
      <c r="K33" s="104">
        <v>86352</v>
      </c>
      <c r="L33" s="104">
        <v>86352</v>
      </c>
      <c r="M33" s="104">
        <v>86352</v>
      </c>
      <c r="N33" s="104">
        <v>86352</v>
      </c>
      <c r="O33" s="104">
        <v>86352</v>
      </c>
      <c r="P33" s="104">
        <v>86352</v>
      </c>
      <c r="Q33" s="104">
        <v>647640</v>
      </c>
      <c r="R33" s="104">
        <v>1230506</v>
      </c>
      <c r="S33" s="105"/>
      <c r="T33" s="106"/>
      <c r="U33" s="107"/>
    </row>
    <row r="34" spans="1:21" s="118" customFormat="1" ht="13.8" thickBot="1" x14ac:dyDescent="0.3">
      <c r="A34" s="109"/>
      <c r="B34" s="110" t="s">
        <v>614</v>
      </c>
      <c r="C34" s="111"/>
      <c r="D34" s="111"/>
      <c r="E34" s="113"/>
      <c r="F34" s="113"/>
      <c r="G34" s="114"/>
      <c r="H34" s="146"/>
      <c r="I34" s="116" t="s">
        <v>544</v>
      </c>
      <c r="J34" s="117">
        <v>22457.79</v>
      </c>
      <c r="K34" s="117">
        <v>58905.448559999997</v>
      </c>
      <c r="L34" s="117">
        <v>54542.081999999995</v>
      </c>
      <c r="M34" s="117">
        <v>50178.71544</v>
      </c>
      <c r="N34" s="117">
        <v>45815.348879999998</v>
      </c>
      <c r="O34" s="117">
        <v>41451.982319999996</v>
      </c>
      <c r="P34" s="117">
        <v>37088.615760000001</v>
      </c>
      <c r="Q34" s="117">
        <v>196351.4952</v>
      </c>
      <c r="R34" s="117">
        <v>506791.47816</v>
      </c>
      <c r="S34" s="105"/>
      <c r="T34" s="106"/>
      <c r="U34" s="107"/>
    </row>
    <row r="35" spans="1:21" s="118" customFormat="1" ht="25.2" customHeight="1" x14ac:dyDescent="0.25">
      <c r="A35" s="147" t="s">
        <v>226</v>
      </c>
      <c r="B35" s="148" t="s">
        <v>615</v>
      </c>
      <c r="C35" s="149" t="s">
        <v>616</v>
      </c>
      <c r="D35" s="150" t="s">
        <v>617</v>
      </c>
      <c r="E35" s="132"/>
      <c r="F35" s="132" t="s">
        <v>618</v>
      </c>
      <c r="G35" s="127" t="s">
        <v>619</v>
      </c>
      <c r="H35" s="102">
        <v>292889</v>
      </c>
      <c r="I35" s="123" t="s">
        <v>542</v>
      </c>
      <c r="J35" s="104">
        <v>10099</v>
      </c>
      <c r="K35" s="104">
        <v>20200</v>
      </c>
      <c r="L35" s="104">
        <v>20200</v>
      </c>
      <c r="M35" s="104">
        <v>20200</v>
      </c>
      <c r="N35" s="104">
        <v>20200</v>
      </c>
      <c r="O35" s="104">
        <v>20200</v>
      </c>
      <c r="P35" s="104">
        <v>20200</v>
      </c>
      <c r="Q35" s="104">
        <v>161590</v>
      </c>
      <c r="R35" s="104">
        <v>292889</v>
      </c>
      <c r="S35" s="105"/>
      <c r="T35" s="106"/>
      <c r="U35" s="107"/>
    </row>
    <row r="36" spans="1:21" s="118" customFormat="1" ht="21" thickBot="1" x14ac:dyDescent="0.3">
      <c r="A36" s="119"/>
      <c r="B36" s="151" t="s">
        <v>620</v>
      </c>
      <c r="C36" s="134"/>
      <c r="D36" s="134"/>
      <c r="E36" s="132"/>
      <c r="F36" s="113"/>
      <c r="G36" s="133"/>
      <c r="H36" s="152"/>
      <c r="I36" s="116" t="s">
        <v>544</v>
      </c>
      <c r="J36" s="117">
        <v>116.38000000000001</v>
      </c>
      <c r="K36" s="117">
        <v>13036.619000000001</v>
      </c>
      <c r="L36" s="117">
        <v>12105.399000000001</v>
      </c>
      <c r="M36" s="117">
        <v>11174.179</v>
      </c>
      <c r="N36" s="117">
        <v>10242.959000000001</v>
      </c>
      <c r="O36" s="117">
        <v>9311.7389999999996</v>
      </c>
      <c r="P36" s="117">
        <v>8380.5190000000002</v>
      </c>
      <c r="Q36" s="117">
        <v>52145.093000000001</v>
      </c>
      <c r="R36" s="117">
        <v>116512.88700000002</v>
      </c>
      <c r="S36" s="105"/>
      <c r="T36" s="106"/>
      <c r="U36" s="107"/>
    </row>
    <row r="37" spans="1:21" s="118" customFormat="1" x14ac:dyDescent="0.25">
      <c r="A37" s="96">
        <v>14</v>
      </c>
      <c r="B37" s="97" t="s">
        <v>621</v>
      </c>
      <c r="C37" s="98" t="s">
        <v>622</v>
      </c>
      <c r="D37" s="125" t="s">
        <v>623</v>
      </c>
      <c r="E37" s="131"/>
      <c r="F37" s="132" t="s">
        <v>624</v>
      </c>
      <c r="G37" s="127" t="s">
        <v>625</v>
      </c>
      <c r="H37" s="102">
        <v>1174140</v>
      </c>
      <c r="I37" s="123" t="s">
        <v>542</v>
      </c>
      <c r="J37" s="104">
        <v>80976</v>
      </c>
      <c r="K37" s="104">
        <v>80976</v>
      </c>
      <c r="L37" s="104">
        <v>80976</v>
      </c>
      <c r="M37" s="104">
        <v>80976</v>
      </c>
      <c r="N37" s="104">
        <v>80976</v>
      </c>
      <c r="O37" s="104">
        <v>80976</v>
      </c>
      <c r="P37" s="104">
        <v>80976</v>
      </c>
      <c r="Q37" s="104">
        <v>303660</v>
      </c>
      <c r="R37" s="104">
        <v>870492</v>
      </c>
      <c r="S37" s="105"/>
      <c r="T37" s="106"/>
      <c r="U37" s="107"/>
    </row>
    <row r="38" spans="1:21" s="118" customFormat="1" ht="13.8" thickBot="1" x14ac:dyDescent="0.3">
      <c r="A38" s="109"/>
      <c r="B38" s="110"/>
      <c r="C38" s="111"/>
      <c r="D38" s="111"/>
      <c r="E38" s="113"/>
      <c r="F38" s="113"/>
      <c r="G38" s="114"/>
      <c r="H38" s="153"/>
      <c r="I38" s="116" t="s">
        <v>544</v>
      </c>
      <c r="J38" s="117">
        <v>17505.330000000002</v>
      </c>
      <c r="K38" s="117">
        <v>16998.279479999997</v>
      </c>
      <c r="L38" s="117">
        <v>15254.866199999999</v>
      </c>
      <c r="M38" s="117">
        <v>13511.452919999998</v>
      </c>
      <c r="N38" s="117">
        <v>11768.039639999999</v>
      </c>
      <c r="O38" s="117">
        <v>10024.626359999998</v>
      </c>
      <c r="P38" s="117">
        <v>8281.2130799999995</v>
      </c>
      <c r="Q38" s="117">
        <v>26151.199199999995</v>
      </c>
      <c r="R38" s="117">
        <v>119495.00687999997</v>
      </c>
      <c r="S38" s="105"/>
      <c r="T38" s="106"/>
      <c r="U38" s="107"/>
    </row>
    <row r="39" spans="1:21" s="118" customFormat="1" x14ac:dyDescent="0.25">
      <c r="A39" s="96">
        <v>15</v>
      </c>
      <c r="B39" s="97" t="s">
        <v>626</v>
      </c>
      <c r="C39" s="98" t="s">
        <v>627</v>
      </c>
      <c r="D39" s="125" t="s">
        <v>628</v>
      </c>
      <c r="E39" s="131"/>
      <c r="F39" s="132" t="s">
        <v>629</v>
      </c>
      <c r="G39" s="127" t="s">
        <v>630</v>
      </c>
      <c r="H39" s="102">
        <v>186392</v>
      </c>
      <c r="I39" s="123" t="s">
        <v>542</v>
      </c>
      <c r="J39" s="104">
        <v>17360</v>
      </c>
      <c r="K39" s="104">
        <v>17360</v>
      </c>
      <c r="L39" s="104">
        <v>15080</v>
      </c>
      <c r="M39" s="104">
        <v>8240</v>
      </c>
      <c r="N39" s="104">
        <v>8240</v>
      </c>
      <c r="O39" s="104">
        <v>8240</v>
      </c>
      <c r="P39" s="104">
        <v>8240</v>
      </c>
      <c r="Q39" s="104">
        <v>73732.399999999994</v>
      </c>
      <c r="R39" s="104">
        <v>156492.4</v>
      </c>
      <c r="S39" s="105"/>
      <c r="T39" s="106"/>
      <c r="U39" s="107"/>
    </row>
    <row r="40" spans="1:21" s="118" customFormat="1" ht="13.8" thickBot="1" x14ac:dyDescent="0.3">
      <c r="A40" s="109"/>
      <c r="B40" s="110" t="s">
        <v>631</v>
      </c>
      <c r="C40" s="111"/>
      <c r="D40" s="111"/>
      <c r="E40" s="113"/>
      <c r="F40" s="113"/>
      <c r="G40" s="114"/>
      <c r="H40" s="129"/>
      <c r="I40" s="123" t="s">
        <v>544</v>
      </c>
      <c r="J40" s="117">
        <v>4984.8999999999996</v>
      </c>
      <c r="K40" s="117">
        <v>4794.5025039999991</v>
      </c>
      <c r="L40" s="117">
        <v>4196.2769039999994</v>
      </c>
      <c r="M40" s="117">
        <v>3676.6201039999996</v>
      </c>
      <c r="N40" s="117">
        <v>3392.6697039999995</v>
      </c>
      <c r="O40" s="117">
        <v>3108.7193039999997</v>
      </c>
      <c r="P40" s="117">
        <v>2824.7689039999996</v>
      </c>
      <c r="Q40" s="117">
        <v>25408.185039999997</v>
      </c>
      <c r="R40" s="117">
        <v>52386.64246399999</v>
      </c>
      <c r="S40" s="105"/>
      <c r="T40" s="106"/>
      <c r="U40" s="107"/>
    </row>
    <row r="41" spans="1:21" s="118" customFormat="1" x14ac:dyDescent="0.25">
      <c r="A41" s="96">
        <v>16</v>
      </c>
      <c r="B41" s="99" t="s">
        <v>632</v>
      </c>
      <c r="C41" s="98" t="s">
        <v>633</v>
      </c>
      <c r="D41" s="125" t="s">
        <v>634</v>
      </c>
      <c r="E41" s="131"/>
      <c r="F41" s="132" t="s">
        <v>635</v>
      </c>
      <c r="G41" s="127" t="s">
        <v>636</v>
      </c>
      <c r="H41" s="102">
        <v>46991.33</v>
      </c>
      <c r="I41" s="103" t="s">
        <v>542</v>
      </c>
      <c r="J41" s="104">
        <v>9896</v>
      </c>
      <c r="K41" s="104">
        <v>9896</v>
      </c>
      <c r="L41" s="104">
        <v>7420.33</v>
      </c>
      <c r="M41" s="128">
        <v>0</v>
      </c>
      <c r="N41" s="128">
        <v>0</v>
      </c>
      <c r="O41" s="128">
        <v>0</v>
      </c>
      <c r="P41" s="128">
        <v>0</v>
      </c>
      <c r="Q41" s="128">
        <v>0</v>
      </c>
      <c r="R41" s="104">
        <v>27212.33</v>
      </c>
      <c r="S41" s="105"/>
      <c r="T41" s="106"/>
      <c r="U41" s="107"/>
    </row>
    <row r="42" spans="1:21" s="118" customFormat="1" ht="13.8" thickBot="1" x14ac:dyDescent="0.3">
      <c r="A42" s="109"/>
      <c r="B42" s="110"/>
      <c r="C42" s="111"/>
      <c r="D42" s="111"/>
      <c r="E42" s="113"/>
      <c r="F42" s="113" t="s">
        <v>637</v>
      </c>
      <c r="G42" s="114"/>
      <c r="H42" s="129"/>
      <c r="I42" s="116" t="s">
        <v>544</v>
      </c>
      <c r="J42" s="117">
        <v>65.03</v>
      </c>
      <c r="K42" s="117">
        <v>86.58165000000001</v>
      </c>
      <c r="L42" s="117">
        <v>37.101649999999999</v>
      </c>
      <c r="M42" s="130">
        <v>0</v>
      </c>
      <c r="N42" s="130">
        <v>0</v>
      </c>
      <c r="O42" s="130">
        <v>0</v>
      </c>
      <c r="P42" s="130">
        <v>0</v>
      </c>
      <c r="Q42" s="130">
        <v>0</v>
      </c>
      <c r="R42" s="117">
        <v>188.7133</v>
      </c>
      <c r="S42" s="105"/>
      <c r="T42" s="106"/>
      <c r="U42" s="107"/>
    </row>
    <row r="43" spans="1:21" s="155" customFormat="1" x14ac:dyDescent="0.25">
      <c r="A43" s="96">
        <v>17</v>
      </c>
      <c r="B43" s="99" t="s">
        <v>638</v>
      </c>
      <c r="C43" s="98" t="s">
        <v>639</v>
      </c>
      <c r="D43" s="125" t="s">
        <v>640</v>
      </c>
      <c r="E43" s="154"/>
      <c r="F43" s="132" t="s">
        <v>629</v>
      </c>
      <c r="G43" s="127" t="s">
        <v>641</v>
      </c>
      <c r="H43" s="102">
        <v>581242</v>
      </c>
      <c r="I43" s="123" t="s">
        <v>542</v>
      </c>
      <c r="J43" s="104">
        <v>58116</v>
      </c>
      <c r="K43" s="104">
        <v>58116</v>
      </c>
      <c r="L43" s="104">
        <v>58116</v>
      </c>
      <c r="M43" s="104">
        <v>58116</v>
      </c>
      <c r="N43" s="104">
        <v>58116</v>
      </c>
      <c r="O43" s="104">
        <v>58116</v>
      </c>
      <c r="P43" s="104">
        <v>58116</v>
      </c>
      <c r="Q43" s="104">
        <v>115550.12</v>
      </c>
      <c r="R43" s="104">
        <v>522362.12</v>
      </c>
      <c r="S43" s="105"/>
      <c r="T43" s="106"/>
      <c r="U43" s="107"/>
    </row>
    <row r="44" spans="1:21" s="155" customFormat="1" ht="13.8" thickBot="1" x14ac:dyDescent="0.3">
      <c r="A44" s="109"/>
      <c r="B44" s="156"/>
      <c r="C44" s="111"/>
      <c r="D44" s="157"/>
      <c r="E44" s="158"/>
      <c r="F44" s="113"/>
      <c r="G44" s="114"/>
      <c r="H44" s="129"/>
      <c r="I44" s="116" t="s">
        <v>544</v>
      </c>
      <c r="J44" s="117">
        <v>13684.4</v>
      </c>
      <c r="K44" s="117">
        <v>15329.406882400001</v>
      </c>
      <c r="L44" s="117">
        <v>13410.4165624</v>
      </c>
      <c r="M44" s="117">
        <v>11491.426242400001</v>
      </c>
      <c r="N44" s="117">
        <v>9572.4359224</v>
      </c>
      <c r="O44" s="117">
        <v>7653.4456024000001</v>
      </c>
      <c r="P44" s="117">
        <v>5734.4552824000002</v>
      </c>
      <c r="Q44" s="117">
        <v>11446.3948872</v>
      </c>
      <c r="R44" s="117">
        <v>88322.381381600004</v>
      </c>
      <c r="S44" s="105"/>
      <c r="T44" s="106"/>
      <c r="U44" s="107"/>
    </row>
    <row r="45" spans="1:21" s="155" customFormat="1" x14ac:dyDescent="0.25">
      <c r="A45" s="96">
        <v>18</v>
      </c>
      <c r="B45" s="99" t="s">
        <v>642</v>
      </c>
      <c r="C45" s="98" t="s">
        <v>643</v>
      </c>
      <c r="D45" s="125" t="s">
        <v>644</v>
      </c>
      <c r="E45" s="154"/>
      <c r="F45" s="132" t="s">
        <v>645</v>
      </c>
      <c r="G45" s="127" t="s">
        <v>646</v>
      </c>
      <c r="H45" s="102">
        <v>141294</v>
      </c>
      <c r="I45" s="123" t="s">
        <v>542</v>
      </c>
      <c r="J45" s="104">
        <v>29748</v>
      </c>
      <c r="K45" s="104">
        <v>29748</v>
      </c>
      <c r="L45" s="104">
        <v>29748</v>
      </c>
      <c r="M45" s="104">
        <v>22311</v>
      </c>
      <c r="N45" s="128">
        <v>0</v>
      </c>
      <c r="O45" s="128">
        <v>0</v>
      </c>
      <c r="P45" s="128">
        <v>0</v>
      </c>
      <c r="Q45" s="128">
        <v>0</v>
      </c>
      <c r="R45" s="104">
        <v>111555</v>
      </c>
      <c r="S45" s="105"/>
      <c r="T45" s="106"/>
      <c r="U45" s="107"/>
    </row>
    <row r="46" spans="1:21" s="155" customFormat="1" ht="13.8" thickBot="1" x14ac:dyDescent="0.3">
      <c r="A46" s="109"/>
      <c r="B46" s="156"/>
      <c r="C46" s="111"/>
      <c r="D46" s="157"/>
      <c r="E46" s="158"/>
      <c r="F46" s="113"/>
      <c r="G46" s="114"/>
      <c r="H46" s="129"/>
      <c r="I46" s="116" t="s">
        <v>544</v>
      </c>
      <c r="J46" s="117">
        <v>270.95</v>
      </c>
      <c r="K46" s="117">
        <v>204.51750000000001</v>
      </c>
      <c r="L46" s="117">
        <v>130.14750000000001</v>
      </c>
      <c r="M46" s="117">
        <v>55.777500000000003</v>
      </c>
      <c r="N46" s="130">
        <v>0</v>
      </c>
      <c r="O46" s="130">
        <v>0</v>
      </c>
      <c r="P46" s="130">
        <v>0</v>
      </c>
      <c r="Q46" s="130">
        <v>0</v>
      </c>
      <c r="R46" s="117">
        <v>661.39250000000004</v>
      </c>
      <c r="S46" s="105"/>
      <c r="T46" s="106"/>
      <c r="U46" s="107"/>
    </row>
    <row r="47" spans="1:21" s="155" customFormat="1" x14ac:dyDescent="0.25">
      <c r="A47" s="96">
        <v>19</v>
      </c>
      <c r="B47" s="99" t="s">
        <v>647</v>
      </c>
      <c r="C47" s="98" t="s">
        <v>648</v>
      </c>
      <c r="D47" s="125" t="s">
        <v>649</v>
      </c>
      <c r="E47" s="154"/>
      <c r="F47" s="132" t="s">
        <v>629</v>
      </c>
      <c r="G47" s="127" t="s">
        <v>641</v>
      </c>
      <c r="H47" s="102">
        <v>697002</v>
      </c>
      <c r="I47" s="123" t="s">
        <v>542</v>
      </c>
      <c r="J47" s="104">
        <v>73372</v>
      </c>
      <c r="K47" s="104">
        <v>73372</v>
      </c>
      <c r="L47" s="104">
        <v>73372</v>
      </c>
      <c r="M47" s="104">
        <v>73372</v>
      </c>
      <c r="N47" s="104">
        <v>73372</v>
      </c>
      <c r="O47" s="104">
        <v>73372</v>
      </c>
      <c r="P47" s="104">
        <v>73372</v>
      </c>
      <c r="Q47" s="104">
        <v>146744</v>
      </c>
      <c r="R47" s="104">
        <v>660348</v>
      </c>
      <c r="S47" s="105"/>
      <c r="T47" s="106"/>
      <c r="U47" s="107"/>
    </row>
    <row r="48" spans="1:21" s="155" customFormat="1" ht="13.8" thickBot="1" x14ac:dyDescent="0.3">
      <c r="A48" s="109"/>
      <c r="B48" s="156"/>
      <c r="C48" s="111"/>
      <c r="D48" s="157"/>
      <c r="E48" s="158"/>
      <c r="F48" s="113"/>
      <c r="G48" s="114"/>
      <c r="H48" s="129"/>
      <c r="I48" s="116" t="s">
        <v>544</v>
      </c>
      <c r="J48" s="117">
        <v>17927.87</v>
      </c>
      <c r="K48" s="117">
        <v>19381.947520000002</v>
      </c>
      <c r="L48" s="117">
        <v>16959.20408</v>
      </c>
      <c r="M48" s="117">
        <v>14536.460640000001</v>
      </c>
      <c r="N48" s="117">
        <v>12113.717200000001</v>
      </c>
      <c r="O48" s="117">
        <v>9690.9737600000008</v>
      </c>
      <c r="P48" s="117">
        <v>7268.2303200000006</v>
      </c>
      <c r="Q48" s="117">
        <v>19381.947520000002</v>
      </c>
      <c r="R48" s="117">
        <v>117260.35103999999</v>
      </c>
      <c r="S48" s="105"/>
      <c r="T48" s="106"/>
      <c r="U48" s="107"/>
    </row>
    <row r="49" spans="1:21" s="118" customFormat="1" ht="12.6" customHeight="1" x14ac:dyDescent="0.25">
      <c r="A49" s="96">
        <v>20</v>
      </c>
      <c r="B49" s="99" t="s">
        <v>650</v>
      </c>
      <c r="C49" s="98" t="s">
        <v>651</v>
      </c>
      <c r="D49" s="125" t="s">
        <v>652</v>
      </c>
      <c r="E49" s="131"/>
      <c r="F49" s="132" t="s">
        <v>635</v>
      </c>
      <c r="G49" s="127" t="s">
        <v>636</v>
      </c>
      <c r="H49" s="102">
        <v>53218</v>
      </c>
      <c r="I49" s="123" t="s">
        <v>542</v>
      </c>
      <c r="J49" s="104">
        <v>11448</v>
      </c>
      <c r="K49" s="104">
        <v>11448</v>
      </c>
      <c r="L49" s="104">
        <v>7444</v>
      </c>
      <c r="M49" s="128">
        <v>0</v>
      </c>
      <c r="N49" s="128">
        <v>0</v>
      </c>
      <c r="O49" s="128">
        <v>0</v>
      </c>
      <c r="P49" s="128">
        <v>0</v>
      </c>
      <c r="Q49" s="128">
        <v>0</v>
      </c>
      <c r="R49" s="104">
        <v>30340</v>
      </c>
      <c r="S49" s="105"/>
      <c r="T49" s="106"/>
      <c r="U49" s="107"/>
    </row>
    <row r="50" spans="1:21" s="118" customFormat="1" ht="13.8" thickBot="1" x14ac:dyDescent="0.3">
      <c r="A50" s="109"/>
      <c r="B50" s="156"/>
      <c r="C50" s="111"/>
      <c r="D50" s="111"/>
      <c r="E50" s="113"/>
      <c r="F50" s="113"/>
      <c r="G50" s="114"/>
      <c r="H50" s="129"/>
      <c r="I50" s="116" t="s">
        <v>544</v>
      </c>
      <c r="J50" s="117">
        <v>73.64</v>
      </c>
      <c r="K50" s="117">
        <v>47.230000000000004</v>
      </c>
      <c r="L50" s="117">
        <v>18.61</v>
      </c>
      <c r="M50" s="130">
        <v>0</v>
      </c>
      <c r="N50" s="130">
        <v>0</v>
      </c>
      <c r="O50" s="130">
        <v>0</v>
      </c>
      <c r="P50" s="130">
        <v>0</v>
      </c>
      <c r="Q50" s="130">
        <v>0</v>
      </c>
      <c r="R50" s="117">
        <v>139.48000000000002</v>
      </c>
      <c r="S50" s="105"/>
      <c r="T50" s="106"/>
      <c r="U50" s="107"/>
    </row>
    <row r="51" spans="1:21" s="118" customFormat="1" ht="12.6" customHeight="1" x14ac:dyDescent="0.25">
      <c r="A51" s="96">
        <v>21</v>
      </c>
      <c r="B51" s="99" t="s">
        <v>653</v>
      </c>
      <c r="C51" s="98" t="s">
        <v>654</v>
      </c>
      <c r="D51" s="125" t="s">
        <v>655</v>
      </c>
      <c r="E51" s="131"/>
      <c r="F51" s="132" t="s">
        <v>656</v>
      </c>
      <c r="G51" s="127" t="s">
        <v>657</v>
      </c>
      <c r="H51" s="102">
        <v>496340</v>
      </c>
      <c r="I51" s="123" t="s">
        <v>542</v>
      </c>
      <c r="J51" s="104">
        <v>26815</v>
      </c>
      <c r="K51" s="104">
        <v>47782.7</v>
      </c>
      <c r="L51" s="104">
        <v>47782.7</v>
      </c>
      <c r="M51" s="104">
        <v>47782.7</v>
      </c>
      <c r="N51" s="104">
        <v>47782.7</v>
      </c>
      <c r="O51" s="104">
        <v>47782.7</v>
      </c>
      <c r="P51" s="104">
        <v>47782.7</v>
      </c>
      <c r="Q51" s="104">
        <v>182828.79999999999</v>
      </c>
      <c r="R51" s="104">
        <v>496340</v>
      </c>
      <c r="S51" s="105"/>
      <c r="T51" s="106"/>
      <c r="U51" s="107"/>
    </row>
    <row r="52" spans="1:21" s="118" customFormat="1" ht="13.8" thickBot="1" x14ac:dyDescent="0.3">
      <c r="A52" s="109"/>
      <c r="B52" s="156" t="s">
        <v>658</v>
      </c>
      <c r="C52" s="111"/>
      <c r="D52" s="111" t="s">
        <v>659</v>
      </c>
      <c r="E52" s="113"/>
      <c r="F52" s="113"/>
      <c r="G52" s="114"/>
      <c r="H52" s="129"/>
      <c r="I52" s="116" t="s">
        <v>544</v>
      </c>
      <c r="J52" s="117">
        <v>13924.6</v>
      </c>
      <c r="K52" s="117">
        <v>11155.914000000001</v>
      </c>
      <c r="L52" s="117">
        <v>10020.597048</v>
      </c>
      <c r="M52" s="117">
        <v>8885.2800959999986</v>
      </c>
      <c r="N52" s="117">
        <v>7749.9631439999994</v>
      </c>
      <c r="O52" s="117">
        <v>6614.6461919999992</v>
      </c>
      <c r="P52" s="117">
        <v>5479.32924</v>
      </c>
      <c r="Q52" s="117">
        <v>13032.036864</v>
      </c>
      <c r="R52" s="117">
        <v>76862.366584000003</v>
      </c>
      <c r="S52" s="105"/>
      <c r="T52" s="106"/>
      <c r="U52" s="107"/>
    </row>
    <row r="53" spans="1:21" s="118" customFormat="1" ht="12.6" customHeight="1" x14ac:dyDescent="0.25">
      <c r="A53" s="96">
        <v>22</v>
      </c>
      <c r="B53" s="99" t="s">
        <v>660</v>
      </c>
      <c r="C53" s="98" t="s">
        <v>661</v>
      </c>
      <c r="D53" s="125" t="s">
        <v>662</v>
      </c>
      <c r="E53" s="131"/>
      <c r="F53" s="132" t="s">
        <v>663</v>
      </c>
      <c r="G53" s="127" t="s">
        <v>664</v>
      </c>
      <c r="H53" s="102">
        <v>96800</v>
      </c>
      <c r="I53" s="123" t="s">
        <v>542</v>
      </c>
      <c r="J53" s="104">
        <v>20375</v>
      </c>
      <c r="K53" s="104">
        <v>20380</v>
      </c>
      <c r="L53" s="104">
        <v>20380</v>
      </c>
      <c r="M53" s="104">
        <v>20380</v>
      </c>
      <c r="N53" s="104">
        <v>15285</v>
      </c>
      <c r="O53" s="128">
        <v>0</v>
      </c>
      <c r="P53" s="128">
        <v>0</v>
      </c>
      <c r="Q53" s="128">
        <v>0</v>
      </c>
      <c r="R53" s="104">
        <v>96800</v>
      </c>
      <c r="S53" s="105"/>
      <c r="T53" s="106"/>
      <c r="U53" s="107"/>
    </row>
    <row r="54" spans="1:21" s="118" customFormat="1" ht="13.8" thickBot="1" x14ac:dyDescent="0.3">
      <c r="A54" s="109"/>
      <c r="B54" s="156" t="s">
        <v>665</v>
      </c>
      <c r="C54" s="111"/>
      <c r="D54" s="111"/>
      <c r="E54" s="113"/>
      <c r="F54" s="113"/>
      <c r="G54" s="114"/>
      <c r="H54" s="129"/>
      <c r="I54" s="116" t="s">
        <v>544</v>
      </c>
      <c r="J54" s="117">
        <v>2368.89</v>
      </c>
      <c r="K54" s="117">
        <v>3990.1492499999999</v>
      </c>
      <c r="L54" s="117">
        <v>2926.1094499999999</v>
      </c>
      <c r="M54" s="117">
        <v>1862.0696499999999</v>
      </c>
      <c r="N54" s="117">
        <v>798.02985000000001</v>
      </c>
      <c r="O54" s="130">
        <v>0</v>
      </c>
      <c r="P54" s="130">
        <v>0</v>
      </c>
      <c r="Q54" s="130">
        <v>0</v>
      </c>
      <c r="R54" s="117">
        <v>11945.2482</v>
      </c>
      <c r="S54" s="105"/>
      <c r="T54" s="106"/>
      <c r="U54" s="107"/>
    </row>
    <row r="55" spans="1:21" s="118" customFormat="1" ht="13.2" customHeight="1" x14ac:dyDescent="0.25">
      <c r="A55" s="96">
        <v>23</v>
      </c>
      <c r="B55" s="391" t="s">
        <v>666</v>
      </c>
      <c r="C55" s="379" t="s">
        <v>667</v>
      </c>
      <c r="D55" s="397" t="s">
        <v>668</v>
      </c>
      <c r="E55" s="131"/>
      <c r="F55" s="408" t="s">
        <v>669</v>
      </c>
      <c r="G55" s="403" t="s">
        <v>670</v>
      </c>
      <c r="H55" s="381">
        <v>5678344.2000000002</v>
      </c>
      <c r="I55" s="123" t="s">
        <v>542</v>
      </c>
      <c r="J55" s="104">
        <v>434960</v>
      </c>
      <c r="K55" s="104">
        <v>395316</v>
      </c>
      <c r="L55" s="104">
        <v>363420</v>
      </c>
      <c r="M55" s="104">
        <v>344336</v>
      </c>
      <c r="N55" s="104">
        <v>314856</v>
      </c>
      <c r="O55" s="104">
        <v>305080</v>
      </c>
      <c r="P55" s="104">
        <v>279984</v>
      </c>
      <c r="Q55" s="104">
        <v>1029192</v>
      </c>
      <c r="R55" s="104">
        <v>3467144</v>
      </c>
      <c r="S55" s="105"/>
      <c r="T55" s="106"/>
      <c r="U55" s="107"/>
    </row>
    <row r="56" spans="1:21" s="118" customFormat="1" ht="13.8" thickBot="1" x14ac:dyDescent="0.3">
      <c r="A56" s="109"/>
      <c r="B56" s="407"/>
      <c r="C56" s="385"/>
      <c r="D56" s="380"/>
      <c r="E56" s="113"/>
      <c r="F56" s="385"/>
      <c r="G56" s="385"/>
      <c r="H56" s="395"/>
      <c r="I56" s="116" t="s">
        <v>544</v>
      </c>
      <c r="J56" s="117">
        <v>65376.100000000006</v>
      </c>
      <c r="K56" s="117">
        <v>117497.13</v>
      </c>
      <c r="L56" s="117">
        <v>102178.63499999999</v>
      </c>
      <c r="M56" s="117">
        <v>88096.11</v>
      </c>
      <c r="N56" s="117">
        <v>74753.09</v>
      </c>
      <c r="O56" s="117">
        <v>62552.42</v>
      </c>
      <c r="P56" s="117">
        <v>50730.57</v>
      </c>
      <c r="Q56" s="117">
        <v>239287.14</v>
      </c>
      <c r="R56" s="117">
        <v>800471.19499999995</v>
      </c>
      <c r="S56" s="105"/>
      <c r="T56" s="106"/>
      <c r="U56" s="107"/>
    </row>
    <row r="57" spans="1:21" s="118" customFormat="1" ht="13.2" customHeight="1" x14ac:dyDescent="0.25">
      <c r="A57" s="96">
        <v>24</v>
      </c>
      <c r="B57" s="405" t="s">
        <v>671</v>
      </c>
      <c r="C57" s="397" t="s">
        <v>672</v>
      </c>
      <c r="D57" s="397" t="s">
        <v>673</v>
      </c>
      <c r="E57" s="131"/>
      <c r="F57" s="404" t="s">
        <v>674</v>
      </c>
      <c r="G57" s="397" t="s">
        <v>675</v>
      </c>
      <c r="H57" s="381">
        <v>2075409</v>
      </c>
      <c r="I57" s="123" t="s">
        <v>542</v>
      </c>
      <c r="J57" s="104">
        <v>150040</v>
      </c>
      <c r="K57" s="104">
        <v>128252</v>
      </c>
      <c r="L57" s="104">
        <v>123200</v>
      </c>
      <c r="M57" s="104">
        <v>121648</v>
      </c>
      <c r="N57" s="104">
        <v>117000</v>
      </c>
      <c r="O57" s="104">
        <v>117000</v>
      </c>
      <c r="P57" s="104">
        <v>117000</v>
      </c>
      <c r="Q57" s="104">
        <v>687102</v>
      </c>
      <c r="R57" s="104">
        <v>1561242</v>
      </c>
      <c r="S57" s="105"/>
      <c r="T57" s="106"/>
      <c r="U57" s="107"/>
    </row>
    <row r="58" spans="1:21" s="118" customFormat="1" ht="13.8" thickBot="1" x14ac:dyDescent="0.3">
      <c r="A58" s="109"/>
      <c r="B58" s="406"/>
      <c r="C58" s="398"/>
      <c r="D58" s="398"/>
      <c r="E58" s="113"/>
      <c r="F58" s="394"/>
      <c r="G58" s="398"/>
      <c r="H58" s="395"/>
      <c r="I58" s="116" t="s">
        <v>544</v>
      </c>
      <c r="J58" s="117">
        <v>25821.599999999999</v>
      </c>
      <c r="K58" s="117">
        <v>57506.481500000002</v>
      </c>
      <c r="L58" s="117">
        <v>52280.212500000001</v>
      </c>
      <c r="M58" s="117">
        <v>47259.8125</v>
      </c>
      <c r="N58" s="117">
        <v>42302.656500000005</v>
      </c>
      <c r="O58" s="117">
        <v>37534.906500000005</v>
      </c>
      <c r="P58" s="117">
        <v>32767.156500000001</v>
      </c>
      <c r="Q58" s="117">
        <v>237994.95525</v>
      </c>
      <c r="R58" s="117">
        <v>533467.78125</v>
      </c>
      <c r="S58" s="105"/>
      <c r="T58" s="106"/>
      <c r="U58" s="107"/>
    </row>
    <row r="59" spans="1:21" s="118" customFormat="1" ht="13.2" customHeight="1" x14ac:dyDescent="0.25">
      <c r="A59" s="96">
        <v>25</v>
      </c>
      <c r="B59" s="391" t="s">
        <v>676</v>
      </c>
      <c r="C59" s="397" t="s">
        <v>677</v>
      </c>
      <c r="D59" s="397" t="s">
        <v>678</v>
      </c>
      <c r="E59" s="131"/>
      <c r="F59" s="393" t="s">
        <v>679</v>
      </c>
      <c r="G59" s="379" t="s">
        <v>680</v>
      </c>
      <c r="H59" s="381">
        <v>484935.32</v>
      </c>
      <c r="I59" s="123" t="s">
        <v>542</v>
      </c>
      <c r="J59" s="104">
        <v>20312</v>
      </c>
      <c r="K59" s="104">
        <v>20312</v>
      </c>
      <c r="L59" s="104">
        <v>20312</v>
      </c>
      <c r="M59" s="104">
        <v>20312</v>
      </c>
      <c r="N59" s="104">
        <v>20312</v>
      </c>
      <c r="O59" s="104">
        <v>20312</v>
      </c>
      <c r="P59" s="104">
        <v>20312</v>
      </c>
      <c r="Q59" s="104">
        <v>167574</v>
      </c>
      <c r="R59" s="104">
        <v>309758</v>
      </c>
      <c r="S59" s="105"/>
      <c r="T59" s="106"/>
      <c r="U59" s="107"/>
    </row>
    <row r="60" spans="1:21" s="118" customFormat="1" ht="13.8" thickBot="1" x14ac:dyDescent="0.3">
      <c r="A60" s="109"/>
      <c r="B60" s="396"/>
      <c r="C60" s="398"/>
      <c r="D60" s="398"/>
      <c r="E60" s="113"/>
      <c r="F60" s="394"/>
      <c r="G60" s="385"/>
      <c r="H60" s="395"/>
      <c r="I60" s="116" t="s">
        <v>544</v>
      </c>
      <c r="J60" s="117">
        <v>6913.95</v>
      </c>
      <c r="K60" s="117">
        <v>10457.68398</v>
      </c>
      <c r="L60" s="117">
        <v>9723.81142</v>
      </c>
      <c r="M60" s="117">
        <v>8989.9388600000002</v>
      </c>
      <c r="N60" s="117">
        <v>8256.0663000000004</v>
      </c>
      <c r="O60" s="117">
        <v>7522.1937400000006</v>
      </c>
      <c r="P60" s="117">
        <v>6788.3211800000008</v>
      </c>
      <c r="Q60" s="117">
        <v>50251.923546000005</v>
      </c>
      <c r="R60" s="117">
        <v>108903.889026</v>
      </c>
      <c r="S60" s="105"/>
      <c r="T60" s="106"/>
      <c r="U60" s="107"/>
    </row>
    <row r="61" spans="1:21" s="118" customFormat="1" ht="13.2" customHeight="1" x14ac:dyDescent="0.25">
      <c r="A61" s="96">
        <v>26</v>
      </c>
      <c r="B61" s="391" t="s">
        <v>681</v>
      </c>
      <c r="C61" s="397" t="s">
        <v>682</v>
      </c>
      <c r="D61" s="397" t="s">
        <v>683</v>
      </c>
      <c r="E61" s="131"/>
      <c r="F61" s="393" t="s">
        <v>684</v>
      </c>
      <c r="G61" s="379" t="s">
        <v>685</v>
      </c>
      <c r="H61" s="381">
        <v>55899</v>
      </c>
      <c r="I61" s="123" t="s">
        <v>542</v>
      </c>
      <c r="J61" s="104">
        <v>8944</v>
      </c>
      <c r="K61" s="104">
        <v>8944</v>
      </c>
      <c r="L61" s="104">
        <v>4472</v>
      </c>
      <c r="M61" s="128">
        <v>0</v>
      </c>
      <c r="N61" s="128">
        <v>0</v>
      </c>
      <c r="O61" s="128">
        <v>0</v>
      </c>
      <c r="P61" s="128">
        <v>0</v>
      </c>
      <c r="Q61" s="128">
        <v>0</v>
      </c>
      <c r="R61" s="104">
        <v>22360</v>
      </c>
      <c r="S61" s="105"/>
      <c r="T61" s="106"/>
      <c r="U61" s="107"/>
    </row>
    <row r="62" spans="1:21" s="118" customFormat="1" ht="13.8" thickBot="1" x14ac:dyDescent="0.3">
      <c r="A62" s="109"/>
      <c r="B62" s="396"/>
      <c r="C62" s="398"/>
      <c r="D62" s="398"/>
      <c r="E62" s="113"/>
      <c r="F62" s="394"/>
      <c r="G62" s="385"/>
      <c r="H62" s="395"/>
      <c r="I62" s="116" t="s">
        <v>544</v>
      </c>
      <c r="J62" s="117">
        <v>337.39</v>
      </c>
      <c r="K62" s="117">
        <v>544.28712000000007</v>
      </c>
      <c r="L62" s="117">
        <v>181.42904000000001</v>
      </c>
      <c r="M62" s="130">
        <v>0</v>
      </c>
      <c r="N62" s="130">
        <v>0</v>
      </c>
      <c r="O62" s="130">
        <v>0</v>
      </c>
      <c r="P62" s="130">
        <v>0</v>
      </c>
      <c r="Q62" s="130">
        <v>0</v>
      </c>
      <c r="R62" s="117">
        <v>1063.10616</v>
      </c>
      <c r="S62" s="105"/>
      <c r="T62" s="106"/>
      <c r="U62" s="107"/>
    </row>
    <row r="63" spans="1:21" s="118" customFormat="1" ht="13.2" customHeight="1" x14ac:dyDescent="0.25">
      <c r="A63" s="96">
        <v>27</v>
      </c>
      <c r="B63" s="391" t="s">
        <v>686</v>
      </c>
      <c r="C63" s="397" t="s">
        <v>687</v>
      </c>
      <c r="D63" s="397" t="s">
        <v>688</v>
      </c>
      <c r="E63" s="131"/>
      <c r="F63" s="379" t="s">
        <v>684</v>
      </c>
      <c r="G63" s="379" t="s">
        <v>689</v>
      </c>
      <c r="H63" s="381">
        <v>8518.4</v>
      </c>
      <c r="I63" s="123" t="s">
        <v>542</v>
      </c>
      <c r="J63" s="104">
        <v>948</v>
      </c>
      <c r="K63" s="128">
        <v>0</v>
      </c>
      <c r="L63" s="128">
        <v>0</v>
      </c>
      <c r="M63" s="128">
        <v>0</v>
      </c>
      <c r="N63" s="128">
        <v>0</v>
      </c>
      <c r="O63" s="128">
        <v>0</v>
      </c>
      <c r="P63" s="128">
        <v>0</v>
      </c>
      <c r="Q63" s="128">
        <v>0</v>
      </c>
      <c r="R63" s="104">
        <v>948</v>
      </c>
      <c r="S63" s="105"/>
      <c r="T63" s="106"/>
      <c r="U63" s="107"/>
    </row>
    <row r="64" spans="1:21" s="118" customFormat="1" ht="13.8" thickBot="1" x14ac:dyDescent="0.3">
      <c r="A64" s="109"/>
      <c r="B64" s="392"/>
      <c r="C64" s="398"/>
      <c r="D64" s="398"/>
      <c r="E64" s="113"/>
      <c r="F64" s="380"/>
      <c r="G64" s="385"/>
      <c r="H64" s="395"/>
      <c r="I64" s="116" t="s">
        <v>544</v>
      </c>
      <c r="J64" s="117">
        <v>3.7900000000000005</v>
      </c>
      <c r="K64" s="130">
        <v>0</v>
      </c>
      <c r="L64" s="130">
        <v>0</v>
      </c>
      <c r="M64" s="130">
        <v>0</v>
      </c>
      <c r="N64" s="130">
        <v>0</v>
      </c>
      <c r="O64" s="130">
        <v>0</v>
      </c>
      <c r="P64" s="130">
        <v>0</v>
      </c>
      <c r="Q64" s="130">
        <v>0</v>
      </c>
      <c r="R64" s="117">
        <v>3.7900000000000005</v>
      </c>
      <c r="S64" s="105"/>
      <c r="T64" s="106"/>
      <c r="U64" s="107"/>
    </row>
    <row r="65" spans="1:21" s="118" customFormat="1" ht="13.2" customHeight="1" x14ac:dyDescent="0.25">
      <c r="A65" s="96">
        <v>28</v>
      </c>
      <c r="B65" s="391" t="s">
        <v>690</v>
      </c>
      <c r="C65" s="397" t="s">
        <v>691</v>
      </c>
      <c r="D65" s="397" t="s">
        <v>692</v>
      </c>
      <c r="E65" s="131"/>
      <c r="F65" s="393" t="s">
        <v>684</v>
      </c>
      <c r="G65" s="379" t="s">
        <v>693</v>
      </c>
      <c r="H65" s="381">
        <v>238897.15</v>
      </c>
      <c r="I65" s="123" t="s">
        <v>542</v>
      </c>
      <c r="J65" s="104">
        <v>10600</v>
      </c>
      <c r="K65" s="104">
        <v>10600</v>
      </c>
      <c r="L65" s="104">
        <v>10600</v>
      </c>
      <c r="M65" s="104">
        <v>10600</v>
      </c>
      <c r="N65" s="104">
        <v>10600</v>
      </c>
      <c r="O65" s="104">
        <v>10600</v>
      </c>
      <c r="P65" s="104">
        <v>10600</v>
      </c>
      <c r="Q65" s="104">
        <v>90100</v>
      </c>
      <c r="R65" s="104">
        <v>164300</v>
      </c>
      <c r="S65" s="105"/>
      <c r="T65" s="106"/>
      <c r="U65" s="107"/>
    </row>
    <row r="66" spans="1:21" s="118" customFormat="1" ht="13.8" thickBot="1" x14ac:dyDescent="0.3">
      <c r="A66" s="109"/>
      <c r="B66" s="396"/>
      <c r="C66" s="398"/>
      <c r="D66" s="398"/>
      <c r="E66" s="113"/>
      <c r="F66" s="394"/>
      <c r="G66" s="385"/>
      <c r="H66" s="395"/>
      <c r="I66" s="116" t="s">
        <v>544</v>
      </c>
      <c r="J66" s="117">
        <v>2831.29</v>
      </c>
      <c r="K66" s="117">
        <v>6235.6090000000004</v>
      </c>
      <c r="L66" s="117">
        <v>5805.567</v>
      </c>
      <c r="M66" s="117">
        <v>5375.5250000000005</v>
      </c>
      <c r="N66" s="117">
        <v>4945.4830000000002</v>
      </c>
      <c r="O66" s="117">
        <v>4515.4409999999998</v>
      </c>
      <c r="P66" s="117">
        <v>4085.3990000000003</v>
      </c>
      <c r="Q66" s="117">
        <v>31070.534500000002</v>
      </c>
      <c r="R66" s="117">
        <v>64864.8485</v>
      </c>
      <c r="S66" s="105"/>
      <c r="T66" s="106"/>
      <c r="U66" s="107"/>
    </row>
    <row r="67" spans="1:21" s="118" customFormat="1" ht="13.2" customHeight="1" x14ac:dyDescent="0.25">
      <c r="A67" s="96">
        <v>29</v>
      </c>
      <c r="B67" s="391" t="s">
        <v>694</v>
      </c>
      <c r="C67" s="397" t="s">
        <v>695</v>
      </c>
      <c r="D67" s="397" t="s">
        <v>696</v>
      </c>
      <c r="E67" s="131"/>
      <c r="F67" s="393" t="s">
        <v>684</v>
      </c>
      <c r="G67" s="379" t="s">
        <v>697</v>
      </c>
      <c r="H67" s="381">
        <v>49472</v>
      </c>
      <c r="I67" s="123" t="s">
        <v>542</v>
      </c>
      <c r="J67" s="104">
        <v>3472</v>
      </c>
      <c r="K67" s="104">
        <v>3472</v>
      </c>
      <c r="L67" s="104">
        <v>3472</v>
      </c>
      <c r="M67" s="104">
        <v>3472</v>
      </c>
      <c r="N67" s="104">
        <v>3472</v>
      </c>
      <c r="O67" s="104">
        <v>3472</v>
      </c>
      <c r="P67" s="104">
        <v>3472</v>
      </c>
      <c r="Q67" s="104">
        <v>12152</v>
      </c>
      <c r="R67" s="104">
        <v>36456</v>
      </c>
      <c r="S67" s="105"/>
      <c r="T67" s="106"/>
      <c r="U67" s="107"/>
    </row>
    <row r="68" spans="1:21" s="118" customFormat="1" ht="13.8" thickBot="1" x14ac:dyDescent="0.3">
      <c r="A68" s="109"/>
      <c r="B68" s="396"/>
      <c r="C68" s="398"/>
      <c r="D68" s="398"/>
      <c r="E68" s="113"/>
      <c r="F68" s="394"/>
      <c r="G68" s="385"/>
      <c r="H68" s="395"/>
      <c r="I68" s="116" t="s">
        <v>544</v>
      </c>
      <c r="J68" s="117">
        <v>264.74</v>
      </c>
      <c r="K68" s="117">
        <v>1338.1608800000001</v>
      </c>
      <c r="L68" s="117">
        <v>1197.3018400000001</v>
      </c>
      <c r="M68" s="117">
        <v>1056.4428</v>
      </c>
      <c r="N68" s="117">
        <v>915.5837600000001</v>
      </c>
      <c r="O68" s="117">
        <v>774.72472000000005</v>
      </c>
      <c r="P68" s="117">
        <v>633.86568</v>
      </c>
      <c r="Q68" s="117">
        <v>1725.52324</v>
      </c>
      <c r="R68" s="117">
        <v>7906.342920000001</v>
      </c>
      <c r="S68" s="105"/>
      <c r="T68" s="106"/>
      <c r="U68" s="107"/>
    </row>
    <row r="69" spans="1:21" s="118" customFormat="1" ht="13.2" customHeight="1" x14ac:dyDescent="0.25">
      <c r="A69" s="96">
        <v>30</v>
      </c>
      <c r="B69" s="391" t="s">
        <v>698</v>
      </c>
      <c r="C69" s="397" t="s">
        <v>699</v>
      </c>
      <c r="D69" s="397" t="s">
        <v>700</v>
      </c>
      <c r="E69" s="131"/>
      <c r="F69" s="393" t="s">
        <v>684</v>
      </c>
      <c r="G69" s="379" t="s">
        <v>693</v>
      </c>
      <c r="H69" s="381">
        <v>278611.39</v>
      </c>
      <c r="I69" s="123" t="s">
        <v>542</v>
      </c>
      <c r="J69" s="104">
        <v>14476</v>
      </c>
      <c r="K69" s="104">
        <v>14476</v>
      </c>
      <c r="L69" s="104">
        <v>14476</v>
      </c>
      <c r="M69" s="104">
        <v>14476</v>
      </c>
      <c r="N69" s="104">
        <v>14476</v>
      </c>
      <c r="O69" s="104">
        <v>14476</v>
      </c>
      <c r="P69" s="104">
        <v>14476</v>
      </c>
      <c r="Q69" s="104">
        <v>123046</v>
      </c>
      <c r="R69" s="104">
        <v>224378</v>
      </c>
      <c r="S69" s="105"/>
      <c r="T69" s="106"/>
      <c r="U69" s="107"/>
    </row>
    <row r="70" spans="1:21" s="118" customFormat="1" ht="13.8" thickBot="1" x14ac:dyDescent="0.3">
      <c r="A70" s="109"/>
      <c r="B70" s="396"/>
      <c r="C70" s="398"/>
      <c r="D70" s="398"/>
      <c r="E70" s="113"/>
      <c r="F70" s="394"/>
      <c r="G70" s="385"/>
      <c r="H70" s="395"/>
      <c r="I70" s="116" t="s">
        <v>544</v>
      </c>
      <c r="J70" s="117">
        <v>3866.58</v>
      </c>
      <c r="K70" s="117">
        <v>8515.7241400000003</v>
      </c>
      <c r="L70" s="117">
        <v>7928.43282</v>
      </c>
      <c r="M70" s="117">
        <v>7341.1415000000006</v>
      </c>
      <c r="N70" s="117">
        <v>6753.8501800000004</v>
      </c>
      <c r="O70" s="117">
        <v>6166.5588600000001</v>
      </c>
      <c r="P70" s="117">
        <v>5579.2675399999998</v>
      </c>
      <c r="Q70" s="117">
        <v>42431.797870000002</v>
      </c>
      <c r="R70" s="117">
        <v>88583.352910000001</v>
      </c>
      <c r="S70" s="105"/>
      <c r="T70" s="106"/>
      <c r="U70" s="107"/>
    </row>
    <row r="71" spans="1:21" s="118" customFormat="1" ht="13.2" customHeight="1" x14ac:dyDescent="0.25">
      <c r="A71" s="96">
        <v>31</v>
      </c>
      <c r="B71" s="391" t="s">
        <v>701</v>
      </c>
      <c r="C71" s="397" t="s">
        <v>702</v>
      </c>
      <c r="D71" s="397" t="s">
        <v>703</v>
      </c>
      <c r="E71" s="131"/>
      <c r="F71" s="393" t="s">
        <v>704</v>
      </c>
      <c r="G71" s="379" t="s">
        <v>705</v>
      </c>
      <c r="H71" s="381">
        <v>34291</v>
      </c>
      <c r="I71" s="123" t="s">
        <v>542</v>
      </c>
      <c r="J71" s="104">
        <v>3616</v>
      </c>
      <c r="K71" s="104">
        <v>3548</v>
      </c>
      <c r="L71" s="104">
        <v>3548</v>
      </c>
      <c r="M71" s="104">
        <v>3548</v>
      </c>
      <c r="N71" s="104">
        <v>3548</v>
      </c>
      <c r="O71" s="104">
        <v>1774</v>
      </c>
      <c r="P71" s="128">
        <v>0</v>
      </c>
      <c r="Q71" s="128">
        <v>0</v>
      </c>
      <c r="R71" s="104">
        <v>19582</v>
      </c>
      <c r="S71" s="105"/>
      <c r="T71" s="106"/>
      <c r="U71" s="107"/>
    </row>
    <row r="72" spans="1:21" s="118" customFormat="1" ht="13.8" thickBot="1" x14ac:dyDescent="0.3">
      <c r="A72" s="109"/>
      <c r="B72" s="396"/>
      <c r="C72" s="398"/>
      <c r="D72" s="398"/>
      <c r="E72" s="113"/>
      <c r="F72" s="394"/>
      <c r="G72" s="385"/>
      <c r="H72" s="395"/>
      <c r="I72" s="116" t="s">
        <v>544</v>
      </c>
      <c r="J72" s="117">
        <v>336.07</v>
      </c>
      <c r="K72" s="117">
        <v>216.65862000000001</v>
      </c>
      <c r="L72" s="117">
        <v>168.51226</v>
      </c>
      <c r="M72" s="117">
        <v>120.36590000000001</v>
      </c>
      <c r="N72" s="117">
        <v>72.219540000000009</v>
      </c>
      <c r="O72" s="117">
        <v>24.073180000000001</v>
      </c>
      <c r="P72" s="130">
        <v>0</v>
      </c>
      <c r="Q72" s="130">
        <v>0</v>
      </c>
      <c r="R72" s="117">
        <v>937.89949999999999</v>
      </c>
      <c r="S72" s="105"/>
      <c r="T72" s="106"/>
      <c r="U72" s="107"/>
    </row>
    <row r="73" spans="1:21" s="118" customFormat="1" ht="13.2" customHeight="1" x14ac:dyDescent="0.25">
      <c r="A73" s="96">
        <v>32</v>
      </c>
      <c r="B73" s="391" t="s">
        <v>706</v>
      </c>
      <c r="C73" s="397" t="s">
        <v>707</v>
      </c>
      <c r="D73" s="397" t="s">
        <v>708</v>
      </c>
      <c r="E73" s="131"/>
      <c r="F73" s="393" t="s">
        <v>709</v>
      </c>
      <c r="G73" s="379" t="s">
        <v>710</v>
      </c>
      <c r="H73" s="381">
        <v>3496295</v>
      </c>
      <c r="I73" s="123" t="s">
        <v>542</v>
      </c>
      <c r="J73" s="104">
        <v>125996</v>
      </c>
      <c r="K73" s="104">
        <v>125996</v>
      </c>
      <c r="L73" s="104">
        <v>125996</v>
      </c>
      <c r="M73" s="104">
        <v>125996</v>
      </c>
      <c r="N73" s="104">
        <v>125996</v>
      </c>
      <c r="O73" s="104">
        <v>125996</v>
      </c>
      <c r="P73" s="104">
        <v>125996</v>
      </c>
      <c r="Q73" s="104">
        <v>2362425</v>
      </c>
      <c r="R73" s="104">
        <v>3244397</v>
      </c>
      <c r="S73" s="105"/>
      <c r="T73" s="106"/>
      <c r="U73" s="107"/>
    </row>
    <row r="74" spans="1:21" s="118" customFormat="1" ht="13.8" thickBot="1" x14ac:dyDescent="0.3">
      <c r="A74" s="109"/>
      <c r="B74" s="396"/>
      <c r="C74" s="398"/>
      <c r="D74" s="398"/>
      <c r="E74" s="113"/>
      <c r="F74" s="394"/>
      <c r="G74" s="385"/>
      <c r="H74" s="395"/>
      <c r="I74" s="116" t="s">
        <v>544</v>
      </c>
      <c r="J74" s="117">
        <v>50541.72</v>
      </c>
      <c r="K74" s="117">
        <v>136087.01964000001</v>
      </c>
      <c r="L74" s="117">
        <v>130588.55420000001</v>
      </c>
      <c r="M74" s="117">
        <v>125090.08876000001</v>
      </c>
      <c r="N74" s="117">
        <v>119591.62332000001</v>
      </c>
      <c r="O74" s="117">
        <v>114093.15788000001</v>
      </c>
      <c r="P74" s="117">
        <v>108594.69244000001</v>
      </c>
      <c r="Q74" s="117">
        <v>1855732.0860000001</v>
      </c>
      <c r="R74" s="117">
        <v>2640318.9422400002</v>
      </c>
      <c r="S74" s="105"/>
      <c r="T74" s="106"/>
      <c r="U74" s="107"/>
    </row>
    <row r="75" spans="1:21" s="118" customFormat="1" ht="13.2" customHeight="1" x14ac:dyDescent="0.25">
      <c r="A75" s="96">
        <v>33</v>
      </c>
      <c r="B75" s="391" t="s">
        <v>711</v>
      </c>
      <c r="C75" s="397" t="s">
        <v>712</v>
      </c>
      <c r="D75" s="397" t="s">
        <v>713</v>
      </c>
      <c r="E75" s="131"/>
      <c r="F75" s="393" t="s">
        <v>709</v>
      </c>
      <c r="G75" s="379" t="s">
        <v>710</v>
      </c>
      <c r="H75" s="381">
        <v>2614009</v>
      </c>
      <c r="I75" s="123" t="s">
        <v>542</v>
      </c>
      <c r="J75" s="104">
        <v>94200</v>
      </c>
      <c r="K75" s="104">
        <v>94200</v>
      </c>
      <c r="L75" s="104">
        <v>94200</v>
      </c>
      <c r="M75" s="104">
        <v>94200</v>
      </c>
      <c r="N75" s="104">
        <v>94200</v>
      </c>
      <c r="O75" s="104">
        <v>94200</v>
      </c>
      <c r="P75" s="104">
        <v>94200</v>
      </c>
      <c r="Q75" s="104">
        <v>1766250</v>
      </c>
      <c r="R75" s="104">
        <v>2425650</v>
      </c>
      <c r="S75" s="105"/>
      <c r="T75" s="106"/>
      <c r="U75" s="107"/>
    </row>
    <row r="76" spans="1:21" s="118" customFormat="1" ht="13.8" thickBot="1" x14ac:dyDescent="0.3">
      <c r="A76" s="109"/>
      <c r="B76" s="396"/>
      <c r="C76" s="398"/>
      <c r="D76" s="398"/>
      <c r="E76" s="113"/>
      <c r="F76" s="394"/>
      <c r="G76" s="385"/>
      <c r="H76" s="395"/>
      <c r="I76" s="116" t="s">
        <v>544</v>
      </c>
      <c r="J76" s="117">
        <v>41450.81</v>
      </c>
      <c r="K76" s="117">
        <v>101744.47800000002</v>
      </c>
      <c r="L76" s="117">
        <v>97633.590000000011</v>
      </c>
      <c r="M76" s="117">
        <v>93522.702000000005</v>
      </c>
      <c r="N76" s="117">
        <v>89411.814000000013</v>
      </c>
      <c r="O76" s="117">
        <v>85300.926000000007</v>
      </c>
      <c r="P76" s="117">
        <v>81190.038000000015</v>
      </c>
      <c r="Q76" s="117">
        <v>1387424.7000000002</v>
      </c>
      <c r="R76" s="117">
        <v>1977679.0580000002</v>
      </c>
      <c r="S76" s="105"/>
      <c r="T76" s="106"/>
      <c r="U76" s="107"/>
    </row>
    <row r="77" spans="1:21" s="118" customFormat="1" ht="13.2" customHeight="1" x14ac:dyDescent="0.25">
      <c r="A77" s="96">
        <v>34</v>
      </c>
      <c r="B77" s="391" t="s">
        <v>714</v>
      </c>
      <c r="C77" s="379" t="s">
        <v>715</v>
      </c>
      <c r="D77" s="379" t="s">
        <v>716</v>
      </c>
      <c r="E77" s="131"/>
      <c r="F77" s="383" t="s">
        <v>717</v>
      </c>
      <c r="G77" s="379" t="s">
        <v>718</v>
      </c>
      <c r="H77" s="381">
        <v>190128</v>
      </c>
      <c r="I77" s="123" t="s">
        <v>542</v>
      </c>
      <c r="J77" s="104">
        <v>9752</v>
      </c>
      <c r="K77" s="104">
        <v>9752</v>
      </c>
      <c r="L77" s="104">
        <v>9752</v>
      </c>
      <c r="M77" s="104">
        <v>9752</v>
      </c>
      <c r="N77" s="104">
        <v>9752</v>
      </c>
      <c r="O77" s="104">
        <v>9752</v>
      </c>
      <c r="P77" s="104">
        <v>9752</v>
      </c>
      <c r="Q77" s="104">
        <v>85330</v>
      </c>
      <c r="R77" s="104">
        <v>153594</v>
      </c>
      <c r="S77" s="105"/>
      <c r="T77" s="106"/>
      <c r="U77" s="107"/>
    </row>
    <row r="78" spans="1:21" s="118" customFormat="1" ht="13.8" thickBot="1" x14ac:dyDescent="0.3">
      <c r="A78" s="109"/>
      <c r="B78" s="392"/>
      <c r="C78" s="380"/>
      <c r="D78" s="380"/>
      <c r="E78" s="113"/>
      <c r="F78" s="404"/>
      <c r="G78" s="385"/>
      <c r="H78" s="395"/>
      <c r="I78" s="116" t="s">
        <v>544</v>
      </c>
      <c r="J78" s="117">
        <v>2630.76</v>
      </c>
      <c r="K78" s="117">
        <v>2491.3434399999996</v>
      </c>
      <c r="L78" s="117">
        <v>2322.4387999999999</v>
      </c>
      <c r="M78" s="117">
        <v>2153.5341599999997</v>
      </c>
      <c r="N78" s="117">
        <v>1984.6295199999997</v>
      </c>
      <c r="O78" s="117">
        <v>1815.7248799999998</v>
      </c>
      <c r="P78" s="117">
        <v>1646.8202399999998</v>
      </c>
      <c r="Q78" s="117">
        <v>13005.657279999999</v>
      </c>
      <c r="R78" s="117">
        <v>28050.908319999999</v>
      </c>
      <c r="S78" s="105"/>
      <c r="T78" s="106"/>
      <c r="U78" s="107"/>
    </row>
    <row r="79" spans="1:21" s="118" customFormat="1" ht="13.2" customHeight="1" x14ac:dyDescent="0.25">
      <c r="A79" s="96">
        <v>35</v>
      </c>
      <c r="B79" s="391" t="s">
        <v>719</v>
      </c>
      <c r="C79" s="397" t="s">
        <v>720</v>
      </c>
      <c r="D79" s="397" t="s">
        <v>721</v>
      </c>
      <c r="E79" s="131"/>
      <c r="F79" s="393" t="s">
        <v>624</v>
      </c>
      <c r="G79" s="379" t="s">
        <v>718</v>
      </c>
      <c r="H79" s="381">
        <v>177076.43</v>
      </c>
      <c r="I79" s="123" t="s">
        <v>542</v>
      </c>
      <c r="J79" s="104">
        <v>9200</v>
      </c>
      <c r="K79" s="104">
        <v>9200</v>
      </c>
      <c r="L79" s="104">
        <v>9200</v>
      </c>
      <c r="M79" s="104">
        <v>9200</v>
      </c>
      <c r="N79" s="104">
        <v>9200</v>
      </c>
      <c r="O79" s="104">
        <v>9200</v>
      </c>
      <c r="P79" s="104">
        <v>9200</v>
      </c>
      <c r="Q79" s="104">
        <v>80500</v>
      </c>
      <c r="R79" s="104">
        <v>144900</v>
      </c>
      <c r="S79" s="105"/>
      <c r="T79" s="106"/>
      <c r="U79" s="107"/>
    </row>
    <row r="80" spans="1:21" s="118" customFormat="1" ht="13.8" thickBot="1" x14ac:dyDescent="0.3">
      <c r="A80" s="109"/>
      <c r="B80" s="396"/>
      <c r="C80" s="398"/>
      <c r="D80" s="398"/>
      <c r="E80" s="113"/>
      <c r="F80" s="403"/>
      <c r="G80" s="385"/>
      <c r="H80" s="395"/>
      <c r="I80" s="116" t="s">
        <v>544</v>
      </c>
      <c r="J80" s="117">
        <v>2938.68</v>
      </c>
      <c r="K80" s="117">
        <v>2921.6209999999996</v>
      </c>
      <c r="L80" s="117">
        <v>2723.5449999999996</v>
      </c>
      <c r="M80" s="117">
        <v>2525.4689999999996</v>
      </c>
      <c r="N80" s="117">
        <v>2327.3929999999996</v>
      </c>
      <c r="O80" s="117">
        <v>2129.3169999999996</v>
      </c>
      <c r="P80" s="117">
        <v>1931.2409999999998</v>
      </c>
      <c r="Q80" s="117">
        <v>15251.851999999999</v>
      </c>
      <c r="R80" s="117">
        <v>32749.117999999995</v>
      </c>
      <c r="S80" s="105"/>
      <c r="T80" s="106"/>
      <c r="U80" s="107"/>
    </row>
    <row r="81" spans="1:21" s="118" customFormat="1" ht="13.2" customHeight="1" x14ac:dyDescent="0.25">
      <c r="A81" s="96">
        <v>36</v>
      </c>
      <c r="B81" s="391" t="s">
        <v>722</v>
      </c>
      <c r="C81" s="397" t="s">
        <v>723</v>
      </c>
      <c r="D81" s="397" t="s">
        <v>724</v>
      </c>
      <c r="E81" s="131"/>
      <c r="F81" s="393" t="s">
        <v>725</v>
      </c>
      <c r="G81" s="379" t="s">
        <v>726</v>
      </c>
      <c r="H81" s="381">
        <v>160577.24</v>
      </c>
      <c r="I81" s="123" t="s">
        <v>542</v>
      </c>
      <c r="J81" s="104">
        <v>8236</v>
      </c>
      <c r="K81" s="104">
        <v>8236</v>
      </c>
      <c r="L81" s="104">
        <v>8236</v>
      </c>
      <c r="M81" s="104">
        <v>8236</v>
      </c>
      <c r="N81" s="104">
        <v>8236</v>
      </c>
      <c r="O81" s="104">
        <v>8236</v>
      </c>
      <c r="P81" s="104">
        <v>8236</v>
      </c>
      <c r="Q81" s="104">
        <v>74124</v>
      </c>
      <c r="R81" s="104">
        <v>131776</v>
      </c>
      <c r="S81" s="105"/>
      <c r="T81" s="106"/>
      <c r="U81" s="107"/>
    </row>
    <row r="82" spans="1:21" s="118" customFormat="1" ht="13.8" thickBot="1" x14ac:dyDescent="0.3">
      <c r="A82" s="109"/>
      <c r="B82" s="396"/>
      <c r="C82" s="398"/>
      <c r="D82" s="398"/>
      <c r="E82" s="113"/>
      <c r="F82" s="399"/>
      <c r="G82" s="385"/>
      <c r="H82" s="395"/>
      <c r="I82" s="116" t="s">
        <v>544</v>
      </c>
      <c r="J82" s="117">
        <v>3502.54</v>
      </c>
      <c r="K82" s="117">
        <v>3970.5756000000001</v>
      </c>
      <c r="L82" s="117">
        <v>3705.8705600000003</v>
      </c>
      <c r="M82" s="117">
        <v>3441.16552</v>
      </c>
      <c r="N82" s="117">
        <v>3176.4604800000002</v>
      </c>
      <c r="O82" s="117">
        <v>2911.7554400000004</v>
      </c>
      <c r="P82" s="117">
        <v>2647.0504000000001</v>
      </c>
      <c r="Q82" s="117">
        <v>20964.639168000005</v>
      </c>
      <c r="R82" s="117">
        <v>44320.057168000007</v>
      </c>
      <c r="S82" s="105"/>
      <c r="T82" s="106"/>
      <c r="U82" s="107"/>
    </row>
    <row r="83" spans="1:21" s="118" customFormat="1" ht="13.2" customHeight="1" x14ac:dyDescent="0.25">
      <c r="A83" s="96">
        <v>37</v>
      </c>
      <c r="B83" s="375" t="s">
        <v>727</v>
      </c>
      <c r="C83" s="377" t="s">
        <v>728</v>
      </c>
      <c r="D83" s="377" t="s">
        <v>729</v>
      </c>
      <c r="E83" s="131"/>
      <c r="F83" s="393" t="s">
        <v>730</v>
      </c>
      <c r="G83" s="379" t="s">
        <v>731</v>
      </c>
      <c r="H83" s="381">
        <v>131127</v>
      </c>
      <c r="I83" s="123" t="s">
        <v>542</v>
      </c>
      <c r="J83" s="104">
        <v>6728</v>
      </c>
      <c r="K83" s="104">
        <v>6728</v>
      </c>
      <c r="L83" s="104">
        <v>6728</v>
      </c>
      <c r="M83" s="104">
        <v>6728</v>
      </c>
      <c r="N83" s="104">
        <v>6728</v>
      </c>
      <c r="O83" s="104">
        <v>6728</v>
      </c>
      <c r="P83" s="104">
        <v>6728</v>
      </c>
      <c r="Q83" s="104">
        <v>60552</v>
      </c>
      <c r="R83" s="104">
        <v>107648</v>
      </c>
      <c r="S83" s="105"/>
      <c r="T83" s="106"/>
      <c r="U83" s="107"/>
    </row>
    <row r="84" spans="1:21" s="118" customFormat="1" ht="13.8" thickBot="1" x14ac:dyDescent="0.3">
      <c r="A84" s="109"/>
      <c r="B84" s="400"/>
      <c r="C84" s="401"/>
      <c r="D84" s="401"/>
      <c r="E84" s="113"/>
      <c r="F84" s="399"/>
      <c r="G84" s="385"/>
      <c r="H84" s="402"/>
      <c r="I84" s="116" t="s">
        <v>544</v>
      </c>
      <c r="J84" s="117">
        <v>2829.01</v>
      </c>
      <c r="K84" s="117">
        <v>3266.7804000000001</v>
      </c>
      <c r="L84" s="117">
        <v>3048.9950400000002</v>
      </c>
      <c r="M84" s="117">
        <v>2831.2096800000004</v>
      </c>
      <c r="N84" s="117">
        <v>2613.4243200000001</v>
      </c>
      <c r="O84" s="117">
        <v>2395.6389600000002</v>
      </c>
      <c r="P84" s="117">
        <v>2177.8536000000004</v>
      </c>
      <c r="Q84" s="117">
        <v>17640.614160000001</v>
      </c>
      <c r="R84" s="117">
        <v>36803.526160000009</v>
      </c>
      <c r="S84" s="105"/>
      <c r="T84" s="106"/>
      <c r="U84" s="107"/>
    </row>
    <row r="85" spans="1:21" s="118" customFormat="1" ht="13.2" customHeight="1" x14ac:dyDescent="0.25">
      <c r="A85" s="96">
        <v>38</v>
      </c>
      <c r="B85" s="375" t="s">
        <v>732</v>
      </c>
      <c r="C85" s="377" t="s">
        <v>733</v>
      </c>
      <c r="D85" s="377" t="s">
        <v>734</v>
      </c>
      <c r="E85" s="131"/>
      <c r="F85" s="393" t="s">
        <v>735</v>
      </c>
      <c r="G85" s="379" t="s">
        <v>736</v>
      </c>
      <c r="H85" s="381">
        <v>17365.23</v>
      </c>
      <c r="I85" s="123" t="s">
        <v>542</v>
      </c>
      <c r="J85" s="104">
        <v>1932</v>
      </c>
      <c r="K85" s="104">
        <v>1932</v>
      </c>
      <c r="L85" s="104">
        <v>1932</v>
      </c>
      <c r="M85" s="104">
        <v>1932</v>
      </c>
      <c r="N85" s="104">
        <v>1932</v>
      </c>
      <c r="O85" s="104">
        <v>1932</v>
      </c>
      <c r="P85" s="104">
        <v>483</v>
      </c>
      <c r="Q85" s="128">
        <v>0</v>
      </c>
      <c r="R85" s="104">
        <v>12075</v>
      </c>
      <c r="S85" s="105"/>
      <c r="T85" s="106"/>
      <c r="U85" s="107"/>
    </row>
    <row r="86" spans="1:21" s="118" customFormat="1" ht="13.8" thickBot="1" x14ac:dyDescent="0.3">
      <c r="A86" s="109"/>
      <c r="B86" s="400"/>
      <c r="C86" s="401"/>
      <c r="D86" s="401"/>
      <c r="E86" s="113"/>
      <c r="F86" s="399"/>
      <c r="G86" s="385"/>
      <c r="H86" s="402"/>
      <c r="I86" s="116" t="s">
        <v>544</v>
      </c>
      <c r="J86" s="117">
        <v>252.02000000000004</v>
      </c>
      <c r="K86" s="117">
        <v>412.92153000000002</v>
      </c>
      <c r="L86" s="117">
        <v>334.26981000000001</v>
      </c>
      <c r="M86" s="117">
        <v>255.61809000000002</v>
      </c>
      <c r="N86" s="117">
        <v>176.96637000000001</v>
      </c>
      <c r="O86" s="117">
        <v>98.314650000000015</v>
      </c>
      <c r="P86" s="117">
        <v>19.662930000000003</v>
      </c>
      <c r="Q86" s="130">
        <v>0</v>
      </c>
      <c r="R86" s="117">
        <v>1549.7733800000001</v>
      </c>
      <c r="S86" s="105"/>
      <c r="T86" s="106"/>
      <c r="U86" s="107"/>
    </row>
    <row r="87" spans="1:21" s="118" customFormat="1" ht="13.2" customHeight="1" x14ac:dyDescent="0.25">
      <c r="A87" s="96">
        <v>39</v>
      </c>
      <c r="B87" s="375" t="s">
        <v>737</v>
      </c>
      <c r="C87" s="377" t="s">
        <v>738</v>
      </c>
      <c r="D87" s="377" t="s">
        <v>739</v>
      </c>
      <c r="E87" s="131"/>
      <c r="F87" s="393" t="s">
        <v>740</v>
      </c>
      <c r="G87" s="379" t="s">
        <v>741</v>
      </c>
      <c r="H87" s="381">
        <v>2227434</v>
      </c>
      <c r="I87" s="123" t="s">
        <v>542</v>
      </c>
      <c r="J87" s="104">
        <v>78156</v>
      </c>
      <c r="K87" s="104">
        <v>78156</v>
      </c>
      <c r="L87" s="104">
        <v>78156</v>
      </c>
      <c r="M87" s="104">
        <v>78156</v>
      </c>
      <c r="N87" s="104">
        <v>78156</v>
      </c>
      <c r="O87" s="104">
        <v>78156</v>
      </c>
      <c r="P87" s="104">
        <v>78156</v>
      </c>
      <c r="Q87" s="104">
        <v>1524042</v>
      </c>
      <c r="R87" s="104">
        <v>2071134</v>
      </c>
      <c r="S87" s="105"/>
      <c r="T87" s="106"/>
      <c r="U87" s="107"/>
    </row>
    <row r="88" spans="1:21" s="118" customFormat="1" ht="13.8" thickBot="1" x14ac:dyDescent="0.3">
      <c r="A88" s="109"/>
      <c r="B88" s="400"/>
      <c r="C88" s="401"/>
      <c r="D88" s="401"/>
      <c r="E88" s="113"/>
      <c r="F88" s="399"/>
      <c r="G88" s="385"/>
      <c r="H88" s="402"/>
      <c r="I88" s="116" t="s">
        <v>544</v>
      </c>
      <c r="J88" s="117">
        <v>31527.61</v>
      </c>
      <c r="K88" s="117">
        <v>83485.848420000009</v>
      </c>
      <c r="L88" s="117">
        <v>80211.893580000004</v>
      </c>
      <c r="M88" s="117">
        <v>76937.938740000012</v>
      </c>
      <c r="N88" s="117">
        <v>73663.983900000007</v>
      </c>
      <c r="O88" s="117">
        <v>70390.029060000001</v>
      </c>
      <c r="P88" s="117">
        <v>67116.07422000001</v>
      </c>
      <c r="Q88" s="117">
        <v>1213000.26822</v>
      </c>
      <c r="R88" s="117">
        <v>1696333.6461400001</v>
      </c>
      <c r="S88" s="105"/>
      <c r="T88" s="106"/>
      <c r="U88" s="107"/>
    </row>
    <row r="89" spans="1:21" s="118" customFormat="1" ht="13.2" customHeight="1" x14ac:dyDescent="0.25">
      <c r="A89" s="96">
        <v>40</v>
      </c>
      <c r="B89" s="391" t="s">
        <v>742</v>
      </c>
      <c r="C89" s="397" t="s">
        <v>743</v>
      </c>
      <c r="D89" s="397" t="s">
        <v>744</v>
      </c>
      <c r="E89" s="131"/>
      <c r="F89" s="393" t="s">
        <v>745</v>
      </c>
      <c r="G89" s="379" t="s">
        <v>746</v>
      </c>
      <c r="H89" s="381">
        <v>605017</v>
      </c>
      <c r="I89" s="123" t="s">
        <v>542</v>
      </c>
      <c r="J89" s="104">
        <v>31568</v>
      </c>
      <c r="K89" s="104">
        <v>31568</v>
      </c>
      <c r="L89" s="104">
        <v>31568</v>
      </c>
      <c r="M89" s="104">
        <v>31568</v>
      </c>
      <c r="N89" s="104">
        <v>31568</v>
      </c>
      <c r="O89" s="104">
        <v>31568</v>
      </c>
      <c r="P89" s="104">
        <v>31568</v>
      </c>
      <c r="Q89" s="104">
        <v>315680</v>
      </c>
      <c r="R89" s="104">
        <v>536656</v>
      </c>
      <c r="S89" s="105"/>
      <c r="T89" s="106"/>
      <c r="U89" s="107"/>
    </row>
    <row r="90" spans="1:21" s="118" customFormat="1" ht="13.8" thickBot="1" x14ac:dyDescent="0.3">
      <c r="A90" s="109"/>
      <c r="B90" s="396"/>
      <c r="C90" s="398"/>
      <c r="D90" s="398"/>
      <c r="E90" s="113"/>
      <c r="F90" s="399"/>
      <c r="G90" s="385"/>
      <c r="H90" s="395"/>
      <c r="I90" s="116" t="s">
        <v>544</v>
      </c>
      <c r="J90" s="117">
        <v>12347.48</v>
      </c>
      <c r="K90" s="117">
        <v>15460.74368</v>
      </c>
      <c r="L90" s="117">
        <v>14494.447199999999</v>
      </c>
      <c r="M90" s="117">
        <v>13528.15072</v>
      </c>
      <c r="N90" s="117">
        <v>12561.854239999999</v>
      </c>
      <c r="O90" s="117">
        <v>11595.55776</v>
      </c>
      <c r="P90" s="117">
        <v>10629.261279999999</v>
      </c>
      <c r="Q90" s="117">
        <v>86966.683199999999</v>
      </c>
      <c r="R90" s="117">
        <v>177584.17807999998</v>
      </c>
      <c r="S90" s="105"/>
      <c r="T90" s="106"/>
      <c r="U90" s="107"/>
    </row>
    <row r="91" spans="1:21" s="118" customFormat="1" ht="13.2" customHeight="1" x14ac:dyDescent="0.25">
      <c r="A91" s="96">
        <v>41</v>
      </c>
      <c r="B91" s="391" t="s">
        <v>747</v>
      </c>
      <c r="C91" s="379" t="s">
        <v>748</v>
      </c>
      <c r="D91" s="379" t="s">
        <v>749</v>
      </c>
      <c r="E91" s="131"/>
      <c r="F91" s="393" t="s">
        <v>750</v>
      </c>
      <c r="G91" s="379" t="s">
        <v>751</v>
      </c>
      <c r="H91" s="381">
        <v>363119</v>
      </c>
      <c r="I91" s="123" t="s">
        <v>542</v>
      </c>
      <c r="J91" s="104">
        <v>18788</v>
      </c>
      <c r="K91" s="104">
        <v>18788</v>
      </c>
      <c r="L91" s="104">
        <v>18788</v>
      </c>
      <c r="M91" s="104">
        <v>18788</v>
      </c>
      <c r="N91" s="104">
        <v>18788</v>
      </c>
      <c r="O91" s="104">
        <v>18788</v>
      </c>
      <c r="P91" s="104">
        <v>18788</v>
      </c>
      <c r="Q91" s="104">
        <v>201901</v>
      </c>
      <c r="R91" s="104">
        <v>333417</v>
      </c>
      <c r="S91" s="105"/>
      <c r="T91" s="106"/>
      <c r="U91" s="107"/>
    </row>
    <row r="92" spans="1:21" s="118" customFormat="1" ht="13.8" thickBot="1" x14ac:dyDescent="0.3">
      <c r="A92" s="109"/>
      <c r="B92" s="392"/>
      <c r="C92" s="380"/>
      <c r="D92" s="380"/>
      <c r="E92" s="113"/>
      <c r="F92" s="394"/>
      <c r="G92" s="385"/>
      <c r="H92" s="395"/>
      <c r="I92" s="116" t="s">
        <v>544</v>
      </c>
      <c r="J92" s="117">
        <v>10710.97</v>
      </c>
      <c r="K92" s="117">
        <v>10203.418470000001</v>
      </c>
      <c r="L92" s="117">
        <v>9594.12363</v>
      </c>
      <c r="M92" s="117">
        <v>8984.8287899999996</v>
      </c>
      <c r="N92" s="117">
        <v>8375.5339500000009</v>
      </c>
      <c r="O92" s="117">
        <v>7766.2391100000004</v>
      </c>
      <c r="P92" s="117">
        <v>7156.94427</v>
      </c>
      <c r="Q92" s="117">
        <v>65476.494300000006</v>
      </c>
      <c r="R92" s="117">
        <v>128268.55252000001</v>
      </c>
      <c r="S92" s="105"/>
      <c r="T92" s="106"/>
      <c r="U92" s="107"/>
    </row>
    <row r="93" spans="1:21" s="118" customFormat="1" ht="13.2" customHeight="1" x14ac:dyDescent="0.25">
      <c r="A93" s="96">
        <v>42</v>
      </c>
      <c r="B93" s="391" t="s">
        <v>752</v>
      </c>
      <c r="C93" s="379" t="s">
        <v>753</v>
      </c>
      <c r="D93" s="379" t="s">
        <v>754</v>
      </c>
      <c r="E93" s="131"/>
      <c r="F93" s="393" t="s">
        <v>750</v>
      </c>
      <c r="G93" s="379" t="s">
        <v>755</v>
      </c>
      <c r="H93" s="381">
        <v>824810</v>
      </c>
      <c r="I93" s="123" t="s">
        <v>542</v>
      </c>
      <c r="J93" s="104">
        <v>29693</v>
      </c>
      <c r="K93" s="104">
        <v>29724</v>
      </c>
      <c r="L93" s="104">
        <v>29724</v>
      </c>
      <c r="M93" s="104">
        <v>29724</v>
      </c>
      <c r="N93" s="104">
        <v>29724</v>
      </c>
      <c r="O93" s="104">
        <v>29724</v>
      </c>
      <c r="P93" s="104">
        <v>29724</v>
      </c>
      <c r="Q93" s="104">
        <v>616773</v>
      </c>
      <c r="R93" s="104">
        <v>824810</v>
      </c>
      <c r="S93" s="105"/>
      <c r="T93" s="106"/>
      <c r="U93" s="107"/>
    </row>
    <row r="94" spans="1:21" s="118" customFormat="1" ht="13.8" thickBot="1" x14ac:dyDescent="0.3">
      <c r="A94" s="109"/>
      <c r="B94" s="392"/>
      <c r="C94" s="380"/>
      <c r="D94" s="380"/>
      <c r="E94" s="113"/>
      <c r="F94" s="394"/>
      <c r="G94" s="385"/>
      <c r="H94" s="395"/>
      <c r="I94" s="116" t="s">
        <v>544</v>
      </c>
      <c r="J94" s="117">
        <v>28805.97</v>
      </c>
      <c r="K94" s="117">
        <v>27598.511069999997</v>
      </c>
      <c r="L94" s="117">
        <v>26566.791029999997</v>
      </c>
      <c r="M94" s="117">
        <v>25535.07099</v>
      </c>
      <c r="N94" s="117">
        <v>24503.35095</v>
      </c>
      <c r="O94" s="117">
        <v>23471.63091</v>
      </c>
      <c r="P94" s="117">
        <v>22439.91087</v>
      </c>
      <c r="Q94" s="117">
        <v>428163.81660000002</v>
      </c>
      <c r="R94" s="117">
        <v>607085.05241999996</v>
      </c>
      <c r="S94" s="105"/>
      <c r="T94" s="106"/>
      <c r="U94" s="107"/>
    </row>
    <row r="95" spans="1:21" s="118" customFormat="1" ht="13.2" customHeight="1" x14ac:dyDescent="0.25">
      <c r="A95" s="96">
        <v>43</v>
      </c>
      <c r="B95" s="387" t="s">
        <v>756</v>
      </c>
      <c r="C95" s="389" t="s">
        <v>757</v>
      </c>
      <c r="D95" s="389" t="s">
        <v>758</v>
      </c>
      <c r="E95" s="131"/>
      <c r="F95" s="383" t="s">
        <v>759</v>
      </c>
      <c r="G95" s="379" t="s">
        <v>760</v>
      </c>
      <c r="H95" s="381">
        <v>9703992</v>
      </c>
      <c r="I95" s="123" t="s">
        <v>542</v>
      </c>
      <c r="J95" s="104">
        <v>343399</v>
      </c>
      <c r="K95" s="104">
        <v>343508</v>
      </c>
      <c r="L95" s="104">
        <v>343508</v>
      </c>
      <c r="M95" s="104">
        <v>343508</v>
      </c>
      <c r="N95" s="104">
        <v>343508</v>
      </c>
      <c r="O95" s="104">
        <v>343508</v>
      </c>
      <c r="P95" s="104">
        <v>343508</v>
      </c>
      <c r="Q95" s="104">
        <v>7299545</v>
      </c>
      <c r="R95" s="104">
        <v>9703992</v>
      </c>
      <c r="S95" s="105"/>
      <c r="T95" s="106"/>
      <c r="U95" s="107"/>
    </row>
    <row r="96" spans="1:21" s="118" customFormat="1" ht="13.8" thickBot="1" x14ac:dyDescent="0.3">
      <c r="A96" s="109"/>
      <c r="B96" s="388"/>
      <c r="C96" s="390"/>
      <c r="D96" s="390"/>
      <c r="E96" s="113"/>
      <c r="F96" s="384"/>
      <c r="G96" s="385"/>
      <c r="H96" s="382"/>
      <c r="I96" s="116" t="s">
        <v>544</v>
      </c>
      <c r="J96" s="117">
        <v>243526.27000000002</v>
      </c>
      <c r="K96" s="117">
        <v>389026.24508000002</v>
      </c>
      <c r="L96" s="117">
        <v>374750.0526</v>
      </c>
      <c r="M96" s="117">
        <v>360473.86012000003</v>
      </c>
      <c r="N96" s="117">
        <v>346197.66764</v>
      </c>
      <c r="O96" s="117">
        <v>331921.47515999997</v>
      </c>
      <c r="P96" s="117">
        <v>317645.28268</v>
      </c>
      <c r="Q96" s="117">
        <v>6370750.894199999</v>
      </c>
      <c r="R96" s="117">
        <v>8734291.7474799994</v>
      </c>
      <c r="S96" s="105"/>
      <c r="T96" s="106"/>
      <c r="U96" s="107"/>
    </row>
    <row r="97" spans="1:21" s="118" customFormat="1" ht="13.2" customHeight="1" x14ac:dyDescent="0.25">
      <c r="A97" s="96">
        <v>44</v>
      </c>
      <c r="B97" s="387" t="s">
        <v>761</v>
      </c>
      <c r="C97" s="389" t="s">
        <v>762</v>
      </c>
      <c r="D97" s="389" t="s">
        <v>763</v>
      </c>
      <c r="E97" s="131"/>
      <c r="F97" s="383" t="s">
        <v>759</v>
      </c>
      <c r="G97" s="379" t="s">
        <v>764</v>
      </c>
      <c r="H97" s="381">
        <v>43430</v>
      </c>
      <c r="I97" s="123" t="s">
        <v>542</v>
      </c>
      <c r="J97" s="104">
        <v>4696</v>
      </c>
      <c r="K97" s="104">
        <v>4696</v>
      </c>
      <c r="L97" s="104">
        <v>4696</v>
      </c>
      <c r="M97" s="104">
        <v>4696</v>
      </c>
      <c r="N97" s="104">
        <v>4696</v>
      </c>
      <c r="O97" s="104">
        <v>4696</v>
      </c>
      <c r="P97" s="104">
        <v>4696</v>
      </c>
      <c r="Q97" s="104">
        <v>5870</v>
      </c>
      <c r="R97" s="104">
        <v>38742</v>
      </c>
      <c r="S97" s="105"/>
      <c r="T97" s="106"/>
      <c r="U97" s="107"/>
    </row>
    <row r="98" spans="1:21" s="118" customFormat="1" ht="13.8" thickBot="1" x14ac:dyDescent="0.3">
      <c r="A98" s="109"/>
      <c r="B98" s="388"/>
      <c r="C98" s="390"/>
      <c r="D98" s="390"/>
      <c r="E98" s="113"/>
      <c r="F98" s="384"/>
      <c r="G98" s="385"/>
      <c r="H98" s="382"/>
      <c r="I98" s="116" t="s">
        <v>544</v>
      </c>
      <c r="J98" s="117">
        <v>17.400000000000002</v>
      </c>
      <c r="K98" s="117">
        <v>85.114999999999995</v>
      </c>
      <c r="L98" s="117">
        <v>73.375</v>
      </c>
      <c r="M98" s="117">
        <v>61.634999999999998</v>
      </c>
      <c r="N98" s="117">
        <v>49.895000000000003</v>
      </c>
      <c r="O98" s="117">
        <v>38.155000000000001</v>
      </c>
      <c r="P98" s="117">
        <v>26.414999999999999</v>
      </c>
      <c r="Q98" s="117">
        <v>29.35</v>
      </c>
      <c r="R98" s="117">
        <v>381.34</v>
      </c>
      <c r="S98" s="105"/>
      <c r="T98" s="106"/>
      <c r="U98" s="107"/>
    </row>
    <row r="99" spans="1:21" s="118" customFormat="1" ht="13.2" customHeight="1" x14ac:dyDescent="0.25">
      <c r="A99" s="96">
        <v>45</v>
      </c>
      <c r="B99" s="375" t="s">
        <v>765</v>
      </c>
      <c r="C99" s="377" t="s">
        <v>766</v>
      </c>
      <c r="D99" s="377" t="s">
        <v>767</v>
      </c>
      <c r="E99" s="131"/>
      <c r="F99" s="383" t="s">
        <v>768</v>
      </c>
      <c r="G99" s="379" t="s">
        <v>769</v>
      </c>
      <c r="H99" s="381">
        <v>195366</v>
      </c>
      <c r="I99" s="123" t="s">
        <v>542</v>
      </c>
      <c r="J99" s="104">
        <v>86832</v>
      </c>
      <c r="K99" s="104">
        <v>21708</v>
      </c>
      <c r="L99" s="128">
        <v>0</v>
      </c>
      <c r="M99" s="128">
        <v>0</v>
      </c>
      <c r="N99" s="128">
        <v>0</v>
      </c>
      <c r="O99" s="128">
        <v>0</v>
      </c>
      <c r="P99" s="128">
        <v>0</v>
      </c>
      <c r="Q99" s="128">
        <v>0</v>
      </c>
      <c r="R99" s="104">
        <v>108540</v>
      </c>
      <c r="S99" s="105"/>
      <c r="T99" s="106"/>
      <c r="U99" s="107"/>
    </row>
    <row r="100" spans="1:21" s="118" customFormat="1" ht="13.8" thickBot="1" x14ac:dyDescent="0.3">
      <c r="A100" s="109"/>
      <c r="B100" s="376"/>
      <c r="C100" s="378"/>
      <c r="D100" s="378"/>
      <c r="E100" s="113"/>
      <c r="F100" s="384"/>
      <c r="G100" s="385"/>
      <c r="H100" s="382"/>
      <c r="I100" s="116" t="s">
        <v>544</v>
      </c>
      <c r="J100" s="117">
        <v>234.35999999999999</v>
      </c>
      <c r="K100" s="117">
        <v>54.27</v>
      </c>
      <c r="L100" s="130">
        <v>0</v>
      </c>
      <c r="M100" s="130">
        <v>0</v>
      </c>
      <c r="N100" s="130">
        <v>0</v>
      </c>
      <c r="O100" s="130">
        <v>0</v>
      </c>
      <c r="P100" s="130">
        <v>0</v>
      </c>
      <c r="Q100" s="130">
        <v>0</v>
      </c>
      <c r="R100" s="117">
        <v>288.63</v>
      </c>
      <c r="S100" s="105"/>
      <c r="T100" s="106"/>
      <c r="U100" s="107"/>
    </row>
    <row r="101" spans="1:21" s="118" customFormat="1" ht="13.2" customHeight="1" x14ac:dyDescent="0.25">
      <c r="A101" s="96">
        <v>46</v>
      </c>
      <c r="B101" s="387" t="s">
        <v>770</v>
      </c>
      <c r="C101" s="389" t="s">
        <v>771</v>
      </c>
      <c r="D101" s="389" t="s">
        <v>772</v>
      </c>
      <c r="E101" s="131"/>
      <c r="F101" s="383" t="s">
        <v>773</v>
      </c>
      <c r="G101" s="379" t="s">
        <v>774</v>
      </c>
      <c r="H101" s="381">
        <v>617703</v>
      </c>
      <c r="I101" s="123" t="s">
        <v>542</v>
      </c>
      <c r="J101" s="104">
        <v>20940</v>
      </c>
      <c r="K101" s="104">
        <v>20940</v>
      </c>
      <c r="L101" s="104">
        <v>20940</v>
      </c>
      <c r="M101" s="104">
        <v>20940</v>
      </c>
      <c r="N101" s="104">
        <v>20940</v>
      </c>
      <c r="O101" s="104">
        <v>20940</v>
      </c>
      <c r="P101" s="104">
        <v>20940</v>
      </c>
      <c r="Q101" s="104">
        <v>450210</v>
      </c>
      <c r="R101" s="104">
        <v>596790</v>
      </c>
      <c r="S101" s="105"/>
      <c r="T101" s="106"/>
      <c r="U101" s="107"/>
    </row>
    <row r="102" spans="1:21" s="118" customFormat="1" ht="13.8" thickBot="1" x14ac:dyDescent="0.3">
      <c r="A102" s="109"/>
      <c r="B102" s="388"/>
      <c r="C102" s="390"/>
      <c r="D102" s="390"/>
      <c r="E102" s="113"/>
      <c r="F102" s="384"/>
      <c r="G102" s="385"/>
      <c r="H102" s="382"/>
      <c r="I102" s="116" t="s">
        <v>544</v>
      </c>
      <c r="J102" s="117">
        <v>12096.7</v>
      </c>
      <c r="K102" s="117">
        <v>25942.0425</v>
      </c>
      <c r="L102" s="117">
        <v>24998.695500000002</v>
      </c>
      <c r="M102" s="117">
        <v>24055.3485</v>
      </c>
      <c r="N102" s="117">
        <v>23112.001499999998</v>
      </c>
      <c r="O102" s="117">
        <v>22168.654500000001</v>
      </c>
      <c r="P102" s="117">
        <v>21225.307499999999</v>
      </c>
      <c r="Q102" s="117">
        <v>425921.17050000001</v>
      </c>
      <c r="R102" s="117">
        <v>579519.92050000001</v>
      </c>
      <c r="S102" s="105"/>
      <c r="T102" s="106"/>
      <c r="U102" s="107"/>
    </row>
    <row r="103" spans="1:21" s="118" customFormat="1" ht="13.2" customHeight="1" x14ac:dyDescent="0.25">
      <c r="A103" s="96">
        <v>47</v>
      </c>
      <c r="B103" s="387" t="s">
        <v>775</v>
      </c>
      <c r="C103" s="389" t="s">
        <v>776</v>
      </c>
      <c r="D103" s="389" t="s">
        <v>777</v>
      </c>
      <c r="E103" s="131"/>
      <c r="F103" s="383" t="s">
        <v>778</v>
      </c>
      <c r="G103" s="379" t="s">
        <v>779</v>
      </c>
      <c r="H103" s="381">
        <v>145332</v>
      </c>
      <c r="I103" s="123" t="s">
        <v>542</v>
      </c>
      <c r="J103" s="104">
        <v>7456</v>
      </c>
      <c r="K103" s="104">
        <v>7456</v>
      </c>
      <c r="L103" s="104">
        <v>7456</v>
      </c>
      <c r="M103" s="104">
        <v>7456</v>
      </c>
      <c r="N103" s="104">
        <v>7456</v>
      </c>
      <c r="O103" s="104">
        <v>7456</v>
      </c>
      <c r="P103" s="104">
        <v>7456</v>
      </c>
      <c r="Q103" s="104">
        <v>85744</v>
      </c>
      <c r="R103" s="104">
        <v>137936</v>
      </c>
      <c r="S103" s="105"/>
      <c r="T103" s="106"/>
      <c r="U103" s="107"/>
    </row>
    <row r="104" spans="1:21" s="118" customFormat="1" ht="13.8" thickBot="1" x14ac:dyDescent="0.3">
      <c r="A104" s="109"/>
      <c r="B104" s="388"/>
      <c r="C104" s="390"/>
      <c r="D104" s="390"/>
      <c r="E104" s="113"/>
      <c r="F104" s="384"/>
      <c r="G104" s="385"/>
      <c r="H104" s="382"/>
      <c r="I104" s="116" t="s">
        <v>544</v>
      </c>
      <c r="J104" s="117">
        <v>2834.62</v>
      </c>
      <c r="K104" s="117">
        <v>5754.1679999999997</v>
      </c>
      <c r="L104" s="117">
        <v>5425.3584000000001</v>
      </c>
      <c r="M104" s="117">
        <v>5096.5488000000005</v>
      </c>
      <c r="N104" s="117">
        <v>4767.7392</v>
      </c>
      <c r="O104" s="117">
        <v>4438.9296000000004</v>
      </c>
      <c r="P104" s="117">
        <v>4110.12</v>
      </c>
      <c r="Q104" s="117">
        <v>41594.414400000001</v>
      </c>
      <c r="R104" s="117">
        <v>74021.898400000005</v>
      </c>
      <c r="S104" s="105"/>
      <c r="T104" s="106"/>
      <c r="U104" s="107"/>
    </row>
    <row r="105" spans="1:21" s="118" customFormat="1" ht="13.95" customHeight="1" x14ac:dyDescent="0.25">
      <c r="A105" s="96">
        <v>48</v>
      </c>
      <c r="B105" s="387" t="s">
        <v>780</v>
      </c>
      <c r="C105" s="389" t="s">
        <v>781</v>
      </c>
      <c r="D105" s="389" t="s">
        <v>782</v>
      </c>
      <c r="E105" s="131"/>
      <c r="F105" s="383" t="s">
        <v>778</v>
      </c>
      <c r="G105" s="379" t="s">
        <v>779</v>
      </c>
      <c r="H105" s="381">
        <v>132027</v>
      </c>
      <c r="I105" s="123" t="s">
        <v>542</v>
      </c>
      <c r="J105" s="104">
        <v>6772</v>
      </c>
      <c r="K105" s="104">
        <v>6772</v>
      </c>
      <c r="L105" s="104">
        <v>6772</v>
      </c>
      <c r="M105" s="104">
        <v>6772</v>
      </c>
      <c r="N105" s="104">
        <v>6772</v>
      </c>
      <c r="O105" s="104">
        <v>6772</v>
      </c>
      <c r="P105" s="104">
        <v>6772</v>
      </c>
      <c r="Q105" s="104">
        <v>77878</v>
      </c>
      <c r="R105" s="104">
        <v>125282</v>
      </c>
      <c r="S105" s="105"/>
      <c r="T105" s="106"/>
      <c r="U105" s="107"/>
    </row>
    <row r="106" spans="1:21" s="118" customFormat="1" ht="13.8" thickBot="1" x14ac:dyDescent="0.3">
      <c r="A106" s="109"/>
      <c r="B106" s="388"/>
      <c r="C106" s="390"/>
      <c r="D106" s="390"/>
      <c r="E106" s="113"/>
      <c r="F106" s="384"/>
      <c r="G106" s="385"/>
      <c r="H106" s="382"/>
      <c r="I106" s="116" t="s">
        <v>544</v>
      </c>
      <c r="J106" s="117">
        <v>2572.4699999999998</v>
      </c>
      <c r="K106" s="117">
        <v>5226.2910000000002</v>
      </c>
      <c r="L106" s="117">
        <v>4927.6458000000002</v>
      </c>
      <c r="M106" s="117">
        <v>4629.0006000000003</v>
      </c>
      <c r="N106" s="117">
        <v>4330.3554000000004</v>
      </c>
      <c r="O106" s="117">
        <v>4031.7102</v>
      </c>
      <c r="P106" s="117">
        <v>3733.0650000000001</v>
      </c>
      <c r="Q106" s="117">
        <v>37778.6178</v>
      </c>
      <c r="R106" s="117">
        <v>67229.155800000008</v>
      </c>
      <c r="S106" s="105"/>
      <c r="T106" s="106"/>
      <c r="U106" s="107"/>
    </row>
    <row r="107" spans="1:21" s="118" customFormat="1" ht="13.2" customHeight="1" x14ac:dyDescent="0.25">
      <c r="A107" s="96">
        <v>49</v>
      </c>
      <c r="B107" s="375" t="s">
        <v>783</v>
      </c>
      <c r="C107" s="377" t="s">
        <v>784</v>
      </c>
      <c r="D107" s="377" t="s">
        <v>785</v>
      </c>
      <c r="E107" s="131"/>
      <c r="F107" s="383" t="s">
        <v>786</v>
      </c>
      <c r="G107" s="379" t="s">
        <v>787</v>
      </c>
      <c r="H107" s="381">
        <v>279650</v>
      </c>
      <c r="I107" s="123" t="s">
        <v>542</v>
      </c>
      <c r="J107" s="104">
        <v>9564</v>
      </c>
      <c r="K107" s="104">
        <v>9564</v>
      </c>
      <c r="L107" s="104">
        <v>9564</v>
      </c>
      <c r="M107" s="104">
        <v>9564</v>
      </c>
      <c r="N107" s="104">
        <v>9564</v>
      </c>
      <c r="O107" s="104">
        <v>9564</v>
      </c>
      <c r="P107" s="104">
        <v>9564</v>
      </c>
      <c r="Q107" s="104">
        <v>203235</v>
      </c>
      <c r="R107" s="104">
        <v>270183</v>
      </c>
      <c r="S107" s="105"/>
      <c r="T107" s="106"/>
      <c r="U107" s="107"/>
    </row>
    <row r="108" spans="1:21" s="118" customFormat="1" ht="13.8" thickBot="1" x14ac:dyDescent="0.3">
      <c r="A108" s="109"/>
      <c r="B108" s="376"/>
      <c r="C108" s="378"/>
      <c r="D108" s="378"/>
      <c r="E108" s="113"/>
      <c r="F108" s="384"/>
      <c r="G108" s="385"/>
      <c r="H108" s="382"/>
      <c r="I108" s="116" t="s">
        <v>544</v>
      </c>
      <c r="J108" s="117">
        <v>6277.3099999999995</v>
      </c>
      <c r="K108" s="117">
        <v>10953.816569999999</v>
      </c>
      <c r="L108" s="117">
        <v>10551.84165</v>
      </c>
      <c r="M108" s="117">
        <v>10149.86673</v>
      </c>
      <c r="N108" s="117">
        <v>9747.8918099999992</v>
      </c>
      <c r="O108" s="117">
        <v>9345.9168900000004</v>
      </c>
      <c r="P108" s="117">
        <v>8943.9419699999999</v>
      </c>
      <c r="Q108" s="117">
        <v>179381.30804999999</v>
      </c>
      <c r="R108" s="117">
        <v>245351.89366999999</v>
      </c>
      <c r="S108" s="105"/>
      <c r="T108" s="106"/>
      <c r="U108" s="107"/>
    </row>
    <row r="109" spans="1:21" s="118" customFormat="1" ht="13.95" customHeight="1" x14ac:dyDescent="0.25">
      <c r="A109" s="96">
        <v>50</v>
      </c>
      <c r="B109" s="375" t="s">
        <v>788</v>
      </c>
      <c r="C109" s="377" t="s">
        <v>789</v>
      </c>
      <c r="D109" s="377" t="s">
        <v>790</v>
      </c>
      <c r="E109" s="131"/>
      <c r="F109" s="383" t="s">
        <v>791</v>
      </c>
      <c r="G109" s="379" t="s">
        <v>792</v>
      </c>
      <c r="H109" s="381">
        <v>400000</v>
      </c>
      <c r="I109" s="123" t="s">
        <v>542</v>
      </c>
      <c r="J109" s="104">
        <v>13676</v>
      </c>
      <c r="K109" s="104">
        <v>13676</v>
      </c>
      <c r="L109" s="104">
        <v>13676</v>
      </c>
      <c r="M109" s="104">
        <v>13676</v>
      </c>
      <c r="N109" s="104">
        <v>13676</v>
      </c>
      <c r="O109" s="104">
        <v>13676</v>
      </c>
      <c r="P109" s="104">
        <v>13676</v>
      </c>
      <c r="Q109" s="104">
        <v>290615</v>
      </c>
      <c r="R109" s="104">
        <v>386347</v>
      </c>
      <c r="S109" s="105"/>
      <c r="T109" s="106"/>
      <c r="U109" s="107"/>
    </row>
    <row r="110" spans="1:21" s="118" customFormat="1" ht="13.8" thickBot="1" x14ac:dyDescent="0.3">
      <c r="A110" s="109"/>
      <c r="B110" s="376"/>
      <c r="C110" s="378"/>
      <c r="D110" s="378"/>
      <c r="E110" s="113"/>
      <c r="F110" s="384"/>
      <c r="G110" s="385"/>
      <c r="H110" s="382"/>
      <c r="I110" s="116" t="s">
        <v>544</v>
      </c>
      <c r="J110" s="117">
        <v>8267.34</v>
      </c>
      <c r="K110" s="117">
        <v>15808.703820000001</v>
      </c>
      <c r="L110" s="117">
        <v>15228.5679</v>
      </c>
      <c r="M110" s="117">
        <v>14648.431979999999</v>
      </c>
      <c r="N110" s="117">
        <v>14068.296060000001</v>
      </c>
      <c r="O110" s="117">
        <v>13488.16014</v>
      </c>
      <c r="P110" s="117">
        <v>12908.024219999999</v>
      </c>
      <c r="Q110" s="117">
        <v>258885.65430000002</v>
      </c>
      <c r="R110" s="117">
        <v>353303.17842000001</v>
      </c>
      <c r="S110" s="105"/>
      <c r="T110" s="106"/>
      <c r="U110" s="107"/>
    </row>
    <row r="111" spans="1:21" s="118" customFormat="1" ht="12.6" customHeight="1" x14ac:dyDescent="0.25">
      <c r="A111" s="96">
        <v>51</v>
      </c>
      <c r="B111" s="375" t="s">
        <v>793</v>
      </c>
      <c r="C111" s="386" t="s">
        <v>794</v>
      </c>
      <c r="D111" s="386" t="s">
        <v>795</v>
      </c>
      <c r="E111" s="131"/>
      <c r="F111" s="383" t="s">
        <v>796</v>
      </c>
      <c r="G111" s="379" t="s">
        <v>797</v>
      </c>
      <c r="H111" s="381">
        <v>247902</v>
      </c>
      <c r="I111" s="123" t="s">
        <v>542</v>
      </c>
      <c r="J111" s="104">
        <v>61974</v>
      </c>
      <c r="K111" s="104">
        <v>61976</v>
      </c>
      <c r="L111" s="104">
        <v>61976</v>
      </c>
      <c r="M111" s="104">
        <v>61976</v>
      </c>
      <c r="N111" s="128">
        <v>0</v>
      </c>
      <c r="O111" s="128">
        <v>0</v>
      </c>
      <c r="P111" s="128">
        <v>0</v>
      </c>
      <c r="Q111" s="128">
        <v>0</v>
      </c>
      <c r="R111" s="104">
        <v>247902</v>
      </c>
      <c r="S111" s="105"/>
      <c r="T111" s="106"/>
      <c r="U111" s="107"/>
    </row>
    <row r="112" spans="1:21" s="118" customFormat="1" ht="13.8" thickBot="1" x14ac:dyDescent="0.3">
      <c r="A112" s="109"/>
      <c r="B112" s="376"/>
      <c r="C112" s="378"/>
      <c r="D112" s="378"/>
      <c r="E112" s="113"/>
      <c r="F112" s="384"/>
      <c r="G112" s="380"/>
      <c r="H112" s="382"/>
      <c r="I112" s="116" t="s">
        <v>544</v>
      </c>
      <c r="J112" s="117">
        <v>6665.2900000000009</v>
      </c>
      <c r="K112" s="117">
        <v>6743.6085599999997</v>
      </c>
      <c r="L112" s="117">
        <v>4495.7390399999995</v>
      </c>
      <c r="M112" s="117">
        <v>2247.8695199999997</v>
      </c>
      <c r="N112" s="130">
        <v>0</v>
      </c>
      <c r="O112" s="130">
        <v>0</v>
      </c>
      <c r="P112" s="130">
        <v>0</v>
      </c>
      <c r="Q112" s="130">
        <v>0</v>
      </c>
      <c r="R112" s="117">
        <v>20152.507120000002</v>
      </c>
      <c r="S112" s="105"/>
      <c r="T112" s="106"/>
      <c r="U112" s="107"/>
    </row>
    <row r="113" spans="1:21" s="118" customFormat="1" ht="12.6" customHeight="1" x14ac:dyDescent="0.25">
      <c r="A113" s="96">
        <v>52</v>
      </c>
      <c r="B113" s="375" t="s">
        <v>798</v>
      </c>
      <c r="C113" s="377" t="s">
        <v>799</v>
      </c>
      <c r="D113" s="377" t="s">
        <v>800</v>
      </c>
      <c r="E113" s="131"/>
      <c r="F113" s="383" t="s">
        <v>801</v>
      </c>
      <c r="G113" s="379" t="s">
        <v>802</v>
      </c>
      <c r="H113" s="381">
        <v>54624</v>
      </c>
      <c r="I113" s="123" t="s">
        <v>542</v>
      </c>
      <c r="J113" s="104">
        <v>8064</v>
      </c>
      <c r="K113" s="104">
        <v>8064</v>
      </c>
      <c r="L113" s="104">
        <v>8064</v>
      </c>
      <c r="M113" s="104">
        <v>8064</v>
      </c>
      <c r="N113" s="104">
        <v>8064</v>
      </c>
      <c r="O113" s="104">
        <v>8064</v>
      </c>
      <c r="P113" s="104">
        <v>2480</v>
      </c>
      <c r="Q113" s="128">
        <v>0</v>
      </c>
      <c r="R113" s="104">
        <v>50864</v>
      </c>
      <c r="S113" s="105"/>
      <c r="T113" s="106"/>
      <c r="U113" s="107"/>
    </row>
    <row r="114" spans="1:21" s="118" customFormat="1" ht="13.8" thickBot="1" x14ac:dyDescent="0.3">
      <c r="A114" s="109"/>
      <c r="B114" s="376"/>
      <c r="C114" s="378"/>
      <c r="D114" s="378"/>
      <c r="E114" s="113"/>
      <c r="F114" s="384"/>
      <c r="G114" s="385"/>
      <c r="H114" s="382"/>
      <c r="I114" s="116" t="s">
        <v>544</v>
      </c>
      <c r="J114" s="117">
        <v>279.3</v>
      </c>
      <c r="K114" s="117">
        <v>1595.1559999999999</v>
      </c>
      <c r="L114" s="117">
        <v>1294.6107199999999</v>
      </c>
      <c r="M114" s="117">
        <v>994.06543999999997</v>
      </c>
      <c r="N114" s="117">
        <v>693.52015999999992</v>
      </c>
      <c r="O114" s="117">
        <v>392.97487999999998</v>
      </c>
      <c r="P114" s="117">
        <v>92.429599999999994</v>
      </c>
      <c r="Q114" s="130">
        <v>0</v>
      </c>
      <c r="R114" s="117">
        <v>5342.0568000000003</v>
      </c>
      <c r="S114" s="105"/>
      <c r="T114" s="106"/>
      <c r="U114" s="107"/>
    </row>
    <row r="115" spans="1:21" s="118" customFormat="1" ht="12.6" customHeight="1" x14ac:dyDescent="0.25">
      <c r="A115" s="96">
        <v>53</v>
      </c>
      <c r="B115" s="375" t="s">
        <v>803</v>
      </c>
      <c r="C115" s="377" t="s">
        <v>804</v>
      </c>
      <c r="D115" s="377" t="s">
        <v>805</v>
      </c>
      <c r="E115" s="131">
        <v>44594</v>
      </c>
      <c r="F115" s="383">
        <v>44594</v>
      </c>
      <c r="G115" s="379" t="s">
        <v>806</v>
      </c>
      <c r="H115" s="381">
        <v>178121</v>
      </c>
      <c r="I115" s="123" t="s">
        <v>542</v>
      </c>
      <c r="J115" s="104">
        <v>84838</v>
      </c>
      <c r="K115" s="104">
        <v>12500</v>
      </c>
      <c r="L115" s="104">
        <v>12500</v>
      </c>
      <c r="M115" s="104">
        <v>12500</v>
      </c>
      <c r="N115" s="104">
        <v>12500</v>
      </c>
      <c r="O115" s="104">
        <v>12500</v>
      </c>
      <c r="P115" s="104">
        <v>12500</v>
      </c>
      <c r="Q115" s="128">
        <v>18283</v>
      </c>
      <c r="R115" s="104">
        <v>178121</v>
      </c>
      <c r="S115" s="105"/>
      <c r="T115" s="106"/>
      <c r="U115" s="107"/>
    </row>
    <row r="116" spans="1:21" s="118" customFormat="1" ht="13.8" thickBot="1" x14ac:dyDescent="0.3">
      <c r="A116" s="109"/>
      <c r="B116" s="376"/>
      <c r="C116" s="378"/>
      <c r="D116" s="378"/>
      <c r="E116" s="113"/>
      <c r="F116" s="384"/>
      <c r="G116" s="385"/>
      <c r="H116" s="382"/>
      <c r="I116" s="116" t="s">
        <v>544</v>
      </c>
      <c r="J116" s="117">
        <v>2796.1099999999997</v>
      </c>
      <c r="K116" s="117">
        <v>3639.9026599999997</v>
      </c>
      <c r="L116" s="117">
        <v>3152.1526599999997</v>
      </c>
      <c r="M116" s="117">
        <v>2664.4026599999997</v>
      </c>
      <c r="N116" s="117">
        <v>2176.6526599999997</v>
      </c>
      <c r="O116" s="117">
        <v>1688.90266</v>
      </c>
      <c r="P116" s="117">
        <v>1201.15266</v>
      </c>
      <c r="Q116" s="117">
        <v>4993.81862</v>
      </c>
      <c r="R116" s="117">
        <v>22313.094579999997</v>
      </c>
      <c r="S116" s="105"/>
      <c r="T116" s="106"/>
      <c r="U116" s="107"/>
    </row>
    <row r="117" spans="1:21" s="118" customFormat="1" ht="12.6" customHeight="1" x14ac:dyDescent="0.25">
      <c r="A117" s="96">
        <v>54</v>
      </c>
      <c r="B117" s="375" t="s">
        <v>803</v>
      </c>
      <c r="C117" s="377" t="s">
        <v>807</v>
      </c>
      <c r="D117" s="377" t="s">
        <v>808</v>
      </c>
      <c r="E117" s="131">
        <v>44594</v>
      </c>
      <c r="F117" s="383">
        <v>44781</v>
      </c>
      <c r="G117" s="379" t="s">
        <v>809</v>
      </c>
      <c r="H117" s="381">
        <v>39831</v>
      </c>
      <c r="I117" s="123" t="s">
        <v>542</v>
      </c>
      <c r="J117" s="104">
        <v>39831</v>
      </c>
      <c r="K117" s="104"/>
      <c r="L117" s="104"/>
      <c r="M117" s="104"/>
      <c r="N117" s="104"/>
      <c r="O117" s="104"/>
      <c r="P117" s="104"/>
      <c r="Q117" s="128"/>
      <c r="R117" s="104">
        <v>39831</v>
      </c>
      <c r="S117" s="105"/>
      <c r="T117" s="106"/>
      <c r="U117" s="107"/>
    </row>
    <row r="118" spans="1:21" s="118" customFormat="1" ht="13.8" thickBot="1" x14ac:dyDescent="0.3">
      <c r="A118" s="109"/>
      <c r="B118" s="376"/>
      <c r="C118" s="378"/>
      <c r="D118" s="378"/>
      <c r="E118" s="113"/>
      <c r="F118" s="384"/>
      <c r="G118" s="385"/>
      <c r="H118" s="382"/>
      <c r="I118" s="116" t="s">
        <v>544</v>
      </c>
      <c r="J118" s="117">
        <v>301.77000000000004</v>
      </c>
      <c r="K118" s="117">
        <v>0</v>
      </c>
      <c r="L118" s="117">
        <v>0</v>
      </c>
      <c r="M118" s="117">
        <v>0</v>
      </c>
      <c r="N118" s="117">
        <v>0</v>
      </c>
      <c r="O118" s="117">
        <v>0</v>
      </c>
      <c r="P118" s="117">
        <v>0</v>
      </c>
      <c r="Q118" s="117">
        <v>0</v>
      </c>
      <c r="R118" s="117">
        <v>301.77000000000004</v>
      </c>
      <c r="S118" s="105"/>
      <c r="T118" s="106"/>
      <c r="U118" s="107"/>
    </row>
    <row r="119" spans="1:21" s="118" customFormat="1" ht="12.6" customHeight="1" x14ac:dyDescent="0.25">
      <c r="A119" s="96">
        <v>55</v>
      </c>
      <c r="B119" s="375" t="s">
        <v>810</v>
      </c>
      <c r="C119" s="377" t="s">
        <v>811</v>
      </c>
      <c r="D119" s="377" t="s">
        <v>812</v>
      </c>
      <c r="E119" s="131">
        <v>44594</v>
      </c>
      <c r="F119" s="383">
        <v>44894</v>
      </c>
      <c r="G119" s="379" t="s">
        <v>813</v>
      </c>
      <c r="H119" s="381">
        <v>503660</v>
      </c>
      <c r="I119" s="123" t="s">
        <v>542</v>
      </c>
      <c r="J119" s="104">
        <v>8788</v>
      </c>
      <c r="K119" s="104">
        <v>35348</v>
      </c>
      <c r="L119" s="104">
        <v>35348</v>
      </c>
      <c r="M119" s="104">
        <v>35348</v>
      </c>
      <c r="N119" s="104">
        <v>35348</v>
      </c>
      <c r="O119" s="104">
        <v>35348</v>
      </c>
      <c r="P119" s="104">
        <v>35348</v>
      </c>
      <c r="Q119" s="128">
        <v>282784</v>
      </c>
      <c r="R119" s="104">
        <v>503660</v>
      </c>
      <c r="S119" s="105"/>
      <c r="T119" s="106"/>
      <c r="U119" s="107"/>
    </row>
    <row r="120" spans="1:21" s="118" customFormat="1" ht="13.8" thickBot="1" x14ac:dyDescent="0.3">
      <c r="A120" s="109"/>
      <c r="B120" s="376"/>
      <c r="C120" s="378"/>
      <c r="D120" s="378"/>
      <c r="E120" s="113"/>
      <c r="F120" s="384"/>
      <c r="G120" s="385"/>
      <c r="H120" s="382"/>
      <c r="I120" s="116" t="s">
        <v>544</v>
      </c>
      <c r="J120" s="117">
        <v>14042.900000000001</v>
      </c>
      <c r="K120" s="117">
        <v>22823.496640000001</v>
      </c>
      <c r="L120" s="117">
        <v>21193.246879999999</v>
      </c>
      <c r="M120" s="117">
        <v>19562.99712</v>
      </c>
      <c r="N120" s="117">
        <v>17932.747360000001</v>
      </c>
      <c r="O120" s="117">
        <v>16302.497600000001</v>
      </c>
      <c r="P120" s="117">
        <v>14672.24784</v>
      </c>
      <c r="Q120" s="117">
        <v>91293.986560000005</v>
      </c>
      <c r="R120" s="117">
        <v>217824.12</v>
      </c>
      <c r="S120" s="105"/>
      <c r="T120" s="106"/>
      <c r="U120" s="107"/>
    </row>
    <row r="121" spans="1:21" s="118" customFormat="1" ht="12.6" customHeight="1" x14ac:dyDescent="0.25">
      <c r="A121" s="96">
        <v>56</v>
      </c>
      <c r="B121" s="375" t="s">
        <v>814</v>
      </c>
      <c r="C121" s="377" t="s">
        <v>815</v>
      </c>
      <c r="D121" s="377" t="s">
        <v>816</v>
      </c>
      <c r="E121" s="131">
        <v>44594</v>
      </c>
      <c r="F121" s="383">
        <v>44894</v>
      </c>
      <c r="G121" s="379" t="s">
        <v>817</v>
      </c>
      <c r="H121" s="381">
        <v>300000</v>
      </c>
      <c r="I121" s="123" t="s">
        <v>542</v>
      </c>
      <c r="J121" s="104">
        <v>11724</v>
      </c>
      <c r="K121" s="104">
        <v>32436</v>
      </c>
      <c r="L121" s="104">
        <v>32436</v>
      </c>
      <c r="M121" s="104">
        <v>32436</v>
      </c>
      <c r="N121" s="104">
        <v>32436</v>
      </c>
      <c r="O121" s="104">
        <v>32436</v>
      </c>
      <c r="P121" s="104">
        <v>32436</v>
      </c>
      <c r="Q121" s="128">
        <v>97308</v>
      </c>
      <c r="R121" s="104">
        <v>303648</v>
      </c>
      <c r="S121" s="105"/>
      <c r="T121" s="106"/>
      <c r="U121" s="107"/>
    </row>
    <row r="122" spans="1:21" s="118" customFormat="1" ht="13.8" thickBot="1" x14ac:dyDescent="0.3">
      <c r="A122" s="109"/>
      <c r="B122" s="376"/>
      <c r="C122" s="378"/>
      <c r="D122" s="378"/>
      <c r="E122" s="113"/>
      <c r="F122" s="384"/>
      <c r="G122" s="385"/>
      <c r="H122" s="382"/>
      <c r="I122" s="116" t="s">
        <v>544</v>
      </c>
      <c r="J122" s="117">
        <v>10913.66</v>
      </c>
      <c r="K122" s="117">
        <v>12838.817519999999</v>
      </c>
      <c r="L122" s="117">
        <v>11412.28224</v>
      </c>
      <c r="M122" s="117">
        <v>9985.7469600000004</v>
      </c>
      <c r="N122" s="117">
        <v>8559.2116800000003</v>
      </c>
      <c r="O122" s="117">
        <v>7132.6763999999994</v>
      </c>
      <c r="P122" s="117">
        <v>5706.1411200000002</v>
      </c>
      <c r="Q122" s="117">
        <v>8559.2116800000003</v>
      </c>
      <c r="R122" s="117">
        <v>75107.747600000002</v>
      </c>
      <c r="S122" s="105"/>
      <c r="T122" s="106"/>
      <c r="U122" s="107"/>
    </row>
    <row r="123" spans="1:21" s="118" customFormat="1" ht="12.6" customHeight="1" x14ac:dyDescent="0.25">
      <c r="A123" s="96">
        <v>57</v>
      </c>
      <c r="B123" s="375" t="s">
        <v>173</v>
      </c>
      <c r="C123" s="377" t="s">
        <v>818</v>
      </c>
      <c r="D123" s="377"/>
      <c r="E123" s="131">
        <v>44594</v>
      </c>
      <c r="F123" s="379">
        <v>2023</v>
      </c>
      <c r="G123" s="379">
        <v>2028</v>
      </c>
      <c r="H123" s="381">
        <v>59922</v>
      </c>
      <c r="I123" s="123" t="s">
        <v>542</v>
      </c>
      <c r="J123" s="104">
        <v>0</v>
      </c>
      <c r="K123" s="104">
        <v>11984.4</v>
      </c>
      <c r="L123" s="104">
        <v>11984.4</v>
      </c>
      <c r="M123" s="104">
        <v>11984.4</v>
      </c>
      <c r="N123" s="104">
        <v>11984.4</v>
      </c>
      <c r="O123" s="104">
        <v>11984.4</v>
      </c>
      <c r="P123" s="104"/>
      <c r="Q123" s="128"/>
      <c r="R123" s="104">
        <v>59922</v>
      </c>
      <c r="S123" s="105"/>
      <c r="T123" s="106"/>
      <c r="U123" s="107"/>
    </row>
    <row r="124" spans="1:21" s="118" customFormat="1" ht="13.8" thickBot="1" x14ac:dyDescent="0.3">
      <c r="A124" s="109"/>
      <c r="B124" s="376"/>
      <c r="C124" s="378"/>
      <c r="D124" s="378"/>
      <c r="E124" s="113"/>
      <c r="F124" s="380"/>
      <c r="G124" s="380"/>
      <c r="H124" s="382"/>
      <c r="I124" s="116" t="s">
        <v>544</v>
      </c>
      <c r="J124" s="117">
        <v>0</v>
      </c>
      <c r="K124" s="117">
        <v>1742.5317599999998</v>
      </c>
      <c r="L124" s="117">
        <v>1394.025408</v>
      </c>
      <c r="M124" s="117">
        <v>1045.5190559999999</v>
      </c>
      <c r="N124" s="117">
        <v>697.01270399999999</v>
      </c>
      <c r="O124" s="117">
        <v>348.50635199999999</v>
      </c>
      <c r="P124" s="117">
        <v>0</v>
      </c>
      <c r="Q124" s="117">
        <v>0</v>
      </c>
      <c r="R124" s="117">
        <v>5227.5952799999995</v>
      </c>
      <c r="S124" s="105"/>
      <c r="T124" s="106"/>
      <c r="U124" s="107"/>
    </row>
    <row r="125" spans="1:21" s="118" customFormat="1" ht="12.6" customHeight="1" x14ac:dyDescent="0.25">
      <c r="A125" s="96">
        <v>58</v>
      </c>
      <c r="B125" s="375" t="s">
        <v>175</v>
      </c>
      <c r="C125" s="377" t="s">
        <v>818</v>
      </c>
      <c r="D125" s="377"/>
      <c r="E125" s="131">
        <v>44594</v>
      </c>
      <c r="F125" s="379">
        <v>2023</v>
      </c>
      <c r="G125" s="379">
        <v>2033</v>
      </c>
      <c r="H125" s="381">
        <v>207089</v>
      </c>
      <c r="I125" s="123" t="s">
        <v>542</v>
      </c>
      <c r="J125" s="104">
        <v>0</v>
      </c>
      <c r="K125" s="104">
        <v>20708.900000000001</v>
      </c>
      <c r="L125" s="104">
        <v>20708.900000000001</v>
      </c>
      <c r="M125" s="104">
        <v>20708.900000000001</v>
      </c>
      <c r="N125" s="104">
        <v>20708.900000000001</v>
      </c>
      <c r="O125" s="104">
        <v>20708.900000000001</v>
      </c>
      <c r="P125" s="104">
        <v>20708.900000000001</v>
      </c>
      <c r="Q125" s="128">
        <v>82835.600000000006</v>
      </c>
      <c r="R125" s="104">
        <v>207089</v>
      </c>
      <c r="S125" s="105"/>
      <c r="T125" s="106"/>
      <c r="U125" s="107"/>
    </row>
    <row r="126" spans="1:21" s="118" customFormat="1" ht="13.8" thickBot="1" x14ac:dyDescent="0.3">
      <c r="A126" s="109"/>
      <c r="B126" s="376"/>
      <c r="C126" s="378"/>
      <c r="D126" s="378"/>
      <c r="E126" s="113"/>
      <c r="F126" s="380"/>
      <c r="G126" s="380"/>
      <c r="H126" s="382"/>
      <c r="I126" s="116" t="s">
        <v>544</v>
      </c>
      <c r="J126" s="117">
        <v>0</v>
      </c>
      <c r="K126" s="117">
        <v>6022.1481199999998</v>
      </c>
      <c r="L126" s="117">
        <v>5419.9333079999997</v>
      </c>
      <c r="M126" s="117">
        <v>4817.7184960000004</v>
      </c>
      <c r="N126" s="117">
        <v>4215.5036840000002</v>
      </c>
      <c r="O126" s="117">
        <v>3613.2888720000001</v>
      </c>
      <c r="P126" s="117">
        <v>3011.0740599999999</v>
      </c>
      <c r="Q126" s="117">
        <v>4817.7184960000004</v>
      </c>
      <c r="R126" s="117">
        <v>31917.385036</v>
      </c>
      <c r="S126" s="105"/>
      <c r="T126" s="106"/>
      <c r="U126" s="107"/>
    </row>
    <row r="127" spans="1:21" s="118" customFormat="1" ht="18.600000000000001" customHeight="1" x14ac:dyDescent="0.25">
      <c r="A127" s="96">
        <v>59</v>
      </c>
      <c r="B127" s="375" t="s">
        <v>819</v>
      </c>
      <c r="C127" s="377" t="s">
        <v>818</v>
      </c>
      <c r="D127" s="377"/>
      <c r="E127" s="131">
        <v>44594</v>
      </c>
      <c r="F127" s="379">
        <v>2023</v>
      </c>
      <c r="G127" s="379">
        <v>2035</v>
      </c>
      <c r="H127" s="381">
        <v>167690</v>
      </c>
      <c r="I127" s="123" t="s">
        <v>542</v>
      </c>
      <c r="J127" s="104">
        <v>0</v>
      </c>
      <c r="K127" s="104">
        <v>50307</v>
      </c>
      <c r="L127" s="104">
        <v>67076</v>
      </c>
      <c r="M127" s="104">
        <v>50307</v>
      </c>
      <c r="N127" s="104"/>
      <c r="O127" s="104"/>
      <c r="P127" s="104"/>
      <c r="Q127" s="128"/>
      <c r="R127" s="104">
        <v>167690</v>
      </c>
      <c r="S127" s="105"/>
      <c r="T127" s="106"/>
      <c r="U127" s="107"/>
    </row>
    <row r="128" spans="1:21" s="118" customFormat="1" ht="18.600000000000001" customHeight="1" thickBot="1" x14ac:dyDescent="0.3">
      <c r="A128" s="109"/>
      <c r="B128" s="376"/>
      <c r="C128" s="378"/>
      <c r="D128" s="378"/>
      <c r="E128" s="113"/>
      <c r="F128" s="380"/>
      <c r="G128" s="380"/>
      <c r="H128" s="382"/>
      <c r="I128" s="116" t="s">
        <v>544</v>
      </c>
      <c r="J128" s="117">
        <v>0</v>
      </c>
      <c r="K128" s="117">
        <v>4876.4251999999997</v>
      </c>
      <c r="L128" s="117">
        <v>3413.4976399999996</v>
      </c>
      <c r="M128" s="117">
        <v>1462.9275599999999</v>
      </c>
      <c r="N128" s="117">
        <v>0</v>
      </c>
      <c r="O128" s="117">
        <v>0</v>
      </c>
      <c r="P128" s="117">
        <v>0</v>
      </c>
      <c r="Q128" s="117">
        <v>0</v>
      </c>
      <c r="R128" s="117">
        <v>9752.8503999999994</v>
      </c>
      <c r="S128" s="105"/>
      <c r="T128" s="106"/>
      <c r="U128" s="107"/>
    </row>
    <row r="129" spans="1:21" s="118" customFormat="1" ht="18.600000000000001" customHeight="1" x14ac:dyDescent="0.25">
      <c r="A129" s="96">
        <v>60</v>
      </c>
      <c r="B129" s="375" t="s">
        <v>146</v>
      </c>
      <c r="C129" s="377" t="s">
        <v>820</v>
      </c>
      <c r="D129" s="377" t="s">
        <v>821</v>
      </c>
      <c r="E129" s="131">
        <v>44594</v>
      </c>
      <c r="F129" s="379" t="s">
        <v>822</v>
      </c>
      <c r="G129" s="379" t="s">
        <v>823</v>
      </c>
      <c r="H129" s="381">
        <v>37335</v>
      </c>
      <c r="I129" s="123" t="s">
        <v>542</v>
      </c>
      <c r="J129" s="104">
        <v>0</v>
      </c>
      <c r="K129" s="104">
        <v>37335</v>
      </c>
      <c r="L129" s="104"/>
      <c r="M129" s="104"/>
      <c r="N129" s="104"/>
      <c r="O129" s="104"/>
      <c r="P129" s="104"/>
      <c r="Q129" s="128"/>
      <c r="R129" s="104">
        <v>37335</v>
      </c>
      <c r="S129" s="105"/>
      <c r="T129" s="106"/>
      <c r="U129" s="107"/>
    </row>
    <row r="130" spans="1:21" s="118" customFormat="1" ht="18.600000000000001" customHeight="1" thickBot="1" x14ac:dyDescent="0.3">
      <c r="A130" s="109"/>
      <c r="B130" s="376"/>
      <c r="C130" s="378"/>
      <c r="D130" s="378"/>
      <c r="E130" s="113"/>
      <c r="F130" s="380"/>
      <c r="G130" s="380"/>
      <c r="H130" s="382"/>
      <c r="I130" s="116" t="s">
        <v>544</v>
      </c>
      <c r="J130" s="117">
        <v>463.59999999999997</v>
      </c>
      <c r="K130" s="117">
        <v>1345.9267499999999</v>
      </c>
      <c r="L130" s="117">
        <v>0</v>
      </c>
      <c r="M130" s="117">
        <v>0</v>
      </c>
      <c r="N130" s="117">
        <v>0</v>
      </c>
      <c r="O130" s="117">
        <v>0</v>
      </c>
      <c r="P130" s="117">
        <v>0</v>
      </c>
      <c r="Q130" s="117">
        <v>0</v>
      </c>
      <c r="R130" s="117">
        <v>1809.5267499999998</v>
      </c>
      <c r="S130" s="105"/>
      <c r="T130" s="106"/>
      <c r="U130" s="107"/>
    </row>
    <row r="131" spans="1:21" s="118" customFormat="1" ht="14.4" customHeight="1" x14ac:dyDescent="0.25">
      <c r="A131" s="96">
        <v>61</v>
      </c>
      <c r="B131" s="375" t="s">
        <v>238</v>
      </c>
      <c r="C131" s="377" t="s">
        <v>824</v>
      </c>
      <c r="D131" s="377" t="s">
        <v>825</v>
      </c>
      <c r="E131" s="131">
        <v>44594</v>
      </c>
      <c r="F131" s="379" t="s">
        <v>826</v>
      </c>
      <c r="G131" s="379" t="s">
        <v>827</v>
      </c>
      <c r="H131" s="381">
        <v>495501</v>
      </c>
      <c r="I131" s="123" t="s">
        <v>542</v>
      </c>
      <c r="J131" s="104">
        <v>0</v>
      </c>
      <c r="K131" s="104">
        <v>26079</v>
      </c>
      <c r="L131" s="104">
        <v>34772</v>
      </c>
      <c r="M131" s="104">
        <v>34772</v>
      </c>
      <c r="N131" s="104">
        <v>34772</v>
      </c>
      <c r="O131" s="104">
        <v>34772</v>
      </c>
      <c r="P131" s="104">
        <v>34772</v>
      </c>
      <c r="Q131" s="128">
        <v>295562</v>
      </c>
      <c r="R131" s="104">
        <v>495501</v>
      </c>
      <c r="S131" s="105"/>
      <c r="T131" s="106"/>
      <c r="U131" s="107"/>
    </row>
    <row r="132" spans="1:21" s="118" customFormat="1" ht="14.4" customHeight="1" thickBot="1" x14ac:dyDescent="0.3">
      <c r="A132" s="109"/>
      <c r="B132" s="376"/>
      <c r="C132" s="378"/>
      <c r="D132" s="378"/>
      <c r="E132" s="113"/>
      <c r="F132" s="380"/>
      <c r="G132" s="380"/>
      <c r="H132" s="382"/>
      <c r="I132" s="116" t="s">
        <v>544</v>
      </c>
      <c r="J132" s="117">
        <v>1145.8900000000001</v>
      </c>
      <c r="K132" s="117">
        <v>27371.47524</v>
      </c>
      <c r="L132" s="117">
        <v>25930.871279999999</v>
      </c>
      <c r="M132" s="117">
        <v>24010.065999999999</v>
      </c>
      <c r="N132" s="117">
        <v>22089.260719999998</v>
      </c>
      <c r="O132" s="117">
        <v>20168.455439999998</v>
      </c>
      <c r="P132" s="117">
        <v>18247.650159999997</v>
      </c>
      <c r="Q132" s="117">
        <v>130614.75903999999</v>
      </c>
      <c r="R132" s="117">
        <v>269578.42787999997</v>
      </c>
      <c r="S132" s="105"/>
      <c r="T132" s="106"/>
      <c r="U132" s="107"/>
    </row>
    <row r="133" spans="1:21" s="118" customFormat="1" ht="14.4" customHeight="1" x14ac:dyDescent="0.25">
      <c r="A133" s="96">
        <v>62</v>
      </c>
      <c r="B133" s="375" t="s">
        <v>240</v>
      </c>
      <c r="C133" s="377" t="s">
        <v>818</v>
      </c>
      <c r="D133" s="377"/>
      <c r="E133" s="131">
        <v>44594</v>
      </c>
      <c r="F133" s="379">
        <v>2023</v>
      </c>
      <c r="G133" s="379">
        <v>2035</v>
      </c>
      <c r="H133" s="381">
        <v>390000</v>
      </c>
      <c r="I133" s="123" t="s">
        <v>542</v>
      </c>
      <c r="J133" s="104">
        <v>0</v>
      </c>
      <c r="K133" s="104">
        <v>32500</v>
      </c>
      <c r="L133" s="104">
        <v>32500</v>
      </c>
      <c r="M133" s="104">
        <v>32500</v>
      </c>
      <c r="N133" s="104">
        <v>32500</v>
      </c>
      <c r="O133" s="104">
        <v>32500</v>
      </c>
      <c r="P133" s="104">
        <v>32500</v>
      </c>
      <c r="Q133" s="128">
        <v>195000</v>
      </c>
      <c r="R133" s="104">
        <v>390000</v>
      </c>
      <c r="S133" s="105"/>
      <c r="T133" s="106"/>
      <c r="U133" s="107"/>
    </row>
    <row r="134" spans="1:21" s="118" customFormat="1" ht="14.4" customHeight="1" thickBot="1" x14ac:dyDescent="0.3">
      <c r="A134" s="109"/>
      <c r="B134" s="376"/>
      <c r="C134" s="378"/>
      <c r="D134" s="378"/>
      <c r="E134" s="113"/>
      <c r="F134" s="380"/>
      <c r="G134" s="380"/>
      <c r="H134" s="382"/>
      <c r="I134" s="116" t="s">
        <v>544</v>
      </c>
      <c r="J134" s="117">
        <v>0</v>
      </c>
      <c r="K134" s="117">
        <v>11341.199999999999</v>
      </c>
      <c r="L134" s="117">
        <v>10396.099999999999</v>
      </c>
      <c r="M134" s="117">
        <v>9451</v>
      </c>
      <c r="N134" s="117">
        <v>8505.9</v>
      </c>
      <c r="O134" s="117">
        <v>7560.7999999999993</v>
      </c>
      <c r="P134" s="117">
        <v>6615.7</v>
      </c>
      <c r="Q134" s="117">
        <v>11341.199999999999</v>
      </c>
      <c r="R134" s="117">
        <v>65211.899999999994</v>
      </c>
      <c r="S134" s="105"/>
      <c r="T134" s="106"/>
      <c r="U134" s="107"/>
    </row>
    <row r="135" spans="1:21" s="118" customFormat="1" ht="14.4" customHeight="1" x14ac:dyDescent="0.25">
      <c r="A135" s="96">
        <v>63</v>
      </c>
      <c r="B135" s="375" t="s">
        <v>242</v>
      </c>
      <c r="C135" s="377" t="s">
        <v>818</v>
      </c>
      <c r="D135" s="377"/>
      <c r="E135" s="131">
        <v>44594</v>
      </c>
      <c r="F135" s="379">
        <v>2023</v>
      </c>
      <c r="G135" s="379">
        <v>2038</v>
      </c>
      <c r="H135" s="381">
        <v>645000</v>
      </c>
      <c r="I135" s="123" t="s">
        <v>542</v>
      </c>
      <c r="J135" s="104">
        <v>0</v>
      </c>
      <c r="K135" s="104">
        <v>43000</v>
      </c>
      <c r="L135" s="104">
        <v>43000</v>
      </c>
      <c r="M135" s="104">
        <v>43000</v>
      </c>
      <c r="N135" s="104">
        <v>43000</v>
      </c>
      <c r="O135" s="104">
        <v>43000</v>
      </c>
      <c r="P135" s="104">
        <v>43000</v>
      </c>
      <c r="Q135" s="128">
        <v>387000</v>
      </c>
      <c r="R135" s="104">
        <v>645000</v>
      </c>
      <c r="S135" s="105"/>
      <c r="T135" s="106"/>
      <c r="U135" s="107"/>
    </row>
    <row r="136" spans="1:21" s="118" customFormat="1" ht="14.4" customHeight="1" thickBot="1" x14ac:dyDescent="0.3">
      <c r="A136" s="109"/>
      <c r="B136" s="376"/>
      <c r="C136" s="378"/>
      <c r="D136" s="378"/>
      <c r="E136" s="113"/>
      <c r="F136" s="380"/>
      <c r="G136" s="380"/>
      <c r="H136" s="382"/>
      <c r="I136" s="116" t="s">
        <v>544</v>
      </c>
      <c r="J136" s="117">
        <v>0</v>
      </c>
      <c r="K136" s="117">
        <v>18756.599999999999</v>
      </c>
      <c r="L136" s="117">
        <v>17506.16</v>
      </c>
      <c r="M136" s="117">
        <v>16255.72</v>
      </c>
      <c r="N136" s="117">
        <v>15005.279999999999</v>
      </c>
      <c r="O136" s="117">
        <v>13754.839999999998</v>
      </c>
      <c r="P136" s="117">
        <v>12504.4</v>
      </c>
      <c r="Q136" s="117">
        <v>22507.919999999998</v>
      </c>
      <c r="R136" s="117">
        <v>116290.91999999998</v>
      </c>
      <c r="S136" s="105"/>
      <c r="T136" s="106"/>
      <c r="U136" s="107"/>
    </row>
    <row r="137" spans="1:21" s="118" customFormat="1" ht="14.4" customHeight="1" x14ac:dyDescent="0.25">
      <c r="A137" s="96">
        <v>64</v>
      </c>
      <c r="B137" s="375" t="s">
        <v>179</v>
      </c>
      <c r="C137" s="377" t="s">
        <v>818</v>
      </c>
      <c r="D137" s="377"/>
      <c r="E137" s="131">
        <v>44594</v>
      </c>
      <c r="F137" s="379">
        <v>2023</v>
      </c>
      <c r="G137" s="379">
        <v>2028</v>
      </c>
      <c r="H137" s="381">
        <v>164032</v>
      </c>
      <c r="I137" s="123" t="s">
        <v>542</v>
      </c>
      <c r="J137" s="104">
        <v>0</v>
      </c>
      <c r="K137" s="104">
        <v>32806.400000000001</v>
      </c>
      <c r="L137" s="104">
        <v>32806.400000000001</v>
      </c>
      <c r="M137" s="104">
        <v>32806.400000000001</v>
      </c>
      <c r="N137" s="104">
        <v>32806.400000000001</v>
      </c>
      <c r="O137" s="104">
        <v>32806.400000000001</v>
      </c>
      <c r="P137" s="104"/>
      <c r="Q137" s="128"/>
      <c r="R137" s="104">
        <v>164032</v>
      </c>
      <c r="S137" s="105"/>
      <c r="T137" s="106"/>
      <c r="U137" s="107"/>
    </row>
    <row r="138" spans="1:21" s="118" customFormat="1" ht="14.4" customHeight="1" thickBot="1" x14ac:dyDescent="0.3">
      <c r="A138" s="109"/>
      <c r="B138" s="376"/>
      <c r="C138" s="378"/>
      <c r="D138" s="378"/>
      <c r="E138" s="113"/>
      <c r="F138" s="380"/>
      <c r="G138" s="380"/>
      <c r="H138" s="382"/>
      <c r="I138" s="116" t="s">
        <v>544</v>
      </c>
      <c r="J138" s="117">
        <v>0</v>
      </c>
      <c r="K138" s="117">
        <v>4770.0505599999997</v>
      </c>
      <c r="L138" s="117">
        <v>3816.0404479999997</v>
      </c>
      <c r="M138" s="117">
        <v>2862.0303360000003</v>
      </c>
      <c r="N138" s="117">
        <v>1908.0202239999999</v>
      </c>
      <c r="O138" s="117">
        <v>954.01011199999994</v>
      </c>
      <c r="P138" s="117">
        <v>0</v>
      </c>
      <c r="Q138" s="117">
        <v>0</v>
      </c>
      <c r="R138" s="117">
        <v>14310.151679999999</v>
      </c>
      <c r="S138" s="105"/>
      <c r="T138" s="106"/>
      <c r="U138" s="107"/>
    </row>
    <row r="139" spans="1:21" s="118" customFormat="1" ht="14.4" customHeight="1" x14ac:dyDescent="0.25">
      <c r="A139" s="96">
        <v>65</v>
      </c>
      <c r="B139" s="375" t="s">
        <v>181</v>
      </c>
      <c r="C139" s="377" t="s">
        <v>818</v>
      </c>
      <c r="D139" s="377"/>
      <c r="E139" s="131">
        <v>44594</v>
      </c>
      <c r="F139" s="379">
        <v>2023</v>
      </c>
      <c r="G139" s="379">
        <v>2038</v>
      </c>
      <c r="H139" s="381">
        <v>907235</v>
      </c>
      <c r="I139" s="123" t="s">
        <v>542</v>
      </c>
      <c r="J139" s="104">
        <v>0</v>
      </c>
      <c r="K139" s="104">
        <v>60482.333333333336</v>
      </c>
      <c r="L139" s="104">
        <v>60482.333333333336</v>
      </c>
      <c r="M139" s="104">
        <v>60482.333333333336</v>
      </c>
      <c r="N139" s="104">
        <v>60482.333333333336</v>
      </c>
      <c r="O139" s="104">
        <v>60482.333333333336</v>
      </c>
      <c r="P139" s="104">
        <v>60482.333333333336</v>
      </c>
      <c r="Q139" s="128">
        <v>544341</v>
      </c>
      <c r="R139" s="104">
        <v>907235</v>
      </c>
      <c r="S139" s="105"/>
      <c r="T139" s="106"/>
      <c r="U139" s="107"/>
    </row>
    <row r="140" spans="1:21" s="118" customFormat="1" ht="14.4" customHeight="1" thickBot="1" x14ac:dyDescent="0.3">
      <c r="A140" s="109"/>
      <c r="B140" s="376"/>
      <c r="C140" s="378"/>
      <c r="D140" s="378"/>
      <c r="E140" s="113"/>
      <c r="F140" s="380"/>
      <c r="G140" s="380"/>
      <c r="H140" s="382"/>
      <c r="I140" s="116" t="s">
        <v>544</v>
      </c>
      <c r="J140" s="117">
        <v>0</v>
      </c>
      <c r="K140" s="117">
        <v>26382.393799999998</v>
      </c>
      <c r="L140" s="117">
        <v>24623.567546666669</v>
      </c>
      <c r="M140" s="117">
        <v>22864.741293333333</v>
      </c>
      <c r="N140" s="117">
        <v>21105.91504</v>
      </c>
      <c r="O140" s="117">
        <v>19347.088786666664</v>
      </c>
      <c r="P140" s="117">
        <v>17588.262533333334</v>
      </c>
      <c r="Q140" s="117">
        <v>31658.87256</v>
      </c>
      <c r="R140" s="117">
        <v>163570.84155999997</v>
      </c>
      <c r="S140" s="105"/>
      <c r="T140" s="106"/>
      <c r="U140" s="107"/>
    </row>
    <row r="141" spans="1:21" s="118" customFormat="1" ht="14.4" customHeight="1" x14ac:dyDescent="0.25">
      <c r="A141" s="96">
        <v>66</v>
      </c>
      <c r="B141" s="375" t="s">
        <v>246</v>
      </c>
      <c r="C141" s="377" t="s">
        <v>818</v>
      </c>
      <c r="D141" s="377"/>
      <c r="E141" s="131">
        <v>44594</v>
      </c>
      <c r="F141" s="379">
        <v>2023</v>
      </c>
      <c r="G141" s="379">
        <v>2038</v>
      </c>
      <c r="H141" s="381">
        <v>287500</v>
      </c>
      <c r="I141" s="123" t="s">
        <v>542</v>
      </c>
      <c r="J141" s="104">
        <v>0</v>
      </c>
      <c r="K141" s="104">
        <v>19166.666666666668</v>
      </c>
      <c r="L141" s="104">
        <v>19166.666666666668</v>
      </c>
      <c r="M141" s="104">
        <v>19166.666666666668</v>
      </c>
      <c r="N141" s="104">
        <v>19166.666666666668</v>
      </c>
      <c r="O141" s="104">
        <v>19166.666666666668</v>
      </c>
      <c r="P141" s="104">
        <v>19166.666666666668</v>
      </c>
      <c r="Q141" s="128">
        <v>172500</v>
      </c>
      <c r="R141" s="104">
        <v>287500</v>
      </c>
      <c r="S141" s="105"/>
      <c r="T141" s="106"/>
      <c r="U141" s="107"/>
    </row>
    <row r="142" spans="1:21" s="118" customFormat="1" ht="14.4" customHeight="1" thickBot="1" x14ac:dyDescent="0.3">
      <c r="A142" s="109"/>
      <c r="B142" s="376"/>
      <c r="C142" s="378"/>
      <c r="D142" s="378"/>
      <c r="E142" s="113"/>
      <c r="F142" s="380"/>
      <c r="G142" s="380"/>
      <c r="H142" s="382"/>
      <c r="I142" s="116" t="s">
        <v>544</v>
      </c>
      <c r="J142" s="117">
        <v>0</v>
      </c>
      <c r="K142" s="117">
        <v>8360.5</v>
      </c>
      <c r="L142" s="117">
        <v>7803.1333333333341</v>
      </c>
      <c r="M142" s="117">
        <v>7245.7666666666664</v>
      </c>
      <c r="N142" s="117">
        <v>6688.4</v>
      </c>
      <c r="O142" s="117">
        <v>6131.0333333333328</v>
      </c>
      <c r="P142" s="117">
        <v>5573.6666666666661</v>
      </c>
      <c r="Q142" s="117">
        <v>10032.599999999999</v>
      </c>
      <c r="R142" s="117">
        <v>51835.1</v>
      </c>
      <c r="S142" s="105"/>
      <c r="T142" s="106"/>
      <c r="U142" s="107"/>
    </row>
    <row r="143" spans="1:21" s="118" customFormat="1" ht="14.4" customHeight="1" x14ac:dyDescent="0.25">
      <c r="A143" s="96">
        <v>67</v>
      </c>
      <c r="B143" s="375" t="s">
        <v>249</v>
      </c>
      <c r="C143" s="377" t="s">
        <v>818</v>
      </c>
      <c r="D143" s="377"/>
      <c r="E143" s="131">
        <v>44594</v>
      </c>
      <c r="F143" s="379">
        <v>2023</v>
      </c>
      <c r="G143" s="379">
        <v>2030</v>
      </c>
      <c r="H143" s="381">
        <v>126000</v>
      </c>
      <c r="I143" s="123" t="s">
        <v>542</v>
      </c>
      <c r="J143" s="104">
        <v>0</v>
      </c>
      <c r="K143" s="104">
        <v>18000</v>
      </c>
      <c r="L143" s="104">
        <v>18000</v>
      </c>
      <c r="M143" s="104">
        <v>18000</v>
      </c>
      <c r="N143" s="104">
        <v>18000</v>
      </c>
      <c r="O143" s="104">
        <v>18000</v>
      </c>
      <c r="P143" s="104">
        <v>18000</v>
      </c>
      <c r="Q143" s="128">
        <v>18000</v>
      </c>
      <c r="R143" s="104">
        <v>126000</v>
      </c>
      <c r="S143" s="105"/>
      <c r="T143" s="106"/>
      <c r="U143" s="107"/>
    </row>
    <row r="144" spans="1:21" s="118" customFormat="1" ht="14.4" customHeight="1" thickBot="1" x14ac:dyDescent="0.3">
      <c r="A144" s="109"/>
      <c r="B144" s="376"/>
      <c r="C144" s="378"/>
      <c r="D144" s="378"/>
      <c r="E144" s="113"/>
      <c r="F144" s="380"/>
      <c r="G144" s="380"/>
      <c r="H144" s="382"/>
      <c r="I144" s="116" t="s">
        <v>544</v>
      </c>
      <c r="J144" s="117">
        <v>0</v>
      </c>
      <c r="K144" s="117">
        <v>3664.08</v>
      </c>
      <c r="L144" s="117">
        <v>3140.64</v>
      </c>
      <c r="M144" s="117">
        <v>2617.1999999999998</v>
      </c>
      <c r="N144" s="117">
        <v>2093.7599999999998</v>
      </c>
      <c r="O144" s="117">
        <v>1570.32</v>
      </c>
      <c r="P144" s="117">
        <v>1046.8799999999999</v>
      </c>
      <c r="Q144" s="117">
        <v>1046.8799999999999</v>
      </c>
      <c r="R144" s="117">
        <v>15179.759999999997</v>
      </c>
      <c r="S144" s="105"/>
      <c r="T144" s="106"/>
      <c r="U144" s="107"/>
    </row>
    <row r="145" spans="1:21" s="118" customFormat="1" ht="14.4" customHeight="1" x14ac:dyDescent="0.25">
      <c r="A145" s="96">
        <v>68</v>
      </c>
      <c r="B145" s="375" t="s">
        <v>251</v>
      </c>
      <c r="C145" s="377" t="s">
        <v>818</v>
      </c>
      <c r="D145" s="377"/>
      <c r="E145" s="131">
        <v>44594</v>
      </c>
      <c r="F145" s="379">
        <v>2023</v>
      </c>
      <c r="G145" s="379">
        <v>2030</v>
      </c>
      <c r="H145" s="381">
        <v>126000</v>
      </c>
      <c r="I145" s="123" t="s">
        <v>542</v>
      </c>
      <c r="J145" s="104">
        <v>0</v>
      </c>
      <c r="K145" s="104">
        <v>18000</v>
      </c>
      <c r="L145" s="104">
        <v>18000</v>
      </c>
      <c r="M145" s="104">
        <v>18000</v>
      </c>
      <c r="N145" s="104">
        <v>18000</v>
      </c>
      <c r="O145" s="104">
        <v>18000</v>
      </c>
      <c r="P145" s="104">
        <v>18000</v>
      </c>
      <c r="Q145" s="128">
        <v>18000</v>
      </c>
      <c r="R145" s="104">
        <v>126000</v>
      </c>
      <c r="S145" s="105"/>
      <c r="T145" s="106"/>
      <c r="U145" s="107"/>
    </row>
    <row r="146" spans="1:21" s="118" customFormat="1" ht="14.4" customHeight="1" thickBot="1" x14ac:dyDescent="0.3">
      <c r="A146" s="109"/>
      <c r="B146" s="376"/>
      <c r="C146" s="378"/>
      <c r="D146" s="378"/>
      <c r="E146" s="113"/>
      <c r="F146" s="380"/>
      <c r="G146" s="380"/>
      <c r="H146" s="382"/>
      <c r="I146" s="116" t="s">
        <v>544</v>
      </c>
      <c r="J146" s="117">
        <v>0</v>
      </c>
      <c r="K146" s="117">
        <v>3664.08</v>
      </c>
      <c r="L146" s="117">
        <v>3140.64</v>
      </c>
      <c r="M146" s="117">
        <v>2617.1999999999998</v>
      </c>
      <c r="N146" s="117">
        <v>2093.7599999999998</v>
      </c>
      <c r="O146" s="117">
        <v>1570.32</v>
      </c>
      <c r="P146" s="117">
        <v>1046.8799999999999</v>
      </c>
      <c r="Q146" s="117">
        <v>1046.8799999999999</v>
      </c>
      <c r="R146" s="117">
        <v>15179.759999999997</v>
      </c>
      <c r="S146" s="105"/>
      <c r="T146" s="106"/>
      <c r="U146" s="107"/>
    </row>
    <row r="147" spans="1:21" s="118" customFormat="1" x14ac:dyDescent="0.25">
      <c r="A147" s="159"/>
      <c r="B147" s="160"/>
      <c r="C147" s="161"/>
      <c r="D147" s="161"/>
      <c r="E147" s="162"/>
      <c r="F147" s="162"/>
      <c r="G147" s="161"/>
      <c r="H147" s="163"/>
      <c r="I147" s="164" t="s">
        <v>828</v>
      </c>
      <c r="J147" s="165">
        <v>4714229.7079218114</v>
      </c>
      <c r="K147" s="165">
        <v>5845168.2026806502</v>
      </c>
      <c r="L147" s="165">
        <v>5626938.4405635968</v>
      </c>
      <c r="M147" s="165">
        <v>5429999.5965465438</v>
      </c>
      <c r="N147" s="165">
        <v>5106728.9234794909</v>
      </c>
      <c r="O147" s="165">
        <v>4926407.5831224378</v>
      </c>
      <c r="P147" s="165">
        <v>4695107.0507953828</v>
      </c>
      <c r="Q147" s="165">
        <v>53458627.303690262</v>
      </c>
      <c r="R147" s="165">
        <v>89803206.808800176</v>
      </c>
      <c r="S147" s="166"/>
      <c r="T147" s="106"/>
      <c r="U147" s="107"/>
    </row>
    <row r="148" spans="1:21" x14ac:dyDescent="0.25">
      <c r="H148" s="167"/>
      <c r="K148" s="168"/>
      <c r="L148" s="168"/>
      <c r="M148" s="168"/>
      <c r="N148" s="168"/>
      <c r="O148" s="168"/>
      <c r="P148" s="168"/>
      <c r="Q148" s="168"/>
      <c r="R148" s="168"/>
      <c r="T148" s="106"/>
      <c r="U148" s="107"/>
    </row>
    <row r="149" spans="1:21" s="118" customFormat="1" ht="14.4" thickBot="1" x14ac:dyDescent="0.35">
      <c r="A149" s="84" t="s">
        <v>829</v>
      </c>
      <c r="B149" s="160"/>
      <c r="C149" s="160"/>
      <c r="D149" s="161"/>
      <c r="E149" s="169"/>
      <c r="F149" s="162"/>
      <c r="G149" s="161"/>
      <c r="H149" s="170"/>
      <c r="I149" s="161"/>
      <c r="J149" s="171"/>
      <c r="K149" s="172"/>
      <c r="L149" s="172"/>
      <c r="M149" s="172"/>
      <c r="N149" s="172"/>
      <c r="O149" s="172"/>
      <c r="P149" s="172"/>
      <c r="Q149" s="172"/>
      <c r="R149" s="171"/>
      <c r="S149" s="166"/>
      <c r="T149" s="106"/>
      <c r="U149" s="107"/>
    </row>
    <row r="150" spans="1:21" s="95" customFormat="1" ht="52.5" customHeight="1" thickBot="1" x14ac:dyDescent="0.3">
      <c r="A150" s="373" t="s">
        <v>830</v>
      </c>
      <c r="B150" s="374"/>
      <c r="C150" s="88" t="s">
        <v>521</v>
      </c>
      <c r="D150" s="89" t="s">
        <v>522</v>
      </c>
      <c r="E150" s="90" t="s">
        <v>523</v>
      </c>
      <c r="F150" s="89" t="s">
        <v>523</v>
      </c>
      <c r="G150" s="89" t="s">
        <v>524</v>
      </c>
      <c r="H150" s="91" t="s">
        <v>525</v>
      </c>
      <c r="I150" s="92" t="s">
        <v>526</v>
      </c>
      <c r="J150" s="93" t="s">
        <v>527</v>
      </c>
      <c r="K150" s="93" t="s">
        <v>528</v>
      </c>
      <c r="L150" s="93" t="s">
        <v>529</v>
      </c>
      <c r="M150" s="93" t="s">
        <v>530</v>
      </c>
      <c r="N150" s="93" t="s">
        <v>531</v>
      </c>
      <c r="O150" s="93" t="s">
        <v>532</v>
      </c>
      <c r="P150" s="93" t="s">
        <v>533</v>
      </c>
      <c r="Q150" s="93" t="s">
        <v>534</v>
      </c>
      <c r="R150" s="93" t="s">
        <v>535</v>
      </c>
      <c r="S150" s="94"/>
      <c r="T150" s="106"/>
      <c r="U150" s="107"/>
    </row>
    <row r="151" spans="1:21" s="118" customFormat="1" ht="9" customHeight="1" thickBot="1" x14ac:dyDescent="0.35">
      <c r="A151" s="173"/>
      <c r="B151" s="174"/>
      <c r="C151" s="174"/>
      <c r="D151" s="175"/>
      <c r="E151" s="176"/>
      <c r="F151" s="177"/>
      <c r="G151" s="175"/>
      <c r="H151" s="178"/>
      <c r="I151" s="175"/>
      <c r="J151" s="179"/>
      <c r="K151" s="179"/>
      <c r="L151" s="179"/>
      <c r="M151" s="179"/>
      <c r="N151" s="179"/>
      <c r="O151" s="179"/>
      <c r="P151" s="179"/>
      <c r="Q151" s="179"/>
      <c r="R151" s="179"/>
      <c r="S151" s="166"/>
      <c r="T151" s="106"/>
      <c r="U151" s="107"/>
    </row>
    <row r="152" spans="1:21" s="108" customFormat="1" x14ac:dyDescent="0.25">
      <c r="A152" s="180">
        <v>1</v>
      </c>
      <c r="B152" s="181" t="s">
        <v>831</v>
      </c>
      <c r="C152" s="182"/>
      <c r="D152" s="121"/>
      <c r="E152" s="183"/>
      <c r="F152" s="145" t="s">
        <v>832</v>
      </c>
      <c r="G152" s="122" t="s">
        <v>833</v>
      </c>
      <c r="H152" s="184">
        <v>129553</v>
      </c>
      <c r="I152" s="123" t="s">
        <v>542</v>
      </c>
      <c r="J152" s="124">
        <v>8936</v>
      </c>
      <c r="K152" s="124">
        <v>8936</v>
      </c>
      <c r="L152" s="124">
        <v>8936</v>
      </c>
      <c r="M152" s="124">
        <v>8936</v>
      </c>
      <c r="N152" s="124">
        <v>8936</v>
      </c>
      <c r="O152" s="124">
        <v>8936</v>
      </c>
      <c r="P152" s="124">
        <v>8936</v>
      </c>
      <c r="Q152" s="124">
        <v>29042</v>
      </c>
      <c r="R152" s="124">
        <v>91594</v>
      </c>
      <c r="S152" s="160"/>
      <c r="T152" s="106"/>
      <c r="U152" s="107"/>
    </row>
    <row r="153" spans="1:21" s="118" customFormat="1" ht="11.4" customHeight="1" thickBot="1" x14ac:dyDescent="0.3">
      <c r="A153" s="109"/>
      <c r="B153" s="185"/>
      <c r="C153" s="156"/>
      <c r="D153" s="111"/>
      <c r="E153" s="112"/>
      <c r="F153" s="113"/>
      <c r="G153" s="114"/>
      <c r="H153" s="186"/>
      <c r="I153" s="116" t="s">
        <v>544</v>
      </c>
      <c r="J153" s="187">
        <v>2756.0634599999998</v>
      </c>
      <c r="K153" s="187">
        <v>2487.17922</v>
      </c>
      <c r="L153" s="187">
        <v>2218.2949800000001</v>
      </c>
      <c r="M153" s="187">
        <v>1949.4107399999998</v>
      </c>
      <c r="N153" s="187">
        <v>1680.5264999999999</v>
      </c>
      <c r="O153" s="187">
        <v>1411.6422599999999</v>
      </c>
      <c r="P153" s="187">
        <v>1142.75802</v>
      </c>
      <c r="Q153" s="187">
        <v>2621.6213400000001</v>
      </c>
      <c r="R153" s="187">
        <v>16267.496519999999</v>
      </c>
      <c r="S153" s="166"/>
      <c r="T153" s="106"/>
      <c r="U153" s="107"/>
    </row>
    <row r="154" spans="1:21" s="108" customFormat="1" x14ac:dyDescent="0.25">
      <c r="A154" s="119">
        <v>2</v>
      </c>
      <c r="B154" s="181" t="s">
        <v>834</v>
      </c>
      <c r="C154" s="182"/>
      <c r="D154" s="121"/>
      <c r="E154" s="183"/>
      <c r="F154" s="145" t="s">
        <v>835</v>
      </c>
      <c r="G154" s="122" t="s">
        <v>836</v>
      </c>
      <c r="H154" s="184">
        <v>44681</v>
      </c>
      <c r="I154" s="123" t="s">
        <v>542</v>
      </c>
      <c r="J154" s="124">
        <v>5976</v>
      </c>
      <c r="K154" s="124">
        <v>5976</v>
      </c>
      <c r="L154" s="144">
        <v>446.95</v>
      </c>
      <c r="M154" s="188">
        <v>0</v>
      </c>
      <c r="N154" s="188">
        <v>0</v>
      </c>
      <c r="O154" s="188">
        <v>0</v>
      </c>
      <c r="P154" s="188">
        <v>0</v>
      </c>
      <c r="Q154" s="188">
        <v>0</v>
      </c>
      <c r="R154" s="188">
        <v>12398.95</v>
      </c>
      <c r="S154" s="160"/>
      <c r="T154" s="106"/>
      <c r="U154" s="107"/>
    </row>
    <row r="155" spans="1:21" s="118" customFormat="1" ht="13.8" thickBot="1" x14ac:dyDescent="0.3">
      <c r="A155" s="109"/>
      <c r="B155" s="185" t="s">
        <v>837</v>
      </c>
      <c r="C155" s="156"/>
      <c r="D155" s="111"/>
      <c r="E155" s="112"/>
      <c r="F155" s="113"/>
      <c r="G155" s="114"/>
      <c r="H155" s="186"/>
      <c r="I155" s="116" t="s">
        <v>544</v>
      </c>
      <c r="J155" s="187"/>
      <c r="K155" s="187"/>
      <c r="L155" s="187"/>
      <c r="M155" s="187"/>
      <c r="N155" s="187"/>
      <c r="O155" s="187"/>
      <c r="P155" s="187"/>
      <c r="Q155" s="187"/>
      <c r="R155" s="187">
        <v>0</v>
      </c>
      <c r="S155" s="166"/>
      <c r="T155" s="106"/>
      <c r="U155" s="107"/>
    </row>
    <row r="156" spans="1:21" s="108" customFormat="1" x14ac:dyDescent="0.25">
      <c r="A156" s="119">
        <v>3</v>
      </c>
      <c r="B156" s="181" t="s">
        <v>838</v>
      </c>
      <c r="C156" s="182"/>
      <c r="D156" s="121"/>
      <c r="E156" s="183"/>
      <c r="F156" s="145" t="s">
        <v>839</v>
      </c>
      <c r="G156" s="122" t="s">
        <v>840</v>
      </c>
      <c r="H156" s="184">
        <v>82111</v>
      </c>
      <c r="I156" s="123" t="s">
        <v>542</v>
      </c>
      <c r="J156" s="124">
        <v>15204.36</v>
      </c>
      <c r="K156" s="124">
        <v>15204.36</v>
      </c>
      <c r="L156" s="144">
        <v>13937.16</v>
      </c>
      <c r="M156" s="188">
        <v>0</v>
      </c>
      <c r="N156" s="188">
        <v>0</v>
      </c>
      <c r="O156" s="188">
        <v>0</v>
      </c>
      <c r="P156" s="188">
        <v>0</v>
      </c>
      <c r="Q156" s="188">
        <v>0</v>
      </c>
      <c r="R156" s="188">
        <v>44345.880000000005</v>
      </c>
      <c r="S156" s="160"/>
      <c r="T156" s="106"/>
      <c r="U156" s="107"/>
    </row>
    <row r="157" spans="1:21" s="118" customFormat="1" ht="13.8" thickBot="1" x14ac:dyDescent="0.3">
      <c r="A157" s="109"/>
      <c r="B157" s="185"/>
      <c r="C157" s="156"/>
      <c r="D157" s="111"/>
      <c r="E157" s="112"/>
      <c r="F157" s="113"/>
      <c r="G157" s="114"/>
      <c r="H157" s="186"/>
      <c r="I157" s="116" t="s">
        <v>544</v>
      </c>
      <c r="J157" s="187"/>
      <c r="K157" s="187"/>
      <c r="L157" s="187"/>
      <c r="M157" s="187"/>
      <c r="N157" s="187"/>
      <c r="O157" s="187"/>
      <c r="P157" s="187"/>
      <c r="Q157" s="187"/>
      <c r="R157" s="187">
        <v>0</v>
      </c>
      <c r="S157" s="166"/>
      <c r="T157" s="106"/>
      <c r="U157" s="107"/>
    </row>
    <row r="158" spans="1:21" s="108" customFormat="1" x14ac:dyDescent="0.25">
      <c r="A158" s="119">
        <v>4</v>
      </c>
      <c r="B158" s="181" t="s">
        <v>841</v>
      </c>
      <c r="C158" s="182"/>
      <c r="D158" s="121"/>
      <c r="E158" s="183"/>
      <c r="F158" s="145" t="s">
        <v>842</v>
      </c>
      <c r="G158" s="122" t="s">
        <v>843</v>
      </c>
      <c r="H158" s="184">
        <v>33649.81</v>
      </c>
      <c r="I158" s="123" t="s">
        <v>542</v>
      </c>
      <c r="J158" s="124">
        <v>8424</v>
      </c>
      <c r="K158" s="124">
        <v>8424</v>
      </c>
      <c r="L158" s="124">
        <v>2808</v>
      </c>
      <c r="M158" s="124">
        <v>0</v>
      </c>
      <c r="N158" s="124">
        <v>0</v>
      </c>
      <c r="O158" s="124">
        <v>0</v>
      </c>
      <c r="P158" s="124">
        <v>0</v>
      </c>
      <c r="Q158" s="124">
        <v>0</v>
      </c>
      <c r="R158" s="124">
        <v>19656</v>
      </c>
      <c r="S158" s="189"/>
      <c r="T158" s="106"/>
      <c r="U158" s="107"/>
    </row>
    <row r="159" spans="1:21" s="118" customFormat="1" ht="13.8" thickBot="1" x14ac:dyDescent="0.3">
      <c r="A159" s="109"/>
      <c r="B159" s="185"/>
      <c r="C159" s="156"/>
      <c r="D159" s="111"/>
      <c r="E159" s="112"/>
      <c r="F159" s="113"/>
      <c r="G159" s="114"/>
      <c r="H159" s="186"/>
      <c r="I159" s="116" t="s">
        <v>544</v>
      </c>
      <c r="J159" s="187"/>
      <c r="K159" s="187"/>
      <c r="L159" s="187"/>
      <c r="M159" s="187"/>
      <c r="N159" s="187"/>
      <c r="O159" s="187"/>
      <c r="P159" s="187"/>
      <c r="Q159" s="187"/>
      <c r="R159" s="187">
        <v>0</v>
      </c>
      <c r="S159" s="166"/>
      <c r="T159" s="106"/>
      <c r="U159" s="107"/>
    </row>
    <row r="160" spans="1:21" s="108" customFormat="1" x14ac:dyDescent="0.25">
      <c r="A160" s="119">
        <v>5</v>
      </c>
      <c r="B160" s="181" t="s">
        <v>831</v>
      </c>
      <c r="C160" s="182"/>
      <c r="D160" s="121"/>
      <c r="E160" s="145"/>
      <c r="F160" s="145" t="s">
        <v>844</v>
      </c>
      <c r="G160" s="122" t="s">
        <v>845</v>
      </c>
      <c r="H160" s="184">
        <v>2209678</v>
      </c>
      <c r="I160" s="123" t="s">
        <v>542</v>
      </c>
      <c r="J160" s="124">
        <v>0</v>
      </c>
      <c r="K160" s="124"/>
      <c r="L160" s="124">
        <v>67990</v>
      </c>
      <c r="M160" s="124">
        <v>81588</v>
      </c>
      <c r="N160" s="124">
        <v>81588</v>
      </c>
      <c r="O160" s="124">
        <v>81588</v>
      </c>
      <c r="P160" s="124">
        <v>81588</v>
      </c>
      <c r="Q160" s="124">
        <v>1896924</v>
      </c>
      <c r="R160" s="124">
        <v>2291266</v>
      </c>
      <c r="S160" s="160"/>
      <c r="T160" s="106"/>
      <c r="U160" s="107"/>
    </row>
    <row r="161" spans="1:21" s="118" customFormat="1" ht="13.8" thickBot="1" x14ac:dyDescent="0.3">
      <c r="A161" s="109"/>
      <c r="B161" s="185"/>
      <c r="C161" s="156"/>
      <c r="D161" s="111"/>
      <c r="E161" s="113"/>
      <c r="F161" s="113"/>
      <c r="G161" s="114"/>
      <c r="H161" s="186"/>
      <c r="I161" s="116" t="s">
        <v>544</v>
      </c>
      <c r="J161" s="187">
        <v>46207.281279999996</v>
      </c>
      <c r="K161" s="187">
        <v>68921.281279999996</v>
      </c>
      <c r="L161" s="187">
        <v>68921.281279999996</v>
      </c>
      <c r="M161" s="187">
        <v>66876.142080000005</v>
      </c>
      <c r="N161" s="187">
        <v>64421.975039999998</v>
      </c>
      <c r="O161" s="187">
        <v>61967.807999999997</v>
      </c>
      <c r="P161" s="187">
        <v>59513.640959999997</v>
      </c>
      <c r="Q161" s="187">
        <v>1198248.9523199999</v>
      </c>
      <c r="R161" s="187">
        <v>1635078.3622399999</v>
      </c>
      <c r="S161" s="190"/>
      <c r="T161" s="106"/>
      <c r="U161" s="107"/>
    </row>
    <row r="162" spans="1:21" s="108" customFormat="1" x14ac:dyDescent="0.25">
      <c r="A162" s="119">
        <v>6</v>
      </c>
      <c r="B162" s="181" t="s">
        <v>846</v>
      </c>
      <c r="C162" s="182"/>
      <c r="D162" s="121"/>
      <c r="E162" s="145"/>
      <c r="F162" s="145" t="s">
        <v>847</v>
      </c>
      <c r="G162" s="122">
        <v>46904</v>
      </c>
      <c r="H162" s="184">
        <v>134432.07999999999</v>
      </c>
      <c r="I162" s="123" t="s">
        <v>542</v>
      </c>
      <c r="J162" s="124">
        <v>27121</v>
      </c>
      <c r="K162" s="124">
        <v>24300</v>
      </c>
      <c r="L162" s="124">
        <v>24300</v>
      </c>
      <c r="M162" s="124">
        <v>24300</v>
      </c>
      <c r="N162" s="124">
        <v>24300</v>
      </c>
      <c r="O162" s="124">
        <v>10125</v>
      </c>
      <c r="P162" s="124"/>
      <c r="Q162" s="124"/>
      <c r="R162" s="124">
        <v>134446</v>
      </c>
      <c r="S162" s="160"/>
      <c r="T162" s="106"/>
      <c r="U162" s="107"/>
    </row>
    <row r="163" spans="1:21" s="118" customFormat="1" ht="13.8" thickBot="1" x14ac:dyDescent="0.3">
      <c r="A163" s="109"/>
      <c r="B163" s="185"/>
      <c r="C163" s="156"/>
      <c r="D163" s="111"/>
      <c r="E163" s="113"/>
      <c r="F163" s="113"/>
      <c r="G163" s="114"/>
      <c r="H163" s="186"/>
      <c r="I163" s="116" t="s">
        <v>544</v>
      </c>
      <c r="J163" s="187"/>
      <c r="K163" s="187"/>
      <c r="L163" s="187"/>
      <c r="M163" s="187"/>
      <c r="N163" s="187"/>
      <c r="O163" s="187"/>
      <c r="P163" s="187"/>
      <c r="Q163" s="187"/>
      <c r="R163" s="187">
        <v>0</v>
      </c>
      <c r="S163" s="190"/>
      <c r="T163" s="106"/>
      <c r="U163" s="107"/>
    </row>
    <row r="164" spans="1:21" s="118" customFormat="1" x14ac:dyDescent="0.25">
      <c r="A164" s="159"/>
      <c r="B164" s="166"/>
      <c r="C164" s="166"/>
      <c r="D164" s="191"/>
      <c r="E164" s="164"/>
      <c r="F164" s="164"/>
      <c r="G164" s="191"/>
      <c r="H164" s="163"/>
      <c r="I164" s="164" t="s">
        <v>848</v>
      </c>
      <c r="J164" s="171">
        <v>114624.70473999999</v>
      </c>
      <c r="K164" s="171">
        <v>134248.8205</v>
      </c>
      <c r="L164" s="171">
        <v>189557.68625999999</v>
      </c>
      <c r="M164" s="171">
        <v>183649.55281999998</v>
      </c>
      <c r="N164" s="171">
        <v>180926.50154</v>
      </c>
      <c r="O164" s="171">
        <v>164028.45025999998</v>
      </c>
      <c r="P164" s="171">
        <v>151180.39898</v>
      </c>
      <c r="Q164" s="171">
        <v>3126836.5736600002</v>
      </c>
      <c r="R164" s="171">
        <v>4245052.6887600003</v>
      </c>
      <c r="S164" s="166"/>
      <c r="T164" s="106"/>
      <c r="U164" s="107"/>
    </row>
    <row r="165" spans="1:21" s="108" customFormat="1" ht="13.8" thickBot="1" x14ac:dyDescent="0.3">
      <c r="A165" s="159"/>
      <c r="B165" s="160"/>
      <c r="C165" s="160"/>
      <c r="D165" s="160"/>
      <c r="E165" s="169"/>
      <c r="F165" s="162"/>
      <c r="G165" s="160"/>
      <c r="H165" s="192"/>
      <c r="I165" s="160"/>
      <c r="J165" s="166"/>
      <c r="K165" s="166"/>
      <c r="L165" s="166"/>
      <c r="M165" s="166"/>
      <c r="N165" s="166"/>
      <c r="O165" s="166"/>
      <c r="P165" s="193"/>
      <c r="Q165" s="193"/>
      <c r="R165" s="193"/>
      <c r="S165" s="160"/>
      <c r="T165" s="106"/>
      <c r="U165" s="107"/>
    </row>
    <row r="166" spans="1:21" s="108" customFormat="1" ht="13.8" thickBot="1" x14ac:dyDescent="0.3">
      <c r="A166" s="194"/>
      <c r="B166" s="195" t="s">
        <v>849</v>
      </c>
      <c r="C166" s="195"/>
      <c r="D166" s="196"/>
      <c r="E166" s="197"/>
      <c r="F166" s="198"/>
      <c r="G166" s="199" t="s">
        <v>850</v>
      </c>
      <c r="H166" s="200"/>
      <c r="I166" s="201"/>
      <c r="J166" s="202">
        <v>4828854.4126618113</v>
      </c>
      <c r="K166" s="202">
        <v>5979417.0231806505</v>
      </c>
      <c r="L166" s="202">
        <v>5816496.1268235967</v>
      </c>
      <c r="M166" s="202">
        <v>5613649.1493665436</v>
      </c>
      <c r="N166" s="202">
        <v>5287655.4250194905</v>
      </c>
      <c r="O166" s="202">
        <v>5090436.0333824381</v>
      </c>
      <c r="P166" s="202">
        <v>4846287.4497753829</v>
      </c>
      <c r="Q166" s="202">
        <v>56585463.877350263</v>
      </c>
      <c r="R166" s="202">
        <v>94048259.497560173</v>
      </c>
      <c r="S166" s="160"/>
      <c r="T166" s="106"/>
      <c r="U166" s="107"/>
    </row>
    <row r="167" spans="1:21" s="82" customFormat="1" ht="23.4" x14ac:dyDescent="0.25">
      <c r="A167" s="76"/>
      <c r="B167" s="203" t="s">
        <v>851</v>
      </c>
      <c r="J167" s="204">
        <v>0.14981291165198338</v>
      </c>
      <c r="K167" s="204">
        <v>0.18550856946012986</v>
      </c>
      <c r="L167" s="204">
        <v>0.18045402613237874</v>
      </c>
      <c r="M167" s="204">
        <v>0.17416079512649843</v>
      </c>
      <c r="N167" s="204">
        <v>0.16404699486433955</v>
      </c>
      <c r="O167" s="204">
        <v>0.15792835703216415</v>
      </c>
      <c r="P167" s="204">
        <v>0.15035376333764883</v>
      </c>
      <c r="Q167" s="205"/>
      <c r="R167" s="206"/>
      <c r="T167" s="106"/>
      <c r="U167" s="107"/>
    </row>
    <row r="168" spans="1:21" x14ac:dyDescent="0.25">
      <c r="H168" s="167"/>
      <c r="T168" s="106"/>
      <c r="U168" s="107"/>
    </row>
    <row r="169" spans="1:21" x14ac:dyDescent="0.25">
      <c r="E169" s="207"/>
      <c r="F169" s="78"/>
      <c r="G169" s="80" t="s">
        <v>852</v>
      </c>
      <c r="H169" s="208"/>
      <c r="J169" s="209"/>
      <c r="K169" s="210"/>
      <c r="L169" s="210"/>
      <c r="M169" s="210"/>
      <c r="N169" s="78"/>
      <c r="O169" s="78"/>
      <c r="P169" s="78"/>
      <c r="Q169" s="78"/>
      <c r="R169" s="78"/>
      <c r="T169" s="106"/>
      <c r="U169" s="107"/>
    </row>
    <row r="170" spans="1:21" x14ac:dyDescent="0.25">
      <c r="G170" s="80" t="s">
        <v>853</v>
      </c>
      <c r="H170" s="211">
        <v>32232565</v>
      </c>
      <c r="I170" s="80"/>
      <c r="J170" s="78"/>
      <c r="K170" s="78"/>
      <c r="L170" s="78"/>
      <c r="M170" s="78"/>
      <c r="N170" s="78"/>
      <c r="O170" s="78"/>
      <c r="P170" s="78"/>
      <c r="Q170" s="78"/>
      <c r="R170" s="78"/>
      <c r="T170" s="106"/>
      <c r="U170" s="107"/>
    </row>
    <row r="171" spans="1:21" x14ac:dyDescent="0.25">
      <c r="G171" s="80"/>
      <c r="H171" s="212"/>
      <c r="I171" s="212"/>
      <c r="J171" s="83"/>
      <c r="K171" s="106"/>
      <c r="L171" s="106"/>
      <c r="M171" s="106"/>
      <c r="N171" s="106"/>
      <c r="O171" s="106"/>
      <c r="P171" s="106"/>
      <c r="Q171" s="106"/>
      <c r="R171" s="106"/>
      <c r="T171" s="106"/>
      <c r="U171" s="107"/>
    </row>
    <row r="172" spans="1:21" ht="27.75" customHeight="1" thickBot="1" x14ac:dyDescent="0.3">
      <c r="H172" s="213"/>
      <c r="I172" s="214"/>
      <c r="J172" s="215" t="s">
        <v>854</v>
      </c>
      <c r="K172" s="216" t="s">
        <v>855</v>
      </c>
      <c r="L172" s="216" t="s">
        <v>856</v>
      </c>
      <c r="M172" s="216" t="s">
        <v>857</v>
      </c>
      <c r="N172" s="216" t="s">
        <v>858</v>
      </c>
      <c r="O172" s="216" t="s">
        <v>859</v>
      </c>
      <c r="P172" s="216" t="s">
        <v>860</v>
      </c>
      <c r="Q172" s="216" t="s">
        <v>534</v>
      </c>
      <c r="R172" s="215" t="s">
        <v>535</v>
      </c>
      <c r="T172" s="106"/>
      <c r="U172" s="107"/>
    </row>
    <row r="173" spans="1:21" x14ac:dyDescent="0.25">
      <c r="H173" s="217"/>
      <c r="I173" s="218" t="s">
        <v>861</v>
      </c>
      <c r="J173" s="219">
        <v>3601890.1379218102</v>
      </c>
      <c r="K173" s="219">
        <v>3761881.5379218101</v>
      </c>
      <c r="L173" s="219">
        <v>3678120.8679218101</v>
      </c>
      <c r="M173" s="219">
        <v>3613494.5379218101</v>
      </c>
      <c r="N173" s="219">
        <v>3421139.5379218101</v>
      </c>
      <c r="O173" s="219">
        <v>3366024.5379218101</v>
      </c>
      <c r="P173" s="219">
        <v>3258104.7379218102</v>
      </c>
      <c r="Q173" s="219">
        <v>32688733.318703707</v>
      </c>
      <c r="R173" s="219">
        <v>57389389.214156374</v>
      </c>
      <c r="T173" s="106"/>
      <c r="U173" s="107"/>
    </row>
    <row r="174" spans="1:21" x14ac:dyDescent="0.25">
      <c r="B174" s="220"/>
      <c r="C174" s="221"/>
      <c r="E174" s="207"/>
      <c r="F174" s="78"/>
      <c r="H174" s="217"/>
      <c r="I174" s="218" t="s">
        <v>862</v>
      </c>
      <c r="J174" s="219">
        <v>1112339.5700000003</v>
      </c>
      <c r="K174" s="219">
        <v>2083286.6647588399</v>
      </c>
      <c r="L174" s="219">
        <v>1948817.572641785</v>
      </c>
      <c r="M174" s="219">
        <v>1816505.0586247321</v>
      </c>
      <c r="N174" s="219">
        <v>1685589.3855576792</v>
      </c>
      <c r="O174" s="219">
        <v>1560383.0452006254</v>
      </c>
      <c r="P174" s="219">
        <v>1437002.3128735721</v>
      </c>
      <c r="Q174" s="219">
        <v>20769893.984986525</v>
      </c>
      <c r="R174" s="219">
        <v>32413817.594643757</v>
      </c>
      <c r="T174" s="106"/>
      <c r="U174" s="107"/>
    </row>
    <row r="175" spans="1:21" ht="13.5" customHeight="1" thickBot="1" x14ac:dyDescent="0.3">
      <c r="H175" s="222"/>
      <c r="I175" s="223" t="s">
        <v>863</v>
      </c>
      <c r="J175" s="224">
        <v>114624.70473999999</v>
      </c>
      <c r="K175" s="224">
        <v>134248.8205</v>
      </c>
      <c r="L175" s="224">
        <v>189557.68625999999</v>
      </c>
      <c r="M175" s="224">
        <v>183649.55281999998</v>
      </c>
      <c r="N175" s="224">
        <v>180926.50154</v>
      </c>
      <c r="O175" s="224">
        <v>164028.45025999998</v>
      </c>
      <c r="P175" s="224">
        <v>151180.39898</v>
      </c>
      <c r="Q175" s="224">
        <v>3126836.5736600002</v>
      </c>
      <c r="R175" s="224">
        <v>4245052.6887600003</v>
      </c>
      <c r="T175" s="106"/>
      <c r="U175" s="107"/>
    </row>
    <row r="176" spans="1:21" x14ac:dyDescent="0.25">
      <c r="B176" s="225"/>
      <c r="D176" s="167"/>
      <c r="H176" s="83"/>
      <c r="I176" s="218" t="s">
        <v>864</v>
      </c>
      <c r="J176" s="219">
        <v>4828854.4126618104</v>
      </c>
      <c r="K176" s="226">
        <v>5979417.0231806505</v>
      </c>
      <c r="L176" s="226">
        <v>5816496.1268235948</v>
      </c>
      <c r="M176" s="226">
        <v>5613649.1493665418</v>
      </c>
      <c r="N176" s="226">
        <v>5287655.4250194887</v>
      </c>
      <c r="O176" s="226">
        <v>5090436.0333824363</v>
      </c>
      <c r="P176" s="226">
        <v>4846287.4497753819</v>
      </c>
      <c r="Q176" s="226">
        <v>56585463.877350233</v>
      </c>
      <c r="R176" s="227">
        <v>94048259.497560143</v>
      </c>
      <c r="T176" s="106"/>
      <c r="U176" s="107"/>
    </row>
    <row r="177" spans="1:21" x14ac:dyDescent="0.25">
      <c r="B177" s="228"/>
      <c r="I177" s="218"/>
      <c r="K177" s="168"/>
      <c r="L177" s="168"/>
      <c r="M177" s="168"/>
      <c r="N177" s="168"/>
      <c r="O177" s="168"/>
      <c r="P177" s="168"/>
      <c r="Q177" s="168"/>
      <c r="R177" s="168"/>
      <c r="T177" s="106"/>
      <c r="U177" s="107"/>
    </row>
    <row r="178" spans="1:21" s="234" customFormat="1" ht="18" x14ac:dyDescent="0.35">
      <c r="A178" s="229"/>
      <c r="B178" s="230"/>
      <c r="C178" s="229" t="s">
        <v>865</v>
      </c>
      <c r="D178" s="231"/>
      <c r="E178" s="232"/>
      <c r="F178" s="232"/>
      <c r="G178" s="231"/>
      <c r="H178" s="233"/>
      <c r="J178" s="168"/>
      <c r="K178" s="168"/>
      <c r="L178" s="168"/>
      <c r="M178" s="168"/>
      <c r="N178" s="168"/>
      <c r="O178" s="168"/>
      <c r="P178" s="168"/>
      <c r="Q178" s="168"/>
      <c r="R178" s="168"/>
      <c r="S178" s="235"/>
      <c r="T178" s="106"/>
      <c r="U178" s="107"/>
    </row>
    <row r="179" spans="1:21" x14ac:dyDescent="0.25">
      <c r="I179" s="218"/>
      <c r="J179" s="168"/>
      <c r="K179" s="168"/>
      <c r="L179" s="168"/>
      <c r="M179" s="168"/>
      <c r="N179" s="168"/>
      <c r="O179" s="168"/>
      <c r="P179" s="168"/>
      <c r="Q179" s="168"/>
      <c r="R179" s="168"/>
      <c r="T179" s="106"/>
      <c r="U179" s="107"/>
    </row>
    <row r="180" spans="1:21" ht="18" x14ac:dyDescent="0.35">
      <c r="I180" s="234"/>
      <c r="J180" s="168"/>
      <c r="K180" s="106"/>
      <c r="L180" s="106"/>
      <c r="M180" s="106"/>
      <c r="N180" s="106"/>
      <c r="O180" s="106"/>
      <c r="P180" s="106"/>
      <c r="Q180" s="106"/>
      <c r="R180" s="106"/>
      <c r="T180" s="106"/>
      <c r="U180" s="107"/>
    </row>
    <row r="181" spans="1:21" s="237" customFormat="1" x14ac:dyDescent="0.25">
      <c r="A181" s="236"/>
      <c r="C181" s="78"/>
      <c r="E181" s="238"/>
      <c r="F181" s="239"/>
      <c r="H181" s="81"/>
      <c r="I181" s="218"/>
      <c r="J181" s="168"/>
      <c r="K181" s="106"/>
      <c r="L181" s="106"/>
      <c r="M181" s="106"/>
      <c r="N181" s="106"/>
      <c r="O181" s="106"/>
      <c r="P181" s="106"/>
      <c r="Q181" s="106"/>
      <c r="R181" s="106"/>
      <c r="S181" s="240"/>
      <c r="T181" s="106"/>
      <c r="U181" s="107"/>
    </row>
    <row r="182" spans="1:21" s="237" customFormat="1" ht="18" x14ac:dyDescent="0.35">
      <c r="A182" s="236"/>
      <c r="C182" s="78"/>
      <c r="E182" s="238"/>
      <c r="F182" s="239"/>
      <c r="H182" s="81"/>
      <c r="I182" s="234"/>
      <c r="J182" s="168"/>
      <c r="K182" s="106"/>
      <c r="L182" s="106"/>
      <c r="M182" s="106"/>
      <c r="N182" s="106"/>
      <c r="O182" s="106"/>
      <c r="P182" s="106"/>
      <c r="Q182" s="106"/>
      <c r="R182" s="106"/>
      <c r="S182" s="240"/>
      <c r="T182" s="106"/>
      <c r="U182" s="107"/>
    </row>
    <row r="183" spans="1:21" s="237" customFormat="1" x14ac:dyDescent="0.25">
      <c r="A183" s="236"/>
      <c r="C183" s="78"/>
      <c r="E183" s="238"/>
      <c r="F183" s="239"/>
      <c r="H183" s="81"/>
      <c r="I183" s="218"/>
      <c r="J183" s="82"/>
      <c r="K183" s="106"/>
      <c r="L183" s="106"/>
      <c r="M183" s="106"/>
      <c r="N183" s="106"/>
      <c r="O183" s="106"/>
      <c r="P183" s="106"/>
      <c r="Q183" s="106"/>
      <c r="R183" s="106"/>
      <c r="S183" s="240"/>
      <c r="T183" s="106"/>
      <c r="U183" s="107"/>
    </row>
    <row r="184" spans="1:21" s="237" customFormat="1" ht="18" x14ac:dyDescent="0.35">
      <c r="A184" s="236"/>
      <c r="C184" s="78"/>
      <c r="E184" s="238"/>
      <c r="F184" s="239"/>
      <c r="H184" s="81"/>
      <c r="I184" s="234"/>
      <c r="J184" s="168"/>
      <c r="K184" s="168"/>
      <c r="L184" s="168"/>
      <c r="M184" s="168"/>
      <c r="N184" s="168"/>
      <c r="O184" s="168"/>
      <c r="P184" s="168"/>
      <c r="Q184" s="168"/>
      <c r="R184" s="168"/>
      <c r="S184" s="240"/>
      <c r="T184" s="106"/>
      <c r="U184" s="107"/>
    </row>
    <row r="185" spans="1:21" s="237" customFormat="1" x14ac:dyDescent="0.25">
      <c r="A185" s="236"/>
      <c r="C185" s="78"/>
      <c r="E185" s="238"/>
      <c r="F185" s="239"/>
      <c r="H185" s="81"/>
      <c r="I185" s="218"/>
      <c r="J185" s="82"/>
      <c r="K185" s="168"/>
      <c r="L185" s="168"/>
      <c r="M185" s="168"/>
      <c r="N185" s="168"/>
      <c r="O185" s="168"/>
      <c r="P185" s="168"/>
      <c r="Q185" s="168"/>
      <c r="R185" s="168"/>
      <c r="S185" s="240"/>
      <c r="T185" s="106"/>
      <c r="U185" s="107"/>
    </row>
    <row r="186" spans="1:21" s="237" customFormat="1" x14ac:dyDescent="0.25">
      <c r="A186" s="236"/>
      <c r="C186" s="78"/>
      <c r="E186" s="238"/>
      <c r="F186" s="239"/>
      <c r="H186" s="81"/>
      <c r="J186" s="168"/>
      <c r="K186" s="168"/>
      <c r="L186" s="168"/>
      <c r="M186" s="168"/>
      <c r="N186" s="168"/>
      <c r="O186" s="168"/>
      <c r="P186" s="168"/>
      <c r="Q186" s="168"/>
      <c r="R186" s="168"/>
      <c r="S186" s="240"/>
      <c r="T186" s="106"/>
      <c r="U186" s="107"/>
    </row>
    <row r="187" spans="1:21" s="237" customFormat="1" x14ac:dyDescent="0.25">
      <c r="A187" s="236"/>
      <c r="C187" s="78"/>
      <c r="E187" s="238"/>
      <c r="F187" s="239"/>
      <c r="H187" s="81"/>
      <c r="J187" s="168"/>
      <c r="K187" s="168"/>
      <c r="L187" s="168"/>
      <c r="M187" s="168"/>
      <c r="N187" s="168"/>
      <c r="O187" s="168"/>
      <c r="P187" s="168"/>
      <c r="Q187" s="168"/>
      <c r="R187" s="168"/>
      <c r="S187" s="240"/>
      <c r="T187" s="106"/>
      <c r="U187" s="107"/>
    </row>
    <row r="188" spans="1:21" s="237" customFormat="1" x14ac:dyDescent="0.25">
      <c r="A188" s="236"/>
      <c r="C188" s="78"/>
      <c r="E188" s="238"/>
      <c r="F188" s="239"/>
      <c r="H188" s="81"/>
      <c r="J188" s="168"/>
      <c r="K188" s="168"/>
      <c r="L188" s="168"/>
      <c r="M188" s="168"/>
      <c r="N188" s="168"/>
      <c r="O188" s="168"/>
      <c r="P188" s="168"/>
      <c r="Q188" s="168"/>
      <c r="R188" s="168"/>
      <c r="S188" s="240"/>
      <c r="T188" s="106"/>
      <c r="U188" s="107"/>
    </row>
    <row r="189" spans="1:21" s="237" customFormat="1" x14ac:dyDescent="0.25">
      <c r="A189" s="236"/>
      <c r="C189" s="78"/>
      <c r="E189" s="238"/>
      <c r="F189" s="239"/>
      <c r="H189" s="81"/>
      <c r="J189" s="82"/>
      <c r="K189" s="241"/>
      <c r="L189" s="241"/>
      <c r="M189" s="241"/>
      <c r="N189" s="241"/>
      <c r="O189" s="241"/>
      <c r="P189" s="241"/>
      <c r="Q189" s="82"/>
      <c r="R189" s="82"/>
      <c r="S189" s="240"/>
      <c r="T189" s="106"/>
      <c r="U189" s="107"/>
    </row>
    <row r="190" spans="1:21" s="237" customFormat="1" x14ac:dyDescent="0.25">
      <c r="A190" s="236"/>
      <c r="C190" s="78"/>
      <c r="E190" s="238"/>
      <c r="F190" s="239"/>
      <c r="H190" s="81"/>
      <c r="J190" s="82"/>
      <c r="K190" s="241"/>
      <c r="L190" s="241"/>
      <c r="M190" s="241"/>
      <c r="N190" s="241"/>
      <c r="O190" s="241"/>
      <c r="P190" s="241"/>
      <c r="Q190" s="82"/>
      <c r="R190" s="82"/>
      <c r="S190" s="240"/>
      <c r="T190" s="106"/>
      <c r="U190" s="107"/>
    </row>
    <row r="191" spans="1:21" s="237" customFormat="1" x14ac:dyDescent="0.25">
      <c r="A191" s="236"/>
      <c r="C191" s="78"/>
      <c r="E191" s="238"/>
      <c r="F191" s="239"/>
      <c r="H191" s="81"/>
      <c r="J191" s="82"/>
      <c r="K191" s="241"/>
      <c r="L191" s="241"/>
      <c r="M191" s="241"/>
      <c r="N191" s="241"/>
      <c r="O191" s="241"/>
      <c r="P191" s="241"/>
      <c r="Q191" s="82"/>
      <c r="R191" s="82"/>
      <c r="S191" s="240"/>
      <c r="T191" s="106"/>
      <c r="U191" s="107"/>
    </row>
    <row r="192" spans="1:21" s="237" customFormat="1" x14ac:dyDescent="0.25">
      <c r="A192" s="236"/>
      <c r="C192" s="78"/>
      <c r="E192" s="238"/>
      <c r="F192" s="239"/>
      <c r="H192" s="81"/>
      <c r="J192" s="82"/>
      <c r="K192" s="241"/>
      <c r="L192" s="241"/>
      <c r="M192" s="241"/>
      <c r="N192" s="241"/>
      <c r="O192" s="241"/>
      <c r="P192" s="241"/>
      <c r="Q192" s="82"/>
      <c r="R192" s="82"/>
      <c r="S192" s="240"/>
      <c r="T192" s="106"/>
      <c r="U192" s="107"/>
    </row>
    <row r="193" spans="1:21" s="237" customFormat="1" x14ac:dyDescent="0.25">
      <c r="A193" s="236"/>
      <c r="C193" s="78"/>
      <c r="E193" s="238"/>
      <c r="F193" s="239"/>
      <c r="H193" s="81"/>
      <c r="J193" s="82"/>
      <c r="K193" s="241"/>
      <c r="L193" s="241"/>
      <c r="M193" s="241"/>
      <c r="N193" s="241"/>
      <c r="O193" s="241"/>
      <c r="P193" s="241"/>
      <c r="Q193" s="82"/>
      <c r="R193" s="82"/>
      <c r="S193" s="240"/>
      <c r="T193" s="106"/>
      <c r="U193" s="107"/>
    </row>
    <row r="194" spans="1:21" s="237" customFormat="1" x14ac:dyDescent="0.25">
      <c r="A194" s="236"/>
      <c r="C194" s="78"/>
      <c r="E194" s="238"/>
      <c r="F194" s="239"/>
      <c r="H194" s="81"/>
      <c r="J194" s="82"/>
      <c r="K194" s="241"/>
      <c r="L194" s="241"/>
      <c r="M194" s="241"/>
      <c r="N194" s="241"/>
      <c r="O194" s="241"/>
      <c r="P194" s="241"/>
      <c r="Q194" s="82"/>
      <c r="R194" s="82"/>
      <c r="S194" s="240"/>
      <c r="T194" s="106"/>
      <c r="U194" s="107"/>
    </row>
    <row r="195" spans="1:21" s="237" customFormat="1" x14ac:dyDescent="0.25">
      <c r="A195" s="236"/>
      <c r="C195" s="78"/>
      <c r="E195" s="238"/>
      <c r="F195" s="239"/>
      <c r="H195" s="81"/>
      <c r="J195" s="82"/>
      <c r="K195" s="241"/>
      <c r="L195" s="241"/>
      <c r="M195" s="241"/>
      <c r="N195" s="241"/>
      <c r="O195" s="241"/>
      <c r="P195" s="241"/>
      <c r="Q195" s="82"/>
      <c r="R195" s="82"/>
      <c r="S195" s="240"/>
      <c r="T195" s="106"/>
      <c r="U195" s="107"/>
    </row>
    <row r="196" spans="1:21" s="237" customFormat="1" x14ac:dyDescent="0.25">
      <c r="A196" s="236"/>
      <c r="C196" s="78"/>
      <c r="E196" s="238"/>
      <c r="F196" s="239"/>
      <c r="H196" s="81"/>
      <c r="J196" s="82"/>
      <c r="K196" s="241"/>
      <c r="L196" s="241"/>
      <c r="M196" s="241"/>
      <c r="N196" s="241"/>
      <c r="O196" s="241"/>
      <c r="P196" s="241"/>
      <c r="Q196" s="82"/>
      <c r="R196" s="82"/>
      <c r="S196" s="240"/>
      <c r="T196" s="106"/>
      <c r="U196" s="107"/>
    </row>
    <row r="197" spans="1:21" s="237" customFormat="1" x14ac:dyDescent="0.25">
      <c r="A197" s="236"/>
      <c r="C197" s="78"/>
      <c r="E197" s="238"/>
      <c r="F197" s="239"/>
      <c r="H197" s="81"/>
      <c r="J197" s="82"/>
      <c r="K197" s="241"/>
      <c r="L197" s="241"/>
      <c r="M197" s="241"/>
      <c r="N197" s="241"/>
      <c r="O197" s="241"/>
      <c r="P197" s="241"/>
      <c r="Q197" s="82"/>
      <c r="R197" s="82"/>
      <c r="S197" s="240"/>
      <c r="T197" s="106"/>
    </row>
    <row r="198" spans="1:21" s="237" customFormat="1" x14ac:dyDescent="0.25">
      <c r="A198" s="236"/>
      <c r="C198" s="78"/>
      <c r="E198" s="238"/>
      <c r="F198" s="239"/>
      <c r="H198" s="81"/>
      <c r="J198" s="82"/>
      <c r="K198" s="241"/>
      <c r="L198" s="241"/>
      <c r="M198" s="241"/>
      <c r="N198" s="241"/>
      <c r="O198" s="241"/>
      <c r="P198" s="241"/>
      <c r="Q198" s="82"/>
      <c r="R198" s="82"/>
      <c r="S198" s="240"/>
      <c r="T198" s="106"/>
    </row>
    <row r="199" spans="1:21" s="237" customFormat="1" x14ac:dyDescent="0.25">
      <c r="A199" s="236"/>
      <c r="C199" s="78"/>
      <c r="E199" s="238"/>
      <c r="F199" s="239"/>
      <c r="H199" s="81"/>
      <c r="J199" s="82"/>
      <c r="K199" s="241"/>
      <c r="L199" s="241"/>
      <c r="M199" s="241"/>
      <c r="N199" s="241"/>
      <c r="O199" s="241"/>
      <c r="P199" s="241"/>
      <c r="Q199" s="82"/>
      <c r="R199" s="82"/>
      <c r="S199" s="240"/>
      <c r="T199" s="106"/>
    </row>
    <row r="200" spans="1:21" s="237" customFormat="1" x14ac:dyDescent="0.25">
      <c r="A200" s="236"/>
      <c r="C200" s="78"/>
      <c r="E200" s="238"/>
      <c r="F200" s="239"/>
      <c r="H200" s="81"/>
      <c r="J200" s="82"/>
      <c r="K200" s="241"/>
      <c r="L200" s="241"/>
      <c r="M200" s="241"/>
      <c r="N200" s="241"/>
      <c r="O200" s="241"/>
      <c r="P200" s="241"/>
      <c r="Q200" s="82"/>
      <c r="R200" s="82"/>
      <c r="S200" s="240"/>
      <c r="T200" s="240"/>
    </row>
    <row r="201" spans="1:21" s="237" customFormat="1" x14ac:dyDescent="0.25">
      <c r="A201" s="236"/>
      <c r="C201" s="78"/>
      <c r="E201" s="238"/>
      <c r="F201" s="239"/>
      <c r="H201" s="81"/>
      <c r="J201" s="82"/>
      <c r="K201" s="241"/>
      <c r="L201" s="241"/>
      <c r="M201" s="241"/>
      <c r="N201" s="241"/>
      <c r="O201" s="241"/>
      <c r="P201" s="241"/>
      <c r="Q201" s="82"/>
      <c r="R201" s="82"/>
      <c r="S201" s="240"/>
      <c r="T201" s="240"/>
    </row>
    <row r="202" spans="1:21" s="237" customFormat="1" x14ac:dyDescent="0.25">
      <c r="A202" s="236"/>
      <c r="C202" s="78"/>
      <c r="E202" s="238"/>
      <c r="F202" s="239"/>
      <c r="H202" s="81"/>
      <c r="J202" s="82"/>
      <c r="K202" s="241"/>
      <c r="L202" s="241"/>
      <c r="M202" s="241"/>
      <c r="N202" s="241"/>
      <c r="O202" s="241"/>
      <c r="P202" s="241"/>
      <c r="Q202" s="82"/>
      <c r="R202" s="82"/>
      <c r="S202" s="240"/>
      <c r="T202" s="240"/>
    </row>
    <row r="203" spans="1:21" s="237" customFormat="1" x14ac:dyDescent="0.25">
      <c r="A203" s="236"/>
      <c r="C203" s="78"/>
      <c r="E203" s="238"/>
      <c r="F203" s="239"/>
      <c r="H203" s="81"/>
      <c r="J203" s="82"/>
      <c r="K203" s="241"/>
      <c r="L203" s="241"/>
      <c r="M203" s="241"/>
      <c r="N203" s="241"/>
      <c r="O203" s="241"/>
      <c r="P203" s="241"/>
      <c r="Q203" s="82"/>
      <c r="R203" s="82"/>
      <c r="S203" s="240"/>
      <c r="T203" s="240"/>
    </row>
    <row r="204" spans="1:21" s="237" customFormat="1" x14ac:dyDescent="0.25">
      <c r="A204" s="236"/>
      <c r="C204" s="78"/>
      <c r="E204" s="238"/>
      <c r="F204" s="239"/>
      <c r="H204" s="81"/>
      <c r="J204" s="82"/>
      <c r="K204" s="241"/>
      <c r="L204" s="241"/>
      <c r="M204" s="241"/>
      <c r="N204" s="241"/>
      <c r="O204" s="241"/>
      <c r="P204" s="241"/>
      <c r="Q204" s="82"/>
      <c r="R204" s="82"/>
      <c r="S204" s="240"/>
      <c r="T204" s="240"/>
    </row>
    <row r="205" spans="1:21" s="237" customFormat="1" x14ac:dyDescent="0.25">
      <c r="A205" s="236"/>
      <c r="C205" s="78"/>
      <c r="E205" s="238"/>
      <c r="F205" s="239"/>
      <c r="H205" s="81"/>
      <c r="J205" s="82"/>
      <c r="K205" s="241"/>
      <c r="L205" s="241"/>
      <c r="M205" s="241"/>
      <c r="N205" s="241"/>
      <c r="O205" s="241"/>
      <c r="P205" s="241"/>
      <c r="Q205" s="82"/>
      <c r="R205" s="82"/>
      <c r="S205" s="240"/>
      <c r="T205" s="240"/>
    </row>
    <row r="206" spans="1:21" s="237" customFormat="1" x14ac:dyDescent="0.25">
      <c r="A206" s="236"/>
      <c r="C206" s="78"/>
      <c r="E206" s="238"/>
      <c r="F206" s="239"/>
      <c r="H206" s="81"/>
      <c r="J206" s="82"/>
      <c r="K206" s="241"/>
      <c r="L206" s="241"/>
      <c r="M206" s="241"/>
      <c r="N206" s="241"/>
      <c r="O206" s="241"/>
      <c r="P206" s="241"/>
      <c r="Q206" s="82"/>
      <c r="R206" s="82"/>
      <c r="S206" s="240"/>
      <c r="T206" s="240"/>
    </row>
    <row r="207" spans="1:21" s="237" customFormat="1" x14ac:dyDescent="0.25">
      <c r="A207" s="236"/>
      <c r="C207" s="78"/>
      <c r="E207" s="238"/>
      <c r="F207" s="239"/>
      <c r="H207" s="81"/>
      <c r="J207" s="82"/>
      <c r="K207" s="241"/>
      <c r="L207" s="241"/>
      <c r="M207" s="241"/>
      <c r="N207" s="241"/>
      <c r="O207" s="241"/>
      <c r="P207" s="241"/>
      <c r="Q207" s="82"/>
      <c r="R207" s="82"/>
      <c r="S207" s="240"/>
      <c r="T207" s="240"/>
    </row>
    <row r="208" spans="1:21" s="237" customFormat="1" x14ac:dyDescent="0.25">
      <c r="A208" s="236"/>
      <c r="C208" s="78"/>
      <c r="E208" s="238"/>
      <c r="F208" s="239"/>
      <c r="H208" s="81"/>
      <c r="J208" s="82"/>
      <c r="K208" s="241"/>
      <c r="L208" s="241"/>
      <c r="M208" s="241"/>
      <c r="N208" s="241"/>
      <c r="O208" s="241"/>
      <c r="P208" s="241"/>
      <c r="Q208" s="82"/>
      <c r="R208" s="82"/>
      <c r="S208" s="240"/>
      <c r="T208" s="240"/>
    </row>
    <row r="209" spans="1:20" s="237" customFormat="1" x14ac:dyDescent="0.25">
      <c r="A209" s="236"/>
      <c r="C209" s="78"/>
      <c r="E209" s="238"/>
      <c r="F209" s="239"/>
      <c r="H209" s="81"/>
      <c r="J209" s="82"/>
      <c r="K209" s="241"/>
      <c r="L209" s="241"/>
      <c r="M209" s="241"/>
      <c r="N209" s="241"/>
      <c r="O209" s="241"/>
      <c r="P209" s="241"/>
      <c r="Q209" s="82"/>
      <c r="R209" s="82"/>
      <c r="S209" s="240"/>
      <c r="T209" s="240"/>
    </row>
    <row r="210" spans="1:20" s="237" customFormat="1" x14ac:dyDescent="0.25">
      <c r="A210" s="236"/>
      <c r="C210" s="78"/>
      <c r="E210" s="238"/>
      <c r="F210" s="239"/>
      <c r="H210" s="81"/>
      <c r="J210" s="82"/>
      <c r="K210" s="241"/>
      <c r="L210" s="241"/>
      <c r="M210" s="241"/>
      <c r="N210" s="241"/>
      <c r="O210" s="241"/>
      <c r="P210" s="241"/>
      <c r="Q210" s="82"/>
      <c r="R210" s="82"/>
      <c r="S210" s="240"/>
      <c r="T210" s="240"/>
    </row>
    <row r="211" spans="1:20" s="237" customFormat="1" x14ac:dyDescent="0.25">
      <c r="A211" s="236"/>
      <c r="C211" s="78"/>
      <c r="E211" s="238"/>
      <c r="F211" s="239"/>
      <c r="H211" s="81"/>
      <c r="J211" s="82"/>
      <c r="K211" s="241"/>
      <c r="L211" s="241"/>
      <c r="M211" s="241"/>
      <c r="N211" s="241"/>
      <c r="O211" s="241"/>
      <c r="P211" s="241"/>
      <c r="Q211" s="82"/>
      <c r="R211" s="82"/>
      <c r="S211" s="240"/>
      <c r="T211" s="240"/>
    </row>
    <row r="212" spans="1:20" s="237" customFormat="1" x14ac:dyDescent="0.25">
      <c r="A212" s="236"/>
      <c r="C212" s="78"/>
      <c r="E212" s="238"/>
      <c r="F212" s="239"/>
      <c r="H212" s="81"/>
      <c r="J212" s="82"/>
      <c r="K212" s="241"/>
      <c r="L212" s="241"/>
      <c r="M212" s="241"/>
      <c r="N212" s="241"/>
      <c r="O212" s="241"/>
      <c r="P212" s="241"/>
      <c r="Q212" s="82"/>
      <c r="R212" s="82"/>
      <c r="S212" s="240"/>
      <c r="T212" s="240"/>
    </row>
    <row r="213" spans="1:20" s="237" customFormat="1" x14ac:dyDescent="0.25">
      <c r="A213" s="236"/>
      <c r="C213" s="78"/>
      <c r="E213" s="238"/>
      <c r="F213" s="239"/>
      <c r="H213" s="81"/>
      <c r="J213" s="82"/>
      <c r="K213" s="241"/>
      <c r="L213" s="241"/>
      <c r="M213" s="241"/>
      <c r="N213" s="241"/>
      <c r="O213" s="241"/>
      <c r="P213" s="241"/>
      <c r="Q213" s="82"/>
      <c r="R213" s="82"/>
      <c r="S213" s="240"/>
      <c r="T213" s="240"/>
    </row>
    <row r="214" spans="1:20" s="237" customFormat="1" x14ac:dyDescent="0.25">
      <c r="A214" s="236"/>
      <c r="C214" s="78"/>
      <c r="E214" s="238"/>
      <c r="F214" s="239"/>
      <c r="H214" s="81"/>
      <c r="J214" s="82"/>
      <c r="K214" s="241"/>
      <c r="L214" s="241"/>
      <c r="M214" s="241"/>
      <c r="N214" s="241"/>
      <c r="O214" s="241"/>
      <c r="P214" s="241"/>
      <c r="Q214" s="82"/>
      <c r="R214" s="82"/>
      <c r="S214" s="240"/>
      <c r="T214" s="240"/>
    </row>
    <row r="215" spans="1:20" s="237" customFormat="1" x14ac:dyDescent="0.25">
      <c r="A215" s="236"/>
      <c r="C215" s="78"/>
      <c r="E215" s="238"/>
      <c r="F215" s="239"/>
      <c r="H215" s="81"/>
      <c r="J215" s="82"/>
      <c r="K215" s="241"/>
      <c r="L215" s="241"/>
      <c r="M215" s="241"/>
      <c r="N215" s="241"/>
      <c r="O215" s="241"/>
      <c r="P215" s="241"/>
      <c r="Q215" s="82"/>
      <c r="R215" s="82"/>
      <c r="S215" s="240"/>
      <c r="T215" s="240"/>
    </row>
    <row r="216" spans="1:20" s="237" customFormat="1" x14ac:dyDescent="0.25">
      <c r="A216" s="236"/>
      <c r="C216" s="78"/>
      <c r="E216" s="238"/>
      <c r="F216" s="239"/>
      <c r="H216" s="81"/>
      <c r="J216" s="82"/>
      <c r="K216" s="241"/>
      <c r="L216" s="241"/>
      <c r="M216" s="241"/>
      <c r="N216" s="241"/>
      <c r="O216" s="241"/>
      <c r="P216" s="241"/>
      <c r="Q216" s="82"/>
      <c r="R216" s="82"/>
      <c r="S216" s="240"/>
      <c r="T216" s="240"/>
    </row>
    <row r="217" spans="1:20" s="237" customFormat="1" x14ac:dyDescent="0.25">
      <c r="A217" s="236"/>
      <c r="C217" s="78"/>
      <c r="E217" s="238"/>
      <c r="F217" s="239"/>
      <c r="H217" s="81"/>
      <c r="J217" s="82"/>
      <c r="K217" s="241"/>
      <c r="L217" s="241"/>
      <c r="M217" s="241"/>
      <c r="N217" s="241"/>
      <c r="O217" s="241"/>
      <c r="P217" s="241"/>
      <c r="Q217" s="82"/>
      <c r="R217" s="82"/>
      <c r="S217" s="240"/>
      <c r="T217" s="240"/>
    </row>
    <row r="218" spans="1:20" s="237" customFormat="1" x14ac:dyDescent="0.25">
      <c r="A218" s="236"/>
      <c r="C218" s="78"/>
      <c r="E218" s="238"/>
      <c r="F218" s="239"/>
      <c r="H218" s="81"/>
      <c r="J218" s="82"/>
      <c r="K218" s="241"/>
      <c r="L218" s="241"/>
      <c r="M218" s="241"/>
      <c r="N218" s="241"/>
      <c r="O218" s="241"/>
      <c r="P218" s="241"/>
      <c r="Q218" s="82"/>
      <c r="R218" s="82"/>
      <c r="S218" s="240"/>
      <c r="T218" s="240"/>
    </row>
    <row r="219" spans="1:20" s="237" customFormat="1" x14ac:dyDescent="0.25">
      <c r="A219" s="236"/>
      <c r="C219" s="78"/>
      <c r="E219" s="238"/>
      <c r="F219" s="239"/>
      <c r="H219" s="81"/>
      <c r="J219" s="82"/>
      <c r="K219" s="241"/>
      <c r="L219" s="241"/>
      <c r="M219" s="241"/>
      <c r="N219" s="241"/>
      <c r="O219" s="241"/>
      <c r="P219" s="241"/>
      <c r="Q219" s="82"/>
      <c r="R219" s="82"/>
      <c r="S219" s="240"/>
      <c r="T219" s="240"/>
    </row>
  </sheetData>
  <mergeCells count="278">
    <mergeCell ref="H55:H56"/>
    <mergeCell ref="B57:B58"/>
    <mergeCell ref="C57:C58"/>
    <mergeCell ref="D57:D58"/>
    <mergeCell ref="F57:F58"/>
    <mergeCell ref="G57:G58"/>
    <mergeCell ref="H57:H58"/>
    <mergeCell ref="A6:B6"/>
    <mergeCell ref="B55:B56"/>
    <mergeCell ref="C55:C56"/>
    <mergeCell ref="D55:D56"/>
    <mergeCell ref="F55:F56"/>
    <mergeCell ref="G55:G56"/>
    <mergeCell ref="B61:B62"/>
    <mergeCell ref="C61:C62"/>
    <mergeCell ref="D61:D62"/>
    <mergeCell ref="F61:F62"/>
    <mergeCell ref="G61:G62"/>
    <mergeCell ref="H61:H62"/>
    <mergeCell ref="B59:B60"/>
    <mergeCell ref="C59:C60"/>
    <mergeCell ref="D59:D60"/>
    <mergeCell ref="F59:F60"/>
    <mergeCell ref="G59:G60"/>
    <mergeCell ref="H59:H60"/>
    <mergeCell ref="B65:B66"/>
    <mergeCell ref="C65:C66"/>
    <mergeCell ref="D65:D66"/>
    <mergeCell ref="F65:F66"/>
    <mergeCell ref="G65:G66"/>
    <mergeCell ref="H65:H66"/>
    <mergeCell ref="B63:B64"/>
    <mergeCell ref="C63:C64"/>
    <mergeCell ref="D63:D64"/>
    <mergeCell ref="F63:F64"/>
    <mergeCell ref="G63:G64"/>
    <mergeCell ref="H63:H64"/>
    <mergeCell ref="B69:B70"/>
    <mergeCell ref="C69:C70"/>
    <mergeCell ref="D69:D70"/>
    <mergeCell ref="F69:F70"/>
    <mergeCell ref="G69:G70"/>
    <mergeCell ref="H69:H70"/>
    <mergeCell ref="B67:B68"/>
    <mergeCell ref="C67:C68"/>
    <mergeCell ref="D67:D68"/>
    <mergeCell ref="F67:F68"/>
    <mergeCell ref="G67:G68"/>
    <mergeCell ref="H67:H68"/>
    <mergeCell ref="B73:B74"/>
    <mergeCell ref="C73:C74"/>
    <mergeCell ref="D73:D74"/>
    <mergeCell ref="F73:F74"/>
    <mergeCell ref="G73:G74"/>
    <mergeCell ref="H73:H74"/>
    <mergeCell ref="B71:B72"/>
    <mergeCell ref="C71:C72"/>
    <mergeCell ref="D71:D72"/>
    <mergeCell ref="F71:F72"/>
    <mergeCell ref="G71:G72"/>
    <mergeCell ref="H71:H72"/>
    <mergeCell ref="B77:B78"/>
    <mergeCell ref="C77:C78"/>
    <mergeCell ref="D77:D78"/>
    <mergeCell ref="F77:F78"/>
    <mergeCell ref="G77:G78"/>
    <mergeCell ref="H77:H78"/>
    <mergeCell ref="B75:B76"/>
    <mergeCell ref="C75:C76"/>
    <mergeCell ref="D75:D76"/>
    <mergeCell ref="F75:F76"/>
    <mergeCell ref="G75:G76"/>
    <mergeCell ref="H75:H76"/>
    <mergeCell ref="B81:B82"/>
    <mergeCell ref="C81:C82"/>
    <mergeCell ref="D81:D82"/>
    <mergeCell ref="F81:F82"/>
    <mergeCell ref="G81:G82"/>
    <mergeCell ref="H81:H82"/>
    <mergeCell ref="B79:B80"/>
    <mergeCell ref="C79:C80"/>
    <mergeCell ref="D79:D80"/>
    <mergeCell ref="F79:F80"/>
    <mergeCell ref="G79:G80"/>
    <mergeCell ref="H79:H80"/>
    <mergeCell ref="B85:B86"/>
    <mergeCell ref="C85:C86"/>
    <mergeCell ref="D85:D86"/>
    <mergeCell ref="F85:F86"/>
    <mergeCell ref="G85:G86"/>
    <mergeCell ref="H85:H86"/>
    <mergeCell ref="B83:B84"/>
    <mergeCell ref="C83:C84"/>
    <mergeCell ref="D83:D84"/>
    <mergeCell ref="F83:F84"/>
    <mergeCell ref="G83:G84"/>
    <mergeCell ref="H83:H84"/>
    <mergeCell ref="B89:B90"/>
    <mergeCell ref="C89:C90"/>
    <mergeCell ref="D89:D90"/>
    <mergeCell ref="F89:F90"/>
    <mergeCell ref="G89:G90"/>
    <mergeCell ref="H89:H90"/>
    <mergeCell ref="B87:B88"/>
    <mergeCell ref="C87:C88"/>
    <mergeCell ref="D87:D88"/>
    <mergeCell ref="F87:F88"/>
    <mergeCell ref="G87:G88"/>
    <mergeCell ref="H87:H88"/>
    <mergeCell ref="B93:B94"/>
    <mergeCell ref="C93:C94"/>
    <mergeCell ref="D93:D94"/>
    <mergeCell ref="F93:F94"/>
    <mergeCell ref="G93:G94"/>
    <mergeCell ref="H93:H94"/>
    <mergeCell ref="B91:B92"/>
    <mergeCell ref="C91:C92"/>
    <mergeCell ref="D91:D92"/>
    <mergeCell ref="F91:F92"/>
    <mergeCell ref="G91:G92"/>
    <mergeCell ref="H91:H92"/>
    <mergeCell ref="B97:B98"/>
    <mergeCell ref="C97:C98"/>
    <mergeCell ref="D97:D98"/>
    <mergeCell ref="F97:F98"/>
    <mergeCell ref="G97:G98"/>
    <mergeCell ref="H97:H98"/>
    <mergeCell ref="B95:B96"/>
    <mergeCell ref="C95:C96"/>
    <mergeCell ref="D95:D96"/>
    <mergeCell ref="F95:F96"/>
    <mergeCell ref="G95:G96"/>
    <mergeCell ref="H95:H96"/>
    <mergeCell ref="B101:B102"/>
    <mergeCell ref="C101:C102"/>
    <mergeCell ref="D101:D102"/>
    <mergeCell ref="F101:F102"/>
    <mergeCell ref="G101:G102"/>
    <mergeCell ref="H101:H102"/>
    <mergeCell ref="B99:B100"/>
    <mergeCell ref="C99:C100"/>
    <mergeCell ref="D99:D100"/>
    <mergeCell ref="F99:F100"/>
    <mergeCell ref="G99:G100"/>
    <mergeCell ref="H99:H100"/>
    <mergeCell ref="B105:B106"/>
    <mergeCell ref="C105:C106"/>
    <mergeCell ref="D105:D106"/>
    <mergeCell ref="F105:F106"/>
    <mergeCell ref="G105:G106"/>
    <mergeCell ref="H105:H106"/>
    <mergeCell ref="B103:B104"/>
    <mergeCell ref="C103:C104"/>
    <mergeCell ref="D103:D104"/>
    <mergeCell ref="F103:F104"/>
    <mergeCell ref="G103:G104"/>
    <mergeCell ref="H103:H104"/>
    <mergeCell ref="B109:B110"/>
    <mergeCell ref="C109:C110"/>
    <mergeCell ref="D109:D110"/>
    <mergeCell ref="F109:F110"/>
    <mergeCell ref="G109:G110"/>
    <mergeCell ref="H109:H110"/>
    <mergeCell ref="B107:B108"/>
    <mergeCell ref="C107:C108"/>
    <mergeCell ref="D107:D108"/>
    <mergeCell ref="F107:F108"/>
    <mergeCell ref="G107:G108"/>
    <mergeCell ref="H107:H108"/>
    <mergeCell ref="B113:B114"/>
    <mergeCell ref="C113:C114"/>
    <mergeCell ref="D113:D114"/>
    <mergeCell ref="F113:F114"/>
    <mergeCell ref="G113:G114"/>
    <mergeCell ref="H113:H114"/>
    <mergeCell ref="B111:B112"/>
    <mergeCell ref="C111:C112"/>
    <mergeCell ref="D111:D112"/>
    <mergeCell ref="F111:F112"/>
    <mergeCell ref="G111:G112"/>
    <mergeCell ref="H111:H112"/>
    <mergeCell ref="B117:B118"/>
    <mergeCell ref="C117:C118"/>
    <mergeCell ref="D117:D118"/>
    <mergeCell ref="F117:F118"/>
    <mergeCell ref="G117:G118"/>
    <mergeCell ref="H117:H118"/>
    <mergeCell ref="B115:B116"/>
    <mergeCell ref="C115:C116"/>
    <mergeCell ref="D115:D116"/>
    <mergeCell ref="F115:F116"/>
    <mergeCell ref="G115:G116"/>
    <mergeCell ref="H115:H116"/>
    <mergeCell ref="B121:B122"/>
    <mergeCell ref="C121:C122"/>
    <mergeCell ref="D121:D122"/>
    <mergeCell ref="F121:F122"/>
    <mergeCell ref="G121:G122"/>
    <mergeCell ref="H121:H122"/>
    <mergeCell ref="B119:B120"/>
    <mergeCell ref="C119:C120"/>
    <mergeCell ref="D119:D120"/>
    <mergeCell ref="F119:F120"/>
    <mergeCell ref="G119:G120"/>
    <mergeCell ref="H119:H120"/>
    <mergeCell ref="B125:B126"/>
    <mergeCell ref="C125:C126"/>
    <mergeCell ref="D125:D126"/>
    <mergeCell ref="F125:F126"/>
    <mergeCell ref="G125:G126"/>
    <mergeCell ref="H125:H126"/>
    <mergeCell ref="B123:B124"/>
    <mergeCell ref="C123:C124"/>
    <mergeCell ref="D123:D124"/>
    <mergeCell ref="F123:F124"/>
    <mergeCell ref="G123:G124"/>
    <mergeCell ref="H123:H124"/>
    <mergeCell ref="B129:B130"/>
    <mergeCell ref="C129:C130"/>
    <mergeCell ref="D129:D130"/>
    <mergeCell ref="F129:F130"/>
    <mergeCell ref="G129:G130"/>
    <mergeCell ref="H129:H130"/>
    <mergeCell ref="B127:B128"/>
    <mergeCell ref="C127:C128"/>
    <mergeCell ref="D127:D128"/>
    <mergeCell ref="F127:F128"/>
    <mergeCell ref="G127:G128"/>
    <mergeCell ref="H127:H128"/>
    <mergeCell ref="B133:B134"/>
    <mergeCell ref="C133:C134"/>
    <mergeCell ref="D133:D134"/>
    <mergeCell ref="F133:F134"/>
    <mergeCell ref="G133:G134"/>
    <mergeCell ref="H133:H134"/>
    <mergeCell ref="B131:B132"/>
    <mergeCell ref="C131:C132"/>
    <mergeCell ref="D131:D132"/>
    <mergeCell ref="F131:F132"/>
    <mergeCell ref="G131:G132"/>
    <mergeCell ref="H131:H132"/>
    <mergeCell ref="B137:B138"/>
    <mergeCell ref="C137:C138"/>
    <mergeCell ref="D137:D138"/>
    <mergeCell ref="F137:F138"/>
    <mergeCell ref="G137:G138"/>
    <mergeCell ref="H137:H138"/>
    <mergeCell ref="B135:B136"/>
    <mergeCell ref="C135:C136"/>
    <mergeCell ref="D135:D136"/>
    <mergeCell ref="F135:F136"/>
    <mergeCell ref="G135:G136"/>
    <mergeCell ref="H135:H136"/>
    <mergeCell ref="B141:B142"/>
    <mergeCell ref="C141:C142"/>
    <mergeCell ref="D141:D142"/>
    <mergeCell ref="F141:F142"/>
    <mergeCell ref="G141:G142"/>
    <mergeCell ref="H141:H142"/>
    <mergeCell ref="B139:B140"/>
    <mergeCell ref="C139:C140"/>
    <mergeCell ref="D139:D140"/>
    <mergeCell ref="F139:F140"/>
    <mergeCell ref="G139:G140"/>
    <mergeCell ref="H139:H140"/>
    <mergeCell ref="A150:B150"/>
    <mergeCell ref="B145:B146"/>
    <mergeCell ref="C145:C146"/>
    <mergeCell ref="D145:D146"/>
    <mergeCell ref="F145:F146"/>
    <mergeCell ref="G145:G146"/>
    <mergeCell ref="H145:H146"/>
    <mergeCell ref="B143:B144"/>
    <mergeCell ref="C143:C144"/>
    <mergeCell ref="D143:D144"/>
    <mergeCell ref="F143:F144"/>
    <mergeCell ref="G143:G144"/>
    <mergeCell ref="H143:H144"/>
  </mergeCells>
  <pageMargins left="0.23622047244094491" right="0.23622047244094491" top="0.74803149606299213" bottom="0.74803149606299213" header="0.31496062992125984" footer="0.31496062992125984"/>
  <pageSetup paperSize="9" scale="85"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2023.gada budzeta plans_apv</vt:lpstr>
      <vt:lpstr>Saistibas</vt:lpstr>
      <vt:lpstr>'2023.gada budzeta plans_apv'!Print_Area</vt:lpstr>
      <vt:lpstr>Saistibas!Print_Area</vt:lpstr>
      <vt:lpstr>'2023.gada budzeta plans_apv'!Print_Titles</vt:lpstr>
      <vt:lpstr>Saistibas!Print_Titles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Sintija Tenisa</cp:lastModifiedBy>
  <dcterms:created xsi:type="dcterms:W3CDTF">2023-08-10T07:45:19Z</dcterms:created>
  <dcterms:modified xsi:type="dcterms:W3CDTF">2023-08-17T12:07:30Z</dcterms:modified>
</cp:coreProperties>
</file>