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Linda Povlovska\Desktop\"/>
    </mc:Choice>
  </mc:AlternateContent>
  <xr:revisionPtr revIDLastSave="0" documentId="8_{90FA24CA-4C63-4856-944A-7ED358C7F94C}" xr6:coauthVersionLast="47" xr6:coauthVersionMax="47" xr10:uidLastSave="{00000000-0000-0000-0000-000000000000}"/>
  <bookViews>
    <workbookView xWindow="-120" yWindow="-120" windowWidth="29040" windowHeight="17520" xr2:uid="{C2305064-C2B3-4D1B-BA55-BA57017E0FC5}"/>
  </bookViews>
  <sheets>
    <sheet name="Grafiki_budžeta_izpilde" sheetId="2" r:id="rId1"/>
    <sheet name="% maksa" sheetId="3" r:id="rId2"/>
    <sheet name="2023.gada budzeta plans_apvieno" sheetId="1" r:id="rId3"/>
  </sheets>
  <externalReferences>
    <externalReference r:id="rId4"/>
    <externalReference r:id="rId5"/>
    <externalReference r:id="rId6"/>
    <externalReference r:id="rId7"/>
  </externalReferences>
  <definedNames>
    <definedName name="_0812" localSheetId="0">[1]Groz_NIN_12_2014!#REF!</definedName>
    <definedName name="_0812">[1]Groz_NIN_12_2014!#REF!</definedName>
    <definedName name="_xlnm._FilterDatabase" localSheetId="2" hidden="1">'2023.gada budzeta plans_apvieno'!#REF!</definedName>
    <definedName name="Apmaksa" localSheetId="2">[2]Apmaksa!$A:$A</definedName>
    <definedName name="Apmaksa">[3]Apmaksa!$A$1:$A$65536</definedName>
    <definedName name="Darijums" localSheetId="2">[2]Darijums!$A:$A</definedName>
    <definedName name="Darijums">[3]Darijums!$A$1:$A$65536</definedName>
    <definedName name="Excel_BuiltIn__FilterDatabase" localSheetId="2">[1]Groz_NIN_12_2014!#REF!</definedName>
    <definedName name="Excel_BuiltIn__FilterDatabase">[1]Groz_NIN_12_2014!#REF!</definedName>
    <definedName name="Firmas" localSheetId="2">[2]Firma!$A:$A</definedName>
    <definedName name="Firmas">[3]Firma!$A$1:$A$65536</definedName>
    <definedName name="KolonnasNosaukums1" localSheetId="0">[4]!Piedāvājums[[#Headers],[Apraksts]]</definedName>
    <definedName name="KolonnasNosaukums1">[4]!Piedāvājums[[#Headers],[Apraksts]]</definedName>
    <definedName name="Parvadataji" localSheetId="2">[2]Ligumi!$A:$A</definedName>
    <definedName name="Parvadataji">[3]Ligumi!$A$1:$A$65536</definedName>
    <definedName name="_xlnm.Print_Area" localSheetId="2">'2023.gada budzeta plans_apvieno'!$C$1:$K$278</definedName>
    <definedName name="_xlnm.Print_Titles" localSheetId="2">'2023.gada budzeta plans_apvieno'!$5:$5</definedName>
    <definedName name="Saist_apmers_ar_galvojumu">[3]Ligumi!$A$1:$A$65536</definedName>
    <definedName name="Z_1893421C_DBAA_4C10_AA6C_4D0F39122205_.wvu.FilterData" localSheetId="2">[1]Groz_NIN_12_2014!#REF!</definedName>
    <definedName name="Z_1893421C_DBAA_4C10_AA6C_4D0F39122205_.wvu.FilterData">[1]Groz_NIN_12_2014!#REF!</definedName>
    <definedName name="Z_483F8D4B_D649_4D59_A67B_5E8B6C0D2E28_.wvu.FilterData" localSheetId="2">[1]Groz_NIN_12_2014!#REF!</definedName>
    <definedName name="Z_483F8D4B_D649_4D59_A67B_5E8B6C0D2E28_.wvu.FilterData">[1]Groz_NIN_12_2014!#REF!</definedName>
    <definedName name="Z_56A06D27_97E5_4D01_ADCE_F8E0A2A870EF_.wvu.FilterData" localSheetId="2">[1]Groz_NIN_12_2014!#REF!</definedName>
    <definedName name="Z_56A06D27_97E5_4D01_ADCE_F8E0A2A870EF_.wvu.FilterData">[1]Groz_NIN_12_2014!#REF!</definedName>
    <definedName name="Z_81EB1DB6_89AB_4045_90FA_EF2BA7E792F9_.wvu.FilterData" localSheetId="2">[1]Groz_NIN_12_2014!#REF!</definedName>
    <definedName name="Z_81EB1DB6_89AB_4045_90FA_EF2BA7E792F9_.wvu.FilterData">[1]Groz_NIN_12_2014!#REF!</definedName>
    <definedName name="Z_81EB1DB6_89AB_4045_90FA_EF2BA7E792F9_.wvu.PrintArea" localSheetId="2">[1]Groz_NIN_12_2014!#REF!</definedName>
    <definedName name="Z_81EB1DB6_89AB_4045_90FA_EF2BA7E792F9_.wvu.PrintArea">[1]Groz_NIN_12_2014!#REF!</definedName>
    <definedName name="Z_8545B4E6_A517_4BD7_BFB7_42FEB5F229AD_.wvu.FilterData" localSheetId="2">[1]Groz_NIN_12_2014!#REF!</definedName>
    <definedName name="Z_8545B4E6_A517_4BD7_BFB7_42FEB5F229AD_.wvu.FilterData">[1]Groz_NIN_12_2014!#REF!</definedName>
    <definedName name="Z_877A1030_2452_46B0_88DF_8A068656C08E_.wvu.FilterData" localSheetId="2">[1]Groz_NIN_12_2014!#REF!</definedName>
    <definedName name="Z_877A1030_2452_46B0_88DF_8A068656C08E_.wvu.FilterData">[1]Groz_NIN_12_2014!#REF!</definedName>
    <definedName name="Z_ABD8A783_3A6C_4629_9559_1E4E89E80131_.wvu.FilterData" localSheetId="2">[1]Groz_NIN_12_2014!#REF!</definedName>
    <definedName name="Z_ABD8A783_3A6C_4629_9559_1E4E89E80131_.wvu.FilterData">[1]Groz_NIN_12_2014!#REF!</definedName>
    <definedName name="Z_AF277C95_CBD9_4696_AC72_D010599E9831_.wvu.FilterData" localSheetId="2">[1]Groz_NIN_12_2014!#REF!</definedName>
    <definedName name="Z_AF277C95_CBD9_4696_AC72_D010599E9831_.wvu.FilterData">[1]Groz_NIN_12_2014!#REF!</definedName>
    <definedName name="Z_B7CBCF06_FF41_423A_9AB3_E1D1F70C6FC5_.wvu.FilterData" localSheetId="2">[1]Groz_NIN_12_2014!#REF!</definedName>
    <definedName name="Z_B7CBCF06_FF41_423A_9AB3_E1D1F70C6FC5_.wvu.FilterData">[1]Groz_NIN_12_2014!#REF!</definedName>
    <definedName name="Z_C5511FB8_86C5_41F3_ADCD_B10310F066F5_.wvu.FilterData" localSheetId="2">[1]Groz_NIN_12_2014!#REF!</definedName>
    <definedName name="Z_C5511FB8_86C5_41F3_ADCD_B10310F066F5_.wvu.FilterData">[1]Groz_NIN_12_2014!#REF!</definedName>
    <definedName name="Z_DB8ECBD1_2D44_4F97_BCC9_F610BA0A3109_.wvu.FilterData" localSheetId="2">[1]Groz_NIN_12_2014!#REF!</definedName>
    <definedName name="Z_DB8ECBD1_2D44_4F97_BCC9_F610BA0A3109_.wvu.FilterData">[1]Groz_NIN_12_2014!#REF!</definedName>
    <definedName name="Z_DEE3A27E_689A_4E9F_A3EB_C84F1E3B413E_.wvu.FilterData" localSheetId="2">[1]Groz_NIN_12_2014!#REF!</definedName>
    <definedName name="Z_DEE3A27E_689A_4E9F_A3EB_C84F1E3B413E_.wvu.FilterData">[1]Groz_NIN_12_2014!#REF!</definedName>
    <definedName name="Z_F1F489B9_0F61_4F1F_A151_75EF77465344_.wvu.Cols" localSheetId="2">[1]Groz_NIN_12_2014!#REF!</definedName>
    <definedName name="Z_F1F489B9_0F61_4F1F_A151_75EF77465344_.wvu.Cols">[1]Groz_NIN_12_2014!#REF!</definedName>
    <definedName name="Z_F1F489B9_0F61_4F1F_A151_75EF77465344_.wvu.FilterData" localSheetId="2">[1]Groz_NIN_12_2014!#REF!</definedName>
    <definedName name="Z_F1F489B9_0F61_4F1F_A151_75EF77465344_.wvu.FilterData">[1]Groz_NIN_12_2014!#REF!</definedName>
    <definedName name="Z_F1F489B9_0F61_4F1F_A151_75EF77465344_.wvu.PrintArea" localSheetId="2">[1]Groz_NIN_12_2014!#REF!</definedName>
    <definedName name="Z_F1F489B9_0F61_4F1F_A151_75EF77465344_.wvu.PrintArea">[1]Groz_NIN_12_2014!#REF!</definedName>
    <definedName name="Z_F1F489B9_0F61_4F1F_A151_75EF77465344_.wvu.PrintTitles" localSheetId="2">[1]Groz_NIN_12_2014!#REF!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4" i="2" l="1"/>
  <c r="E126" i="2"/>
  <c r="E125" i="2"/>
  <c r="D123" i="2"/>
  <c r="D122" i="2"/>
  <c r="C122" i="2"/>
  <c r="B122" i="2"/>
  <c r="D84" i="2"/>
  <c r="D82" i="2"/>
  <c r="D81" i="2"/>
  <c r="D80" i="2"/>
  <c r="D79" i="2"/>
  <c r="D78" i="2"/>
  <c r="D77" i="2"/>
  <c r="D76" i="2"/>
  <c r="D75" i="2"/>
  <c r="D74" i="2"/>
  <c r="D73" i="2"/>
  <c r="D72" i="2"/>
  <c r="D71" i="2"/>
  <c r="D70" i="2"/>
  <c r="D69" i="2"/>
  <c r="D67" i="2"/>
  <c r="D66" i="2"/>
  <c r="D65" i="2"/>
  <c r="D63" i="2"/>
  <c r="D62" i="2"/>
  <c r="D61" i="2"/>
  <c r="D60" i="2"/>
  <c r="D59" i="2"/>
  <c r="D58" i="2"/>
  <c r="D57" i="2"/>
  <c r="D56" i="2"/>
  <c r="D54" i="2"/>
  <c r="C54" i="2"/>
  <c r="B54" i="2"/>
  <c r="D23" i="2"/>
  <c r="D21" i="2"/>
  <c r="D19" i="2"/>
  <c r="D18" i="2"/>
  <c r="D17" i="2"/>
  <c r="D16" i="2"/>
  <c r="D15" i="2"/>
  <c r="D14" i="2"/>
  <c r="D13" i="2"/>
  <c r="D11" i="2"/>
  <c r="D10" i="2"/>
  <c r="D9" i="2"/>
  <c r="D8" i="2"/>
  <c r="D7" i="2"/>
  <c r="D5" i="2"/>
  <c r="C5" i="2"/>
  <c r="F276" i="1"/>
  <c r="I276" i="1" s="1"/>
  <c r="L276" i="1" s="1"/>
  <c r="M274" i="1"/>
  <c r="J274" i="1"/>
  <c r="G274" i="1"/>
  <c r="M273" i="1"/>
  <c r="J273" i="1"/>
  <c r="G273" i="1"/>
  <c r="O272" i="1"/>
  <c r="L272" i="1"/>
  <c r="I272" i="1"/>
  <c r="F272" i="1"/>
  <c r="G272" i="1" s="1"/>
  <c r="F271" i="1"/>
  <c r="G271" i="1" s="1"/>
  <c r="F270" i="1"/>
  <c r="O269" i="1"/>
  <c r="I268" i="1"/>
  <c r="F268" i="1"/>
  <c r="G268" i="1" s="1"/>
  <c r="F267" i="1"/>
  <c r="I267" i="1" s="1"/>
  <c r="L267" i="1" s="1"/>
  <c r="P267" i="1" s="1"/>
  <c r="F266" i="1"/>
  <c r="F265" i="1"/>
  <c r="I265" i="1" s="1"/>
  <c r="L265" i="1" s="1"/>
  <c r="O264" i="1"/>
  <c r="F264" i="1"/>
  <c r="F263" i="1"/>
  <c r="I262" i="1"/>
  <c r="F262" i="1"/>
  <c r="G262" i="1" s="1"/>
  <c r="O261" i="1"/>
  <c r="F260" i="1"/>
  <c r="I260" i="1" s="1"/>
  <c r="L260" i="1" s="1"/>
  <c r="F259" i="1"/>
  <c r="G259" i="1" s="1"/>
  <c r="O258" i="1"/>
  <c r="F257" i="1"/>
  <c r="I257" i="1" s="1"/>
  <c r="F256" i="1"/>
  <c r="G256" i="1" s="1"/>
  <c r="O255" i="1"/>
  <c r="F254" i="1"/>
  <c r="I254" i="1" s="1"/>
  <c r="F253" i="1"/>
  <c r="G253" i="1" s="1"/>
  <c r="O252" i="1"/>
  <c r="F252" i="1"/>
  <c r="G252" i="1" s="1"/>
  <c r="F251" i="1"/>
  <c r="I251" i="1" s="1"/>
  <c r="F250" i="1"/>
  <c r="I250" i="1" s="1"/>
  <c r="O249" i="1"/>
  <c r="F249" i="1"/>
  <c r="I249" i="1" s="1"/>
  <c r="O248" i="1"/>
  <c r="F248" i="1"/>
  <c r="I248" i="1" s="1"/>
  <c r="F246" i="1"/>
  <c r="G246" i="1" s="1"/>
  <c r="O245" i="1"/>
  <c r="F245" i="1"/>
  <c r="I245" i="1" s="1"/>
  <c r="F244" i="1"/>
  <c r="I244" i="1" s="1"/>
  <c r="F243" i="1"/>
  <c r="I243" i="1" s="1"/>
  <c r="J243" i="1" s="1"/>
  <c r="F242" i="1"/>
  <c r="I242" i="1" s="1"/>
  <c r="J242" i="1" s="1"/>
  <c r="I241" i="1"/>
  <c r="F241" i="1"/>
  <c r="G241" i="1" s="1"/>
  <c r="F240" i="1"/>
  <c r="I240" i="1" s="1"/>
  <c r="O239" i="1"/>
  <c r="F239" i="1"/>
  <c r="F237" i="1"/>
  <c r="O236" i="1"/>
  <c r="O234" i="1" s="1"/>
  <c r="F236" i="1"/>
  <c r="F235" i="1"/>
  <c r="I235" i="1" s="1"/>
  <c r="F233" i="1"/>
  <c r="F232" i="1"/>
  <c r="I232" i="1" s="1"/>
  <c r="F231" i="1"/>
  <c r="G231" i="1" s="1"/>
  <c r="O230" i="1"/>
  <c r="F229" i="1"/>
  <c r="F228" i="1"/>
  <c r="I228" i="1" s="1"/>
  <c r="F227" i="1"/>
  <c r="O226" i="1"/>
  <c r="F225" i="1"/>
  <c r="F224" i="1"/>
  <c r="I224" i="1" s="1"/>
  <c r="O223" i="1"/>
  <c r="F222" i="1"/>
  <c r="I222" i="1" s="1"/>
  <c r="F221" i="1"/>
  <c r="I221" i="1" s="1"/>
  <c r="O220" i="1"/>
  <c r="G219" i="1"/>
  <c r="F219" i="1"/>
  <c r="I219" i="1" s="1"/>
  <c r="F217" i="1"/>
  <c r="I217" i="1" s="1"/>
  <c r="F216" i="1"/>
  <c r="F215" i="1"/>
  <c r="I215" i="1" s="1"/>
  <c r="F214" i="1"/>
  <c r="F213" i="1"/>
  <c r="I213" i="1" s="1"/>
  <c r="L213" i="1" s="1"/>
  <c r="M213" i="1" s="1"/>
  <c r="F212" i="1"/>
  <c r="I212" i="1" s="1"/>
  <c r="J212" i="1" s="1"/>
  <c r="F211" i="1"/>
  <c r="I211" i="1" s="1"/>
  <c r="O210" i="1"/>
  <c r="O209" i="1" s="1"/>
  <c r="F210" i="1"/>
  <c r="I210" i="1" s="1"/>
  <c r="L210" i="1" s="1"/>
  <c r="O208" i="1"/>
  <c r="O206" i="1" s="1"/>
  <c r="F208" i="1"/>
  <c r="F207" i="1"/>
  <c r="I207" i="1" s="1"/>
  <c r="L207" i="1" s="1"/>
  <c r="F205" i="1"/>
  <c r="I205" i="1" s="1"/>
  <c r="L205" i="1" s="1"/>
  <c r="F204" i="1"/>
  <c r="I204" i="1" s="1"/>
  <c r="F203" i="1"/>
  <c r="I203" i="1" s="1"/>
  <c r="F202" i="1"/>
  <c r="I202" i="1" s="1"/>
  <c r="O201" i="1"/>
  <c r="O200" i="1" s="1"/>
  <c r="F201" i="1"/>
  <c r="G201" i="1" s="1"/>
  <c r="F198" i="1"/>
  <c r="I198" i="1" s="1"/>
  <c r="F197" i="1"/>
  <c r="I197" i="1" s="1"/>
  <c r="F196" i="1"/>
  <c r="I196" i="1" s="1"/>
  <c r="F195" i="1"/>
  <c r="F194" i="1"/>
  <c r="G194" i="1" s="1"/>
  <c r="F193" i="1"/>
  <c r="F192" i="1"/>
  <c r="I192" i="1" s="1"/>
  <c r="L192" i="1" s="1"/>
  <c r="P192" i="1" s="1"/>
  <c r="F191" i="1"/>
  <c r="I191" i="1" s="1"/>
  <c r="L191" i="1" s="1"/>
  <c r="P191" i="1" s="1"/>
  <c r="F190" i="1"/>
  <c r="I190" i="1" s="1"/>
  <c r="L190" i="1" s="1"/>
  <c r="P190" i="1" s="1"/>
  <c r="F189" i="1"/>
  <c r="G189" i="1" s="1"/>
  <c r="F188" i="1"/>
  <c r="I188" i="1" s="1"/>
  <c r="L188" i="1" s="1"/>
  <c r="O187" i="1"/>
  <c r="O186" i="1" s="1"/>
  <c r="F185" i="1"/>
  <c r="O184" i="1"/>
  <c r="F184" i="1"/>
  <c r="G184" i="1" s="1"/>
  <c r="O183" i="1"/>
  <c r="F183" i="1"/>
  <c r="G183" i="1" s="1"/>
  <c r="F182" i="1"/>
  <c r="I182" i="1" s="1"/>
  <c r="O181" i="1"/>
  <c r="F181" i="1"/>
  <c r="F180" i="1"/>
  <c r="I180" i="1" s="1"/>
  <c r="O179" i="1"/>
  <c r="O175" i="1" s="1"/>
  <c r="F179" i="1"/>
  <c r="I179" i="1" s="1"/>
  <c r="F178" i="1"/>
  <c r="G178" i="1" s="1"/>
  <c r="O177" i="1"/>
  <c r="I177" i="1"/>
  <c r="L177" i="1" s="1"/>
  <c r="M177" i="1" s="1"/>
  <c r="G177" i="1"/>
  <c r="F177" i="1"/>
  <c r="O176" i="1"/>
  <c r="F176" i="1"/>
  <c r="I176" i="1" s="1"/>
  <c r="F175" i="1"/>
  <c r="I175" i="1" s="1"/>
  <c r="O174" i="1"/>
  <c r="F174" i="1"/>
  <c r="F172" i="1"/>
  <c r="I172" i="1" s="1"/>
  <c r="F171" i="1"/>
  <c r="F170" i="1"/>
  <c r="I170" i="1" s="1"/>
  <c r="F169" i="1"/>
  <c r="O168" i="1"/>
  <c r="F168" i="1"/>
  <c r="G168" i="1" s="1"/>
  <c r="L166" i="1"/>
  <c r="I166" i="1"/>
  <c r="J166" i="1" s="1"/>
  <c r="G166" i="1"/>
  <c r="L165" i="1"/>
  <c r="I165" i="1"/>
  <c r="J165" i="1" s="1"/>
  <c r="G165" i="1"/>
  <c r="L164" i="1"/>
  <c r="I164" i="1"/>
  <c r="F164" i="1"/>
  <c r="G164" i="1" s="1"/>
  <c r="F163" i="1"/>
  <c r="I163" i="1" s="1"/>
  <c r="F162" i="1"/>
  <c r="I162" i="1" s="1"/>
  <c r="F161" i="1"/>
  <c r="F160" i="1"/>
  <c r="I160" i="1" s="1"/>
  <c r="L160" i="1" s="1"/>
  <c r="F159" i="1"/>
  <c r="G159" i="1" s="1"/>
  <c r="F158" i="1"/>
  <c r="O157" i="1"/>
  <c r="F157" i="1"/>
  <c r="G157" i="1" s="1"/>
  <c r="F155" i="1"/>
  <c r="F154" i="1"/>
  <c r="I154" i="1" s="1"/>
  <c r="L154" i="1" s="1"/>
  <c r="O153" i="1"/>
  <c r="F153" i="1"/>
  <c r="G153" i="1" s="1"/>
  <c r="O151" i="1"/>
  <c r="O150" i="1" s="1"/>
  <c r="F151" i="1"/>
  <c r="I151" i="1" s="1"/>
  <c r="J151" i="1" s="1"/>
  <c r="F149" i="1"/>
  <c r="F148" i="1"/>
  <c r="I148" i="1" s="1"/>
  <c r="L148" i="1" s="1"/>
  <c r="F147" i="1"/>
  <c r="O146" i="1"/>
  <c r="O145" i="1" s="1"/>
  <c r="F144" i="1"/>
  <c r="G144" i="1" s="1"/>
  <c r="F143" i="1"/>
  <c r="O142" i="1"/>
  <c r="F142" i="1"/>
  <c r="F141" i="1"/>
  <c r="G141" i="1" s="1"/>
  <c r="F140" i="1"/>
  <c r="I140" i="1" s="1"/>
  <c r="F139" i="1"/>
  <c r="I139" i="1" s="1"/>
  <c r="F138" i="1"/>
  <c r="I138" i="1" s="1"/>
  <c r="F137" i="1"/>
  <c r="I137" i="1" s="1"/>
  <c r="F136" i="1"/>
  <c r="G136" i="1" s="1"/>
  <c r="F135" i="1"/>
  <c r="I135" i="1" s="1"/>
  <c r="L135" i="1" s="1"/>
  <c r="F134" i="1"/>
  <c r="G134" i="1" s="1"/>
  <c r="O133" i="1"/>
  <c r="F133" i="1"/>
  <c r="P131" i="1"/>
  <c r="O131" i="1"/>
  <c r="O125" i="1"/>
  <c r="F125" i="1"/>
  <c r="O124" i="1"/>
  <c r="F124" i="1"/>
  <c r="G124" i="1" s="1"/>
  <c r="O123" i="1"/>
  <c r="F123" i="1"/>
  <c r="I123" i="1" s="1"/>
  <c r="O122" i="1"/>
  <c r="F122" i="1"/>
  <c r="O121" i="1"/>
  <c r="F121" i="1"/>
  <c r="I121" i="1" s="1"/>
  <c r="O120" i="1"/>
  <c r="F120" i="1"/>
  <c r="G120" i="1" s="1"/>
  <c r="O119" i="1"/>
  <c r="F119" i="1"/>
  <c r="I119" i="1" s="1"/>
  <c r="O118" i="1"/>
  <c r="F118" i="1"/>
  <c r="G118" i="1" s="1"/>
  <c r="F117" i="1"/>
  <c r="G117" i="1" s="1"/>
  <c r="O116" i="1"/>
  <c r="F116" i="1"/>
  <c r="O115" i="1"/>
  <c r="F115" i="1"/>
  <c r="G115" i="1" s="1"/>
  <c r="O114" i="1"/>
  <c r="F114" i="1"/>
  <c r="I114" i="1" s="1"/>
  <c r="O113" i="1"/>
  <c r="F113" i="1"/>
  <c r="I113" i="1" s="1"/>
  <c r="L113" i="1" s="1"/>
  <c r="M113" i="1" s="1"/>
  <c r="F111" i="1"/>
  <c r="F110" i="1"/>
  <c r="I110" i="1" s="1"/>
  <c r="O109" i="1"/>
  <c r="O107" i="1"/>
  <c r="F107" i="1"/>
  <c r="I107" i="1" s="1"/>
  <c r="J107" i="1" s="1"/>
  <c r="F106" i="1"/>
  <c r="F105" i="1"/>
  <c r="G105" i="1" s="1"/>
  <c r="F104" i="1"/>
  <c r="O103" i="1"/>
  <c r="F102" i="1"/>
  <c r="F101" i="1"/>
  <c r="O100" i="1"/>
  <c r="F100" i="1"/>
  <c r="I100" i="1" s="1"/>
  <c r="O99" i="1"/>
  <c r="F98" i="1"/>
  <c r="F96" i="1" s="1"/>
  <c r="G96" i="1" s="1"/>
  <c r="M97" i="1"/>
  <c r="J97" i="1"/>
  <c r="G97" i="1"/>
  <c r="O96" i="1"/>
  <c r="F95" i="1"/>
  <c r="I95" i="1" s="1"/>
  <c r="F94" i="1"/>
  <c r="O93" i="1"/>
  <c r="F91" i="1"/>
  <c r="G91" i="1" s="1"/>
  <c r="F90" i="1"/>
  <c r="I90" i="1" s="1"/>
  <c r="O89" i="1"/>
  <c r="O88" i="1"/>
  <c r="F88" i="1"/>
  <c r="G88" i="1" s="1"/>
  <c r="O87" i="1"/>
  <c r="F87" i="1"/>
  <c r="I87" i="1" s="1"/>
  <c r="J87" i="1" s="1"/>
  <c r="O86" i="1"/>
  <c r="F86" i="1"/>
  <c r="G86" i="1" s="1"/>
  <c r="O85" i="1"/>
  <c r="F85" i="1"/>
  <c r="I85" i="1" s="1"/>
  <c r="J85" i="1" s="1"/>
  <c r="O84" i="1"/>
  <c r="F84" i="1"/>
  <c r="I84" i="1" s="1"/>
  <c r="O83" i="1"/>
  <c r="F83" i="1"/>
  <c r="I83" i="1" s="1"/>
  <c r="J83" i="1" s="1"/>
  <c r="F82" i="1"/>
  <c r="I82" i="1" s="1"/>
  <c r="O81" i="1"/>
  <c r="F81" i="1"/>
  <c r="O80" i="1"/>
  <c r="F80" i="1"/>
  <c r="G80" i="1" s="1"/>
  <c r="O79" i="1"/>
  <c r="F79" i="1"/>
  <c r="O78" i="1"/>
  <c r="F78" i="1"/>
  <c r="I78" i="1" s="1"/>
  <c r="O77" i="1"/>
  <c r="F77" i="1"/>
  <c r="F76" i="1"/>
  <c r="I76" i="1" s="1"/>
  <c r="J76" i="1" s="1"/>
  <c r="F75" i="1"/>
  <c r="G75" i="1" s="1"/>
  <c r="F74" i="1"/>
  <c r="I74" i="1" s="1"/>
  <c r="J74" i="1" s="1"/>
  <c r="F73" i="1"/>
  <c r="I73" i="1" s="1"/>
  <c r="L73" i="1" s="1"/>
  <c r="M73" i="1" s="1"/>
  <c r="O72" i="1"/>
  <c r="F72" i="1"/>
  <c r="I72" i="1" s="1"/>
  <c r="O71" i="1"/>
  <c r="F71" i="1"/>
  <c r="O70" i="1"/>
  <c r="F70" i="1"/>
  <c r="F69" i="1"/>
  <c r="I69" i="1" s="1"/>
  <c r="F68" i="1"/>
  <c r="O66" i="1"/>
  <c r="F66" i="1"/>
  <c r="I66" i="1" s="1"/>
  <c r="J66" i="1" s="1"/>
  <c r="O65" i="1"/>
  <c r="F65" i="1"/>
  <c r="I65" i="1" s="1"/>
  <c r="J65" i="1" s="1"/>
  <c r="F64" i="1"/>
  <c r="G64" i="1" s="1"/>
  <c r="O63" i="1"/>
  <c r="F63" i="1"/>
  <c r="I63" i="1" s="1"/>
  <c r="F62" i="1"/>
  <c r="M61" i="1"/>
  <c r="J61" i="1"/>
  <c r="F60" i="1"/>
  <c r="G60" i="1" s="1"/>
  <c r="F59" i="1"/>
  <c r="F58" i="1"/>
  <c r="F57" i="1"/>
  <c r="G57" i="1" s="1"/>
  <c r="F56" i="1"/>
  <c r="I56" i="1" s="1"/>
  <c r="L56" i="1" s="1"/>
  <c r="F55" i="1"/>
  <c r="I55" i="1" s="1"/>
  <c r="L55" i="1" s="1"/>
  <c r="M55" i="1" s="1"/>
  <c r="F54" i="1"/>
  <c r="F53" i="1"/>
  <c r="G53" i="1" s="1"/>
  <c r="O52" i="1"/>
  <c r="M51" i="1"/>
  <c r="J51" i="1"/>
  <c r="G51" i="1"/>
  <c r="L50" i="1"/>
  <c r="M50" i="1" s="1"/>
  <c r="J50" i="1"/>
  <c r="G50" i="1"/>
  <c r="O49" i="1"/>
  <c r="I49" i="1"/>
  <c r="F49" i="1"/>
  <c r="G49" i="1" s="1"/>
  <c r="O48" i="1"/>
  <c r="F48" i="1"/>
  <c r="G48" i="1" s="1"/>
  <c r="F47" i="1"/>
  <c r="F46" i="1"/>
  <c r="G46" i="1" s="1"/>
  <c r="F43" i="1"/>
  <c r="G43" i="1" s="1"/>
  <c r="F42" i="1"/>
  <c r="O41" i="1"/>
  <c r="F41" i="1"/>
  <c r="I41" i="1" s="1"/>
  <c r="L41" i="1" s="1"/>
  <c r="M41" i="1" s="1"/>
  <c r="O40" i="1"/>
  <c r="F40" i="1"/>
  <c r="I40" i="1" s="1"/>
  <c r="L40" i="1" s="1"/>
  <c r="F38" i="1"/>
  <c r="F37" i="1"/>
  <c r="I37" i="1" s="1"/>
  <c r="O36" i="1"/>
  <c r="F35" i="1"/>
  <c r="F34" i="1"/>
  <c r="I34" i="1" s="1"/>
  <c r="F33" i="1"/>
  <c r="I33" i="1" s="1"/>
  <c r="L33" i="1" s="1"/>
  <c r="F32" i="1"/>
  <c r="I32" i="1" s="1"/>
  <c r="L32" i="1" s="1"/>
  <c r="M32" i="1" s="1"/>
  <c r="F31" i="1"/>
  <c r="F30" i="1"/>
  <c r="I30" i="1" s="1"/>
  <c r="F29" i="1"/>
  <c r="G29" i="1" s="1"/>
  <c r="O28" i="1"/>
  <c r="F27" i="1"/>
  <c r="I27" i="1" s="1"/>
  <c r="L27" i="1" s="1"/>
  <c r="P27" i="1" s="1"/>
  <c r="F26" i="1"/>
  <c r="I26" i="1" s="1"/>
  <c r="J26" i="1" s="1"/>
  <c r="F25" i="1"/>
  <c r="I25" i="1" s="1"/>
  <c r="J25" i="1" s="1"/>
  <c r="O24" i="1"/>
  <c r="F22" i="1"/>
  <c r="G22" i="1" s="1"/>
  <c r="O21" i="1"/>
  <c r="F21" i="1"/>
  <c r="G21" i="1" s="1"/>
  <c r="O20" i="1"/>
  <c r="F19" i="1"/>
  <c r="I19" i="1" s="1"/>
  <c r="L19" i="1" s="1"/>
  <c r="P19" i="1" s="1"/>
  <c r="F18" i="1"/>
  <c r="I18" i="1" s="1"/>
  <c r="L18" i="1" s="1"/>
  <c r="P18" i="1" s="1"/>
  <c r="O17" i="1"/>
  <c r="F16" i="1"/>
  <c r="G16" i="1" s="1"/>
  <c r="F15" i="1"/>
  <c r="G15" i="1" s="1"/>
  <c r="O14" i="1"/>
  <c r="F13" i="1"/>
  <c r="I13" i="1" s="1"/>
  <c r="L13" i="1" s="1"/>
  <c r="P13" i="1" s="1"/>
  <c r="F12" i="1"/>
  <c r="I12" i="1" s="1"/>
  <c r="O11" i="1"/>
  <c r="O9" i="1"/>
  <c r="O7" i="1" s="1"/>
  <c r="L9" i="1"/>
  <c r="I9" i="1"/>
  <c r="F9" i="1"/>
  <c r="F8" i="1"/>
  <c r="I8" i="1" s="1"/>
  <c r="P3" i="1"/>
  <c r="I271" i="1" l="1"/>
  <c r="L271" i="1" s="1"/>
  <c r="P271" i="1" s="1"/>
  <c r="L49" i="1"/>
  <c r="I16" i="1"/>
  <c r="J16" i="1" s="1"/>
  <c r="O23" i="1"/>
  <c r="M164" i="1"/>
  <c r="I168" i="1"/>
  <c r="L168" i="1" s="1"/>
  <c r="P168" i="1" s="1"/>
  <c r="I178" i="1"/>
  <c r="I183" i="1"/>
  <c r="L183" i="1" s="1"/>
  <c r="M183" i="1" s="1"/>
  <c r="G245" i="1"/>
  <c r="O6" i="1"/>
  <c r="P159" i="1"/>
  <c r="G251" i="1"/>
  <c r="D126" i="2"/>
  <c r="E123" i="2"/>
  <c r="D125" i="2"/>
  <c r="C26" i="2"/>
  <c r="D6" i="2"/>
  <c r="E124" i="2"/>
  <c r="D68" i="2"/>
  <c r="D22" i="2"/>
  <c r="B86" i="2"/>
  <c r="D83" i="2"/>
  <c r="D12" i="2"/>
  <c r="D20" i="2"/>
  <c r="D64" i="2"/>
  <c r="J49" i="1"/>
  <c r="L87" i="1"/>
  <c r="P87" i="1" s="1"/>
  <c r="J160" i="1"/>
  <c r="M166" i="1"/>
  <c r="G217" i="1"/>
  <c r="G232" i="1"/>
  <c r="O238" i="1"/>
  <c r="O218" i="1" s="1"/>
  <c r="G244" i="1"/>
  <c r="G249" i="1"/>
  <c r="G250" i="1"/>
  <c r="M9" i="1"/>
  <c r="I136" i="1"/>
  <c r="L136" i="1" s="1"/>
  <c r="P136" i="1" s="1"/>
  <c r="G139" i="1"/>
  <c r="I194" i="1"/>
  <c r="G242" i="1"/>
  <c r="G192" i="1"/>
  <c r="O247" i="1"/>
  <c r="G40" i="1"/>
  <c r="I46" i="1"/>
  <c r="L46" i="1" s="1"/>
  <c r="P46" i="1" s="1"/>
  <c r="I80" i="1"/>
  <c r="L80" i="1" s="1"/>
  <c r="M80" i="1" s="1"/>
  <c r="I86" i="1"/>
  <c r="L86" i="1" s="1"/>
  <c r="M86" i="1" s="1"/>
  <c r="J164" i="1"/>
  <c r="G172" i="1"/>
  <c r="G175" i="1"/>
  <c r="G188" i="1"/>
  <c r="G190" i="1"/>
  <c r="M192" i="1"/>
  <c r="G211" i="1"/>
  <c r="G213" i="1"/>
  <c r="L242" i="1"/>
  <c r="P242" i="1" s="1"/>
  <c r="I253" i="1"/>
  <c r="L253" i="1" s="1"/>
  <c r="M253" i="1" s="1"/>
  <c r="I256" i="1"/>
  <c r="L256" i="1" s="1"/>
  <c r="P256" i="1" s="1"/>
  <c r="F173" i="1"/>
  <c r="G173" i="1" s="1"/>
  <c r="J9" i="1"/>
  <c r="F17" i="1"/>
  <c r="G17" i="1" s="1"/>
  <c r="G30" i="1"/>
  <c r="I105" i="1"/>
  <c r="L105" i="1" s="1"/>
  <c r="I115" i="1"/>
  <c r="G119" i="1"/>
  <c r="O173" i="1"/>
  <c r="I201" i="1"/>
  <c r="G248" i="1"/>
  <c r="G34" i="1"/>
  <c r="O39" i="1"/>
  <c r="M49" i="1"/>
  <c r="G55" i="1"/>
  <c r="G56" i="1"/>
  <c r="I57" i="1"/>
  <c r="L57" i="1" s="1"/>
  <c r="I64" i="1"/>
  <c r="I88" i="1"/>
  <c r="J88" i="1" s="1"/>
  <c r="F99" i="1"/>
  <c r="G99" i="1" s="1"/>
  <c r="G113" i="1"/>
  <c r="I118" i="1"/>
  <c r="J118" i="1" s="1"/>
  <c r="I134" i="1"/>
  <c r="L134" i="1" s="1"/>
  <c r="P134" i="1" s="1"/>
  <c r="G154" i="1"/>
  <c r="P164" i="1"/>
  <c r="P166" i="1"/>
  <c r="G170" i="1"/>
  <c r="G182" i="1"/>
  <c r="G198" i="1"/>
  <c r="G243" i="1"/>
  <c r="I246" i="1"/>
  <c r="L246" i="1" s="1"/>
  <c r="M246" i="1" s="1"/>
  <c r="I259" i="1"/>
  <c r="I258" i="1" s="1"/>
  <c r="M272" i="1"/>
  <c r="I15" i="1"/>
  <c r="F14" i="1"/>
  <c r="G14" i="1" s="1"/>
  <c r="G33" i="1"/>
  <c r="J55" i="1"/>
  <c r="J56" i="1"/>
  <c r="I60" i="1"/>
  <c r="L60" i="1" s="1"/>
  <c r="M60" i="1" s="1"/>
  <c r="G73" i="1"/>
  <c r="O92" i="1"/>
  <c r="G100" i="1"/>
  <c r="J154" i="1"/>
  <c r="G176" i="1"/>
  <c r="G27" i="1"/>
  <c r="I75" i="1"/>
  <c r="L75" i="1" s="1"/>
  <c r="G87" i="1"/>
  <c r="I117" i="1"/>
  <c r="L117" i="1" s="1"/>
  <c r="M117" i="1" s="1"/>
  <c r="I159" i="1"/>
  <c r="L159" i="1" s="1"/>
  <c r="M159" i="1" s="1"/>
  <c r="G160" i="1"/>
  <c r="G162" i="1"/>
  <c r="L140" i="1"/>
  <c r="P140" i="1" s="1"/>
  <c r="J140" i="1"/>
  <c r="L37" i="1"/>
  <c r="M37" i="1" s="1"/>
  <c r="J37" i="1"/>
  <c r="L197" i="1"/>
  <c r="P197" i="1" s="1"/>
  <c r="J197" i="1"/>
  <c r="L63" i="1"/>
  <c r="M63" i="1" s="1"/>
  <c r="J63" i="1"/>
  <c r="L138" i="1"/>
  <c r="M138" i="1" s="1"/>
  <c r="J138" i="1"/>
  <c r="L90" i="1"/>
  <c r="M90" i="1" s="1"/>
  <c r="J90" i="1"/>
  <c r="L179" i="1"/>
  <c r="J179" i="1"/>
  <c r="L202" i="1"/>
  <c r="J202" i="1"/>
  <c r="L16" i="1"/>
  <c r="M16" i="1" s="1"/>
  <c r="G18" i="1"/>
  <c r="G25" i="1"/>
  <c r="I29" i="1"/>
  <c r="L29" i="1" s="1"/>
  <c r="G32" i="1"/>
  <c r="G37" i="1"/>
  <c r="I43" i="1"/>
  <c r="L43" i="1" s="1"/>
  <c r="G63" i="1"/>
  <c r="G69" i="1"/>
  <c r="G72" i="1"/>
  <c r="G78" i="1"/>
  <c r="G84" i="1"/>
  <c r="G90" i="1"/>
  <c r="G101" i="1"/>
  <c r="G110" i="1"/>
  <c r="I120" i="1"/>
  <c r="L120" i="1" s="1"/>
  <c r="G121" i="1"/>
  <c r="G123" i="1"/>
  <c r="G140" i="1"/>
  <c r="I144" i="1"/>
  <c r="J144" i="1" s="1"/>
  <c r="F150" i="1"/>
  <c r="G150" i="1" s="1"/>
  <c r="G151" i="1"/>
  <c r="G179" i="1"/>
  <c r="G180" i="1"/>
  <c r="I184" i="1"/>
  <c r="L184" i="1" s="1"/>
  <c r="J190" i="1"/>
  <c r="G196" i="1"/>
  <c r="G197" i="1"/>
  <c r="G203" i="1"/>
  <c r="G204" i="1"/>
  <c r="G205" i="1"/>
  <c r="G207" i="1"/>
  <c r="F209" i="1"/>
  <c r="L212" i="1"/>
  <c r="M212" i="1" s="1"/>
  <c r="G215" i="1"/>
  <c r="G221" i="1"/>
  <c r="G222" i="1"/>
  <c r="F223" i="1"/>
  <c r="G223" i="1" s="1"/>
  <c r="G224" i="1"/>
  <c r="G228" i="1"/>
  <c r="G235" i="1"/>
  <c r="G240" i="1"/>
  <c r="M242" i="1"/>
  <c r="I252" i="1"/>
  <c r="J260" i="1"/>
  <c r="G267" i="1"/>
  <c r="F11" i="1"/>
  <c r="G11" i="1" s="1"/>
  <c r="G13" i="1"/>
  <c r="G19" i="1"/>
  <c r="I21" i="1"/>
  <c r="J40" i="1"/>
  <c r="G41" i="1"/>
  <c r="J46" i="1"/>
  <c r="I53" i="1"/>
  <c r="L53" i="1" s="1"/>
  <c r="G66" i="1"/>
  <c r="J73" i="1"/>
  <c r="G82" i="1"/>
  <c r="G83" i="1"/>
  <c r="G85" i="1"/>
  <c r="M87" i="1"/>
  <c r="G95" i="1"/>
  <c r="I101" i="1"/>
  <c r="L101" i="1" s="1"/>
  <c r="G114" i="1"/>
  <c r="I124" i="1"/>
  <c r="J124" i="1" s="1"/>
  <c r="G135" i="1"/>
  <c r="M136" i="1"/>
  <c r="G137" i="1"/>
  <c r="G138" i="1"/>
  <c r="I153" i="1"/>
  <c r="L153" i="1" s="1"/>
  <c r="I157" i="1"/>
  <c r="J177" i="1"/>
  <c r="J188" i="1"/>
  <c r="I189" i="1"/>
  <c r="I187" i="1" s="1"/>
  <c r="M190" i="1"/>
  <c r="G191" i="1"/>
  <c r="G202" i="1"/>
  <c r="J205" i="1"/>
  <c r="J207" i="1"/>
  <c r="G210" i="1"/>
  <c r="P213" i="1"/>
  <c r="F258" i="1"/>
  <c r="G258" i="1" s="1"/>
  <c r="G9" i="1"/>
  <c r="J13" i="1"/>
  <c r="I14" i="1"/>
  <c r="J41" i="1"/>
  <c r="I48" i="1"/>
  <c r="L48" i="1" s="1"/>
  <c r="M48" i="1" s="1"/>
  <c r="L65" i="1"/>
  <c r="L66" i="1"/>
  <c r="P73" i="1"/>
  <c r="G74" i="1"/>
  <c r="G76" i="1"/>
  <c r="L83" i="1"/>
  <c r="L107" i="1"/>
  <c r="P107" i="1" s="1"/>
  <c r="J135" i="1"/>
  <c r="I141" i="1"/>
  <c r="G163" i="1"/>
  <c r="M191" i="1"/>
  <c r="F200" i="1"/>
  <c r="J210" i="1"/>
  <c r="F220" i="1"/>
  <c r="G220" i="1" s="1"/>
  <c r="G254" i="1"/>
  <c r="F255" i="1"/>
  <c r="F247" i="1" s="1"/>
  <c r="G247" i="1" s="1"/>
  <c r="J265" i="1"/>
  <c r="J276" i="1"/>
  <c r="J8" i="1"/>
  <c r="I7" i="1"/>
  <c r="L8" i="1"/>
  <c r="J12" i="1"/>
  <c r="I11" i="1"/>
  <c r="L12" i="1"/>
  <c r="F7" i="1"/>
  <c r="G8" i="1"/>
  <c r="G12" i="1"/>
  <c r="M13" i="1"/>
  <c r="J19" i="1"/>
  <c r="I22" i="1"/>
  <c r="L25" i="1"/>
  <c r="I24" i="1"/>
  <c r="L26" i="1"/>
  <c r="J32" i="1"/>
  <c r="J33" i="1"/>
  <c r="L34" i="1"/>
  <c r="J34" i="1"/>
  <c r="I35" i="1"/>
  <c r="G35" i="1"/>
  <c r="I38" i="1"/>
  <c r="G38" i="1"/>
  <c r="F36" i="1"/>
  <c r="G36" i="1" s="1"/>
  <c r="P41" i="1"/>
  <c r="M46" i="1"/>
  <c r="P56" i="1"/>
  <c r="M56" i="1"/>
  <c r="I70" i="1"/>
  <c r="G70" i="1"/>
  <c r="I79" i="1"/>
  <c r="G79" i="1"/>
  <c r="L137" i="1"/>
  <c r="J137" i="1"/>
  <c r="L162" i="1"/>
  <c r="J162" i="1"/>
  <c r="I31" i="1"/>
  <c r="G31" i="1"/>
  <c r="P40" i="1"/>
  <c r="I62" i="1"/>
  <c r="G62" i="1"/>
  <c r="O67" i="1"/>
  <c r="I111" i="1"/>
  <c r="G111" i="1"/>
  <c r="I142" i="1"/>
  <c r="G142" i="1"/>
  <c r="I17" i="1"/>
  <c r="J17" i="1" s="1"/>
  <c r="J18" i="1"/>
  <c r="M19" i="1"/>
  <c r="J27" i="1"/>
  <c r="F28" i="1"/>
  <c r="G28" i="1" s="1"/>
  <c r="M40" i="1"/>
  <c r="O45" i="1"/>
  <c r="I54" i="1"/>
  <c r="F52" i="1"/>
  <c r="G54" i="1"/>
  <c r="P58" i="1"/>
  <c r="I58" i="1"/>
  <c r="G58" i="1"/>
  <c r="P65" i="1"/>
  <c r="M65" i="1"/>
  <c r="L172" i="1"/>
  <c r="J172" i="1"/>
  <c r="F20" i="1"/>
  <c r="G20" i="1" s="1"/>
  <c r="L30" i="1"/>
  <c r="J30" i="1"/>
  <c r="L84" i="1"/>
  <c r="M84" i="1" s="1"/>
  <c r="J84" i="1"/>
  <c r="L124" i="1"/>
  <c r="O10" i="1"/>
  <c r="L17" i="1"/>
  <c r="M18" i="1"/>
  <c r="G26" i="1"/>
  <c r="F24" i="1"/>
  <c r="M27" i="1"/>
  <c r="I28" i="1"/>
  <c r="P33" i="1"/>
  <c r="M33" i="1"/>
  <c r="I42" i="1"/>
  <c r="I39" i="1" s="1"/>
  <c r="J39" i="1" s="1"/>
  <c r="G42" i="1"/>
  <c r="F39" i="1"/>
  <c r="G39" i="1" s="1"/>
  <c r="J43" i="1"/>
  <c r="I47" i="1"/>
  <c r="G47" i="1"/>
  <c r="J57" i="1"/>
  <c r="L69" i="1"/>
  <c r="J69" i="1"/>
  <c r="L88" i="1"/>
  <c r="M88" i="1" s="1"/>
  <c r="F109" i="1"/>
  <c r="G109" i="1" s="1"/>
  <c r="O112" i="1"/>
  <c r="L115" i="1"/>
  <c r="M115" i="1" s="1"/>
  <c r="J115" i="1"/>
  <c r="G122" i="1"/>
  <c r="F112" i="1"/>
  <c r="G112" i="1" s="1"/>
  <c r="I122" i="1"/>
  <c r="I125" i="1"/>
  <c r="G125" i="1"/>
  <c r="I68" i="1"/>
  <c r="G68" i="1"/>
  <c r="F67" i="1"/>
  <c r="G67" i="1" s="1"/>
  <c r="J80" i="1"/>
  <c r="L95" i="1"/>
  <c r="J95" i="1"/>
  <c r="J100" i="1"/>
  <c r="I104" i="1"/>
  <c r="G104" i="1"/>
  <c r="F103" i="1"/>
  <c r="G103" i="1" s="1"/>
  <c r="I106" i="1"/>
  <c r="G106" i="1"/>
  <c r="L110" i="1"/>
  <c r="J110" i="1"/>
  <c r="I109" i="1"/>
  <c r="J113" i="1"/>
  <c r="P113" i="1"/>
  <c r="P117" i="1"/>
  <c r="L119" i="1"/>
  <c r="J119" i="1"/>
  <c r="J123" i="1"/>
  <c r="L123" i="1"/>
  <c r="M123" i="1" s="1"/>
  <c r="O156" i="1"/>
  <c r="L176" i="1"/>
  <c r="J176" i="1"/>
  <c r="P188" i="1"/>
  <c r="M188" i="1"/>
  <c r="I59" i="1"/>
  <c r="G59" i="1"/>
  <c r="L64" i="1"/>
  <c r="J64" i="1"/>
  <c r="I71" i="1"/>
  <c r="G71" i="1"/>
  <c r="I77" i="1"/>
  <c r="G77" i="1"/>
  <c r="I81" i="1"/>
  <c r="G81" i="1"/>
  <c r="I94" i="1"/>
  <c r="G94" i="1"/>
  <c r="F93" i="1"/>
  <c r="L114" i="1"/>
  <c r="M114" i="1" s="1"/>
  <c r="J114" i="1"/>
  <c r="I116" i="1"/>
  <c r="G116" i="1"/>
  <c r="J121" i="1"/>
  <c r="L121" i="1"/>
  <c r="M121" i="1" s="1"/>
  <c r="L139" i="1"/>
  <c r="J139" i="1"/>
  <c r="L144" i="1"/>
  <c r="L170" i="1"/>
  <c r="J170" i="1"/>
  <c r="I174" i="1"/>
  <c r="G174" i="1"/>
  <c r="I208" i="1"/>
  <c r="F206" i="1"/>
  <c r="G208" i="1"/>
  <c r="I233" i="1"/>
  <c r="G233" i="1"/>
  <c r="G65" i="1"/>
  <c r="L72" i="1"/>
  <c r="M72" i="1" s="1"/>
  <c r="J72" i="1"/>
  <c r="L74" i="1"/>
  <c r="L76" i="1"/>
  <c r="L78" i="1"/>
  <c r="M78" i="1" s="1"/>
  <c r="J78" i="1"/>
  <c r="L82" i="1"/>
  <c r="J82" i="1"/>
  <c r="L85" i="1"/>
  <c r="F89" i="1"/>
  <c r="G89" i="1" s="1"/>
  <c r="I91" i="1"/>
  <c r="I98" i="1"/>
  <c r="G98" i="1"/>
  <c r="L100" i="1"/>
  <c r="I102" i="1"/>
  <c r="G102" i="1"/>
  <c r="G107" i="1"/>
  <c r="L118" i="1"/>
  <c r="M118" i="1" s="1"/>
  <c r="I155" i="1"/>
  <c r="G155" i="1"/>
  <c r="L180" i="1"/>
  <c r="J180" i="1"/>
  <c r="I133" i="1"/>
  <c r="G133" i="1"/>
  <c r="F132" i="1"/>
  <c r="P148" i="1"/>
  <c r="M148" i="1"/>
  <c r="J153" i="1"/>
  <c r="P154" i="1"/>
  <c r="M154" i="1"/>
  <c r="I158" i="1"/>
  <c r="G158" i="1"/>
  <c r="J159" i="1"/>
  <c r="P160" i="1"/>
  <c r="M160" i="1"/>
  <c r="I161" i="1"/>
  <c r="G161" i="1"/>
  <c r="L163" i="1"/>
  <c r="J163" i="1"/>
  <c r="I169" i="1"/>
  <c r="G169" i="1"/>
  <c r="I171" i="1"/>
  <c r="G171" i="1"/>
  <c r="I181" i="1"/>
  <c r="G181" i="1"/>
  <c r="L182" i="1"/>
  <c r="J182" i="1"/>
  <c r="I185" i="1"/>
  <c r="G185" i="1"/>
  <c r="G193" i="1"/>
  <c r="I193" i="1"/>
  <c r="I239" i="1"/>
  <c r="G239" i="1"/>
  <c r="F238" i="1"/>
  <c r="G238" i="1" s="1"/>
  <c r="P135" i="1"/>
  <c r="M135" i="1"/>
  <c r="L141" i="1"/>
  <c r="J141" i="1"/>
  <c r="I143" i="1"/>
  <c r="G143" i="1"/>
  <c r="I147" i="1"/>
  <c r="G147" i="1"/>
  <c r="G146" i="1" s="1"/>
  <c r="F146" i="1"/>
  <c r="F145" i="1" s="1"/>
  <c r="G145" i="1" s="1"/>
  <c r="J148" i="1"/>
  <c r="I149" i="1"/>
  <c r="G149" i="1"/>
  <c r="I150" i="1"/>
  <c r="J150" i="1" s="1"/>
  <c r="L151" i="1"/>
  <c r="P165" i="1"/>
  <c r="M165" i="1"/>
  <c r="O167" i="1"/>
  <c r="L175" i="1"/>
  <c r="J175" i="1"/>
  <c r="L178" i="1"/>
  <c r="J178" i="1"/>
  <c r="O199" i="1"/>
  <c r="L201" i="1"/>
  <c r="P201" i="1" s="1"/>
  <c r="J201" i="1"/>
  <c r="I200" i="1"/>
  <c r="L203" i="1"/>
  <c r="J203" i="1"/>
  <c r="L211" i="1"/>
  <c r="J211" i="1"/>
  <c r="I209" i="1"/>
  <c r="P237" i="1"/>
  <c r="I237" i="1"/>
  <c r="G237" i="1"/>
  <c r="F156" i="1"/>
  <c r="I195" i="1"/>
  <c r="G195" i="1"/>
  <c r="L196" i="1"/>
  <c r="J196" i="1"/>
  <c r="L198" i="1"/>
  <c r="J198" i="1"/>
  <c r="L194" i="1"/>
  <c r="J194" i="1"/>
  <c r="L204" i="1"/>
  <c r="J204" i="1"/>
  <c r="M210" i="1"/>
  <c r="P210" i="1"/>
  <c r="I214" i="1"/>
  <c r="G214" i="1"/>
  <c r="L235" i="1"/>
  <c r="J235" i="1"/>
  <c r="O132" i="1"/>
  <c r="F187" i="1"/>
  <c r="F186" i="1" s="1"/>
  <c r="J191" i="1"/>
  <c r="J192" i="1"/>
  <c r="P205" i="1"/>
  <c r="M205" i="1"/>
  <c r="P207" i="1"/>
  <c r="M207" i="1"/>
  <c r="L215" i="1"/>
  <c r="J215" i="1"/>
  <c r="L217" i="1"/>
  <c r="J217" i="1"/>
  <c r="L241" i="1"/>
  <c r="J241" i="1"/>
  <c r="I216" i="1"/>
  <c r="G216" i="1"/>
  <c r="J221" i="1"/>
  <c r="I220" i="1"/>
  <c r="L222" i="1"/>
  <c r="J222" i="1"/>
  <c r="L224" i="1"/>
  <c r="J224" i="1"/>
  <c r="I236" i="1"/>
  <c r="G236" i="1"/>
  <c r="F234" i="1"/>
  <c r="G234" i="1" s="1"/>
  <c r="L240" i="1"/>
  <c r="J240" i="1"/>
  <c r="L243" i="1"/>
  <c r="L245" i="1"/>
  <c r="M245" i="1" s="1"/>
  <c r="J245" i="1"/>
  <c r="L248" i="1"/>
  <c r="P248" i="1" s="1"/>
  <c r="J248" i="1"/>
  <c r="L250" i="1"/>
  <c r="J250" i="1"/>
  <c r="I263" i="1"/>
  <c r="F261" i="1"/>
  <c r="G261" i="1" s="1"/>
  <c r="G263" i="1"/>
  <c r="F269" i="1"/>
  <c r="G269" i="1" s="1"/>
  <c r="I270" i="1"/>
  <c r="G270" i="1"/>
  <c r="I225" i="1"/>
  <c r="I223" i="1" s="1"/>
  <c r="J223" i="1" s="1"/>
  <c r="G225" i="1"/>
  <c r="I227" i="1"/>
  <c r="F226" i="1"/>
  <c r="G226" i="1" s="1"/>
  <c r="L228" i="1"/>
  <c r="J228" i="1"/>
  <c r="G212" i="1"/>
  <c r="G209" i="1" s="1"/>
  <c r="J213" i="1"/>
  <c r="L219" i="1"/>
  <c r="J219" i="1"/>
  <c r="L221" i="1"/>
  <c r="G227" i="1"/>
  <c r="I229" i="1"/>
  <c r="G229" i="1"/>
  <c r="I231" i="1"/>
  <c r="F230" i="1"/>
  <c r="G230" i="1" s="1"/>
  <c r="L232" i="1"/>
  <c r="J232" i="1"/>
  <c r="L244" i="1"/>
  <c r="J244" i="1"/>
  <c r="L251" i="1"/>
  <c r="J251" i="1"/>
  <c r="L257" i="1"/>
  <c r="J257" i="1"/>
  <c r="M267" i="1"/>
  <c r="L268" i="1"/>
  <c r="J268" i="1"/>
  <c r="J272" i="1"/>
  <c r="P276" i="1"/>
  <c r="M276" i="1"/>
  <c r="L262" i="1"/>
  <c r="J262" i="1"/>
  <c r="I264" i="1"/>
  <c r="G264" i="1"/>
  <c r="L249" i="1"/>
  <c r="M249" i="1" s="1"/>
  <c r="J249" i="1"/>
  <c r="L254" i="1"/>
  <c r="J254" i="1"/>
  <c r="P260" i="1"/>
  <c r="M260" i="1"/>
  <c r="P265" i="1"/>
  <c r="M265" i="1"/>
  <c r="I266" i="1"/>
  <c r="G266" i="1"/>
  <c r="M271" i="1"/>
  <c r="G257" i="1"/>
  <c r="G255" i="1" s="1"/>
  <c r="G260" i="1"/>
  <c r="J267" i="1"/>
  <c r="J271" i="1"/>
  <c r="G276" i="1"/>
  <c r="J29" i="1" l="1"/>
  <c r="P37" i="1"/>
  <c r="P90" i="1"/>
  <c r="P253" i="1"/>
  <c r="P212" i="1"/>
  <c r="J168" i="1"/>
  <c r="J189" i="1"/>
  <c r="P60" i="1"/>
  <c r="J75" i="1"/>
  <c r="J183" i="1"/>
  <c r="J253" i="1"/>
  <c r="L189" i="1"/>
  <c r="L187" i="1" s="1"/>
  <c r="M168" i="1"/>
  <c r="E127" i="2"/>
  <c r="B26" i="2"/>
  <c r="D55" i="2"/>
  <c r="C86" i="2"/>
  <c r="J256" i="1"/>
  <c r="M256" i="1"/>
  <c r="M17" i="1"/>
  <c r="I255" i="1"/>
  <c r="J255" i="1" s="1"/>
  <c r="J259" i="1"/>
  <c r="J136" i="1"/>
  <c r="L259" i="1"/>
  <c r="L258" i="1" s="1"/>
  <c r="L255" i="1"/>
  <c r="P138" i="1"/>
  <c r="G187" i="1"/>
  <c r="G186" i="1" s="1"/>
  <c r="P118" i="1"/>
  <c r="F167" i="1"/>
  <c r="G167" i="1" s="1"/>
  <c r="M197" i="1"/>
  <c r="J53" i="1"/>
  <c r="P16" i="1"/>
  <c r="J86" i="1"/>
  <c r="M140" i="1"/>
  <c r="P78" i="1"/>
  <c r="J48" i="1"/>
  <c r="P86" i="1"/>
  <c r="J105" i="1"/>
  <c r="G200" i="1"/>
  <c r="J101" i="1"/>
  <c r="I156" i="1"/>
  <c r="J156" i="1" s="1"/>
  <c r="J157" i="1"/>
  <c r="M107" i="1"/>
  <c r="J14" i="1"/>
  <c r="P246" i="1"/>
  <c r="J246" i="1"/>
  <c r="J134" i="1"/>
  <c r="J117" i="1"/>
  <c r="J15" i="1"/>
  <c r="L15" i="1"/>
  <c r="O152" i="1"/>
  <c r="O275" i="1" s="1"/>
  <c r="L157" i="1"/>
  <c r="P157" i="1" s="1"/>
  <c r="M134" i="1"/>
  <c r="J60" i="1"/>
  <c r="I234" i="1"/>
  <c r="J234" i="1" s="1"/>
  <c r="F10" i="1"/>
  <c r="G10" i="1" s="1"/>
  <c r="M184" i="1"/>
  <c r="P184" i="1"/>
  <c r="L252" i="1"/>
  <c r="J252" i="1"/>
  <c r="P202" i="1"/>
  <c r="M202" i="1"/>
  <c r="J209" i="1"/>
  <c r="P80" i="1"/>
  <c r="J120" i="1"/>
  <c r="J184" i="1"/>
  <c r="P83" i="1"/>
  <c r="M83" i="1"/>
  <c r="P66" i="1"/>
  <c r="M66" i="1"/>
  <c r="J21" i="1"/>
  <c r="L21" i="1"/>
  <c r="M21" i="1" s="1"/>
  <c r="J258" i="1"/>
  <c r="G218" i="1"/>
  <c r="J220" i="1"/>
  <c r="M179" i="1"/>
  <c r="P179" i="1"/>
  <c r="G156" i="1"/>
  <c r="I99" i="1"/>
  <c r="J99" i="1" s="1"/>
  <c r="P183" i="1"/>
  <c r="J28" i="1"/>
  <c r="P187" i="1"/>
  <c r="M187" i="1"/>
  <c r="M255" i="1"/>
  <c r="P255" i="1"/>
  <c r="M268" i="1"/>
  <c r="P268" i="1"/>
  <c r="M228" i="1"/>
  <c r="P228" i="1"/>
  <c r="J195" i="1"/>
  <c r="L195" i="1"/>
  <c r="P211" i="1"/>
  <c r="M211" i="1"/>
  <c r="J143" i="1"/>
  <c r="L143" i="1"/>
  <c r="M143" i="1" s="1"/>
  <c r="P182" i="1"/>
  <c r="M182" i="1"/>
  <c r="J158" i="1"/>
  <c r="L158" i="1"/>
  <c r="J91" i="1"/>
  <c r="I89" i="1"/>
  <c r="J89" i="1" s="1"/>
  <c r="L91" i="1"/>
  <c r="J208" i="1"/>
  <c r="I206" i="1"/>
  <c r="J206" i="1" s="1"/>
  <c r="L208" i="1"/>
  <c r="P176" i="1"/>
  <c r="M176" i="1"/>
  <c r="J125" i="1"/>
  <c r="L125" i="1"/>
  <c r="M57" i="1"/>
  <c r="J58" i="1"/>
  <c r="L58" i="1"/>
  <c r="M58" i="1" s="1"/>
  <c r="J54" i="1"/>
  <c r="L54" i="1"/>
  <c r="P137" i="1"/>
  <c r="M137" i="1"/>
  <c r="J35" i="1"/>
  <c r="L35" i="1"/>
  <c r="J7" i="1"/>
  <c r="M259" i="1"/>
  <c r="J270" i="1"/>
  <c r="I269" i="1"/>
  <c r="J269" i="1" s="1"/>
  <c r="L270" i="1"/>
  <c r="J263" i="1"/>
  <c r="L263" i="1"/>
  <c r="L261" i="1" s="1"/>
  <c r="I261" i="1"/>
  <c r="J261" i="1" s="1"/>
  <c r="P222" i="1"/>
  <c r="M222" i="1"/>
  <c r="P249" i="1"/>
  <c r="P235" i="1"/>
  <c r="M235" i="1"/>
  <c r="M201" i="1"/>
  <c r="L200" i="1"/>
  <c r="M178" i="1"/>
  <c r="P178" i="1"/>
  <c r="P175" i="1"/>
  <c r="M175" i="1"/>
  <c r="J193" i="1"/>
  <c r="L193" i="1"/>
  <c r="L186" i="1" s="1"/>
  <c r="J171" i="1"/>
  <c r="L171" i="1"/>
  <c r="J133" i="1"/>
  <c r="I132" i="1"/>
  <c r="L133" i="1"/>
  <c r="P180" i="1"/>
  <c r="M180" i="1"/>
  <c r="L233" i="1"/>
  <c r="J233" i="1"/>
  <c r="M144" i="1"/>
  <c r="P144" i="1"/>
  <c r="M120" i="1"/>
  <c r="P120" i="1"/>
  <c r="J116" i="1"/>
  <c r="L116" i="1"/>
  <c r="M101" i="1"/>
  <c r="P101" i="1"/>
  <c r="J81" i="1"/>
  <c r="L81" i="1"/>
  <c r="M81" i="1" s="1"/>
  <c r="J71" i="1"/>
  <c r="L71" i="1"/>
  <c r="M71" i="1" s="1"/>
  <c r="J59" i="1"/>
  <c r="L59" i="1"/>
  <c r="P121" i="1"/>
  <c r="J109" i="1"/>
  <c r="L68" i="1"/>
  <c r="I67" i="1"/>
  <c r="J67" i="1" s="1"/>
  <c r="J68" i="1"/>
  <c r="L122" i="1"/>
  <c r="J122" i="1"/>
  <c r="J42" i="1"/>
  <c r="L42" i="1"/>
  <c r="P30" i="1"/>
  <c r="M30" i="1"/>
  <c r="P172" i="1"/>
  <c r="M172" i="1"/>
  <c r="P17" i="1"/>
  <c r="L79" i="1"/>
  <c r="J79" i="1"/>
  <c r="J22" i="1"/>
  <c r="L22" i="1"/>
  <c r="P105" i="1"/>
  <c r="M105" i="1"/>
  <c r="J264" i="1"/>
  <c r="L264" i="1"/>
  <c r="L229" i="1"/>
  <c r="J229" i="1"/>
  <c r="P219" i="1"/>
  <c r="M219" i="1"/>
  <c r="J227" i="1"/>
  <c r="I226" i="1"/>
  <c r="J226" i="1" s="1"/>
  <c r="L227" i="1"/>
  <c r="P215" i="1"/>
  <c r="M215" i="1"/>
  <c r="F218" i="1"/>
  <c r="M153" i="1"/>
  <c r="I96" i="1"/>
  <c r="J96" i="1" s="1"/>
  <c r="L98" i="1"/>
  <c r="J98" i="1"/>
  <c r="P85" i="1"/>
  <c r="M85" i="1"/>
  <c r="P170" i="1"/>
  <c r="M170" i="1"/>
  <c r="G93" i="1"/>
  <c r="F92" i="1"/>
  <c r="G92" i="1" s="1"/>
  <c r="J47" i="1"/>
  <c r="L47" i="1"/>
  <c r="M124" i="1"/>
  <c r="P124" i="1"/>
  <c r="O44" i="1"/>
  <c r="L142" i="1"/>
  <c r="M142" i="1" s="1"/>
  <c r="J142" i="1"/>
  <c r="J31" i="1"/>
  <c r="L31" i="1"/>
  <c r="P162" i="1"/>
  <c r="M162" i="1"/>
  <c r="J38" i="1"/>
  <c r="L38" i="1"/>
  <c r="M26" i="1"/>
  <c r="P26" i="1"/>
  <c r="J11" i="1"/>
  <c r="I10" i="1"/>
  <c r="I52" i="1"/>
  <c r="J266" i="1"/>
  <c r="L266" i="1"/>
  <c r="M262" i="1"/>
  <c r="P262" i="1"/>
  <c r="M244" i="1"/>
  <c r="P244" i="1"/>
  <c r="P232" i="1"/>
  <c r="M232" i="1"/>
  <c r="J231" i="1"/>
  <c r="I230" i="1"/>
  <c r="J230" i="1" s="1"/>
  <c r="L231" i="1"/>
  <c r="M248" i="1"/>
  <c r="L236" i="1"/>
  <c r="J236" i="1"/>
  <c r="P224" i="1"/>
  <c r="M224" i="1"/>
  <c r="L216" i="1"/>
  <c r="J216" i="1"/>
  <c r="M241" i="1"/>
  <c r="P241" i="1"/>
  <c r="P217" i="1"/>
  <c r="M217" i="1"/>
  <c r="F152" i="1"/>
  <c r="P196" i="1"/>
  <c r="M196" i="1"/>
  <c r="J237" i="1"/>
  <c r="L237" i="1"/>
  <c r="M237" i="1" s="1"/>
  <c r="P203" i="1"/>
  <c r="M203" i="1"/>
  <c r="M189" i="1"/>
  <c r="P189" i="1"/>
  <c r="P153" i="1"/>
  <c r="J149" i="1"/>
  <c r="L149" i="1"/>
  <c r="J147" i="1"/>
  <c r="I146" i="1"/>
  <c r="L147" i="1"/>
  <c r="M141" i="1"/>
  <c r="P141" i="1"/>
  <c r="J181" i="1"/>
  <c r="L181" i="1"/>
  <c r="J161" i="1"/>
  <c r="L161" i="1"/>
  <c r="P100" i="1"/>
  <c r="M100" i="1"/>
  <c r="P82" i="1"/>
  <c r="M82" i="1"/>
  <c r="P76" i="1"/>
  <c r="M76" i="1"/>
  <c r="J174" i="1"/>
  <c r="I173" i="1"/>
  <c r="J173" i="1" s="1"/>
  <c r="L174" i="1"/>
  <c r="J94" i="1"/>
  <c r="L94" i="1"/>
  <c r="I93" i="1"/>
  <c r="P75" i="1"/>
  <c r="M75" i="1"/>
  <c r="P114" i="1"/>
  <c r="P69" i="1"/>
  <c r="M69" i="1"/>
  <c r="M43" i="1"/>
  <c r="P43" i="1"/>
  <c r="G24" i="1"/>
  <c r="F23" i="1"/>
  <c r="G23" i="1" s="1"/>
  <c r="M53" i="1"/>
  <c r="P53" i="1"/>
  <c r="J111" i="1"/>
  <c r="L111" i="1"/>
  <c r="L109" i="1" s="1"/>
  <c r="L62" i="1"/>
  <c r="J62" i="1"/>
  <c r="P34" i="1"/>
  <c r="M34" i="1"/>
  <c r="M29" i="1"/>
  <c r="P29" i="1"/>
  <c r="I23" i="1"/>
  <c r="J24" i="1"/>
  <c r="I20" i="1"/>
  <c r="J20" i="1" s="1"/>
  <c r="F6" i="1"/>
  <c r="G6" i="1" s="1"/>
  <c r="G7" i="1"/>
  <c r="P123" i="1"/>
  <c r="P48" i="1"/>
  <c r="P254" i="1"/>
  <c r="M254" i="1"/>
  <c r="P198" i="1"/>
  <c r="M198" i="1"/>
  <c r="I186" i="1"/>
  <c r="J186" i="1" s="1"/>
  <c r="J187" i="1"/>
  <c r="J185" i="1"/>
  <c r="L185" i="1"/>
  <c r="P163" i="1"/>
  <c r="M163" i="1"/>
  <c r="L104" i="1"/>
  <c r="I103" i="1"/>
  <c r="J103" i="1" s="1"/>
  <c r="J104" i="1"/>
  <c r="P257" i="1"/>
  <c r="M257" i="1"/>
  <c r="M251" i="1"/>
  <c r="P251" i="1"/>
  <c r="P221" i="1"/>
  <c r="L220" i="1"/>
  <c r="M221" i="1"/>
  <c r="J225" i="1"/>
  <c r="L225" i="1"/>
  <c r="M250" i="1"/>
  <c r="P250" i="1"/>
  <c r="P243" i="1"/>
  <c r="M243" i="1"/>
  <c r="P240" i="1"/>
  <c r="M240" i="1"/>
  <c r="J214" i="1"/>
  <c r="L214" i="1"/>
  <c r="L209" i="1"/>
  <c r="P204" i="1"/>
  <c r="M204" i="1"/>
  <c r="M194" i="1"/>
  <c r="P194" i="1"/>
  <c r="J200" i="1"/>
  <c r="M157" i="1"/>
  <c r="L156" i="1"/>
  <c r="M156" i="1" s="1"/>
  <c r="M151" i="1"/>
  <c r="L150" i="1"/>
  <c r="P151" i="1"/>
  <c r="I238" i="1"/>
  <c r="J238" i="1" s="1"/>
  <c r="L239" i="1"/>
  <c r="J239" i="1"/>
  <c r="J169" i="1"/>
  <c r="L169" i="1"/>
  <c r="G132" i="1"/>
  <c r="J155" i="1"/>
  <c r="L155" i="1"/>
  <c r="L102" i="1"/>
  <c r="L99" i="1" s="1"/>
  <c r="J102" i="1"/>
  <c r="P74" i="1"/>
  <c r="M74" i="1"/>
  <c r="I36" i="1"/>
  <c r="J36" i="1" s="1"/>
  <c r="G206" i="1"/>
  <c r="F199" i="1"/>
  <c r="P139" i="1"/>
  <c r="M139" i="1"/>
  <c r="J77" i="1"/>
  <c r="L77" i="1"/>
  <c r="M64" i="1"/>
  <c r="P64" i="1"/>
  <c r="M119" i="1"/>
  <c r="P119" i="1"/>
  <c r="I112" i="1"/>
  <c r="J112" i="1" s="1"/>
  <c r="P110" i="1"/>
  <c r="M110" i="1"/>
  <c r="L106" i="1"/>
  <c r="J106" i="1"/>
  <c r="P95" i="1"/>
  <c r="M95" i="1"/>
  <c r="G52" i="1"/>
  <c r="F45" i="1"/>
  <c r="P84" i="1"/>
  <c r="J70" i="1"/>
  <c r="L70" i="1"/>
  <c r="M70" i="1" s="1"/>
  <c r="P25" i="1"/>
  <c r="L24" i="1"/>
  <c r="M25" i="1"/>
  <c r="P115" i="1"/>
  <c r="L11" i="1"/>
  <c r="P12" i="1"/>
  <c r="M12" i="1"/>
  <c r="P8" i="1"/>
  <c r="M8" i="1"/>
  <c r="L7" i="1"/>
  <c r="P259" i="1" l="1"/>
  <c r="I199" i="1"/>
  <c r="J199" i="1" s="1"/>
  <c r="G152" i="1"/>
  <c r="I247" i="1"/>
  <c r="J247" i="1" s="1"/>
  <c r="G199" i="1"/>
  <c r="J10" i="1"/>
  <c r="L112" i="1"/>
  <c r="P112" i="1" s="1"/>
  <c r="M15" i="1"/>
  <c r="P15" i="1"/>
  <c r="L14" i="1"/>
  <c r="L10" i="1" s="1"/>
  <c r="F275" i="1"/>
  <c r="F277" i="1" s="1"/>
  <c r="G277" i="1" s="1"/>
  <c r="M252" i="1"/>
  <c r="P252" i="1"/>
  <c r="J23" i="1"/>
  <c r="L234" i="1"/>
  <c r="M234" i="1" s="1"/>
  <c r="L28" i="1"/>
  <c r="P28" i="1" s="1"/>
  <c r="P57" i="1"/>
  <c r="P156" i="1"/>
  <c r="L247" i="1"/>
  <c r="P247" i="1" s="1"/>
  <c r="P106" i="1"/>
  <c r="M106" i="1"/>
  <c r="M174" i="1"/>
  <c r="L173" i="1"/>
  <c r="P174" i="1"/>
  <c r="M99" i="1"/>
  <c r="P99" i="1"/>
  <c r="M200" i="1"/>
  <c r="P200" i="1"/>
  <c r="P54" i="1"/>
  <c r="M54" i="1"/>
  <c r="P7" i="1"/>
  <c r="M7" i="1"/>
  <c r="M209" i="1"/>
  <c r="P209" i="1"/>
  <c r="P220" i="1"/>
  <c r="M220" i="1"/>
  <c r="M181" i="1"/>
  <c r="P181" i="1"/>
  <c r="P231" i="1"/>
  <c r="L230" i="1"/>
  <c r="M231" i="1"/>
  <c r="M261" i="1"/>
  <c r="P261" i="1"/>
  <c r="M264" i="1"/>
  <c r="P264" i="1"/>
  <c r="P42" i="1"/>
  <c r="M42" i="1"/>
  <c r="L39" i="1"/>
  <c r="P171" i="1"/>
  <c r="M171" i="1"/>
  <c r="P169" i="1"/>
  <c r="M169" i="1"/>
  <c r="P225" i="1"/>
  <c r="M225" i="1"/>
  <c r="P62" i="1"/>
  <c r="M62" i="1"/>
  <c r="I145" i="1"/>
  <c r="J145" i="1" s="1"/>
  <c r="J146" i="1"/>
  <c r="P11" i="1"/>
  <c r="M11" i="1"/>
  <c r="M77" i="1"/>
  <c r="P77" i="1"/>
  <c r="P102" i="1"/>
  <c r="M102" i="1"/>
  <c r="I167" i="1"/>
  <c r="P104" i="1"/>
  <c r="M104" i="1"/>
  <c r="L103" i="1"/>
  <c r="P111" i="1"/>
  <c r="M111" i="1"/>
  <c r="I92" i="1"/>
  <c r="J92" i="1" s="1"/>
  <c r="J93" i="1"/>
  <c r="P161" i="1"/>
  <c r="M161" i="1"/>
  <c r="P216" i="1"/>
  <c r="M216" i="1"/>
  <c r="I218" i="1"/>
  <c r="J218" i="1" s="1"/>
  <c r="P266" i="1"/>
  <c r="M266" i="1"/>
  <c r="O108" i="1"/>
  <c r="P47" i="1"/>
  <c r="M47" i="1"/>
  <c r="P227" i="1"/>
  <c r="L226" i="1"/>
  <c r="M227" i="1"/>
  <c r="M79" i="1"/>
  <c r="P79" i="1"/>
  <c r="P68" i="1"/>
  <c r="M68" i="1"/>
  <c r="L67" i="1"/>
  <c r="P233" i="1"/>
  <c r="M233" i="1"/>
  <c r="M193" i="1"/>
  <c r="P193" i="1"/>
  <c r="P35" i="1"/>
  <c r="M35" i="1"/>
  <c r="M125" i="1"/>
  <c r="P125" i="1"/>
  <c r="M208" i="1"/>
  <c r="L206" i="1"/>
  <c r="P208" i="1"/>
  <c r="P158" i="1"/>
  <c r="M158" i="1"/>
  <c r="M150" i="1"/>
  <c r="P150" i="1"/>
  <c r="P147" i="1"/>
  <c r="M147" i="1"/>
  <c r="L146" i="1"/>
  <c r="I45" i="1"/>
  <c r="J52" i="1"/>
  <c r="M133" i="1"/>
  <c r="L132" i="1"/>
  <c r="P133" i="1"/>
  <c r="M186" i="1"/>
  <c r="P186" i="1"/>
  <c r="P109" i="1"/>
  <c r="M109" i="1"/>
  <c r="M239" i="1"/>
  <c r="L238" i="1"/>
  <c r="P239" i="1"/>
  <c r="P214" i="1"/>
  <c r="M214" i="1"/>
  <c r="P185" i="1"/>
  <c r="M185" i="1"/>
  <c r="L52" i="1"/>
  <c r="P38" i="1"/>
  <c r="M38" i="1"/>
  <c r="L36" i="1"/>
  <c r="P31" i="1"/>
  <c r="M31" i="1"/>
  <c r="P229" i="1"/>
  <c r="M229" i="1"/>
  <c r="J132" i="1"/>
  <c r="P263" i="1"/>
  <c r="M263" i="1"/>
  <c r="M258" i="1"/>
  <c r="P258" i="1"/>
  <c r="M91" i="1"/>
  <c r="L89" i="1"/>
  <c r="P24" i="1"/>
  <c r="M24" i="1"/>
  <c r="F44" i="1"/>
  <c r="G45" i="1"/>
  <c r="P155" i="1"/>
  <c r="M155" i="1"/>
  <c r="O277" i="1"/>
  <c r="P94" i="1"/>
  <c r="M94" i="1"/>
  <c r="L93" i="1"/>
  <c r="P149" i="1"/>
  <c r="M149" i="1"/>
  <c r="L223" i="1"/>
  <c r="M236" i="1"/>
  <c r="P236" i="1"/>
  <c r="M98" i="1"/>
  <c r="L96" i="1"/>
  <c r="M96" i="1" s="1"/>
  <c r="M22" i="1"/>
  <c r="P22" i="1"/>
  <c r="L20" i="1"/>
  <c r="M122" i="1"/>
  <c r="P122" i="1"/>
  <c r="P59" i="1"/>
  <c r="M59" i="1"/>
  <c r="M116" i="1"/>
  <c r="P116" i="1"/>
  <c r="L269" i="1"/>
  <c r="P270" i="1"/>
  <c r="M270" i="1"/>
  <c r="I6" i="1"/>
  <c r="J6" i="1" s="1"/>
  <c r="P195" i="1"/>
  <c r="M195" i="1"/>
  <c r="L23" i="1" l="1"/>
  <c r="M28" i="1"/>
  <c r="M247" i="1"/>
  <c r="M112" i="1"/>
  <c r="M14" i="1"/>
  <c r="P14" i="1"/>
  <c r="P234" i="1"/>
  <c r="G275" i="1"/>
  <c r="M20" i="1"/>
  <c r="P20" i="1"/>
  <c r="M36" i="1"/>
  <c r="P36" i="1"/>
  <c r="L145" i="1"/>
  <c r="M146" i="1"/>
  <c r="P146" i="1"/>
  <c r="M173" i="1"/>
  <c r="P173" i="1"/>
  <c r="M23" i="1"/>
  <c r="P23" i="1"/>
  <c r="M238" i="1"/>
  <c r="P238" i="1"/>
  <c r="I44" i="1"/>
  <c r="J45" i="1"/>
  <c r="L218" i="1"/>
  <c r="O126" i="1"/>
  <c r="M93" i="1"/>
  <c r="L92" i="1"/>
  <c r="P93" i="1"/>
  <c r="M132" i="1"/>
  <c r="P132" i="1"/>
  <c r="M67" i="1"/>
  <c r="P67" i="1"/>
  <c r="M103" i="1"/>
  <c r="P103" i="1"/>
  <c r="J167" i="1"/>
  <c r="I152" i="1"/>
  <c r="L167" i="1"/>
  <c r="L6" i="1"/>
  <c r="M269" i="1"/>
  <c r="P269" i="1"/>
  <c r="P223" i="1"/>
  <c r="M223" i="1"/>
  <c r="G44" i="1"/>
  <c r="F108" i="1"/>
  <c r="M89" i="1"/>
  <c r="P89" i="1"/>
  <c r="M52" i="1"/>
  <c r="L45" i="1"/>
  <c r="P52" i="1"/>
  <c r="M206" i="1"/>
  <c r="P206" i="1"/>
  <c r="M226" i="1"/>
  <c r="P226" i="1"/>
  <c r="M10" i="1"/>
  <c r="P10" i="1"/>
  <c r="M39" i="1"/>
  <c r="P39" i="1"/>
  <c r="M230" i="1"/>
  <c r="P230" i="1"/>
  <c r="L199" i="1"/>
  <c r="M6" i="1" l="1"/>
  <c r="P6" i="1"/>
  <c r="M218" i="1"/>
  <c r="P218" i="1"/>
  <c r="M199" i="1"/>
  <c r="P199" i="1"/>
  <c r="M167" i="1"/>
  <c r="L152" i="1"/>
  <c r="P167" i="1"/>
  <c r="L44" i="1"/>
  <c r="M45" i="1"/>
  <c r="P45" i="1"/>
  <c r="G108" i="1"/>
  <c r="F126" i="1"/>
  <c r="J152" i="1"/>
  <c r="I275" i="1"/>
  <c r="M92" i="1"/>
  <c r="P92" i="1"/>
  <c r="O278" i="1"/>
  <c r="J44" i="1"/>
  <c r="I108" i="1"/>
  <c r="P145" i="1"/>
  <c r="M145" i="1"/>
  <c r="M152" i="1" l="1"/>
  <c r="P152" i="1"/>
  <c r="L275" i="1"/>
  <c r="M44" i="1"/>
  <c r="P44" i="1"/>
  <c r="L108" i="1"/>
  <c r="J275" i="1"/>
  <c r="I277" i="1"/>
  <c r="J277" i="1" s="1"/>
  <c r="I126" i="1"/>
  <c r="J108" i="1"/>
  <c r="F278" i="1"/>
  <c r="G278" i="1" s="1"/>
  <c r="G126" i="1"/>
  <c r="L277" i="1" l="1"/>
  <c r="M275" i="1"/>
  <c r="P275" i="1"/>
  <c r="I278" i="1"/>
  <c r="J126" i="1"/>
  <c r="M108" i="1"/>
  <c r="L126" i="1"/>
  <c r="P108" i="1"/>
  <c r="J278" i="1" l="1"/>
  <c r="L278" i="1"/>
  <c r="M126" i="1"/>
  <c r="P126" i="1"/>
  <c r="M277" i="1"/>
  <c r="P277" i="1"/>
  <c r="M278" i="1" l="1"/>
  <c r="P2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43" authorId="0" shapeId="0" xr:uid="{F789DBEA-A38D-41E7-A576-1CBFFD577193}">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14CAA808-AD41-47E5-AF4F-F04A945837D3}">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CA27C26E-BFAF-4076-AF09-E8CE70289C4A}">
      <text>
        <r>
          <rPr>
            <b/>
            <sz val="9"/>
            <color indexed="81"/>
            <rFont val="Tahoma"/>
            <family val="2"/>
            <charset val="186"/>
          </rPr>
          <t>Sarmīte Mūze:</t>
        </r>
        <r>
          <rPr>
            <sz val="9"/>
            <color indexed="81"/>
            <rFont val="Tahoma"/>
            <family val="2"/>
            <charset val="186"/>
          </rPr>
          <t xml:space="preserve">
76'000 mežaudze vai koki; 46'000+73'000 Kadaga.</t>
        </r>
      </text>
    </comment>
    <comment ref="O66" authorId="0" shapeId="0" xr:uid="{7723B9FB-F3E2-48D3-B61F-6383EBB0B070}">
      <text>
        <r>
          <rPr>
            <b/>
            <sz val="9"/>
            <color indexed="81"/>
            <rFont val="Tahoma"/>
            <family val="2"/>
            <charset val="186"/>
          </rPr>
          <t>Sarmīte Mūze:</t>
        </r>
        <r>
          <rPr>
            <sz val="9"/>
            <color indexed="81"/>
            <rFont val="Tahoma"/>
            <family val="2"/>
            <charset val="186"/>
          </rPr>
          <t xml:space="preserve">
18.6.3.18. ES fin EUR 1756(0931); 18.6.3.20.ES fin EUR 2350 (0930);</t>
        </r>
      </text>
    </comment>
    <comment ref="O176" authorId="0" shapeId="0" xr:uid="{A1CD3B13-7594-4A69-A8CD-5114C7D070BE}">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68" authorId="0" shapeId="0" xr:uid="{CE280FEB-B190-41D4-B449-8ACD28FDBDFB}">
      <text>
        <r>
          <rPr>
            <b/>
            <sz val="9"/>
            <color indexed="81"/>
            <rFont val="Tahoma"/>
            <family val="2"/>
            <charset val="186"/>
          </rPr>
          <t>Sarmīte Mūze:</t>
        </r>
        <r>
          <rPr>
            <sz val="9"/>
            <color indexed="81"/>
            <rFont val="Tahoma"/>
            <family val="2"/>
            <charset val="186"/>
          </rPr>
          <t xml:space="preserve">
Šis ir jāizņem no 0930 un jāliek 0982 algā.
</t>
        </r>
      </text>
    </comment>
    <comment ref="F268" authorId="0" shapeId="0" xr:uid="{20A09744-CC1D-4C53-B5A5-1BD24B0ED9AC}">
      <text>
        <r>
          <rPr>
            <b/>
            <sz val="9"/>
            <color indexed="81"/>
            <rFont val="Tahoma"/>
            <family val="2"/>
            <charset val="186"/>
          </rPr>
          <t>Sarmīte Mūze:</t>
        </r>
        <r>
          <rPr>
            <sz val="9"/>
            <color indexed="81"/>
            <rFont val="Tahoma"/>
            <family val="2"/>
            <charset val="186"/>
          </rPr>
          <t xml:space="preserve">
Šis ir jāizņem no 0930 un jāliek 0982 algā.
</t>
        </r>
      </text>
    </comment>
    <comment ref="I268" authorId="0" shapeId="0" xr:uid="{CF6D41AA-D705-4E74-8C43-AF260A2EFD06}">
      <text>
        <r>
          <rPr>
            <b/>
            <sz val="9"/>
            <color indexed="81"/>
            <rFont val="Tahoma"/>
            <family val="2"/>
            <charset val="186"/>
          </rPr>
          <t>Sarmīte Mūze:</t>
        </r>
        <r>
          <rPr>
            <sz val="9"/>
            <color indexed="81"/>
            <rFont val="Tahoma"/>
            <family val="2"/>
            <charset val="186"/>
          </rPr>
          <t xml:space="preserve">
Šis ir jāizņem no 0930 un jāliek 0982 algā.
</t>
        </r>
      </text>
    </comment>
    <comment ref="L268" authorId="0" shapeId="0" xr:uid="{3530F8AE-2C0B-43C2-9C5C-A620B1AD1F25}">
      <text>
        <r>
          <rPr>
            <b/>
            <sz val="9"/>
            <color indexed="81"/>
            <rFont val="Tahoma"/>
            <family val="2"/>
            <charset val="186"/>
          </rPr>
          <t>Sarmīte Mūze:</t>
        </r>
        <r>
          <rPr>
            <sz val="9"/>
            <color indexed="81"/>
            <rFont val="Tahoma"/>
            <family val="2"/>
            <charset val="186"/>
          </rPr>
          <t xml:space="preserve">
Šis ir jāizņem no 0930 un jāliek 0982 algā.
</t>
        </r>
      </text>
    </comment>
    <comment ref="O268" authorId="0" shapeId="0" xr:uid="{E8310B13-30BA-453A-B6F6-E819DFDDDF88}">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<sst xmlns="http://schemas.openxmlformats.org/spreadsheetml/2006/main" count="1003" uniqueCount="813">
  <si>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</si>
  <si>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</si>
  <si>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</si>
  <si>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</si>
  <si>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</si>
  <si>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</si>
  <si>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</si>
  <si>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</si>
  <si>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</si>
  <si>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</si>
  <si>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</si>
  <si>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</si>
  <si>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</si>
  <si>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</si>
  <si>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30.06.2023. fakts</t>
  </si>
  <si>
    <t>30.06.2023. fakts (%) pret 2023. plānu</t>
  </si>
  <si>
    <t>Komentāri par izpildi</t>
  </si>
  <si>
    <t>1., 2., 3., 4., 5.1.</t>
  </si>
  <si>
    <t>Nodokļu ieņēmumi</t>
  </si>
  <si>
    <t>1.1.1.0.</t>
  </si>
  <si>
    <t>1.</t>
  </si>
  <si>
    <t>Iedzīvotāju ienākuma nodoklis</t>
  </si>
  <si>
    <t>PB</t>
  </si>
  <si>
    <t>01.1.1.2.</t>
  </si>
  <si>
    <t>1.1.</t>
  </si>
  <si>
    <t>pārskata gada</t>
  </si>
  <si>
    <t>Precizēta summa apstiprinātajos MK Nr.191 11.04.2023</t>
  </si>
  <si>
    <t>IIN mazāks kā prognozēts, dēļ IIN atmaksām iedzīvotājiem. Valsts kompensēs iztrūkstošo daļu.</t>
  </si>
  <si>
    <t>1.2.</t>
  </si>
  <si>
    <t>saņemts no Valsts kases sadales konta iepriekšējā gada nesadalītais iedzīvotāju ienākuma nodokļa atlikums</t>
  </si>
  <si>
    <t>1., 2., 3., 4.</t>
  </si>
  <si>
    <t>Nekustamā īpašuma nodokļu ieņēmumi</t>
  </si>
  <si>
    <t>Rēķins par visu gadu gada sākumā, var nomaksāt 4os maksājumos.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</si>
  <si>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</si>
  <si>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</si>
  <si>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</si>
  <si>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</si>
  <si>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</si>
  <si>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</si>
  <si>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</si>
  <si>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</si>
  <si>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</si>
  <si>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</si>
  <si>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</si>
  <si>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</si>
  <si>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</si>
  <si>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</si>
  <si>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</si>
  <si>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</si>
  <si>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</si>
  <si>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</si>
  <si>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</si>
  <si>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</si>
  <si>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</si>
  <si>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</si>
  <si>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</si>
  <si>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</si>
  <si>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</si>
  <si>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</si>
  <si>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</si>
  <si>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</si>
  <si>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</si>
  <si>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</si>
  <si>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Plāns, balstoties uz 2022.gada izpildi.</t>
  </si>
  <si>
    <t>9.0.0.0.</t>
  </si>
  <si>
    <t>6.</t>
  </si>
  <si>
    <t>Valsts (pašvaldību) un kancelejas nodevas</t>
  </si>
  <si>
    <t>Izpilde tuvu plānotajam.</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</si>
  <si>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</si>
  <si>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</si>
  <si>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</si>
  <si>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</si>
  <si>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</si>
  <si>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</si>
  <si>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</si>
  <si>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</si>
  <si>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</si>
  <si>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</si>
  <si>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</si>
  <si>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</si>
  <si>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</si>
  <si>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</si>
  <si>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</si>
  <si>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</si>
  <si>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</si>
  <si>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</si>
  <si>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</si>
  <si>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</si>
  <si>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</si>
  <si>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</si>
  <si>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</si>
  <si>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</si>
  <si>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</si>
  <si>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</si>
  <si>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</si>
  <si>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</si>
  <si>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</si>
  <si>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</si>
  <si>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</si>
  <si>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</si>
  <si>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</si>
  <si>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</si>
  <si>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</si>
  <si>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</si>
  <si>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</si>
  <si>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</si>
  <si>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</si>
  <si>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</si>
  <si>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</si>
  <si>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</si>
  <si>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</si>
  <si>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</si>
  <si>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</si>
  <si>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</si>
  <si>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</si>
  <si>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</si>
  <si>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</si>
  <si>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</si>
  <si>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</si>
  <si>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</si>
  <si>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EUR 143'000 apdrošināšana par tilta bojājumu.</t>
  </si>
  <si>
    <t>12.3.9.5.</t>
  </si>
  <si>
    <t>8.2.</t>
  </si>
  <si>
    <t>līgumsodi un procentu maksājumi par saistību neizpildi</t>
  </si>
  <si>
    <t>8.3.</t>
  </si>
  <si>
    <t>ieņēmumi no zvejas tiesību nomas</t>
  </si>
  <si>
    <t>13.1.0.0.</t>
  </si>
  <si>
    <t>9.</t>
  </si>
  <si>
    <t>Ieņēmumi no pašvaldības īpašuma pārdošana</t>
  </si>
  <si>
    <t>NĪ daļas kompetencē. Izsoles plānotas augustā, septembrī.</t>
  </si>
  <si>
    <t>10.</t>
  </si>
  <si>
    <t>Valsts budžeta transferti un projektu finansējums</t>
  </si>
  <si>
    <t>10.1.</t>
  </si>
  <si>
    <t>Valsts budžeta transferti</t>
  </si>
  <si>
    <t>Pedagogu atvaļinājumu MD vasarai.</t>
  </si>
  <si>
    <t>mērķdotācija</t>
  </si>
  <si>
    <t>18.6.2.3.</t>
  </si>
  <si>
    <t>10.1.1.</t>
  </si>
  <si>
    <t>dotācija mākslas skolas algām</t>
  </si>
  <si>
    <t>Precizēts MD apjoms</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</si>
  <si>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</si>
  <si>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</si>
  <si>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</si>
  <si>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</si>
  <si>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</si>
  <si>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</si>
  <si>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</si>
  <si>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</si>
  <si>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</si>
  <si>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</si>
  <si>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</si>
  <si>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</si>
  <si>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</si>
  <si>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</si>
  <si>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</si>
  <si>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</si>
  <si>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</si>
  <si>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</si>
  <si>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</si>
  <si>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</si>
  <si>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</si>
  <si>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</si>
  <si>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</si>
  <si>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</si>
  <si>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</si>
  <si>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</si>
  <si>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</si>
  <si>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</si>
  <si>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</si>
  <si>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</si>
  <si>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</si>
  <si>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</si>
  <si>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</si>
  <si>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</si>
  <si>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</si>
  <si>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</si>
  <si>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</si>
  <si>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</si>
  <si>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</si>
  <si>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</si>
  <si>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</si>
  <si>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</si>
  <si>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</si>
  <si>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</si>
  <si>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t>Tiek ieskaitīts reizi ceturksnī.</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</si>
  <si>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</si>
  <si>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</si>
  <si>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</si>
  <si>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</si>
  <si>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Pēc faktiskās izpildes.</t>
  </si>
  <si>
    <t>10.1.13.</t>
  </si>
  <si>
    <t>Dotācijas "Energoresursu atbalsts"</t>
  </si>
  <si>
    <t>CKS precizēts kods ieņēmumiem - valsts atbalsts iedzīvotājiem</t>
  </si>
  <si>
    <t>Šīs apkures sezonas kompensācijas beigušās.</t>
  </si>
  <si>
    <t>0630</t>
  </si>
  <si>
    <t>18.6.2.9.;</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</si>
  <si>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</si>
  <si>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</si>
  <si>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</si>
  <si>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</si>
  <si>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</si>
  <si>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Saskaņā ar projekta NP</t>
  </si>
  <si>
    <t>18.6.2.6.1.</t>
  </si>
  <si>
    <t>10.2.1.</t>
  </si>
  <si>
    <t>Dotācija nodarbinātības pasākumiem</t>
  </si>
  <si>
    <t>0634</t>
  </si>
  <si>
    <t>18.6.3.6.</t>
  </si>
  <si>
    <t>10.2.2.</t>
  </si>
  <si>
    <t>Plūdu risku projekts</t>
  </si>
  <si>
    <t>10.2.3.</t>
  </si>
  <si>
    <t>Apgaismojuma izbūve uz Salas aizsargdamja D-2 posmā, Carnikavas pagastā</t>
  </si>
  <si>
    <t>18.6.3.4</t>
  </si>
  <si>
    <t>10.2.4.</t>
  </si>
  <si>
    <t>Auto stāvlaukuma Lilastē paplašināšanas un atpūtas vietu labiekārtojuma projektēšana un izbūve ©</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</si>
  <si>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</si>
  <si>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</si>
  <si>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</si>
  <si>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</si>
  <si>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</si>
  <si>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</si>
  <si>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</si>
  <si>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</si>
  <si>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</si>
  <si>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</si>
  <si>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</si>
  <si>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</si>
  <si>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</si>
  <si>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</si>
  <si>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</si>
  <si>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</si>
  <si>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</si>
  <si>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</si>
  <si>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</si>
  <si>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</si>
  <si>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</si>
  <si>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</si>
  <si>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</si>
  <si>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Plānots rudenī.</t>
  </si>
  <si>
    <t>10.2.15.</t>
  </si>
  <si>
    <t>ES projekts Eiropa pilsoņiem (diskriminētām personām) ©</t>
  </si>
  <si>
    <t>10.2.16.</t>
  </si>
  <si>
    <t>ERASMUS + projekti</t>
  </si>
  <si>
    <t>Precizēta projekta NP</t>
  </si>
  <si>
    <t>Finansējums vidēja termiņa projektiem.</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</si>
  <si>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</si>
  <si>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</si>
  <si>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</si>
  <si>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</si>
  <si>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</si>
  <si>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</si>
  <si>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10.2.20.</t>
  </si>
  <si>
    <t>EKII projekts</t>
  </si>
  <si>
    <t>10.2.21.</t>
  </si>
  <si>
    <t>Katlu mājas pārbūve Carnikavā, Tulpju iela 5</t>
  </si>
  <si>
    <t>18.6.4.0.</t>
  </si>
  <si>
    <t>10.3.</t>
  </si>
  <si>
    <t>IIN budžeta dotācija</t>
  </si>
  <si>
    <t>11.</t>
  </si>
  <si>
    <t>Pašvaldību budžeta transferti</t>
  </si>
  <si>
    <t>19.2.1.0.</t>
  </si>
  <si>
    <t>11.1.</t>
  </si>
  <si>
    <t>no citām pašvaldībām izglītības funkciju nodrošināšanai</t>
  </si>
  <si>
    <t>Maksājumi tiek veikti par ceturksni. Pastāv iespēja, ka būs lielāka izpilde.</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</si>
  <si>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</si>
  <si>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</si>
  <si>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</si>
  <si>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</si>
  <si>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</si>
  <si>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</si>
  <si>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</si>
  <si>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</si>
  <si>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</si>
  <si>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</si>
  <si>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</si>
  <si>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</si>
  <si>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</si>
  <si>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</si>
  <si>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</si>
  <si>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</si>
  <si>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</si>
  <si>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</si>
  <si>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</si>
  <si>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</si>
  <si>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</si>
  <si>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</si>
  <si>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</si>
  <si>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</si>
  <si>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</si>
  <si>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</si>
  <si>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</si>
  <si>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</si>
  <si>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</si>
  <si>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</si>
  <si>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</si>
  <si>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</si>
  <si>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</si>
  <si>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</si>
  <si>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</si>
  <si>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</si>
  <si>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</si>
  <si>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12.4.2.</t>
  </si>
  <si>
    <t>ieņēmumi no biļešu realizācijas</t>
  </si>
  <si>
    <t>12.4.3.</t>
  </si>
  <si>
    <t>ieņēmumi no dzīvokļu un komunālajiem pakalpojumiem ©</t>
  </si>
  <si>
    <t>Ziņo CKS</t>
  </si>
  <si>
    <t>21.3.5.9.; 21.4.9.9.</t>
  </si>
  <si>
    <t>12.6.</t>
  </si>
  <si>
    <t>pārējie ieņēmumi/stāvvietu ieņēmumi</t>
  </si>
  <si>
    <t xml:space="preserve">Stāvvietu ieņēmumi uz 30.06. EUR </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</si>
  <si>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</si>
  <si>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</si>
  <si>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</si>
  <si>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</si>
  <si>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</si>
  <si>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</si>
  <si>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</si>
  <si>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</si>
  <si>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</si>
  <si>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</si>
  <si>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</si>
  <si>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14.2.</t>
  </si>
  <si>
    <t>14.3.</t>
  </si>
  <si>
    <t xml:space="preserve"> "Auto stāvlaukuma Lilastē paplašināšana, atpūtas vietu, labiekārtojuma, labierīcību, kempinga iespēju projektēšana un izbūve" ©</t>
  </si>
  <si>
    <t>Aizņēmuma pieteikums tiks izskatīts FM  26.07.2023. sēdē.</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</si>
  <si>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</si>
  <si>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</si>
  <si>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</si>
  <si>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</si>
  <si>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</si>
  <si>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</si>
  <si>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</si>
  <si>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</si>
  <si>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</si>
  <si>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</si>
  <si>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</si>
  <si>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</si>
  <si>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</si>
  <si>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</si>
  <si>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</si>
  <si>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</si>
  <si>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</si>
  <si>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14.13.</t>
  </si>
  <si>
    <t>Liepu aleja</t>
  </si>
  <si>
    <t>Atbalstīta projekta realizācija</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</si>
  <si>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</si>
  <si>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</si>
  <si>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</si>
  <si>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</si>
  <si>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</si>
  <si>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</si>
  <si>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</si>
  <si>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</si>
  <si>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</si>
  <si>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</si>
  <si>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</si>
  <si>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</si>
  <si>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</si>
  <si>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</si>
  <si>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</si>
  <si>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</si>
  <si>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</si>
  <si>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</si>
  <si>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</si>
  <si>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</si>
  <si>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</si>
  <si>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</si>
  <si>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</si>
  <si>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</si>
  <si>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Procentu likmes turpina pieaugt, 3., 4. cet. ievērojami lielāki maksājumi.</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</si>
  <si>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</si>
  <si>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</si>
  <si>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</si>
  <si>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</si>
  <si>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</si>
  <si>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</si>
  <si>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</si>
  <si>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</si>
  <si>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</si>
  <si>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</si>
  <si>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Rezerve komunālajiem maksājumiem 2.pusgadam. Apmaksa par formas tērpu iegādi jūlijā.</t>
  </si>
  <si>
    <t>Ekonomiskā darbība</t>
  </si>
  <si>
    <t>0490</t>
  </si>
  <si>
    <t>Sabiedriskās attiecības, laikraksts</t>
  </si>
  <si>
    <t>4.1.1.</t>
  </si>
  <si>
    <t>Sabiedrisko attiecību nodaļa</t>
  </si>
  <si>
    <t>Brīva vakance. Kalendāri tiek izgatavoti gada beigās.</t>
  </si>
  <si>
    <t>4.1.2.</t>
  </si>
  <si>
    <t>Ādažu vēstis</t>
  </si>
  <si>
    <t>0420</t>
  </si>
  <si>
    <t>Autoceļu fonds</t>
  </si>
  <si>
    <t>Realizē CKS</t>
  </si>
  <si>
    <t>Vides aizsardzība</t>
  </si>
  <si>
    <t>0510</t>
  </si>
  <si>
    <t>Dabas resursu nodokļa izlietojums</t>
  </si>
  <si>
    <t>Pašvldības DRN maksājums</t>
  </si>
  <si>
    <t>Pašvaldības teritoriju un mājokļu apsaimniekošana</t>
  </si>
  <si>
    <t>0620</t>
  </si>
  <si>
    <t>Būvvalde</t>
  </si>
  <si>
    <t>+ EUR 15'000 arhitektu plenērs izglītības kvartālam</t>
  </si>
  <si>
    <t>Arhitektu plenērs izglītības kvartālam Carnikavā EUR 16'000 vēl nav realizēts.</t>
  </si>
  <si>
    <t>0660</t>
  </si>
  <si>
    <t>6.3.</t>
  </si>
  <si>
    <t>Teritorijas plānošanas nodaļa</t>
  </si>
  <si>
    <t>2ām lielajām investīcijām šobrīd noslēdzas iepirkuma procedūra. ( Ādažu novada teritorijas plānojuma transporta  plānam; ainavu plāns) EUR 78'000</t>
  </si>
  <si>
    <t>6.4.</t>
  </si>
  <si>
    <t>Attīstības un projektu nodaļa</t>
  </si>
  <si>
    <t>6.4.1.</t>
  </si>
  <si>
    <t>nodaļa</t>
  </si>
  <si>
    <t>Life CoHabit projekts noslēdzies - 2) EUR 5033 Gaujas-Baltezera projekta realizācijai (Lēmums #82)</t>
  </si>
  <si>
    <t>Šajā pozīcijā EUR 550'000 PII zemes pirkšanai un projektēšanai - vēl nav realizēts.</t>
  </si>
  <si>
    <t>0630.1</t>
  </si>
  <si>
    <t>6.4.2.</t>
  </si>
  <si>
    <t>Projekts "Sabiedrība ar dvēseli"</t>
  </si>
  <si>
    <t>Saskaņā ar lēmumu, novirzīt EUR 1'630 no 0630.2 Pārrobežu EST-LAT projekts "Militārais mantojums uz 0630.1/3263 Sabiedrība ar dvēseli projektu realizācijai</t>
  </si>
  <si>
    <t>Šobrīd apmaksā gala maksājumus pec projektu nodošanas.</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</si>
  <si>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</si>
  <si>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</si>
  <si>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</si>
  <si>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</si>
  <si>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</si>
  <si>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</si>
  <si>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Par projekta gaitu ziņo izpilddirektors.</t>
  </si>
  <si>
    <t>0633.1</t>
  </si>
  <si>
    <t>6.4.5.</t>
  </si>
  <si>
    <t>”Mobilitātes punkta infrastruktūras izveidošana Rīgas metropoles areālā – “Carnikava””</t>
  </si>
  <si>
    <t>0633.2</t>
  </si>
  <si>
    <t>6.4.6.</t>
  </si>
  <si>
    <t>0632.4</t>
  </si>
  <si>
    <t>6.4.7.</t>
  </si>
  <si>
    <t>6.4.8.</t>
  </si>
  <si>
    <t xml:space="preserve">  ES Padomes projekts LIFE COHABIT ©</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</si>
  <si>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</si>
  <si>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</si>
  <si>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</si>
  <si>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</si>
  <si>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0633.5</t>
  </si>
  <si>
    <t>6.4.10.</t>
  </si>
  <si>
    <t>6.5.</t>
  </si>
  <si>
    <t>Objektu un teritorijas apsaimniekošana un uzturēšana</t>
  </si>
  <si>
    <t>6.5.1.</t>
  </si>
  <si>
    <t>Nekustamo īpašumu uzturēšana (Ā)</t>
  </si>
  <si>
    <t>0670</t>
  </si>
  <si>
    <t xml:space="preserve">Nekustamā īpašumas nodaļa </t>
  </si>
  <si>
    <t>0649</t>
  </si>
  <si>
    <t>6.5.2.</t>
  </si>
  <si>
    <t>Mežaparka ceļš (Ā)</t>
  </si>
  <si>
    <t>Projekts pabeigts. Tiek gaidīts rēķins par garantijas ieturējumu.</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</si>
  <si>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</si>
  <si>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</si>
  <si>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</si>
  <si>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</si>
  <si>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</si>
  <si>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</si>
  <si>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</si>
  <si>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</si>
  <si>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</si>
  <si>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</si>
  <si>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6.5.5.2.</t>
  </si>
  <si>
    <t>Dotācija CKS ceļu uzturēšanai</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</si>
  <si>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</si>
  <si>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</si>
  <si>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</si>
  <si>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2) Saskaņā ar līdzfinansējuma vērtēšanas komisijas ierosinājumu palielināt finanšu apjomu par EUR 20'000 daudzdzīvokļu māju siltināšanas līdzfinansējumam.</t>
  </si>
  <si>
    <t>0650_4</t>
  </si>
  <si>
    <t>6.5.6.</t>
  </si>
  <si>
    <t>Ceļu, ielu infrastruktūras attīstības programma  - pašvaldības ieguldījums ©</t>
  </si>
  <si>
    <t>0633.3</t>
  </si>
  <si>
    <t>6.5.7.</t>
  </si>
  <si>
    <t>6.5.8.</t>
  </si>
  <si>
    <t>Rasiņu ielas seguma atjaunošana</t>
  </si>
  <si>
    <t>Realizēs caur Domes līgumu</t>
  </si>
  <si>
    <t>Par projekta gaitu ziņo CKS.</t>
  </si>
  <si>
    <t>6.5.9.</t>
  </si>
  <si>
    <t>6.5.10.</t>
  </si>
  <si>
    <t>6.5.11.</t>
  </si>
  <si>
    <t>6.5.12.</t>
  </si>
  <si>
    <t>6.5.13.</t>
  </si>
  <si>
    <t>0633.4</t>
  </si>
  <si>
    <t>6.5.14.</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</si>
  <si>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</si>
  <si>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</si>
  <si>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</si>
  <si>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</si>
  <si>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</si>
  <si>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</si>
  <si>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</si>
  <si>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</si>
  <si>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Lielākās izmaksas maijā - Gaujas svētki, pasākumi siltajā sezonā.</t>
  </si>
  <si>
    <t>0841.2</t>
  </si>
  <si>
    <t>7.1.2.</t>
  </si>
  <si>
    <t>Tautas nams "Ozolaine" ©</t>
  </si>
  <si>
    <t>Lielākās izmaksas - Nēģu svētki, pasākumi siltajā sezonā.</t>
  </si>
  <si>
    <t>0841.3</t>
  </si>
  <si>
    <t>7.1.3.</t>
  </si>
  <si>
    <t>Muzejs un Carnikavas novadpētniecības centrs</t>
  </si>
  <si>
    <t>08412</t>
  </si>
  <si>
    <t>Dziesmu svētki 2023</t>
  </si>
  <si>
    <t>EUR 20'000 papildus atobusu īrei Dziesmu un deju svētkos</t>
  </si>
  <si>
    <t xml:space="preserve">Rēķinu apmaksa pēc pasākuma </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</si>
  <si>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</si>
  <si>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</si>
  <si>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</si>
  <si>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</si>
  <si>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</si>
  <si>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</si>
  <si>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</si>
  <si>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</si>
  <si>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</si>
  <si>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Pārcelšanās maksājumi jūlijā</t>
  </si>
  <si>
    <t>0831</t>
  </si>
  <si>
    <t>7.6.</t>
  </si>
  <si>
    <t xml:space="preserve">Carnikavas bibliotēka </t>
  </si>
  <si>
    <t>7.8.</t>
  </si>
  <si>
    <t>Sporta daļa</t>
  </si>
  <si>
    <t>0880</t>
  </si>
  <si>
    <t>7.9.</t>
  </si>
  <si>
    <t>Evaņģēliski luteriskās draudzes</t>
  </si>
  <si>
    <t>0843</t>
  </si>
  <si>
    <t>7.10.</t>
  </si>
  <si>
    <t>Multihalle</t>
  </si>
  <si>
    <t>Sociālā aizsardzība</t>
  </si>
  <si>
    <t>Sociālais dienests</t>
  </si>
  <si>
    <t>8.1.1.</t>
  </si>
  <si>
    <t xml:space="preserve">Sociālās funkcijas nodrošināšana </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</si>
  <si>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</si>
  <si>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</si>
  <si>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</si>
  <si>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</si>
  <si>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</si>
  <si>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</si>
  <si>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</si>
  <si>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</si>
  <si>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</si>
  <si>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</si>
  <si>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</si>
  <si>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</si>
  <si>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</si>
  <si>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</si>
  <si>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</si>
  <si>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</si>
  <si>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</si>
  <si>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Ekonomija uz neaizpildītajām vakancēm.</t>
  </si>
  <si>
    <t>8.3.2.</t>
  </si>
  <si>
    <t>DI projekts- specializētās darbnīcas</t>
  </si>
  <si>
    <t>1014.1</t>
  </si>
  <si>
    <t>8.3.3.</t>
  </si>
  <si>
    <t>DI centra pakalpojumi (projekts)</t>
  </si>
  <si>
    <t>8.4.</t>
  </si>
  <si>
    <t>Bāriņtiesa</t>
  </si>
  <si>
    <t>8.5.</t>
  </si>
  <si>
    <t>Atbilstoši valsts līdzfinansējumam pēc pašvaldības atskaitēm.</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</si>
  <si>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</si>
  <si>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</si>
  <si>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</si>
  <si>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</si>
  <si>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</si>
  <si>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</si>
  <si>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</si>
  <si>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</si>
  <si>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</si>
  <si>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</si>
  <si>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</si>
  <si>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Norēķini notiek reizi 4 mēnešos</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</si>
  <si>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</si>
  <si>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</si>
  <si>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</si>
  <si>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</si>
  <si>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</si>
  <si>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</si>
  <si>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</si>
  <si>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</si>
  <si>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</si>
  <si>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Pedagogiem atvaļinājumi vasarā.</t>
  </si>
  <si>
    <t>9.3.</t>
  </si>
  <si>
    <t>Kadagas PII</t>
  </si>
  <si>
    <t>0921</t>
  </si>
  <si>
    <t>9.3.1.</t>
  </si>
  <si>
    <t>0920</t>
  </si>
  <si>
    <t>9.3.2.</t>
  </si>
  <si>
    <t>9.4.</t>
  </si>
  <si>
    <t>Pirmsskolas izglītības iestāde "Riekstiņš"</t>
  </si>
  <si>
    <t>09011</t>
  </si>
  <si>
    <t>9.4.1.</t>
  </si>
  <si>
    <t>0901; 650_0901</t>
  </si>
  <si>
    <t>9.4.2.</t>
  </si>
  <si>
    <t>9.4.3.</t>
  </si>
  <si>
    <t>uzturēšanas izmaksas (CKS)</t>
  </si>
  <si>
    <t>0902; 650_0902</t>
  </si>
  <si>
    <t>9.5.</t>
  </si>
  <si>
    <t>Pirmsskolas izglītības iestādes "Piejūra"</t>
  </si>
  <si>
    <t>09021</t>
  </si>
  <si>
    <t>9.5.1.</t>
  </si>
  <si>
    <t>9.5.2.</t>
  </si>
  <si>
    <t>EUR 2000 uz PII Piejūra - balva par energotaupības rezultātiem</t>
  </si>
  <si>
    <t>9.5.3.</t>
  </si>
  <si>
    <t>9.6.</t>
  </si>
  <si>
    <t>Privātās izglītības iestādes</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</si>
  <si>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</si>
  <si>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</si>
  <si>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</si>
  <si>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</si>
  <si>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</si>
  <si>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</si>
  <si>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</si>
  <si>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</si>
  <si>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</si>
  <si>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</si>
  <si>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</si>
  <si>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</si>
  <si>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</si>
  <si>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</si>
  <si>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</si>
  <si>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</si>
  <si>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</si>
  <si>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09822</t>
  </si>
  <si>
    <t>9.7.5.</t>
  </si>
  <si>
    <t>projekts "Skolas soma"</t>
  </si>
  <si>
    <t>09825</t>
  </si>
  <si>
    <t>9.7.6.</t>
  </si>
  <si>
    <t>projekts Erasmus+</t>
  </si>
  <si>
    <t>0982</t>
  </si>
  <si>
    <t>9.7.7.</t>
  </si>
  <si>
    <t>mācību vides labiekārtošana</t>
  </si>
  <si>
    <t>09823</t>
  </si>
  <si>
    <t>9.8.</t>
  </si>
  <si>
    <t>Ziņo IDR. Līdz aprīlim bija tehniskais pārtraukums.</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</si>
  <si>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</si>
  <si>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</si>
  <si>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</si>
  <si>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</si>
  <si>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</si>
  <si>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</si>
  <si>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</si>
  <si>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</si>
  <si>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0957</t>
  </si>
  <si>
    <t>9.9.3.</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</si>
  <si>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</si>
  <si>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</si>
  <si>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</si>
  <si>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</si>
  <si>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</si>
  <si>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</si>
  <si>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</si>
  <si>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</si>
  <si>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</si>
  <si>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</si>
  <si>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</si>
  <si>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</si>
  <si>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</si>
  <si>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</si>
  <si>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</si>
  <si>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</si>
  <si>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</si>
  <si>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</si>
  <si>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</si>
  <si>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</si>
  <si>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</si>
  <si>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</si>
  <si>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</si>
  <si>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Pedagogiem atvaļinājumi vasarā.
Pārvākšanās izmaksas būs maijā.</t>
  </si>
  <si>
    <t>9.11.</t>
  </si>
  <si>
    <t>Sporta skola</t>
  </si>
  <si>
    <t>09651</t>
  </si>
  <si>
    <t>9.11.1.</t>
  </si>
  <si>
    <t>0965</t>
  </si>
  <si>
    <t>9.11.2.</t>
  </si>
  <si>
    <t>Pašvaldības finansējums</t>
  </si>
  <si>
    <t>Vasarā daudz nometnes. Ir noslēdzies 1. vasaras mēnesis.</t>
  </si>
  <si>
    <t>0930</t>
  </si>
  <si>
    <t>9.12.</t>
  </si>
  <si>
    <t xml:space="preserve">Izglītības un jauniešu lietu pārvalde </t>
  </si>
  <si>
    <t>Lielākās plāna pozīcijas bērnu radošās nometnes vasarā.</t>
  </si>
  <si>
    <t>9.13.</t>
  </si>
  <si>
    <t>Aktivitātes jauniešiem, jauniešu projektu konkurss</t>
  </si>
  <si>
    <t>Noteikumi izstrādes procsā.</t>
  </si>
  <si>
    <t>0931</t>
  </si>
  <si>
    <t>9.14.</t>
  </si>
  <si>
    <t>ESF projekts Atbalsts priekšlaicīgas mācību pārtraukšanas samazināšanai © (Pumpurs)</t>
  </si>
  <si>
    <t>0932</t>
  </si>
  <si>
    <t>9.15.</t>
  </si>
  <si>
    <t>Projkts noslēdzies, konta atlikums.</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</si>
  <si>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</si>
  <si>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</si>
  <si>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</si>
  <si>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</si>
  <si>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</si>
  <si>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</si>
  <si>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</si>
  <si>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</si>
  <si>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</si>
  <si>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</si>
  <si>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</si>
  <si>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</si>
  <si>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</si>
  <si>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</si>
  <si>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</si>
  <si>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</si>
  <si>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</si>
  <si>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</si>
  <si>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</si>
  <si>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 xml:space="preserve"> </t>
  </si>
  <si>
    <t>Periods:</t>
  </si>
  <si>
    <t>2023.g. 1.pusgads</t>
  </si>
  <si>
    <t>IEŅĒMUMI</t>
  </si>
  <si>
    <t>Budžeta 28.06.2023. grozījumi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</si>
  <si>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</si>
  <si>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</si>
  <si>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</si>
  <si>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</si>
  <si>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</si>
  <si>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</si>
  <si>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</si>
  <si>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</si>
  <si>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</si>
  <si>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</si>
  <si>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</si>
  <si>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6.2. ES struktūrfondu līdzekļi un aktivitāšu līdzfin.</t>
  </si>
  <si>
    <t>7. Pašvaldību budžeta transferti</t>
  </si>
  <si>
    <t>8. Budžeta iestāžu ieņēmumi</t>
  </si>
  <si>
    <t>8.1. Maksa par izglītības pakalpojumiem</t>
  </si>
  <si>
    <t>8.2. Ieņēmumi par nomu un īri</t>
  </si>
  <si>
    <t>8.3. Pārējie ieņēmumi</t>
  </si>
  <si>
    <t>8.4. CKS ieņēmumi no dzīvokļu un komunālajiem pakalpojumiem</t>
  </si>
  <si>
    <t>1. Izpilde tuvu plānotajam.</t>
  </si>
  <si>
    <t>1.1. IIN mazāks kā prognozēts, dēļ IIN atmaksām iedzīvotājiem. Valsts kompensēs iztrūkstošo daļu.</t>
  </si>
  <si>
    <t>1.2. NĪN rēķins par visu gadu gada sākumā, var nomaksāt 4 maksājumos.</t>
  </si>
  <si>
    <t>1.3. DRN plāns bija sastādīts balstoties uz 2022.gada izpildi.</t>
  </si>
  <si>
    <t>2. Izpilde tuvu plānotajam.</t>
  </si>
  <si>
    <t>3. Izpilde tuvu plānotajam. Absolūtos skaitļos summas ir nelielas un neatstāj būtisku iespaidu uz budžeta ieņēmumiem.</t>
  </si>
  <si>
    <t>4. Saņemta EUR 143'000 apdrošināšana par tilta bojājumu.</t>
  </si>
  <si>
    <t>5. NĪ daļas kompetencē. Izsludinātās izsoles noslēgušās bez rezultāta. Meža cirsmu izsoles plānotas augustā, septembrī.</t>
  </si>
  <si>
    <t>6. Izpilde tuvu plānotajam.</t>
  </si>
  <si>
    <t>6.1. Pedagogu algām 63% - ieskaitītas vasaras atvaļinājumu perioda MD. Energoresursu atbalsta dotācija 48% - šīs apkures sezonas kompensācijas beigušās. Pārējās dotācijas (sociālās) tiek skaitītas pēc faktiskās izpildes.</t>
  </si>
  <si>
    <t>6.2. Saskaņā ar projektu NP. Investīciju projektu aktīva realizācija sākās vasaras periodā. Par projektu gaitu sīkāk ziņos izpilddirektors.</t>
  </si>
  <si>
    <t>7. Maksājumi tiek veikti par ceturksni. Pastāv iespēja, ka būs lielāka izpilde.</t>
  </si>
  <si>
    <t>8. Lielāko daļu sastāda CKS Ieņēmumi no dzīvokļu un komunālajiem pakalpojumiem - mazāki rēķini energoresursu cenu krituma dēļ. Šī pozīcija atspoguļojas gan ieņēmumos, gan izdevumos.</t>
  </si>
  <si>
    <t>8.1. Iespējama lielāka izpilde</t>
  </si>
  <si>
    <t>8.2. Iespējama lielāka izpilde</t>
  </si>
  <si>
    <t>8.3. Baseina ieņēmumi 50%. Stāvvietu ieņēmumi 22% - maksas stāvvietu sezona no 1.05.-30.09. Izpildes atkaites periodā ir 2 mēn.</t>
  </si>
  <si>
    <t>8.4. CKS ieņēmumi no dzīvokļu un komunālajiem pakalpojumiem 26%.</t>
  </si>
  <si>
    <t>IZDEVUMI</t>
  </si>
  <si>
    <t>IZDEVUMI kopā</t>
  </si>
  <si>
    <t>1. Vispārējie valdības dienesti</t>
  </si>
  <si>
    <t>1.1. Pārvalde, deputāti, komisijas</t>
  </si>
  <si>
    <t>1.2. Aizņēmumu procentu maksājumi</t>
  </si>
  <si>
    <t>1.3. Iemaksas PFIF</t>
  </si>
  <si>
    <t>2. Sabiedriskā kārtība un drošība (bāze)</t>
  </si>
  <si>
    <t>3. Sabiedriskās attiecības, laikraksts</t>
  </si>
  <si>
    <t>4. Autoceļu fonds</t>
  </si>
  <si>
    <t>5. Vides aizsardzība (DRN izlietojums)</t>
  </si>
  <si>
    <t>6. Pašv. teritoriju un mājokļu apsaimniekošana</t>
  </si>
  <si>
    <t>6.1. APN, NĪN, TPN, Būvvalde</t>
  </si>
  <si>
    <t>6.2. CKS komunālie pakalpojumi</t>
  </si>
  <si>
    <t>6.3. Teritorijas uzturēšana</t>
  </si>
  <si>
    <t>6.4. Projekti</t>
  </si>
  <si>
    <t>7. Atpūta, kultūra un reliģija</t>
  </si>
  <si>
    <t>8. Sociālā aizsardzība</t>
  </si>
  <si>
    <t>9. Izglītība</t>
  </si>
  <si>
    <t>9.1. Norēķini ar pašvaldībām par izglītības iestāžu pakalp.</t>
  </si>
  <si>
    <t>9.2. Ādažu PII "Strautiņš"</t>
  </si>
  <si>
    <t>9.3. Kadagas PII "Mežavēji"</t>
  </si>
  <si>
    <t>9.4. Carnikavas PII "Riekstiņš"</t>
  </si>
  <si>
    <t>9.5. Siguļu PII "Piejūra"</t>
  </si>
  <si>
    <t>9.6. Privātās izglītības iestādes</t>
  </si>
  <si>
    <t>9.7. Carnikavas pamatskola</t>
  </si>
  <si>
    <t>9.8. Ādažu vidusskola</t>
  </si>
  <si>
    <t>9.9. Ādažu novada  Mākslu skola</t>
  </si>
  <si>
    <t>9.10. Sporta skola</t>
  </si>
  <si>
    <t xml:space="preserve">9.11. Izglītības un jauniešu lietu pārvalde </t>
  </si>
  <si>
    <t>9.12. Projekti</t>
  </si>
  <si>
    <t>10. Kredītu pamatsummas atmaksa</t>
  </si>
  <si>
    <t>1. Izpilde mazāka par plānoto par 13% -neaizpildītās vakances (par aizvietošanu līdz 30% piemaksa), elektrības un degvielas cenu kritums, dažu projektu realizācijas uzsākšana aizkavējusies objektīvu iemeslu dēļ -  vēlā Valsts budžeta un saistošo noteikumu pieņemšanas dēļ.</t>
  </si>
  <si>
    <t>1.1. Izpilde tuvu plānotajam.</t>
  </si>
  <si>
    <t>1.2. Procentu likmes turpina pieaugt, 3., 4. cet. plānojas ievērojami lielāki maksājumi.</t>
  </si>
  <si>
    <t>1.3. Atbilstoši plānam</t>
  </si>
  <si>
    <t>2. Rezerve komunālajiem maksājumiem 2.pusgadam. Apmaksa par formas tērpu iegādi jūlijā.</t>
  </si>
  <si>
    <t>3. Brīva vakance. Kalendāri tiek izgatavoti gada beigās.</t>
  </si>
  <si>
    <t>4. Realizē CKS</t>
  </si>
  <si>
    <t>5. Pašvaldības DRN maksājums. Parasti tiek novirzīts kapitālieguldījumiem nevis uzturēšanas izdevumiem.</t>
  </si>
  <si>
    <t xml:space="preserve">6. Ietaupījums uz elektrības un degielas cenu kritumu. </t>
  </si>
  <si>
    <t xml:space="preserve">6.1. Vēl nerealizētas lielākās budžeta pozīcijas: APN - EUR 550'000 jauna PII zemes pirkšanai un projektēšanai. Būvvalde - EUR 16'000 Arhitektu plenērs izglītības kvartālam Carnikavā . TPN - EUR 78'000 Ādažu novada teritorijas plānojuma transporta  plānam un ainavu plānam - šobrīd noslēdzas iepirkumu procedūras. </t>
  </si>
  <si>
    <t>6.2. Ziņo CKS.  Šī pozīcija atspoguļojas gan ieņēmumos, gan izdevumos.</t>
  </si>
  <si>
    <t>6.3. Ziņo CKS. Ietaupījums uz elektrības un degvielas cenu kritumu.</t>
  </si>
  <si>
    <t>6.4.  Atbilstoši projektu NP. Par projektu gaitu sīkāk ziņos izpilddirektors.</t>
  </si>
  <si>
    <t>7.  Ādažu kultūras centrs 52% - lielākās izmaksas maijā - Gaujas svētki. TN Ozolaine 30% - Nēģu svētki augustā, pasākumi siltajā sezonā. Dziesmu svētki 13% - apmaksa pēc pasākuma.</t>
  </si>
  <si>
    <t>8. Ekonomija uz neaizpildītajām vakancēm. Dotācijas Ukrainas pilsoņu atbalstam 86%, Dotācijas "Energoresursu atbalsts" 54% - atbilstoši valsts līdzfinansējumam pēc pašvaldības atskaitēm.</t>
  </si>
  <si>
    <t>9. Izglītības iestādēs pedagogu algas un uzturēšanas izmaksas ir 36%-50% robežās, iepriekš minēto vakanču un energoresursu cenu samazināšanās dēļ.</t>
  </si>
  <si>
    <t>9.8. Ādažu vidusskola 41% - projekts Ādažu vidusskolas ēkas B korpusa un savienojuma daļas starp korpusiem (C un B) fasādes atjaunošana EUR 433 500 - notiek iepirkums.</t>
  </si>
  <si>
    <t>9.10. Sporta skola 36% - vasarā plānotas nometnes - šobrīd noslēdzies 1. vasaras mēnesis.</t>
  </si>
  <si>
    <t>9.11. Izglītības un jauniešu lietu pārvalde 37% - lielākās plāna pozīcijas bērnu radošās nometnes vasarā.</t>
  </si>
  <si>
    <t>9.12. projekti - Carnikavas stadiona rekonstrukcija - uz 30.06. izpilde bija 15%, šobrīd darbi turpinās. Sīkāk ziņos izpilddirektors.</t>
  </si>
  <si>
    <t>10. Atbilstoši plānotajam.</t>
  </si>
  <si>
    <t>Ādažu novada pašvaldības iestāžu un CKS konsolidētie komunālie izdevumi</t>
  </si>
  <si>
    <t xml:space="preserve">(neskaitot iedzīvotājiem sniegtos komunālos pakalpojumus) </t>
  </si>
  <si>
    <t>KOMUNĀLIE MAKSĀJUMI, DEGVIELA</t>
  </si>
  <si>
    <t>Rezerve/ iztrūkums EUR</t>
  </si>
  <si>
    <t>Apkure (2221; 2321)</t>
  </si>
  <si>
    <t>Ūdens (2222)</t>
  </si>
  <si>
    <t>Elektrība (2223)</t>
  </si>
  <si>
    <t>Degviela (2322)</t>
  </si>
  <si>
    <t>VK aizņēmumu atmaksas prognoze 2023.g.</t>
  </si>
  <si>
    <t>Pamatsumma</t>
  </si>
  <si>
    <t>Procentu maksa</t>
  </si>
  <si>
    <t>Apkalpošanas maksa</t>
  </si>
  <si>
    <t>1.cet.</t>
  </si>
  <si>
    <t>Budžets</t>
  </si>
  <si>
    <t>Fakts</t>
  </si>
  <si>
    <t>2.cet.</t>
  </si>
  <si>
    <t>3.cet.</t>
  </si>
  <si>
    <t>Prognoze</t>
  </si>
  <si>
    <t>4.cet.</t>
  </si>
  <si>
    <t>Kopā</t>
  </si>
  <si>
    <t>Novirze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</si>
</sst>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_ ;\-#,##0\ "/>
    <numFmt numFmtId="167" formatCode="#,##0_ ;[Red]\-#,##0\ "/>
  </numFmts>
  <fonts count="31"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7030A0"/>
      <name val="Times New Roman"/>
      <family val="1"/>
      <charset val="186"/>
    </font>
    <font>
      <sz val="11"/>
      <color theme="8" tint="-0.249977111117893"/>
      <name val="Times New Roman"/>
      <family val="1"/>
      <charset val="186"/>
    </font>
    <font>
      <sz val="11"/>
      <color rgb="FFFF0000"/>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sz val="10"/>
      <color theme="1"/>
      <name val="Arial"/>
      <family val="2"/>
      <charset val="186"/>
    </font>
    <font>
      <b/>
      <sz val="10"/>
      <color theme="1"/>
      <name val="Arial"/>
      <family val="2"/>
      <charset val="186"/>
    </font>
    <font>
      <sz val="10"/>
      <color rgb="FFFF0000"/>
      <name val="Arial"/>
      <family val="2"/>
      <charset val="186"/>
    </font>
    <font>
      <u/>
      <sz val="10"/>
      <color theme="1"/>
      <name val="Arial"/>
      <family val="2"/>
      <charset val="186"/>
    </font>
    <font>
      <b/>
      <sz val="11"/>
      <color indexed="8"/>
      <name val="Times New Roman"/>
      <family val="1"/>
      <charset val="186"/>
    </font>
    <font>
      <sz val="11"/>
      <color theme="1"/>
      <name val="Times New Roman"/>
      <family val="1"/>
      <charset val="186"/>
    </font>
  </fonts>
  <fills count="23">
    <fill>
      <patternFill patternType="none"/>
    </fill>
    <fill>
      <patternFill patternType="gray125"/>
    </fill>
    <fill>
      <patternFill patternType="solid">
        <fgColor theme="9" tint="0.59999389629810485"/>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2"/>
        <bgColor indexed="64"/>
      </patternFill>
    </fill>
    <fill>
      <patternFill patternType="solid">
        <fgColor theme="8" tint="0.59999389629810485"/>
        <bgColor indexed="64"/>
      </patternFill>
    </fill>
    <fill>
      <patternFill patternType="solid">
        <fgColor indexed="9"/>
        <bgColor indexed="26"/>
      </patternFill>
    </fill>
    <fill>
      <patternFill patternType="solid">
        <fgColor theme="0" tint="-4.9989318521683403E-2"/>
        <bgColor indexed="26"/>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right/>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0"/>
    <xf numFmtId="9" fontId="5" fillId="0" borderId="0" applyFont="0" applyFill="0" applyBorder="0" applyAlignment="0" applyProtection="0"/>
  </cellStyleXfs>
  <cellXfs count="342">
    <xf numFmtId="0" fontId="0" fillId="0" borderId="0" xfId="0"/>
    <xf numFmtId="0" fontId="2" fillId="0" borderId="0" xfId="3" applyFont="1"/>
    <xf numFmtId="0" fontId="3" fillId="0" borderId="0" xfId="4" applyFont="1"/>
    <xf numFmtId="0" fontId="2" fillId="0" borderId="0" xfId="3" applyFont="1" applyAlignment="1">
      <alignment wrapText="1"/>
    </xf>
    <xf numFmtId="3" fontId="2" fillId="0" borderId="0" xfId="3" applyNumberFormat="1" applyFont="1"/>
    <xf numFmtId="164" fontId="2" fillId="0" borderId="0" xfId="1" applyNumberFormat="1" applyFont="1" applyAlignment="1">
      <alignment wrapText="1"/>
    </xf>
    <xf numFmtId="9" fontId="2" fillId="0" borderId="0" xfId="5" applyFont="1" applyAlignment="1">
      <alignment wrapText="1"/>
    </xf>
    <xf numFmtId="0" fontId="6" fillId="0" borderId="0" xfId="3" applyFont="1" applyAlignment="1">
      <alignment wrapText="1"/>
    </xf>
    <xf numFmtId="164" fontId="2" fillId="0" borderId="0" xfId="1" applyNumberFormat="1" applyFont="1"/>
    <xf numFmtId="1" fontId="2" fillId="0" borderId="0" xfId="5" applyNumberFormat="1" applyFont="1" applyFill="1"/>
    <xf numFmtId="3" fontId="6" fillId="0" borderId="0" xfId="3" applyNumberFormat="1" applyFont="1"/>
    <xf numFmtId="164" fontId="8" fillId="0" borderId="0" xfId="6" applyNumberFormat="1" applyFont="1"/>
    <xf numFmtId="164" fontId="8" fillId="0" borderId="0" xfId="1" applyNumberFormat="1" applyFont="1"/>
    <xf numFmtId="9" fontId="2" fillId="0" borderId="0" xfId="5" applyFont="1"/>
    <xf numFmtId="164" fontId="9" fillId="0" borderId="0" xfId="6" applyNumberFormat="1" applyFont="1"/>
    <xf numFmtId="0" fontId="10" fillId="0" borderId="0" xfId="7"/>
    <xf numFmtId="9" fontId="6" fillId="0" borderId="0" xfId="5" applyFont="1"/>
    <xf numFmtId="0" fontId="8" fillId="0" borderId="1" xfId="3" applyFont="1" applyBorder="1" applyAlignment="1">
      <alignment horizontal="center" vertical="center"/>
    </xf>
    <xf numFmtId="0" fontId="8" fillId="0" borderId="2" xfId="3" applyFont="1" applyBorder="1" applyAlignment="1">
      <alignment horizontal="center" vertical="center" wrapText="1"/>
    </xf>
    <xf numFmtId="0" fontId="8" fillId="0" borderId="3" xfId="8" applyFont="1" applyBorder="1" applyAlignment="1">
      <alignment horizontal="center" vertical="center" wrapText="1"/>
    </xf>
    <xf numFmtId="164" fontId="8" fillId="0" borderId="3" xfId="1" applyNumberFormat="1" applyFont="1" applyBorder="1" applyAlignment="1">
      <alignment horizontal="center" vertical="center" wrapText="1"/>
    </xf>
    <xf numFmtId="9" fontId="8" fillId="0" borderId="3" xfId="5" applyFont="1" applyBorder="1" applyAlignment="1">
      <alignment horizontal="center" vertical="center" wrapText="1"/>
    </xf>
    <xf numFmtId="9" fontId="9" fillId="0" borderId="3" xfId="5" applyFont="1" applyBorder="1" applyAlignment="1">
      <alignment horizontal="center" vertical="center" wrapText="1"/>
    </xf>
    <xf numFmtId="0" fontId="8" fillId="3" borderId="4" xfId="3" applyFont="1" applyFill="1" applyBorder="1"/>
    <xf numFmtId="0" fontId="8" fillId="3" borderId="5" xfId="3" applyFont="1" applyFill="1" applyBorder="1" applyAlignment="1">
      <alignment wrapText="1"/>
    </xf>
    <xf numFmtId="164" fontId="8" fillId="3" borderId="6" xfId="1" applyNumberFormat="1" applyFont="1" applyFill="1" applyBorder="1"/>
    <xf numFmtId="3" fontId="8" fillId="3" borderId="6" xfId="3" applyNumberFormat="1" applyFont="1" applyFill="1" applyBorder="1"/>
    <xf numFmtId="9" fontId="2" fillId="3" borderId="6" xfId="5" applyFont="1" applyFill="1" applyBorder="1" applyAlignment="1">
      <alignment wrapText="1"/>
    </xf>
    <xf numFmtId="164" fontId="6" fillId="3" borderId="6" xfId="1" applyNumberFormat="1" applyFont="1" applyFill="1" applyBorder="1" applyAlignment="1">
      <alignment wrapText="1"/>
    </xf>
    <xf numFmtId="0" fontId="8" fillId="4" borderId="4" xfId="3" quotePrefix="1" applyFont="1" applyFill="1" applyBorder="1"/>
    <xf numFmtId="0" fontId="8" fillId="4" borderId="5" xfId="3" applyFont="1" applyFill="1" applyBorder="1" applyAlignment="1">
      <alignment wrapText="1"/>
    </xf>
    <xf numFmtId="3" fontId="8" fillId="4" borderId="6" xfId="3" applyNumberFormat="1" applyFont="1" applyFill="1" applyBorder="1"/>
    <xf numFmtId="164" fontId="8" fillId="4" borderId="6" xfId="1" applyNumberFormat="1" applyFont="1" applyFill="1" applyBorder="1"/>
    <xf numFmtId="9" fontId="8" fillId="4" borderId="6" xfId="5" applyFont="1" applyFill="1" applyBorder="1"/>
    <xf numFmtId="3" fontId="9" fillId="4" borderId="6" xfId="3" applyNumberFormat="1" applyFont="1" applyFill="1" applyBorder="1"/>
    <xf numFmtId="0" fontId="12"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6" fillId="0" borderId="9" xfId="3" applyNumberFormat="1" applyFont="1" applyBorder="1"/>
    <xf numFmtId="0" fontId="8" fillId="4" borderId="7" xfId="3" applyFont="1" applyFill="1" applyBorder="1"/>
    <xf numFmtId="0" fontId="8" fillId="4" borderId="8" xfId="3" applyFont="1" applyFill="1" applyBorder="1" applyAlignment="1">
      <alignment wrapText="1"/>
    </xf>
    <xf numFmtId="3" fontId="8" fillId="4" borderId="9" xfId="3" applyNumberFormat="1" applyFont="1" applyFill="1" applyBorder="1"/>
    <xf numFmtId="164" fontId="8" fillId="4" borderId="9" xfId="1" applyNumberFormat="1" applyFont="1" applyFill="1" applyBorder="1"/>
    <xf numFmtId="9" fontId="8" fillId="4" borderId="9" xfId="5" applyFont="1" applyFill="1" applyBorder="1"/>
    <xf numFmtId="3" fontId="9" fillId="4" borderId="9" xfId="3" applyNumberFormat="1" applyFont="1" applyFill="1" applyBorder="1"/>
    <xf numFmtId="9" fontId="2" fillId="0" borderId="9" xfId="5" applyFont="1" applyBorder="1"/>
    <xf numFmtId="9" fontId="2" fillId="0" borderId="10" xfId="5" applyFont="1" applyFill="1" applyBorder="1"/>
    <xf numFmtId="0" fontId="1" fillId="0" borderId="0" xfId="3"/>
    <xf numFmtId="9" fontId="2" fillId="0" borderId="10" xfId="5" applyFont="1" applyFill="1" applyBorder="1" applyAlignment="1">
      <alignment wrapText="1"/>
    </xf>
    <xf numFmtId="0" fontId="13" fillId="0" borderId="7" xfId="3" applyFont="1" applyBorder="1" applyAlignment="1">
      <alignment horizontal="left" indent="2"/>
    </xf>
    <xf numFmtId="0" fontId="13" fillId="0" borderId="8" xfId="3" applyFont="1" applyBorder="1" applyAlignment="1">
      <alignment horizontal="left" wrapText="1" indent="3"/>
    </xf>
    <xf numFmtId="0" fontId="12" fillId="0" borderId="0" xfId="3" quotePrefix="1" applyFont="1"/>
    <xf numFmtId="9" fontId="2" fillId="4" borderId="9" xfId="5" applyFont="1" applyFill="1" applyBorder="1" applyAlignment="1">
      <alignment wrapText="1"/>
    </xf>
    <xf numFmtId="0" fontId="2" fillId="5" borderId="8" xfId="3" applyFont="1" applyFill="1" applyBorder="1" applyAlignment="1">
      <alignment horizontal="left" wrapText="1" indent="2"/>
    </xf>
    <xf numFmtId="9" fontId="2" fillId="0" borderId="9" xfId="5" applyFont="1" applyFill="1" applyBorder="1" applyAlignment="1">
      <alignment wrapText="1"/>
    </xf>
    <xf numFmtId="9" fontId="6" fillId="0" borderId="9" xfId="5" applyFont="1" applyFill="1" applyBorder="1" applyAlignment="1">
      <alignment wrapText="1"/>
    </xf>
    <xf numFmtId="0" fontId="8" fillId="4" borderId="7" xfId="3" quotePrefix="1" applyFont="1" applyFill="1" applyBorder="1"/>
    <xf numFmtId="0" fontId="2" fillId="3" borderId="7" xfId="3" applyFont="1" applyFill="1" applyBorder="1" applyAlignment="1">
      <alignment horizontal="left" indent="1"/>
    </xf>
    <xf numFmtId="0" fontId="2" fillId="3" borderId="8" xfId="3" applyFont="1" applyFill="1" applyBorder="1" applyAlignment="1">
      <alignment horizontal="left" wrapText="1" indent="2"/>
    </xf>
    <xf numFmtId="3" fontId="2" fillId="3" borderId="9" xfId="3" applyNumberFormat="1" applyFont="1" applyFill="1" applyBorder="1"/>
    <xf numFmtId="3" fontId="2" fillId="6" borderId="9" xfId="3" applyNumberFormat="1" applyFont="1" applyFill="1" applyBorder="1"/>
    <xf numFmtId="164" fontId="2" fillId="6" borderId="9" xfId="1" applyNumberFormat="1" applyFont="1" applyFill="1" applyBorder="1"/>
    <xf numFmtId="3" fontId="2" fillId="6" borderId="9" xfId="3" applyNumberFormat="1" applyFont="1" applyFill="1" applyBorder="1" applyAlignment="1">
      <alignment wrapText="1"/>
    </xf>
    <xf numFmtId="3" fontId="6" fillId="6" borderId="9" xfId="3" applyNumberFormat="1" applyFont="1" applyFill="1" applyBorder="1"/>
    <xf numFmtId="3" fontId="13" fillId="7" borderId="9" xfId="3" applyNumberFormat="1" applyFont="1" applyFill="1" applyBorder="1"/>
    <xf numFmtId="164" fontId="13" fillId="7" borderId="9" xfId="1" applyNumberFormat="1" applyFont="1" applyFill="1" applyBorder="1"/>
    <xf numFmtId="9" fontId="13" fillId="7" borderId="9" xfId="5" applyFont="1" applyFill="1" applyBorder="1" applyAlignment="1">
      <alignment wrapText="1"/>
    </xf>
    <xf numFmtId="3" fontId="14" fillId="7" borderId="9" xfId="3" applyNumberFormat="1" applyFont="1" applyFill="1" applyBorder="1"/>
    <xf numFmtId="0" fontId="13" fillId="0" borderId="0" xfId="3" applyFont="1"/>
    <xf numFmtId="3" fontId="13" fillId="8" borderId="9" xfId="3" applyNumberFormat="1" applyFont="1" applyFill="1" applyBorder="1"/>
    <xf numFmtId="9" fontId="13" fillId="8" borderId="9" xfId="5" applyFont="1" applyFill="1" applyBorder="1"/>
    <xf numFmtId="3" fontId="6" fillId="9" borderId="9" xfId="3" applyNumberFormat="1" applyFont="1" applyFill="1" applyBorder="1"/>
    <xf numFmtId="0" fontId="2" fillId="0" borderId="0" xfId="3" quotePrefix="1" applyFont="1"/>
    <xf numFmtId="0" fontId="2" fillId="10" borderId="8" xfId="3" applyFont="1" applyFill="1" applyBorder="1" applyAlignment="1">
      <alignment horizontal="left" wrapText="1" indent="2"/>
    </xf>
    <xf numFmtId="3" fontId="6" fillId="0" borderId="9" xfId="3" applyNumberFormat="1" applyFont="1" applyBorder="1" applyAlignment="1">
      <alignment wrapText="1"/>
    </xf>
    <xf numFmtId="164" fontId="2" fillId="3" borderId="9" xfId="1" applyNumberFormat="1" applyFont="1" applyFill="1" applyBorder="1"/>
    <xf numFmtId="9" fontId="2" fillId="3" borderId="9" xfId="5" applyFont="1" applyFill="1" applyBorder="1" applyAlignment="1">
      <alignment wrapText="1"/>
    </xf>
    <xf numFmtId="0" fontId="2" fillId="0" borderId="8" xfId="3" applyFont="1" applyBorder="1" applyAlignment="1">
      <alignment horizontal="left" wrapText="1" indent="3"/>
    </xf>
    <xf numFmtId="9" fontId="2" fillId="12" borderId="9" xfId="5" applyFont="1" applyFill="1" applyBorder="1" applyAlignment="1">
      <alignment wrapText="1"/>
    </xf>
    <xf numFmtId="0" fontId="16" fillId="0" borderId="0" xfId="3" applyFont="1"/>
    <xf numFmtId="9" fontId="2" fillId="0" borderId="13" xfId="5" applyFont="1" applyFill="1" applyBorder="1"/>
    <xf numFmtId="0" fontId="2" fillId="0" borderId="0" xfId="3" quotePrefix="1" applyFont="1" applyAlignment="1">
      <alignment wrapText="1"/>
    </xf>
    <xf numFmtId="0" fontId="2" fillId="10" borderId="8" xfId="3" applyFont="1" applyFill="1" applyBorder="1" applyAlignment="1">
      <alignment horizontal="left" wrapText="1" indent="3"/>
    </xf>
    <xf numFmtId="0" fontId="1" fillId="11" borderId="0" xfId="3" applyFill="1"/>
    <xf numFmtId="0" fontId="2" fillId="0" borderId="5" xfId="3" applyFont="1" applyBorder="1" applyAlignment="1">
      <alignment horizontal="left" wrapText="1" indent="3"/>
    </xf>
    <xf numFmtId="0" fontId="2" fillId="0" borderId="5" xfId="3" applyFont="1" applyBorder="1" applyAlignment="1">
      <alignment horizontal="left" wrapText="1" indent="2"/>
    </xf>
    <xf numFmtId="3" fontId="6" fillId="4" borderId="9" xfId="3" applyNumberFormat="1" applyFont="1" applyFill="1" applyBorder="1" applyAlignment="1">
      <alignment wrapText="1"/>
    </xf>
    <xf numFmtId="0" fontId="2" fillId="5" borderId="7" xfId="3" applyFont="1" applyFill="1" applyBorder="1" applyAlignment="1">
      <alignment horizontal="left" indent="2"/>
    </xf>
    <xf numFmtId="0" fontId="2" fillId="5" borderId="8" xfId="3" applyFont="1" applyFill="1" applyBorder="1" applyAlignment="1">
      <alignment horizontal="left" wrapText="1" indent="3"/>
    </xf>
    <xf numFmtId="1" fontId="2" fillId="0" borderId="9" xfId="5" applyNumberFormat="1" applyFont="1" applyFill="1" applyBorder="1"/>
    <xf numFmtId="3" fontId="2" fillId="13" borderId="9" xfId="3" applyNumberFormat="1" applyFont="1" applyFill="1" applyBorder="1"/>
    <xf numFmtId="0" fontId="8" fillId="0" borderId="14" xfId="3" applyFont="1" applyBorder="1"/>
    <xf numFmtId="0" fontId="8" fillId="0" borderId="15" xfId="3" applyFont="1" applyBorder="1" applyAlignment="1">
      <alignment horizontal="right" wrapText="1"/>
    </xf>
    <xf numFmtId="3" fontId="8" fillId="0" borderId="3" xfId="3" applyNumberFormat="1" applyFont="1" applyBorder="1"/>
    <xf numFmtId="164" fontId="8" fillId="0" borderId="3" xfId="1" applyNumberFormat="1" applyFont="1" applyBorder="1"/>
    <xf numFmtId="9" fontId="8" fillId="0" borderId="3" xfId="5" applyFont="1" applyBorder="1"/>
    <xf numFmtId="3" fontId="6" fillId="0" borderId="3" xfId="3" applyNumberFormat="1" applyFont="1" applyBorder="1" applyAlignment="1">
      <alignment wrapText="1"/>
    </xf>
    <xf numFmtId="0" fontId="8" fillId="0" borderId="16" xfId="3" quotePrefix="1" applyFont="1" applyBorder="1"/>
    <xf numFmtId="0" fontId="8" fillId="0" borderId="17" xfId="3" applyFont="1" applyBorder="1" applyAlignment="1">
      <alignment wrapText="1"/>
    </xf>
    <xf numFmtId="3" fontId="8" fillId="0" borderId="18" xfId="3" applyNumberFormat="1" applyFont="1" applyBorder="1"/>
    <xf numFmtId="164" fontId="8" fillId="0" borderId="18" xfId="1" applyNumberFormat="1" applyFont="1" applyBorder="1"/>
    <xf numFmtId="9" fontId="8" fillId="0" borderId="18" xfId="5" applyFont="1" applyFill="1" applyBorder="1"/>
    <xf numFmtId="3" fontId="9" fillId="0" borderId="18" xfId="3" applyNumberFormat="1" applyFont="1" applyBorder="1"/>
    <xf numFmtId="0" fontId="8" fillId="4" borderId="19" xfId="3" applyFont="1" applyFill="1" applyBorder="1" applyAlignment="1">
      <alignment wrapText="1"/>
    </xf>
    <xf numFmtId="3" fontId="8" fillId="4" borderId="13" xfId="3" applyNumberFormat="1" applyFont="1" applyFill="1" applyBorder="1"/>
    <xf numFmtId="164" fontId="8" fillId="4" borderId="13" xfId="1" applyNumberFormat="1" applyFont="1" applyFill="1" applyBorder="1"/>
    <xf numFmtId="49" fontId="2" fillId="0" borderId="19" xfId="3" applyNumberFormat="1" applyFont="1" applyBorder="1" applyAlignment="1">
      <alignment horizontal="left" wrapText="1" indent="4"/>
    </xf>
    <xf numFmtId="3" fontId="2" fillId="0" borderId="13" xfId="3" applyNumberFormat="1" applyFont="1" applyBorder="1"/>
    <xf numFmtId="3" fontId="2" fillId="0" borderId="19" xfId="3" applyNumberFormat="1" applyFont="1" applyBorder="1"/>
    <xf numFmtId="3" fontId="6" fillId="0" borderId="13" xfId="3" applyNumberFormat="1" applyFont="1" applyBorder="1" applyAlignment="1">
      <alignment wrapText="1"/>
    </xf>
    <xf numFmtId="3" fontId="6" fillId="0" borderId="13" xfId="3" applyNumberFormat="1" applyFont="1" applyBorder="1"/>
    <xf numFmtId="164" fontId="2" fillId="0" borderId="13" xfId="1" applyNumberFormat="1" applyFont="1" applyBorder="1"/>
    <xf numFmtId="3" fontId="2" fillId="0" borderId="20" xfId="3" applyNumberFormat="1" applyFont="1" applyBorder="1"/>
    <xf numFmtId="9" fontId="2" fillId="0" borderId="21" xfId="5" applyFont="1" applyFill="1" applyBorder="1"/>
    <xf numFmtId="49" fontId="2" fillId="0" borderId="22" xfId="3" applyNumberFormat="1" applyFont="1" applyBorder="1" applyAlignment="1">
      <alignment horizontal="left" wrapText="1" indent="4"/>
    </xf>
    <xf numFmtId="164" fontId="2" fillId="0" borderId="23" xfId="1" applyNumberFormat="1" applyFont="1" applyBorder="1"/>
    <xf numFmtId="49" fontId="2" fillId="0" borderId="8" xfId="3" applyNumberFormat="1" applyFont="1" applyBorder="1" applyAlignment="1">
      <alignment horizontal="left" wrapText="1" indent="4"/>
    </xf>
    <xf numFmtId="164" fontId="2" fillId="0" borderId="8" xfId="1" applyNumberFormat="1" applyFont="1" applyBorder="1"/>
    <xf numFmtId="9" fontId="2" fillId="0" borderId="8" xfId="5" applyFont="1" applyFill="1" applyBorder="1"/>
    <xf numFmtId="0" fontId="2" fillId="5" borderId="24" xfId="3" applyFont="1" applyFill="1" applyBorder="1" applyAlignment="1">
      <alignment horizontal="left" indent="2"/>
    </xf>
    <xf numFmtId="9" fontId="2" fillId="0" borderId="8" xfId="5" applyFont="1" applyFill="1" applyBorder="1" applyAlignment="1">
      <alignment wrapText="1"/>
    </xf>
    <xf numFmtId="49" fontId="2" fillId="0" borderId="25" xfId="3" applyNumberFormat="1" applyFont="1" applyBorder="1" applyAlignment="1">
      <alignment horizontal="left" wrapText="1" indent="4"/>
    </xf>
    <xf numFmtId="0" fontId="2" fillId="5" borderId="16" xfId="3" applyFont="1" applyFill="1" applyBorder="1" applyAlignment="1">
      <alignment horizontal="left" indent="2"/>
    </xf>
    <xf numFmtId="49" fontId="2" fillId="0" borderId="17" xfId="3" applyNumberFormat="1" applyFont="1" applyBorder="1" applyAlignment="1">
      <alignment horizontal="left" wrapText="1" indent="4"/>
    </xf>
    <xf numFmtId="164" fontId="2" fillId="0" borderId="17" xfId="1" applyNumberFormat="1" applyFont="1" applyBorder="1"/>
    <xf numFmtId="9" fontId="2" fillId="0" borderId="17" xfId="5" applyFont="1" applyFill="1" applyBorder="1"/>
    <xf numFmtId="0" fontId="8" fillId="0" borderId="26" xfId="3" applyFont="1" applyBorder="1"/>
    <xf numFmtId="0" fontId="8" fillId="0" borderId="27" xfId="3" applyFont="1" applyBorder="1" applyAlignment="1">
      <alignment horizontal="right" wrapText="1"/>
    </xf>
    <xf numFmtId="9" fontId="8" fillId="0" borderId="18" xfId="5" applyFont="1" applyBorder="1"/>
    <xf numFmtId="0" fontId="8" fillId="0" borderId="0" xfId="3" applyFont="1"/>
    <xf numFmtId="0" fontId="6" fillId="0" borderId="0" xfId="3" applyFont="1"/>
    <xf numFmtId="10" fontId="2" fillId="0" borderId="0" xfId="9" applyNumberFormat="1" applyFont="1"/>
    <xf numFmtId="10" fontId="6" fillId="0" borderId="0" xfId="9" applyNumberFormat="1" applyFont="1"/>
    <xf numFmtId="49" fontId="8" fillId="4" borderId="28" xfId="3" applyNumberFormat="1" applyFont="1" applyFill="1" applyBorder="1" applyAlignment="1">
      <alignment horizontal="left" indent="2"/>
    </xf>
    <xf numFmtId="49" fontId="8" fillId="4" borderId="29" xfId="3" applyNumberFormat="1" applyFont="1" applyFill="1" applyBorder="1" applyAlignment="1">
      <alignment wrapText="1"/>
    </xf>
    <xf numFmtId="3" fontId="8" fillId="4" borderId="30" xfId="3" applyNumberFormat="1" applyFont="1" applyFill="1" applyBorder="1"/>
    <xf numFmtId="164" fontId="8" fillId="4" borderId="30" xfId="1" applyNumberFormat="1" applyFont="1" applyFill="1" applyBorder="1"/>
    <xf numFmtId="9" fontId="8" fillId="4" borderId="30" xfId="5" applyFont="1" applyFill="1" applyBorder="1"/>
    <xf numFmtId="3" fontId="9" fillId="4" borderId="30" xfId="3" applyNumberFormat="1" applyFont="1" applyFill="1" applyBorder="1"/>
    <xf numFmtId="49" fontId="2" fillId="3" borderId="7" xfId="3" applyNumberFormat="1" applyFont="1" applyFill="1" applyBorder="1" applyAlignment="1">
      <alignment horizontal="left" indent="1"/>
    </xf>
    <xf numFmtId="49" fontId="2" fillId="3" borderId="8" xfId="3" applyNumberFormat="1" applyFont="1" applyFill="1" applyBorder="1" applyAlignment="1">
      <alignment horizontal="left" wrapText="1" indent="2"/>
    </xf>
    <xf numFmtId="3" fontId="6" fillId="3" borderId="9" xfId="3" applyNumberFormat="1" applyFont="1" applyFill="1" applyBorder="1"/>
    <xf numFmtId="9" fontId="6" fillId="3" borderId="9" xfId="5" applyFont="1" applyFill="1" applyBorder="1" applyAlignment="1">
      <alignment wrapText="1"/>
    </xf>
    <xf numFmtId="9" fontId="2" fillId="3" borderId="9" xfId="5" applyFont="1" applyFill="1" applyBorder="1"/>
    <xf numFmtId="49" fontId="8" fillId="4" borderId="7" xfId="3" applyNumberFormat="1" applyFont="1" applyFill="1" applyBorder="1"/>
    <xf numFmtId="49" fontId="8" fillId="4" borderId="8" xfId="3" applyNumberFormat="1" applyFont="1" applyFill="1" applyBorder="1" applyAlignment="1">
      <alignment wrapText="1"/>
    </xf>
    <xf numFmtId="3" fontId="6" fillId="3" borderId="9" xfId="3" applyNumberFormat="1" applyFont="1" applyFill="1" applyBorder="1" applyAlignment="1">
      <alignment wrapText="1"/>
    </xf>
    <xf numFmtId="9" fontId="6" fillId="4" borderId="9" xfId="5" applyFont="1" applyFill="1" applyBorder="1" applyAlignment="1">
      <alignment wrapText="1"/>
    </xf>
    <xf numFmtId="0" fontId="17"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49" fontId="8" fillId="3" borderId="8" xfId="3" applyNumberFormat="1" applyFont="1" applyFill="1" applyBorder="1" applyAlignment="1">
      <alignment horizontal="left" wrapText="1" indent="2"/>
    </xf>
    <xf numFmtId="3" fontId="8" fillId="3" borderId="9" xfId="3" applyNumberFormat="1" applyFont="1" applyFill="1" applyBorder="1"/>
    <xf numFmtId="164" fontId="8" fillId="3" borderId="9" xfId="1" applyNumberFormat="1" applyFont="1" applyFill="1" applyBorder="1"/>
    <xf numFmtId="3" fontId="9" fillId="3" borderId="9" xfId="3" applyNumberFormat="1" applyFont="1" applyFill="1" applyBorder="1"/>
    <xf numFmtId="9" fontId="6" fillId="3" borderId="9" xfId="5" quotePrefix="1" applyFont="1" applyFill="1" applyBorder="1" applyAlignment="1">
      <alignment wrapText="1"/>
    </xf>
    <xf numFmtId="9" fontId="2" fillId="3" borderId="9" xfId="5" quotePrefix="1" applyFont="1" applyFill="1" applyBorder="1" applyAlignment="1">
      <alignment wrapText="1"/>
    </xf>
    <xf numFmtId="9" fontId="2" fillId="0" borderId="9" xfId="5" applyFont="1" applyBorder="1" applyAlignment="1">
      <alignment wrapText="1"/>
    </xf>
    <xf numFmtId="9" fontId="6" fillId="0" borderId="9" xfId="5" applyFont="1" applyBorder="1" applyAlignment="1">
      <alignment wrapText="1"/>
    </xf>
    <xf numFmtId="49" fontId="6" fillId="0" borderId="8" xfId="3" applyNumberFormat="1" applyFont="1" applyBorder="1" applyAlignment="1">
      <alignment horizontal="left" wrapText="1" indent="4"/>
    </xf>
    <xf numFmtId="49" fontId="2" fillId="14" borderId="7" xfId="3" applyNumberFormat="1" applyFont="1" applyFill="1" applyBorder="1" applyAlignment="1">
      <alignment horizontal="left" indent="2"/>
    </xf>
    <xf numFmtId="0" fontId="6" fillId="0" borderId="8" xfId="3" applyFont="1" applyBorder="1" applyAlignment="1">
      <alignment horizontal="left" wrapText="1" indent="3"/>
    </xf>
    <xf numFmtId="0" fontId="6" fillId="12" borderId="8" xfId="3" applyFont="1" applyFill="1" applyBorder="1" applyAlignment="1">
      <alignment horizontal="left" wrapText="1" indent="3"/>
    </xf>
    <xf numFmtId="9" fontId="2" fillId="0" borderId="12" xfId="5" applyFont="1" applyBorder="1" applyAlignment="1">
      <alignment wrapText="1"/>
    </xf>
    <xf numFmtId="9" fontId="8" fillId="3" borderId="9" xfId="5" applyFont="1" applyFill="1" applyBorder="1"/>
    <xf numFmtId="49" fontId="16" fillId="0" borderId="7" xfId="3" applyNumberFormat="1" applyFont="1" applyBorder="1" applyAlignment="1">
      <alignment horizontal="left" indent="2"/>
    </xf>
    <xf numFmtId="0" fontId="16" fillId="12" borderId="8" xfId="3" applyFont="1" applyFill="1" applyBorder="1" applyAlignment="1">
      <alignment horizontal="left" wrapText="1" indent="3"/>
    </xf>
    <xf numFmtId="9" fontId="2" fillId="0" borderId="10" xfId="5" applyFont="1" applyBorder="1" applyAlignment="1">
      <alignment wrapText="1"/>
    </xf>
    <xf numFmtId="0" fontId="2" fillId="12" borderId="8" xfId="3" applyFont="1" applyFill="1" applyBorder="1" applyAlignment="1">
      <alignment horizontal="left" wrapText="1" indent="3"/>
    </xf>
    <xf numFmtId="164" fontId="2" fillId="13" borderId="9" xfId="1" applyNumberFormat="1" applyFont="1" applyFill="1" applyBorder="1"/>
    <xf numFmtId="3" fontId="6" fillId="13" borderId="9" xfId="3" applyNumberFormat="1" applyFont="1" applyFill="1" applyBorder="1"/>
    <xf numFmtId="49" fontId="18" fillId="0" borderId="7" xfId="3" applyNumberFormat="1" applyFont="1" applyBorder="1" applyAlignment="1">
      <alignment horizontal="left" indent="3"/>
    </xf>
    <xf numFmtId="0" fontId="18" fillId="12" borderId="8" xfId="3" applyFont="1" applyFill="1" applyBorder="1" applyAlignment="1">
      <alignment horizontal="left" wrapText="1" indent="6"/>
    </xf>
    <xf numFmtId="3" fontId="2" fillId="12" borderId="9" xfId="3" applyNumberFormat="1" applyFont="1" applyFill="1" applyBorder="1"/>
    <xf numFmtId="9" fontId="6" fillId="0" borderId="9" xfId="5" quotePrefix="1" applyFont="1" applyBorder="1" applyAlignment="1">
      <alignment wrapText="1"/>
    </xf>
    <xf numFmtId="9" fontId="2" fillId="0" borderId="9" xfId="5" quotePrefix="1" applyFont="1" applyBorder="1" applyAlignment="1">
      <alignment wrapText="1"/>
    </xf>
    <xf numFmtId="49" fontId="2" fillId="14" borderId="7" xfId="3" applyNumberFormat="1" applyFont="1" applyFill="1" applyBorder="1" applyAlignment="1">
      <alignment horizontal="left" indent="1"/>
    </xf>
    <xf numFmtId="9" fontId="18" fillId="3" borderId="9" xfId="5" applyFont="1" applyFill="1" applyBorder="1" applyAlignment="1">
      <alignment wrapText="1"/>
    </xf>
    <xf numFmtId="9" fontId="19" fillId="3" borderId="9" xfId="5" applyFont="1" applyFill="1" applyBorder="1" applyAlignment="1">
      <alignment wrapText="1"/>
    </xf>
    <xf numFmtId="0" fontId="12" fillId="12" borderId="0" xfId="3" applyFont="1" applyFill="1"/>
    <xf numFmtId="0" fontId="12" fillId="12" borderId="8" xfId="3" applyFont="1" applyFill="1" applyBorder="1" applyAlignment="1">
      <alignment horizontal="left" indent="2"/>
    </xf>
    <xf numFmtId="0" fontId="2" fillId="12" borderId="31" xfId="3" applyFont="1" applyFill="1" applyBorder="1" applyAlignment="1">
      <alignment horizontal="left" indent="3"/>
    </xf>
    <xf numFmtId="164" fontId="2" fillId="12" borderId="9" xfId="1" applyNumberFormat="1" applyFont="1" applyFill="1" applyBorder="1"/>
    <xf numFmtId="9" fontId="2" fillId="12" borderId="9" xfId="5" applyFont="1" applyFill="1" applyBorder="1"/>
    <xf numFmtId="3" fontId="6" fillId="12" borderId="9" xfId="3" applyNumberFormat="1" applyFont="1" applyFill="1" applyBorder="1"/>
    <xf numFmtId="3" fontId="2" fillId="16" borderId="9" xfId="3" applyNumberFormat="1" applyFont="1" applyFill="1" applyBorder="1"/>
    <xf numFmtId="164" fontId="2" fillId="16" borderId="9" xfId="1" applyNumberFormat="1" applyFont="1" applyFill="1" applyBorder="1"/>
    <xf numFmtId="3" fontId="6" fillId="16" borderId="9" xfId="3" applyNumberFormat="1" applyFont="1" applyFill="1" applyBorder="1"/>
    <xf numFmtId="0" fontId="12" fillId="0" borderId="8" xfId="3" applyFont="1" applyBorder="1" applyAlignment="1">
      <alignment horizontal="left" indent="2"/>
    </xf>
    <xf numFmtId="0" fontId="2" fillId="0" borderId="31" xfId="3" applyFont="1" applyBorder="1" applyAlignment="1">
      <alignment horizontal="left" indent="3"/>
    </xf>
    <xf numFmtId="0" fontId="12" fillId="14" borderId="8" xfId="3" applyFont="1" applyFill="1" applyBorder="1" applyAlignment="1">
      <alignment horizontal="left" indent="2"/>
    </xf>
    <xf numFmtId="0" fontId="2" fillId="0" borderId="0" xfId="3" applyFont="1" applyAlignment="1">
      <alignment horizontal="right"/>
    </xf>
    <xf numFmtId="3" fontId="2" fillId="5" borderId="9" xfId="3" applyNumberFormat="1" applyFont="1" applyFill="1" applyBorder="1"/>
    <xf numFmtId="164" fontId="2" fillId="5" borderId="9" xfId="1" applyNumberFormat="1" applyFont="1" applyFill="1" applyBorder="1"/>
    <xf numFmtId="3" fontId="6" fillId="5" borderId="9" xfId="3" applyNumberFormat="1" applyFont="1" applyFill="1" applyBorder="1"/>
    <xf numFmtId="9" fontId="2" fillId="5" borderId="9" xfId="5" applyFont="1" applyFill="1" applyBorder="1" applyAlignment="1">
      <alignment wrapText="1"/>
    </xf>
    <xf numFmtId="49" fontId="8" fillId="3" borderId="7" xfId="3" applyNumberFormat="1" applyFont="1" applyFill="1" applyBorder="1" applyAlignment="1">
      <alignment horizontal="left" indent="1"/>
    </xf>
    <xf numFmtId="0" fontId="2" fillId="5" borderId="0" xfId="3" quotePrefix="1" applyFont="1" applyFill="1"/>
    <xf numFmtId="0" fontId="2" fillId="5" borderId="0" xfId="3" applyFont="1" applyFill="1"/>
    <xf numFmtId="49" fontId="2" fillId="5" borderId="7" xfId="3" applyNumberFormat="1" applyFont="1" applyFill="1" applyBorder="1" applyAlignment="1">
      <alignment horizontal="left" indent="2"/>
    </xf>
    <xf numFmtId="49" fontId="2" fillId="5" borderId="8" xfId="3" applyNumberFormat="1" applyFont="1" applyFill="1" applyBorder="1" applyAlignment="1">
      <alignment horizontal="left" wrapText="1" indent="4"/>
    </xf>
    <xf numFmtId="0" fontId="20" fillId="0" borderId="0" xfId="3" applyFont="1"/>
    <xf numFmtId="0" fontId="20" fillId="0" borderId="0" xfId="3" quotePrefix="1" applyFont="1"/>
    <xf numFmtId="49" fontId="8" fillId="0" borderId="7" xfId="3" applyNumberFormat="1" applyFont="1" applyBorder="1" applyAlignment="1">
      <alignment horizontal="left" indent="2"/>
    </xf>
    <xf numFmtId="49" fontId="8" fillId="0" borderId="8" xfId="3" applyNumberFormat="1" applyFont="1" applyBorder="1" applyAlignment="1">
      <alignment horizontal="left" wrapText="1" indent="4"/>
    </xf>
    <xf numFmtId="3" fontId="8" fillId="0" borderId="9" xfId="3" applyNumberFormat="1" applyFont="1" applyBorder="1"/>
    <xf numFmtId="164" fontId="8" fillId="0" borderId="9" xfId="1" applyNumberFormat="1" applyFont="1" applyBorder="1"/>
    <xf numFmtId="3" fontId="9" fillId="0" borderId="9" xfId="3" applyNumberFormat="1" applyFont="1" applyBorder="1"/>
    <xf numFmtId="0" fontId="21" fillId="0" borderId="0" xfId="3" applyFont="1"/>
    <xf numFmtId="49" fontId="2" fillId="0" borderId="7" xfId="3" applyNumberFormat="1" applyFont="1" applyBorder="1" applyAlignment="1">
      <alignment horizontal="left" indent="3"/>
    </xf>
    <xf numFmtId="9" fontId="13" fillId="0" borderId="9" xfId="5" applyFont="1" applyFill="1" applyBorder="1" applyAlignment="1">
      <alignment wrapText="1"/>
    </xf>
    <xf numFmtId="49" fontId="22" fillId="3" borderId="7" xfId="3" applyNumberFormat="1" applyFont="1" applyFill="1" applyBorder="1" applyAlignment="1">
      <alignment horizontal="left" indent="1"/>
    </xf>
    <xf numFmtId="49" fontId="8" fillId="0" borderId="14" xfId="3" applyNumberFormat="1" applyFont="1" applyBorder="1"/>
    <xf numFmtId="49" fontId="8" fillId="0" borderId="15" xfId="3" applyNumberFormat="1" applyFont="1" applyBorder="1" applyAlignment="1">
      <alignment horizontal="right" wrapText="1"/>
    </xf>
    <xf numFmtId="3" fontId="8" fillId="0" borderId="32" xfId="3" applyNumberFormat="1" applyFont="1" applyBorder="1"/>
    <xf numFmtId="164" fontId="8" fillId="0" borderId="32" xfId="1" applyNumberFormat="1" applyFont="1" applyBorder="1"/>
    <xf numFmtId="9" fontId="8" fillId="0" borderId="32" xfId="5" applyFont="1" applyBorder="1"/>
    <xf numFmtId="3" fontId="9" fillId="0" borderId="32" xfId="3" applyNumberFormat="1" applyFont="1" applyBorder="1"/>
    <xf numFmtId="3" fontId="8" fillId="0" borderId="33" xfId="3" applyNumberFormat="1" applyFont="1" applyBorder="1"/>
    <xf numFmtId="164" fontId="8" fillId="0" borderId="33" xfId="1" applyNumberFormat="1" applyFont="1" applyBorder="1"/>
    <xf numFmtId="9" fontId="2" fillId="0" borderId="33" xfId="5" applyFont="1" applyBorder="1"/>
    <xf numFmtId="3" fontId="9" fillId="0" borderId="33" xfId="3" applyNumberFormat="1" applyFont="1" applyBorder="1"/>
    <xf numFmtId="49" fontId="8" fillId="4" borderId="34" xfId="3" applyNumberFormat="1" applyFont="1" applyFill="1" applyBorder="1" applyAlignment="1">
      <alignment horizontal="center"/>
    </xf>
    <xf numFmtId="49" fontId="8" fillId="4" borderId="35" xfId="3" applyNumberFormat="1" applyFont="1" applyFill="1" applyBorder="1" applyAlignment="1">
      <alignment wrapText="1"/>
    </xf>
    <xf numFmtId="3" fontId="8" fillId="4" borderId="36" xfId="3" applyNumberFormat="1" applyFont="1" applyFill="1" applyBorder="1"/>
    <xf numFmtId="164" fontId="8" fillId="4" borderId="36" xfId="1" applyNumberFormat="1" applyFont="1" applyFill="1" applyBorder="1"/>
    <xf numFmtId="9" fontId="8" fillId="4" borderId="36" xfId="5" applyFont="1" applyFill="1" applyBorder="1"/>
    <xf numFmtId="3" fontId="9" fillId="4" borderId="36" xfId="3" applyNumberFormat="1" applyFont="1" applyFill="1" applyBorder="1"/>
    <xf numFmtId="164" fontId="6" fillId="0" borderId="0" xfId="1" applyNumberFormat="1" applyFont="1"/>
    <xf numFmtId="9" fontId="6" fillId="0" borderId="0" xfId="2" applyFont="1" applyAlignment="1">
      <alignment wrapText="1"/>
    </xf>
    <xf numFmtId="9" fontId="6" fillId="0" borderId="0" xfId="2" applyFont="1" applyFill="1"/>
    <xf numFmtId="9" fontId="9" fillId="0" borderId="0" xfId="2" applyFont="1"/>
    <xf numFmtId="164" fontId="9" fillId="0" borderId="0" xfId="1" applyNumberFormat="1" applyFont="1"/>
    <xf numFmtId="0" fontId="9" fillId="0" borderId="3" xfId="8" applyFont="1" applyBorder="1" applyAlignment="1">
      <alignment horizontal="center" vertical="center" wrapText="1"/>
    </xf>
    <xf numFmtId="9" fontId="9" fillId="0" borderId="3" xfId="2" applyFont="1" applyBorder="1" applyAlignment="1">
      <alignment horizontal="center" vertical="center" wrapText="1"/>
    </xf>
    <xf numFmtId="164" fontId="9" fillId="3" borderId="6" xfId="1" applyNumberFormat="1" applyFont="1" applyFill="1" applyBorder="1"/>
    <xf numFmtId="9" fontId="9" fillId="3" borderId="6" xfId="2" applyFont="1" applyFill="1" applyBorder="1"/>
    <xf numFmtId="9" fontId="9" fillId="4" borderId="6" xfId="2" applyFont="1" applyFill="1" applyBorder="1"/>
    <xf numFmtId="9" fontId="6" fillId="0" borderId="9" xfId="2" applyFont="1" applyFill="1" applyBorder="1"/>
    <xf numFmtId="9" fontId="9" fillId="4" borderId="9" xfId="2" applyFont="1" applyFill="1" applyBorder="1"/>
    <xf numFmtId="3" fontId="6" fillId="4" borderId="9" xfId="3" applyNumberFormat="1" applyFont="1" applyFill="1" applyBorder="1"/>
    <xf numFmtId="9" fontId="6" fillId="0" borderId="9" xfId="2" applyFont="1" applyBorder="1"/>
    <xf numFmtId="9" fontId="6" fillId="6" borderId="9" xfId="2" applyFont="1" applyFill="1" applyBorder="1"/>
    <xf numFmtId="9" fontId="14" fillId="7" borderId="9" xfId="2" applyFont="1" applyFill="1" applyBorder="1"/>
    <xf numFmtId="9" fontId="6" fillId="9" borderId="9" xfId="2" applyFont="1" applyFill="1" applyBorder="1"/>
    <xf numFmtId="9" fontId="6" fillId="3" borderId="9" xfId="2" applyFont="1" applyFill="1" applyBorder="1"/>
    <xf numFmtId="3" fontId="9" fillId="0" borderId="3" xfId="3" applyNumberFormat="1" applyFont="1" applyBorder="1"/>
    <xf numFmtId="9" fontId="9" fillId="0" borderId="3" xfId="2" applyFont="1" applyBorder="1"/>
    <xf numFmtId="9" fontId="9" fillId="0" borderId="18" xfId="2" applyFont="1" applyFill="1" applyBorder="1"/>
    <xf numFmtId="3" fontId="9" fillId="4" borderId="13" xfId="3" applyNumberFormat="1" applyFont="1" applyFill="1" applyBorder="1"/>
    <xf numFmtId="9" fontId="9" fillId="4" borderId="13" xfId="2" applyFont="1" applyFill="1" applyBorder="1"/>
    <xf numFmtId="9" fontId="6" fillId="0" borderId="13" xfId="2" applyFont="1" applyFill="1" applyBorder="1"/>
    <xf numFmtId="9" fontId="9" fillId="0" borderId="18" xfId="2" applyFont="1" applyBorder="1"/>
    <xf numFmtId="9" fontId="6" fillId="0" borderId="0" xfId="2" applyFont="1"/>
    <xf numFmtId="9" fontId="9" fillId="4" borderId="30" xfId="2" applyFont="1" applyFill="1" applyBorder="1"/>
    <xf numFmtId="9" fontId="9" fillId="3" borderId="9" xfId="2" applyFont="1" applyFill="1" applyBorder="1"/>
    <xf numFmtId="3" fontId="6" fillId="15" borderId="9" xfId="3" applyNumberFormat="1" applyFont="1" applyFill="1" applyBorder="1"/>
    <xf numFmtId="9" fontId="6" fillId="13" borderId="9" xfId="2" applyFont="1" applyFill="1" applyBorder="1"/>
    <xf numFmtId="3" fontId="6" fillId="2" borderId="9" xfId="3" applyNumberFormat="1" applyFont="1" applyFill="1" applyBorder="1"/>
    <xf numFmtId="3" fontId="6" fillId="10" borderId="9" xfId="3" applyNumberFormat="1" applyFont="1" applyFill="1" applyBorder="1"/>
    <xf numFmtId="9" fontId="6" fillId="12" borderId="9" xfId="2" applyFont="1" applyFill="1" applyBorder="1"/>
    <xf numFmtId="9" fontId="6" fillId="16" borderId="9" xfId="2" applyFont="1" applyFill="1" applyBorder="1"/>
    <xf numFmtId="9" fontId="6" fillId="5" borderId="9" xfId="2" applyFont="1" applyFill="1" applyBorder="1"/>
    <xf numFmtId="9" fontId="9" fillId="0" borderId="9" xfId="2" applyFont="1" applyFill="1" applyBorder="1"/>
    <xf numFmtId="9" fontId="9" fillId="0" borderId="32" xfId="2" applyFont="1" applyBorder="1"/>
    <xf numFmtId="9" fontId="9" fillId="0" borderId="33" xfId="2" applyFont="1" applyBorder="1"/>
    <xf numFmtId="9" fontId="9" fillId="4" borderId="36" xfId="2" applyFont="1" applyFill="1" applyBorder="1"/>
    <xf numFmtId="0" fontId="25" fillId="17" borderId="0" xfId="0" applyFont="1" applyFill="1"/>
    <xf numFmtId="0" fontId="26" fillId="17" borderId="37" xfId="0" applyFont="1" applyFill="1" applyBorder="1"/>
    <xf numFmtId="0" fontId="26" fillId="18" borderId="37" xfId="0" applyFont="1" applyFill="1" applyBorder="1"/>
    <xf numFmtId="0" fontId="26" fillId="12" borderId="38" xfId="0" applyFont="1" applyFill="1" applyBorder="1"/>
    <xf numFmtId="0" fontId="26" fillId="12" borderId="38" xfId="0" applyFont="1" applyFill="1" applyBorder="1" applyAlignment="1">
      <alignment horizontal="center" wrapText="1"/>
    </xf>
    <xf numFmtId="0" fontId="25" fillId="12" borderId="0" xfId="0" applyFont="1" applyFill="1"/>
    <xf numFmtId="0" fontId="26" fillId="12" borderId="0" xfId="0" applyFont="1" applyFill="1"/>
    <xf numFmtId="3" fontId="26" fillId="12" borderId="0" xfId="0" applyNumberFormat="1" applyFont="1" applyFill="1"/>
    <xf numFmtId="9" fontId="26" fillId="12" borderId="0" xfId="2" applyFont="1" applyFill="1"/>
    <xf numFmtId="3" fontId="25" fillId="12" borderId="0" xfId="0" applyNumberFormat="1" applyFont="1" applyFill="1"/>
    <xf numFmtId="9" fontId="25" fillId="12" borderId="0" xfId="2" applyFont="1" applyFill="1"/>
    <xf numFmtId="0" fontId="25" fillId="19" borderId="0" xfId="0" applyFont="1" applyFill="1" applyAlignment="1">
      <alignment horizontal="left" indent="2"/>
    </xf>
    <xf numFmtId="3" fontId="25" fillId="19" borderId="0" xfId="0" applyNumberFormat="1" applyFont="1" applyFill="1"/>
    <xf numFmtId="9" fontId="25" fillId="19" borderId="0" xfId="2" applyFont="1" applyFill="1"/>
    <xf numFmtId="0" fontId="11" fillId="12" borderId="0" xfId="0" applyFont="1" applyFill="1"/>
    <xf numFmtId="0" fontId="11" fillId="19" borderId="0" xfId="0" applyFont="1" applyFill="1" applyAlignment="1">
      <alignment horizontal="left" indent="2"/>
    </xf>
    <xf numFmtId="0" fontId="25" fillId="12" borderId="0" xfId="0" applyFont="1" applyFill="1" applyAlignment="1">
      <alignment horizontal="left" indent="1"/>
    </xf>
    <xf numFmtId="0" fontId="27" fillId="12" borderId="0" xfId="0" applyFont="1" applyFill="1"/>
    <xf numFmtId="0" fontId="28" fillId="19" borderId="0" xfId="0" applyFont="1" applyFill="1"/>
    <xf numFmtId="0" fontId="25" fillId="19" borderId="0" xfId="0" applyFont="1" applyFill="1"/>
    <xf numFmtId="3" fontId="25" fillId="19" borderId="0" xfId="0" applyNumberFormat="1" applyFont="1" applyFill="1" applyAlignment="1">
      <alignment horizontal="left" indent="2"/>
    </xf>
    <xf numFmtId="9" fontId="25" fillId="19" borderId="0" xfId="2" applyFont="1" applyFill="1" applyAlignment="1">
      <alignment horizontal="left" indent="2"/>
    </xf>
    <xf numFmtId="3" fontId="26" fillId="12" borderId="0" xfId="0" applyNumberFormat="1" applyFont="1" applyFill="1" applyAlignment="1">
      <alignment wrapText="1"/>
    </xf>
    <xf numFmtId="165" fontId="25" fillId="12" borderId="0" xfId="2" applyNumberFormat="1" applyFont="1" applyFill="1"/>
    <xf numFmtId="9" fontId="25" fillId="12" borderId="0" xfId="2" applyFont="1" applyFill="1" applyBorder="1"/>
    <xf numFmtId="0" fontId="26" fillId="20" borderId="0" xfId="0" applyFont="1" applyFill="1"/>
    <xf numFmtId="0" fontId="25" fillId="20" borderId="0" xfId="0" applyFont="1" applyFill="1"/>
    <xf numFmtId="10" fontId="25" fillId="12" borderId="0" xfId="2" applyNumberFormat="1" applyFont="1" applyFill="1"/>
    <xf numFmtId="166" fontId="25" fillId="12" borderId="0" xfId="1" applyNumberFormat="1" applyFont="1" applyFill="1"/>
    <xf numFmtId="0" fontId="25" fillId="12" borderId="38" xfId="0" applyFont="1" applyFill="1" applyBorder="1"/>
    <xf numFmtId="166" fontId="25" fillId="12" borderId="38" xfId="1" applyNumberFormat="1" applyFont="1" applyFill="1" applyBorder="1"/>
    <xf numFmtId="9" fontId="25" fillId="12" borderId="38" xfId="2" applyFont="1" applyFill="1" applyBorder="1"/>
    <xf numFmtId="166" fontId="26" fillId="12" borderId="0" xfId="0" applyNumberFormat="1" applyFont="1" applyFill="1"/>
    <xf numFmtId="0" fontId="29" fillId="0" borderId="0" xfId="0" applyFont="1"/>
    <xf numFmtId="0" fontId="30" fillId="0" borderId="0" xfId="0" applyFont="1"/>
    <xf numFmtId="0" fontId="30" fillId="0" borderId="0" xfId="0" applyFont="1" applyAlignment="1">
      <alignment horizontal="left"/>
    </xf>
    <xf numFmtId="0" fontId="12" fillId="22" borderId="39" xfId="0" applyFont="1" applyFill="1" applyBorder="1" applyAlignment="1">
      <alignment horizontal="left" vertical="top" wrapText="1"/>
    </xf>
    <xf numFmtId="0" fontId="12" fillId="21" borderId="39" xfId="0" applyFont="1" applyFill="1" applyBorder="1" applyAlignment="1">
      <alignment horizontal="left" vertical="top" wrapText="1"/>
    </xf>
    <xf numFmtId="0" fontId="29" fillId="22" borderId="39" xfId="0" applyFont="1" applyFill="1" applyBorder="1" applyAlignment="1">
      <alignment horizontal="left" vertical="top" wrapText="1"/>
    </xf>
    <xf numFmtId="0" fontId="29" fillId="21" borderId="39" xfId="0" applyFont="1" applyFill="1" applyBorder="1" applyAlignment="1">
      <alignment horizontal="left" vertical="top" wrapText="1"/>
    </xf>
    <xf numFmtId="49" fontId="12" fillId="0" borderId="39" xfId="0" applyNumberFormat="1" applyFont="1" applyBorder="1" applyAlignment="1">
      <alignment horizontal="left" vertical="top" wrapText="1"/>
    </xf>
    <xf numFmtId="164" fontId="2" fillId="22" borderId="39" xfId="1" applyNumberFormat="1" applyFont="1" applyFill="1" applyBorder="1" applyAlignment="1">
      <alignment horizontal="left" vertical="top" wrapText="1"/>
    </xf>
    <xf numFmtId="164" fontId="2" fillId="21" borderId="39" xfId="1" applyNumberFormat="1" applyFont="1" applyFill="1" applyBorder="1" applyAlignment="1">
      <alignment horizontal="left" vertical="top" wrapText="1"/>
    </xf>
    <xf numFmtId="164" fontId="8" fillId="22" borderId="39" xfId="1" applyNumberFormat="1" applyFont="1" applyFill="1" applyBorder="1" applyAlignment="1">
      <alignment horizontal="left" vertical="top" wrapText="1"/>
    </xf>
    <xf numFmtId="164" fontId="8" fillId="21" borderId="39" xfId="1" applyNumberFormat="1" applyFont="1" applyFill="1" applyBorder="1" applyAlignment="1">
      <alignment horizontal="left" vertical="top" wrapText="1"/>
    </xf>
    <xf numFmtId="167" fontId="30" fillId="0" borderId="0" xfId="0" applyNumberFormat="1" applyFont="1"/>
    <xf numFmtId="164" fontId="12" fillId="21" borderId="39" xfId="0" applyNumberFormat="1" applyFont="1" applyFill="1" applyBorder="1" applyAlignment="1">
      <alignment horizontal="left" vertical="top" wrapText="1"/>
    </xf>
    <xf numFmtId="164" fontId="29" fillId="21" borderId="39" xfId="0" applyNumberFormat="1" applyFont="1" applyFill="1" applyBorder="1" applyAlignment="1">
      <alignment horizontal="left" vertical="top" wrapText="1"/>
    </xf>
    <xf numFmtId="164" fontId="12" fillId="22" borderId="39" xfId="0" applyNumberFormat="1" applyFont="1" applyFill="1" applyBorder="1" applyAlignment="1">
      <alignment horizontal="left" vertical="top" wrapText="1"/>
    </xf>
    <xf numFmtId="0" fontId="25" fillId="19" borderId="0" xfId="0" applyFont="1" applyFill="1" applyAlignment="1">
      <alignment horizontal="left" vertical="top" wrapText="1"/>
    </xf>
    <xf numFmtId="0" fontId="25" fillId="19" borderId="0" xfId="0" applyFont="1" applyFill="1" applyAlignment="1">
      <alignment horizontal="left" vertical="top" wrapText="1" indent="2"/>
    </xf>
    <xf numFmtId="0" fontId="12" fillId="21" borderId="39" xfId="0" applyFont="1" applyFill="1" applyBorder="1" applyAlignment="1">
      <alignment horizontal="center" vertical="top" wrapText="1"/>
    </xf>
    <xf numFmtId="0" fontId="29" fillId="21" borderId="39" xfId="0" applyFont="1" applyFill="1" applyBorder="1" applyAlignment="1">
      <alignment horizontal="center" vertical="top" wrapText="1"/>
    </xf>
    <xf numFmtId="0" fontId="7" fillId="0" borderId="0" xfId="4" applyFont="1"/>
    <xf numFmtId="0" fontId="1" fillId="0" borderId="0" xfId="3"/>
    <xf numFmtId="9" fontId="6" fillId="0" borderId="11" xfId="2" applyFont="1" applyBorder="1" applyAlignment="1">
      <alignment horizontal="right" wrapText="1"/>
    </xf>
    <xf numFmtId="9" fontId="6" fillId="0" borderId="12" xfId="2" applyFont="1" applyBorder="1" applyAlignment="1">
      <alignment horizontal="right" wrapText="1"/>
    </xf>
    <xf numFmtId="9" fontId="2" fillId="0" borderId="11" xfId="5" applyFont="1" applyBorder="1" applyAlignment="1">
      <alignment horizontal="left" wrapText="1"/>
    </xf>
    <xf numFmtId="9" fontId="2" fillId="0" borderId="12" xfId="5" applyFont="1" applyBorder="1" applyAlignment="1">
      <alignment horizontal="left" wrapText="1"/>
    </xf>
    <xf numFmtId="3" fontId="6" fillId="0" borderId="11" xfId="3" applyNumberFormat="1" applyFont="1" applyBorder="1" applyAlignment="1">
      <alignment horizontal="right"/>
    </xf>
    <xf numFmtId="3" fontId="6" fillId="0" borderId="12" xfId="3" applyNumberFormat="1" applyFont="1" applyBorder="1" applyAlignment="1">
      <alignment horizontal="right"/>
    </xf>
    <xf numFmtId="9" fontId="6" fillId="0" borderId="11" xfId="2" applyFont="1" applyFill="1" applyBorder="1" applyAlignment="1">
      <alignment horizontal="right"/>
    </xf>
    <xf numFmtId="9" fontId="6" fillId="0" borderId="12" xfId="2" applyFont="1" applyFill="1" applyBorder="1" applyAlignment="1">
      <alignment horizontal="right"/>
    </xf>
    <xf numFmtId="0" fontId="3" fillId="0" borderId="0" xfId="4" applyFont="1"/>
    <xf numFmtId="3" fontId="14" fillId="7" borderId="11" xfId="3" applyNumberFormat="1" applyFont="1" applyFill="1" applyBorder="1" applyAlignment="1">
      <alignment horizontal="right" vertical="center"/>
    </xf>
    <xf numFmtId="3" fontId="14" fillId="7" borderId="12" xfId="3" applyNumberFormat="1" applyFont="1" applyFill="1" applyBorder="1" applyAlignment="1">
      <alignment horizontal="right" vertical="center"/>
    </xf>
    <xf numFmtId="9" fontId="14" fillId="7" borderId="11" xfId="2" applyFont="1" applyFill="1" applyBorder="1" applyAlignment="1">
      <alignment horizontal="right" vertical="center"/>
    </xf>
    <xf numFmtId="9" fontId="14" fillId="7" borderId="12" xfId="2" applyFont="1" applyFill="1" applyBorder="1" applyAlignment="1">
      <alignment horizontal="right" vertical="center"/>
    </xf>
    <xf numFmtId="3" fontId="6" fillId="0" borderId="11" xfId="3" applyNumberFormat="1" applyFont="1" applyBorder="1" applyAlignment="1">
      <alignment horizontal="right" vertical="center"/>
    </xf>
    <xf numFmtId="3" fontId="6" fillId="0" borderId="12" xfId="3" applyNumberFormat="1" applyFont="1" applyBorder="1" applyAlignment="1">
      <alignment horizontal="right" vertical="center"/>
    </xf>
    <xf numFmtId="9" fontId="6" fillId="9" borderId="11" xfId="2" applyFont="1" applyFill="1" applyBorder="1" applyAlignment="1">
      <alignment horizontal="right" vertical="center"/>
    </xf>
    <xf numFmtId="9" fontId="6" fillId="9" borderId="12" xfId="2" applyFont="1" applyFill="1" applyBorder="1" applyAlignment="1">
      <alignment horizontal="right" vertical="center"/>
    </xf>
  </cellXfs>
  <cellStyles count="10">
    <cellStyle name="Comma" xfId="1" builtinId="3"/>
    <cellStyle name="Hyperlink" xfId="7" builtinId="8"/>
    <cellStyle name="Komats 10" xfId="6" xr:uid="{6DDC5828-ECF4-4C7B-8960-678F88489665}"/>
    <cellStyle name="Normal" xfId="0" builtinId="0"/>
    <cellStyle name="Normal 2 2" xfId="8" xr:uid="{FD2AC886-C361-46CB-B490-DE1416EDBEC0}"/>
    <cellStyle name="Parasts 2 2 5" xfId="3" xr:uid="{F5F59DF2-E6A9-4A2A-BFED-ADB06F568102}"/>
    <cellStyle name="Parasts 2 2 5 2" xfId="4" xr:uid="{C234CBDF-AB1A-47DD-BDED-C3B84C57DEBB}"/>
    <cellStyle name="Percent" xfId="2" builtinId="5"/>
    <cellStyle name="Percent 4" xfId="9" xr:uid="{84957149-D247-4D0D-AEA2-C74C9B91AFC2}"/>
    <cellStyle name="Procenti 2 3" xfId="5" xr:uid="{84A5BE2B-AF03-4AB2-BD27-3B9FC0675B1B}"/>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2023.g. 1.pusgads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4A4-419F-91DC-55A9A64030DD}"/>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4A4-419F-91DC-55A9A64030DD}"/>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4A4-419F-91DC-55A9A64030DD}"/>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14A4-419F-91DC-55A9A64030DD}"/>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4A4-419F-91DC-55A9A64030DD}"/>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14A4-419F-91DC-55A9A64030DD}"/>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14A4-419F-91DC-55A9A64030DD}"/>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14A4-419F-91DC-55A9A64030DD}"/>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14A4-419F-91DC-55A9A64030DD}"/>
              </c:ext>
            </c:extLst>
          </c:dPt>
          <c:dPt>
            <c:idx val="17"/>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14A4-419F-91DC-55A9A64030D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8"/>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c:v>
                </c:pt>
                <c:pt idx="15">
                  <c:v>8.2. Ieņēmumi par nomu un īri</c:v>
                </c:pt>
                <c:pt idx="16">
                  <c:v>8.3. Pārējie ieņēmumi</c:v>
                </c:pt>
                <c:pt idx="17">
                  <c:v>8.4. CKS ieņēmumi no dzīvokļu un komunālajiem pakalpojumiem</c:v>
                </c:pt>
              </c:strCache>
            </c:strRef>
          </c:cat>
          <c:val>
            <c:numRef>
              <c:f>Grafiki_budžeta_izpilde!$D$6:$D$23</c:f>
              <c:numCache>
                <c:formatCode>0%</c:formatCode>
                <c:ptCount val="18"/>
                <c:pt idx="0">
                  <c:v>0.50911982810243761</c:v>
                </c:pt>
                <c:pt idx="1">
                  <c:v>0.51498222087730439</c:v>
                </c:pt>
                <c:pt idx="2">
                  <c:v>0.47872815627134929</c:v>
                </c:pt>
                <c:pt idx="3">
                  <c:v>0.86887944182368271</c:v>
                </c:pt>
                <c:pt idx="4">
                  <c:v>0.65379414285714277</c:v>
                </c:pt>
                <c:pt idx="5">
                  <c:v>0.58568399999999998</c:v>
                </c:pt>
                <c:pt idx="6">
                  <c:v>0.40481861538461539</c:v>
                </c:pt>
                <c:pt idx="7">
                  <c:v>0.97019005541155989</c:v>
                </c:pt>
                <c:pt idx="8">
                  <c:v>0.12696148030682991</c:v>
                </c:pt>
                <c:pt idx="9">
                  <c:v>0.57017208574045875</c:v>
                </c:pt>
                <c:pt idx="10">
                  <c:v>0.63200687067118311</c:v>
                </c:pt>
                <c:pt idx="11">
                  <c:v>0.25988917725303684</c:v>
                </c:pt>
                <c:pt idx="12">
                  <c:v>0.78689491525423727</c:v>
                </c:pt>
                <c:pt idx="13">
                  <c:v>0.30840732180495856</c:v>
                </c:pt>
                <c:pt idx="14">
                  <c:v>0.93909395973154364</c:v>
                </c:pt>
                <c:pt idx="15">
                  <c:v>0.77141401273885346</c:v>
                </c:pt>
                <c:pt idx="16">
                  <c:v>0.3824801864801865</c:v>
                </c:pt>
                <c:pt idx="17">
                  <c:v>0.2554941941437967</c:v>
                </c:pt>
              </c:numCache>
            </c:numRef>
          </c:val>
          <c:extLst>
            <c:ext xmlns:c16="http://schemas.microsoft.com/office/drawing/2014/chart" uri="{C3380CC4-5D6E-409C-BE32-E72D297353CC}">
              <c16:uniqueId val="{00000014-14A4-419F-91DC-55A9A64030DD}"/>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Grafiki_budžeta_izpilde!$D$54</c:f>
              <c:strCache>
                <c:ptCount val="1"/>
                <c:pt idx="0">
                  <c:v>Izdevumu izpilde, %, 2023.g. 1.pusgads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5F3-415E-B11B-BFD774B580C8}"/>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5F3-415E-B11B-BFD774B580C8}"/>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5F3-415E-B11B-BFD774B580C8}"/>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5F3-415E-B11B-BFD774B580C8}"/>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5F3-415E-B11B-BFD774B580C8}"/>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5F3-415E-B11B-BFD774B580C8}"/>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5F3-415E-B11B-BFD774B580C8}"/>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05F3-415E-B11B-BFD774B580C8}"/>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5F3-415E-B11B-BFD774B580C8}"/>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5F3-415E-B11B-BFD774B580C8}"/>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05F3-415E-B11B-BFD774B580C8}"/>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05F3-415E-B11B-BFD774B580C8}"/>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05F3-415E-B11B-BFD774B580C8}"/>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05F3-415E-B11B-BFD774B580C8}"/>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05F3-415E-B11B-BFD774B580C8}"/>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05F3-415E-B11B-BFD774B580C8}"/>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05F3-415E-B11B-BFD774B580C8}"/>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05F3-415E-B11B-BFD774B580C8}"/>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05F3-415E-B11B-BFD774B580C8}"/>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05F3-415E-B11B-BFD774B580C8}"/>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Grafiki_budžeta_izpilde!$A$55:$A$84</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pamatskola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Grafiki_budžeta_izpilde!$D$55:$D$84</c:f>
              <c:numCache>
                <c:formatCode>0%</c:formatCode>
                <c:ptCount val="30"/>
                <c:pt idx="0">
                  <c:v>0.36979285448701049</c:v>
                </c:pt>
                <c:pt idx="1">
                  <c:v>0.43503166570284096</c:v>
                </c:pt>
                <c:pt idx="2">
                  <c:v>0.41142912134155396</c:v>
                </c:pt>
                <c:pt idx="3">
                  <c:v>0.31349134329954298</c:v>
                </c:pt>
                <c:pt idx="4">
                  <c:v>0.47872815853447132</c:v>
                </c:pt>
                <c:pt idx="5">
                  <c:v>0.40244255498259207</c:v>
                </c:pt>
                <c:pt idx="6">
                  <c:v>0.39257382584277783</c:v>
                </c:pt>
                <c:pt idx="7">
                  <c:v>0.26395151718409793</c:v>
                </c:pt>
                <c:pt idx="8">
                  <c:v>3.1911292990053922E-2</c:v>
                </c:pt>
                <c:pt idx="9">
                  <c:v>0.24013615502587379</c:v>
                </c:pt>
                <c:pt idx="10">
                  <c:v>0.22889188617370146</c:v>
                </c:pt>
                <c:pt idx="11">
                  <c:v>0.31439635777596153</c:v>
                </c:pt>
                <c:pt idx="12">
                  <c:v>0.33616717722022249</c:v>
                </c:pt>
                <c:pt idx="13">
                  <c:v>7.9612160301949425E-2</c:v>
                </c:pt>
                <c:pt idx="14">
                  <c:v>0.38482768609972079</c:v>
                </c:pt>
                <c:pt idx="15">
                  <c:v>0.41300455758372695</c:v>
                </c:pt>
                <c:pt idx="16">
                  <c:v>0.41671951652346084</c:v>
                </c:pt>
                <c:pt idx="17">
                  <c:v>0.50680971627833249</c:v>
                </c:pt>
                <c:pt idx="18">
                  <c:v>0.36813530412108736</c:v>
                </c:pt>
                <c:pt idx="19">
                  <c:v>0.35962688425802358</c:v>
                </c:pt>
                <c:pt idx="20">
                  <c:v>0.44214662533311577</c:v>
                </c:pt>
                <c:pt idx="21">
                  <c:v>0.41216886525586588</c:v>
                </c:pt>
                <c:pt idx="22">
                  <c:v>0.52270838293189104</c:v>
                </c:pt>
                <c:pt idx="23">
                  <c:v>0.49650563635404393</c:v>
                </c:pt>
                <c:pt idx="24">
                  <c:v>0.40582733576005714</c:v>
                </c:pt>
                <c:pt idx="25">
                  <c:v>0.44149665689621392</c:v>
                </c:pt>
                <c:pt idx="26">
                  <c:v>0.36013444082225299</c:v>
                </c:pt>
                <c:pt idx="27">
                  <c:v>0.36949491497535014</c:v>
                </c:pt>
                <c:pt idx="28">
                  <c:v>0.16393282949441748</c:v>
                </c:pt>
                <c:pt idx="29">
                  <c:v>0.50433050426303971</c:v>
                </c:pt>
              </c:numCache>
            </c:numRef>
          </c:val>
          <c:extLst>
            <c:ext xmlns:c16="http://schemas.microsoft.com/office/drawing/2014/chart" uri="{C3380CC4-5D6E-409C-BE32-E72D297353CC}">
              <c16:uniqueId val="{00000028-05F3-415E-B11B-BFD774B580C8}"/>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28</xdr:row>
      <xdr:rowOff>49529</xdr:rowOff>
    </xdr:to>
    <xdr:graphicFrame macro="">
      <xdr:nvGraphicFramePr>
        <xdr:cNvPr id="2" name="Diagramma 9">
          <a:extLst>
            <a:ext uri="{FF2B5EF4-FFF2-40B4-BE49-F238E27FC236}">
              <a16:creationId xmlns:a16="http://schemas.microsoft.com/office/drawing/2014/main" id="{3DAEEA4E-CA04-42E8-897D-DF4E7956C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447675</xdr:colOff>
      <xdr:row>4</xdr:row>
      <xdr:rowOff>66675</xdr:rowOff>
    </xdr:from>
    <xdr:to>
      <xdr:col>14</xdr:col>
      <xdr:colOff>481965</xdr:colOff>
      <xdr:row>4</xdr:row>
      <xdr:rowOff>314325</xdr:rowOff>
    </xdr:to>
    <xdr:sp macro="" textlink="">
      <xdr:nvSpPr>
        <xdr:cNvPr id="3" name="TextBox 2">
          <a:extLst>
            <a:ext uri="{FF2B5EF4-FFF2-40B4-BE49-F238E27FC236}">
              <a16:creationId xmlns:a16="http://schemas.microsoft.com/office/drawing/2014/main" id="{DC2344AD-B404-46E2-8281-AF312ECC4814}"/>
            </a:ext>
          </a:extLst>
        </xdr:cNvPr>
        <xdr:cNvSpPr txBox="1"/>
      </xdr:nvSpPr>
      <xdr:spPr>
        <a:xfrm>
          <a:off x="12332970" y="750570"/>
          <a:ext cx="584835" cy="25146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50%</a:t>
          </a:r>
        </a:p>
        <a:p>
          <a:pPr algn="ctr"/>
          <a:endParaRPr lang="lv-LV" sz="1100"/>
        </a:p>
      </xdr:txBody>
    </xdr:sp>
    <xdr:clientData/>
  </xdr:twoCellAnchor>
  <xdr:twoCellAnchor>
    <xdr:from>
      <xdr:col>4</xdr:col>
      <xdr:colOff>93344</xdr:colOff>
      <xdr:row>52</xdr:row>
      <xdr:rowOff>125730</xdr:rowOff>
    </xdr:from>
    <xdr:to>
      <xdr:col>17</xdr:col>
      <xdr:colOff>666750</xdr:colOff>
      <xdr:row>89</xdr:row>
      <xdr:rowOff>99058</xdr:rowOff>
    </xdr:to>
    <xdr:graphicFrame macro="">
      <xdr:nvGraphicFramePr>
        <xdr:cNvPr id="4" name="Diagramma 2">
          <a:extLst>
            <a:ext uri="{FF2B5EF4-FFF2-40B4-BE49-F238E27FC236}">
              <a16:creationId xmlns:a16="http://schemas.microsoft.com/office/drawing/2014/main" id="{70E9D468-E531-4B15-91B6-B07687AD7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0.64401</cdr:x>
      <cdr:y>0.17327</cdr:y>
    </cdr:from>
    <cdr:to>
      <cdr:x>0.64401</cdr:x>
      <cdr:y>0.96219</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5213454" y="824867"/>
          <a:ext cx="0" cy="3755731"/>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0.7829</cdr:x>
      <cdr:y>0.13138</cdr:y>
    </cdr:from>
    <cdr:to>
      <cdr:x>0.7829</cdr:x>
      <cdr:y>0.96305</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6699479" y="632460"/>
          <a:ext cx="0" cy="4003599"/>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0.74384</cdr:x>
      <cdr:y>0.03096</cdr:y>
    </cdr:from>
    <cdr:to>
      <cdr:x>0.8163</cdr:x>
      <cdr:y>0.0988</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6023004" y="119787"/>
          <a:ext cx="586723" cy="262477"/>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50%</a:t>
          </a:r>
        </a:p>
        <a:p xmlns:a="http://schemas.openxmlformats.org/drawingml/2006/main">
          <a:pPr algn="ctr"/>
          <a:endParaRPr lang="lv-LV"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aiba.kanca\Nextcloud\Finansu%20nodala%20kopmape\06_2023\1_Budzets_2023_actual_06_2023_ar%20grafikiem.xlsx" TargetMode="External"/><Relationship Id="rId1" Type="http://schemas.openxmlformats.org/officeDocument/2006/relationships/externalLinkPath" Target="/Users/baiba.kanca/Nextcloud/Finansu%20nodala%20kopmape/06_2023/1_Budzets_2023_actual_06_2023_ar%20grafiki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Kopsavilkum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Saistibas_VK_prognoze"/>
      <sheetName val="5.piel.EKK"/>
      <sheetName val="Deputāti"/>
      <sheetName val="Velesanu_komis_loc"/>
      <sheetName val="Adm_komisija"/>
      <sheetName val="Iepirk_komisija"/>
      <sheetName val="Komisijas"/>
      <sheetName val="1_Budzets_2023_actual_06_2023_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8">
          <cell r="T108">
            <v>46656159</v>
          </cell>
          <cell r="W108">
            <v>23753575.629999999</v>
          </cell>
        </row>
        <row r="277">
          <cell r="T277">
            <v>58828428.5</v>
          </cell>
          <cell r="W277">
            <v>21754332.5</v>
          </cell>
        </row>
      </sheetData>
      <sheetData sheetId="13">
        <row r="5">
          <cell r="D5" t="str">
            <v>Ieņēmumu izpilde, %, 2023.g. 1.pusgads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016F-B217-4708-968F-60E77A120D36}">
  <sheetPr>
    <tabColor rgb="FFC4EB35"/>
    <pageSetUpPr fitToPage="1"/>
  </sheetPr>
  <dimension ref="A1:R128"/>
  <sheetViews>
    <sheetView tabSelected="1" zoomScaleNormal="100" workbookViewId="0">
      <selection activeCell="D57" sqref="D57"/>
    </sheetView>
  </sheetViews>
  <sheetFormatPr defaultColWidth="9" defaultRowHeight="12.75" outlineLevelRow="1" x14ac:dyDescent="0.2"/>
  <cols>
    <col min="1" max="1" width="56.42578125" style="275" customWidth="1"/>
    <col min="2" max="3" width="14.42578125" style="275" customWidth="1"/>
    <col min="4" max="4" width="14.85546875" style="275" customWidth="1"/>
    <col min="5" max="5" width="16.140625" style="275" customWidth="1"/>
    <col min="6" max="6" width="9" style="275"/>
    <col min="7" max="7" width="15.28515625" style="275" customWidth="1"/>
    <col min="8" max="17" width="9" style="275"/>
    <col min="18" max="18" width="12" style="275" customWidth="1"/>
    <col min="19" max="19" width="54.5703125" style="275" customWidth="1"/>
    <col min="20" max="16384" width="9" style="275"/>
  </cols>
  <sheetData>
    <row r="1" spans="1:4" s="270" customFormat="1" x14ac:dyDescent="0.2"/>
    <row r="2" spans="1:4" s="270" customFormat="1" ht="13.5" thickBot="1" x14ac:dyDescent="0.25">
      <c r="B2" s="271" t="s">
        <v>701</v>
      </c>
      <c r="C2" s="272" t="s">
        <v>702</v>
      </c>
      <c r="D2" s="272"/>
    </row>
    <row r="3" spans="1:4" s="270" customFormat="1" x14ac:dyDescent="0.2"/>
    <row r="5" spans="1:4" ht="57.6" customHeight="1" x14ac:dyDescent="0.2">
      <c r="A5" s="273" t="s">
        <v>703</v>
      </c>
      <c r="B5" s="274" t="s">
        <v>704</v>
      </c>
      <c r="C5" s="274" t="str">
        <f>"Izpilde"&amp;" "&amp;$C$2</f>
        <v>Izpilde 2023.g. 1.pusgads</v>
      </c>
      <c r="D5" s="274" t="str">
        <f>"Ieņēmumu izpilde, %,"&amp;" "&amp;$C$2</f>
        <v>Ieņēmumu izpilde, %, 2023.g. 1.pusgads</v>
      </c>
    </row>
    <row r="6" spans="1:4" x14ac:dyDescent="0.2">
      <c r="A6" s="276" t="s">
        <v>705</v>
      </c>
      <c r="B6" s="277">
        <v>46656159</v>
      </c>
      <c r="C6" s="277">
        <v>23753575.649999999</v>
      </c>
      <c r="D6" s="278">
        <f t="shared" ref="D6:D23" si="0">C6/B6</f>
        <v>0.50911982810243761</v>
      </c>
    </row>
    <row r="7" spans="1:4" x14ac:dyDescent="0.2">
      <c r="A7" s="275" t="s">
        <v>706</v>
      </c>
      <c r="B7" s="279">
        <v>31582267</v>
      </c>
      <c r="C7" s="279">
        <v>16264306</v>
      </c>
      <c r="D7" s="280">
        <f t="shared" si="0"/>
        <v>0.51498222087730439</v>
      </c>
    </row>
    <row r="8" spans="1:4" outlineLevel="1" x14ac:dyDescent="0.2">
      <c r="A8" s="281" t="s">
        <v>707</v>
      </c>
      <c r="B8" s="282">
        <v>28608955</v>
      </c>
      <c r="C8" s="282">
        <v>13695912.279999999</v>
      </c>
      <c r="D8" s="283">
        <f t="shared" si="0"/>
        <v>0.47872815627134929</v>
      </c>
    </row>
    <row r="9" spans="1:4" outlineLevel="1" x14ac:dyDescent="0.2">
      <c r="A9" s="281" t="s">
        <v>708</v>
      </c>
      <c r="B9" s="282">
        <v>2903312</v>
      </c>
      <c r="C9" s="282">
        <v>2522628.11</v>
      </c>
      <c r="D9" s="283">
        <f t="shared" si="0"/>
        <v>0.86887944182368271</v>
      </c>
    </row>
    <row r="10" spans="1:4" outlineLevel="1" x14ac:dyDescent="0.2">
      <c r="A10" s="281" t="s">
        <v>709</v>
      </c>
      <c r="B10" s="282">
        <v>70000</v>
      </c>
      <c r="C10" s="282">
        <v>45765.59</v>
      </c>
      <c r="D10" s="283">
        <f t="shared" si="0"/>
        <v>0.65379414285714277</v>
      </c>
    </row>
    <row r="11" spans="1:4" x14ac:dyDescent="0.2">
      <c r="A11" s="284" t="s">
        <v>710</v>
      </c>
      <c r="B11" s="279">
        <v>160000</v>
      </c>
      <c r="C11" s="279">
        <v>93709.440000000002</v>
      </c>
      <c r="D11" s="280">
        <f t="shared" si="0"/>
        <v>0.58568399999999998</v>
      </c>
    </row>
    <row r="12" spans="1:4" x14ac:dyDescent="0.2">
      <c r="A12" s="284" t="s">
        <v>711</v>
      </c>
      <c r="B12" s="279">
        <v>65000</v>
      </c>
      <c r="C12" s="279">
        <v>26313.21</v>
      </c>
      <c r="D12" s="280">
        <f t="shared" si="0"/>
        <v>0.40481861538461539</v>
      </c>
    </row>
    <row r="13" spans="1:4" x14ac:dyDescent="0.2">
      <c r="A13" s="284" t="s">
        <v>712</v>
      </c>
      <c r="B13" s="279">
        <v>176317</v>
      </c>
      <c r="C13" s="279">
        <v>171061</v>
      </c>
      <c r="D13" s="280">
        <f t="shared" si="0"/>
        <v>0.97019005541155989</v>
      </c>
    </row>
    <row r="14" spans="1:4" x14ac:dyDescent="0.2">
      <c r="A14" s="284" t="s">
        <v>713</v>
      </c>
      <c r="B14" s="279">
        <v>433856</v>
      </c>
      <c r="C14" s="279">
        <v>55083</v>
      </c>
      <c r="D14" s="280">
        <f t="shared" si="0"/>
        <v>0.12696148030682991</v>
      </c>
    </row>
    <row r="15" spans="1:4" x14ac:dyDescent="0.2">
      <c r="A15" s="284" t="s">
        <v>714</v>
      </c>
      <c r="B15" s="279">
        <v>9973168</v>
      </c>
      <c r="C15" s="279">
        <v>5686422</v>
      </c>
      <c r="D15" s="280">
        <f t="shared" si="0"/>
        <v>0.57017208574045875</v>
      </c>
    </row>
    <row r="16" spans="1:4" outlineLevel="1" x14ac:dyDescent="0.2">
      <c r="A16" s="285" t="s">
        <v>715</v>
      </c>
      <c r="B16" s="282">
        <v>8315927</v>
      </c>
      <c r="C16" s="282">
        <v>5255723</v>
      </c>
      <c r="D16" s="283">
        <f t="shared" si="0"/>
        <v>0.63200687067118311</v>
      </c>
    </row>
    <row r="17" spans="1:4" outlineLevel="1" x14ac:dyDescent="0.2">
      <c r="A17" s="285" t="s">
        <v>716</v>
      </c>
      <c r="B17" s="282">
        <v>1657241</v>
      </c>
      <c r="C17" s="282">
        <v>430699</v>
      </c>
      <c r="D17" s="283">
        <f t="shared" si="0"/>
        <v>0.25988917725303684</v>
      </c>
    </row>
    <row r="18" spans="1:4" x14ac:dyDescent="0.2">
      <c r="A18" s="284" t="s">
        <v>717</v>
      </c>
      <c r="B18" s="279">
        <v>295000</v>
      </c>
      <c r="C18" s="279">
        <v>232134</v>
      </c>
      <c r="D18" s="280">
        <f t="shared" si="0"/>
        <v>0.78689491525423727</v>
      </c>
    </row>
    <row r="19" spans="1:4" x14ac:dyDescent="0.2">
      <c r="A19" s="284" t="s">
        <v>718</v>
      </c>
      <c r="B19" s="279">
        <v>3970551</v>
      </c>
      <c r="C19" s="279">
        <v>1224547</v>
      </c>
      <c r="D19" s="280">
        <f t="shared" si="0"/>
        <v>0.30840732180495856</v>
      </c>
    </row>
    <row r="20" spans="1:4" outlineLevel="1" x14ac:dyDescent="0.2">
      <c r="A20" s="285" t="s">
        <v>719</v>
      </c>
      <c r="B20" s="282">
        <v>149000</v>
      </c>
      <c r="C20" s="282">
        <v>139925</v>
      </c>
      <c r="D20" s="283">
        <f t="shared" si="0"/>
        <v>0.93909395973154364</v>
      </c>
    </row>
    <row r="21" spans="1:4" outlineLevel="1" x14ac:dyDescent="0.2">
      <c r="A21" s="285" t="s">
        <v>720</v>
      </c>
      <c r="B21" s="282">
        <v>157000</v>
      </c>
      <c r="C21" s="282">
        <v>121112</v>
      </c>
      <c r="D21" s="283">
        <f t="shared" si="0"/>
        <v>0.77141401273885346</v>
      </c>
    </row>
    <row r="22" spans="1:4" outlineLevel="1" x14ac:dyDescent="0.2">
      <c r="A22" s="285" t="s">
        <v>721</v>
      </c>
      <c r="B22" s="282">
        <v>214500</v>
      </c>
      <c r="C22" s="282">
        <v>82042</v>
      </c>
      <c r="D22" s="283">
        <f t="shared" si="0"/>
        <v>0.3824801864801865</v>
      </c>
    </row>
    <row r="23" spans="1:4" outlineLevel="1" x14ac:dyDescent="0.2">
      <c r="A23" s="285" t="s">
        <v>722</v>
      </c>
      <c r="B23" s="282">
        <v>3450051</v>
      </c>
      <c r="C23" s="282">
        <v>881468</v>
      </c>
      <c r="D23" s="283">
        <f t="shared" si="0"/>
        <v>0.2554941941437967</v>
      </c>
    </row>
    <row r="24" spans="1:4" x14ac:dyDescent="0.2">
      <c r="A24" s="284"/>
    </row>
    <row r="26" spans="1:4" x14ac:dyDescent="0.2">
      <c r="A26" s="286"/>
      <c r="B26" s="279">
        <f>B6-'[4]2023.gada budzeta plans_apvieno'!T108</f>
        <v>0</v>
      </c>
      <c r="C26" s="279">
        <f>C6-'[4]2023.gada budzeta plans_apvieno'!W108</f>
        <v>1.9999999552965164E-2</v>
      </c>
      <c r="D26" s="280"/>
    </row>
    <row r="27" spans="1:4" x14ac:dyDescent="0.2">
      <c r="A27" s="286"/>
      <c r="B27" s="279"/>
      <c r="C27" s="279"/>
      <c r="D27" s="280"/>
    </row>
    <row r="28" spans="1:4" x14ac:dyDescent="0.2">
      <c r="A28" s="286"/>
      <c r="B28" s="279"/>
      <c r="C28" s="279"/>
      <c r="D28" s="280"/>
    </row>
    <row r="29" spans="1:4" x14ac:dyDescent="0.2">
      <c r="A29" s="287"/>
      <c r="B29" s="279"/>
      <c r="C29" s="279"/>
      <c r="D29" s="280"/>
    </row>
    <row r="30" spans="1:4" s="289" customFormat="1" hidden="1" outlineLevel="1" x14ac:dyDescent="0.2">
      <c r="A30" s="288" t="s">
        <v>346</v>
      </c>
      <c r="B30" s="282"/>
      <c r="C30" s="282"/>
      <c r="D30" s="283"/>
    </row>
    <row r="31" spans="1:4" s="289" customFormat="1" hidden="1" outlineLevel="1" x14ac:dyDescent="0.2">
      <c r="A31" s="289" t="s">
        <v>723</v>
      </c>
      <c r="B31" s="282"/>
      <c r="C31" s="282"/>
      <c r="D31" s="283"/>
    </row>
    <row r="32" spans="1:4" s="289" customFormat="1" hidden="1" outlineLevel="1" x14ac:dyDescent="0.2">
      <c r="A32" s="281" t="s">
        <v>724</v>
      </c>
      <c r="B32" s="282"/>
      <c r="C32" s="282"/>
      <c r="D32" s="283"/>
    </row>
    <row r="33" spans="1:4" s="289" customFormat="1" hidden="1" outlineLevel="1" x14ac:dyDescent="0.2">
      <c r="A33" s="281" t="s">
        <v>725</v>
      </c>
      <c r="B33" s="282"/>
      <c r="C33" s="282"/>
      <c r="D33" s="283"/>
    </row>
    <row r="34" spans="1:4" s="289" customFormat="1" hidden="1" outlineLevel="1" x14ac:dyDescent="0.2">
      <c r="A34" s="281" t="s">
        <v>726</v>
      </c>
      <c r="B34" s="282"/>
      <c r="C34" s="282"/>
      <c r="D34" s="283"/>
    </row>
    <row r="35" spans="1:4" s="289" customFormat="1" hidden="1" outlineLevel="1" x14ac:dyDescent="0.2">
      <c r="A35" s="289" t="s">
        <v>727</v>
      </c>
      <c r="B35" s="282"/>
      <c r="C35" s="282"/>
      <c r="D35" s="283"/>
    </row>
    <row r="36" spans="1:4" s="289" customFormat="1" hidden="1" outlineLevel="1" x14ac:dyDescent="0.2">
      <c r="A36" s="289" t="s">
        <v>728</v>
      </c>
      <c r="B36" s="282"/>
      <c r="C36" s="282"/>
      <c r="D36" s="283"/>
    </row>
    <row r="37" spans="1:4" s="289" customFormat="1" hidden="1" outlineLevel="1" x14ac:dyDescent="0.2">
      <c r="A37" s="289" t="s">
        <v>729</v>
      </c>
      <c r="B37" s="282"/>
      <c r="C37" s="282"/>
      <c r="D37" s="283"/>
    </row>
    <row r="38" spans="1:4" s="289" customFormat="1" hidden="1" outlineLevel="1" x14ac:dyDescent="0.2">
      <c r="A38" s="289" t="s">
        <v>730</v>
      </c>
      <c r="B38" s="282"/>
      <c r="C38" s="282"/>
      <c r="D38" s="283"/>
    </row>
    <row r="39" spans="1:4" s="289" customFormat="1" hidden="1" outlineLevel="1" x14ac:dyDescent="0.2">
      <c r="A39" s="289" t="s">
        <v>731</v>
      </c>
      <c r="B39" s="282"/>
      <c r="C39" s="282"/>
      <c r="D39" s="283"/>
    </row>
    <row r="40" spans="1:4" s="289" customFormat="1" hidden="1" outlineLevel="1" x14ac:dyDescent="0.2">
      <c r="A40" s="281" t="s">
        <v>732</v>
      </c>
      <c r="B40" s="282"/>
      <c r="C40" s="282"/>
      <c r="D40" s="283"/>
    </row>
    <row r="41" spans="1:4" s="289" customFormat="1" hidden="1" outlineLevel="1" x14ac:dyDescent="0.2">
      <c r="A41" s="281" t="s">
        <v>733</v>
      </c>
      <c r="B41" s="282"/>
      <c r="C41" s="282"/>
      <c r="D41" s="283"/>
    </row>
    <row r="42" spans="1:4" s="289" customFormat="1" hidden="1" outlineLevel="1" x14ac:dyDescent="0.2">
      <c r="A42" s="289" t="s">
        <v>734</v>
      </c>
      <c r="B42" s="282"/>
      <c r="C42" s="282"/>
      <c r="D42" s="283"/>
    </row>
    <row r="43" spans="1:4" s="289" customFormat="1" hidden="1" outlineLevel="1" x14ac:dyDescent="0.2">
      <c r="A43" s="289" t="s">
        <v>735</v>
      </c>
      <c r="B43" s="282"/>
      <c r="C43" s="282"/>
      <c r="D43" s="283"/>
    </row>
    <row r="44" spans="1:4" s="281" customFormat="1" hidden="1" outlineLevel="1" x14ac:dyDescent="0.2">
      <c r="A44" s="281" t="s">
        <v>736</v>
      </c>
      <c r="B44" s="290"/>
      <c r="C44" s="290"/>
      <c r="D44" s="291"/>
    </row>
    <row r="45" spans="1:4" s="281" customFormat="1" hidden="1" outlineLevel="1" x14ac:dyDescent="0.2">
      <c r="A45" s="281" t="s">
        <v>737</v>
      </c>
      <c r="B45" s="290"/>
      <c r="C45" s="290"/>
      <c r="D45" s="291"/>
    </row>
    <row r="46" spans="1:4" s="281" customFormat="1" hidden="1" outlineLevel="1" x14ac:dyDescent="0.2">
      <c r="A46" s="281" t="s">
        <v>738</v>
      </c>
      <c r="B46" s="290"/>
      <c r="C46" s="290"/>
      <c r="D46" s="291"/>
    </row>
    <row r="47" spans="1:4" s="281" customFormat="1" hidden="1" outlineLevel="1" x14ac:dyDescent="0.2">
      <c r="A47" s="281" t="s">
        <v>739</v>
      </c>
      <c r="B47" s="290"/>
      <c r="C47" s="290"/>
      <c r="D47" s="291"/>
    </row>
    <row r="48" spans="1:4" collapsed="1" x14ac:dyDescent="0.2">
      <c r="A48" s="286"/>
      <c r="B48" s="279"/>
      <c r="C48" s="279"/>
      <c r="D48" s="280"/>
    </row>
    <row r="49" spans="1:6" x14ac:dyDescent="0.2">
      <c r="A49" s="286"/>
      <c r="B49" s="279"/>
      <c r="C49" s="279"/>
      <c r="D49" s="280"/>
    </row>
    <row r="54" spans="1:6" ht="57.6" customHeight="1" x14ac:dyDescent="0.2">
      <c r="A54" s="273" t="s">
        <v>740</v>
      </c>
      <c r="B54" s="274" t="str">
        <f>B5</f>
        <v>Budžeta 28.06.2023. grozījumi</v>
      </c>
      <c r="C54" s="274" t="str">
        <f>"Izpilde"&amp;" "&amp;$C$2</f>
        <v>Izpilde 2023.g. 1.pusgads</v>
      </c>
      <c r="D54" s="274" t="str">
        <f>"Izdevumu izpilde, %,"&amp;" "&amp;$C$2</f>
        <v>Izdevumu izpilde, %, 2023.g. 1.pusgads</v>
      </c>
    </row>
    <row r="55" spans="1:6" x14ac:dyDescent="0.2">
      <c r="A55" s="276" t="s">
        <v>741</v>
      </c>
      <c r="B55" s="292">
        <v>58828428.5</v>
      </c>
      <c r="C55" s="292">
        <v>21754332.5</v>
      </c>
      <c r="D55" s="280">
        <f>C55/B55</f>
        <v>0.36979285448701049</v>
      </c>
    </row>
    <row r="56" spans="1:6" x14ac:dyDescent="0.2">
      <c r="A56" s="275" t="s">
        <v>742</v>
      </c>
      <c r="B56" s="279">
        <v>8253567</v>
      </c>
      <c r="C56" s="279">
        <v>3590563</v>
      </c>
      <c r="D56" s="280">
        <f>C56/B56</f>
        <v>0.43503166570284096</v>
      </c>
      <c r="E56" s="280"/>
      <c r="F56" s="293"/>
    </row>
    <row r="57" spans="1:6" outlineLevel="1" x14ac:dyDescent="0.2">
      <c r="A57" s="281" t="s">
        <v>743</v>
      </c>
      <c r="B57" s="282">
        <v>2787454</v>
      </c>
      <c r="C57" s="282">
        <v>1146839.75</v>
      </c>
      <c r="D57" s="283">
        <f t="shared" ref="D57:D84" si="1">C57/B57</f>
        <v>0.41142912134155396</v>
      </c>
      <c r="E57" s="280"/>
      <c r="F57" s="293"/>
    </row>
    <row r="58" spans="1:6" outlineLevel="1" x14ac:dyDescent="0.2">
      <c r="A58" s="281" t="s">
        <v>744</v>
      </c>
      <c r="B58" s="282">
        <v>1047339</v>
      </c>
      <c r="C58" s="282">
        <v>328331.71000000002</v>
      </c>
      <c r="D58" s="283">
        <f t="shared" si="1"/>
        <v>0.31349134329954298</v>
      </c>
      <c r="E58" s="280"/>
      <c r="F58" s="293"/>
    </row>
    <row r="59" spans="1:6" outlineLevel="1" x14ac:dyDescent="0.2">
      <c r="A59" s="281" t="s">
        <v>745</v>
      </c>
      <c r="B59" s="282">
        <v>4418774</v>
      </c>
      <c r="C59" s="282">
        <v>2115391.54</v>
      </c>
      <c r="D59" s="283">
        <f t="shared" si="1"/>
        <v>0.47872815853447132</v>
      </c>
      <c r="E59" s="280"/>
      <c r="F59" s="293"/>
    </row>
    <row r="60" spans="1:6" x14ac:dyDescent="0.2">
      <c r="A60" s="275" t="s">
        <v>746</v>
      </c>
      <c r="B60" s="279">
        <v>936069</v>
      </c>
      <c r="C60" s="279">
        <v>376714</v>
      </c>
      <c r="D60" s="280">
        <f t="shared" si="1"/>
        <v>0.40244255498259207</v>
      </c>
      <c r="E60" s="280"/>
      <c r="F60" s="293"/>
    </row>
    <row r="61" spans="1:6" x14ac:dyDescent="0.2">
      <c r="A61" s="275" t="s">
        <v>747</v>
      </c>
      <c r="B61" s="279">
        <v>207617</v>
      </c>
      <c r="C61" s="279">
        <v>81505</v>
      </c>
      <c r="D61" s="280">
        <f t="shared" si="1"/>
        <v>0.39257382584277783</v>
      </c>
      <c r="E61" s="280"/>
      <c r="F61" s="293"/>
    </row>
    <row r="62" spans="1:6" x14ac:dyDescent="0.2">
      <c r="A62" s="275" t="s">
        <v>748</v>
      </c>
      <c r="B62" s="279">
        <v>381661</v>
      </c>
      <c r="C62" s="279">
        <v>100740</v>
      </c>
      <c r="D62" s="280">
        <f t="shared" si="1"/>
        <v>0.26395151718409793</v>
      </c>
      <c r="E62" s="280"/>
      <c r="F62" s="293"/>
    </row>
    <row r="63" spans="1:6" x14ac:dyDescent="0.2">
      <c r="A63" s="275" t="s">
        <v>749</v>
      </c>
      <c r="B63" s="279">
        <v>260002</v>
      </c>
      <c r="C63" s="279">
        <v>8297</v>
      </c>
      <c r="D63" s="280">
        <f t="shared" si="1"/>
        <v>3.1911292990053922E-2</v>
      </c>
      <c r="E63" s="280"/>
      <c r="F63" s="293"/>
    </row>
    <row r="64" spans="1:6" x14ac:dyDescent="0.2">
      <c r="A64" s="275" t="s">
        <v>750</v>
      </c>
      <c r="B64" s="279">
        <v>16728872</v>
      </c>
      <c r="C64" s="279">
        <v>4017206.9999999995</v>
      </c>
      <c r="D64" s="280">
        <f t="shared" si="1"/>
        <v>0.24013615502587379</v>
      </c>
      <c r="E64" s="280"/>
      <c r="F64" s="293"/>
    </row>
    <row r="65" spans="1:6" outlineLevel="1" x14ac:dyDescent="0.2">
      <c r="A65" s="281" t="s">
        <v>751</v>
      </c>
      <c r="B65" s="282">
        <v>1890600</v>
      </c>
      <c r="C65" s="282">
        <v>432743</v>
      </c>
      <c r="D65" s="283">
        <f t="shared" si="1"/>
        <v>0.22889188617370146</v>
      </c>
      <c r="E65" s="280"/>
      <c r="F65" s="293"/>
    </row>
    <row r="66" spans="1:6" outlineLevel="1" x14ac:dyDescent="0.2">
      <c r="A66" s="281" t="s">
        <v>752</v>
      </c>
      <c r="B66" s="282">
        <v>3779449</v>
      </c>
      <c r="C66" s="282">
        <v>1188245</v>
      </c>
      <c r="D66" s="283">
        <f t="shared" si="1"/>
        <v>0.31439635777596153</v>
      </c>
      <c r="E66" s="280"/>
      <c r="F66" s="293"/>
    </row>
    <row r="67" spans="1:6" outlineLevel="1" x14ac:dyDescent="0.2">
      <c r="A67" s="281" t="s">
        <v>753</v>
      </c>
      <c r="B67" s="282">
        <v>5908293</v>
      </c>
      <c r="C67" s="282">
        <v>1986174.18</v>
      </c>
      <c r="D67" s="283">
        <f t="shared" si="1"/>
        <v>0.33616717722022249</v>
      </c>
      <c r="E67" s="280"/>
      <c r="F67" s="293"/>
    </row>
    <row r="68" spans="1:6" outlineLevel="1" x14ac:dyDescent="0.2">
      <c r="A68" s="281" t="s">
        <v>754</v>
      </c>
      <c r="B68" s="282">
        <v>5150530</v>
      </c>
      <c r="C68" s="282">
        <v>410044.8199999996</v>
      </c>
      <c r="D68" s="283">
        <f t="shared" si="1"/>
        <v>7.9612160301949425E-2</v>
      </c>
      <c r="E68" s="280"/>
      <c r="F68" s="293"/>
    </row>
    <row r="69" spans="1:6" x14ac:dyDescent="0.2">
      <c r="A69" s="275" t="s">
        <v>755</v>
      </c>
      <c r="B69" s="279">
        <v>2540654</v>
      </c>
      <c r="C69" s="279">
        <v>977714</v>
      </c>
      <c r="D69" s="280">
        <f t="shared" si="1"/>
        <v>0.38482768609972079</v>
      </c>
      <c r="E69" s="280"/>
      <c r="F69" s="293"/>
    </row>
    <row r="70" spans="1:6" x14ac:dyDescent="0.2">
      <c r="A70" s="275" t="s">
        <v>756</v>
      </c>
      <c r="B70" s="279">
        <v>4179627</v>
      </c>
      <c r="C70" s="279">
        <v>1726205</v>
      </c>
      <c r="D70" s="280">
        <f t="shared" si="1"/>
        <v>0.41300455758372695</v>
      </c>
      <c r="E70" s="294"/>
      <c r="F70" s="293"/>
    </row>
    <row r="71" spans="1:6" x14ac:dyDescent="0.2">
      <c r="A71" s="275" t="s">
        <v>757</v>
      </c>
      <c r="B71" s="279">
        <v>21738469.5</v>
      </c>
      <c r="C71" s="279">
        <v>9058844.5</v>
      </c>
      <c r="D71" s="280">
        <f t="shared" si="1"/>
        <v>0.41671951652346084</v>
      </c>
      <c r="E71" s="294"/>
      <c r="F71" s="293"/>
    </row>
    <row r="72" spans="1:6" outlineLevel="1" x14ac:dyDescent="0.2">
      <c r="A72" s="281" t="s">
        <v>758</v>
      </c>
      <c r="B72" s="282">
        <v>1009440</v>
      </c>
      <c r="C72" s="282">
        <v>511594</v>
      </c>
      <c r="D72" s="283">
        <f t="shared" si="1"/>
        <v>0.50680971627833249</v>
      </c>
      <c r="E72" s="280"/>
      <c r="F72" s="293"/>
    </row>
    <row r="73" spans="1:6" outlineLevel="1" x14ac:dyDescent="0.2">
      <c r="A73" s="281" t="s">
        <v>759</v>
      </c>
      <c r="B73" s="282">
        <v>1960502</v>
      </c>
      <c r="C73" s="282">
        <v>721730</v>
      </c>
      <c r="D73" s="283">
        <f t="shared" si="1"/>
        <v>0.36813530412108736</v>
      </c>
      <c r="E73" s="280"/>
      <c r="F73" s="293"/>
    </row>
    <row r="74" spans="1:6" outlineLevel="1" x14ac:dyDescent="0.2">
      <c r="A74" s="281" t="s">
        <v>760</v>
      </c>
      <c r="B74" s="282">
        <v>1232647</v>
      </c>
      <c r="C74" s="282">
        <v>443293</v>
      </c>
      <c r="D74" s="283">
        <f t="shared" si="1"/>
        <v>0.35962688425802358</v>
      </c>
      <c r="E74" s="280"/>
      <c r="F74" s="293"/>
    </row>
    <row r="75" spans="1:6" outlineLevel="1" x14ac:dyDescent="0.2">
      <c r="A75" s="281" t="s">
        <v>761</v>
      </c>
      <c r="B75" s="282">
        <v>1323864</v>
      </c>
      <c r="C75" s="282">
        <v>585342</v>
      </c>
      <c r="D75" s="283">
        <f t="shared" si="1"/>
        <v>0.44214662533311577</v>
      </c>
      <c r="E75" s="280"/>
      <c r="F75" s="293"/>
    </row>
    <row r="76" spans="1:6" outlineLevel="1" x14ac:dyDescent="0.2">
      <c r="A76" s="281" t="s">
        <v>762</v>
      </c>
      <c r="B76" s="282">
        <v>1234807</v>
      </c>
      <c r="C76" s="282">
        <v>508949</v>
      </c>
      <c r="D76" s="283">
        <f t="shared" si="1"/>
        <v>0.41216886525586588</v>
      </c>
      <c r="E76" s="280"/>
      <c r="F76" s="293"/>
    </row>
    <row r="77" spans="1:6" outlineLevel="1" x14ac:dyDescent="0.2">
      <c r="A77" s="281" t="s">
        <v>763</v>
      </c>
      <c r="B77" s="282">
        <v>2137999</v>
      </c>
      <c r="C77" s="282">
        <v>1117550</v>
      </c>
      <c r="D77" s="283">
        <f t="shared" si="1"/>
        <v>0.52270838293189104</v>
      </c>
      <c r="E77" s="280"/>
      <c r="F77" s="293"/>
    </row>
    <row r="78" spans="1:6" outlineLevel="1" x14ac:dyDescent="0.2">
      <c r="A78" s="281" t="s">
        <v>764</v>
      </c>
      <c r="B78" s="282">
        <v>1990205</v>
      </c>
      <c r="C78" s="282">
        <v>988148</v>
      </c>
      <c r="D78" s="283">
        <f t="shared" si="1"/>
        <v>0.49650563635404393</v>
      </c>
      <c r="E78" s="280"/>
      <c r="F78" s="293"/>
    </row>
    <row r="79" spans="1:6" outlineLevel="1" x14ac:dyDescent="0.2">
      <c r="A79" s="281" t="s">
        <v>765</v>
      </c>
      <c r="B79" s="282">
        <v>7378123</v>
      </c>
      <c r="C79" s="282">
        <v>2994244</v>
      </c>
      <c r="D79" s="283">
        <f t="shared" si="1"/>
        <v>0.40582733576005714</v>
      </c>
      <c r="E79" s="280"/>
      <c r="F79" s="293"/>
    </row>
    <row r="80" spans="1:6" outlineLevel="1" x14ac:dyDescent="0.2">
      <c r="A80" s="281" t="s">
        <v>766</v>
      </c>
      <c r="B80" s="282">
        <v>1541382</v>
      </c>
      <c r="C80" s="282">
        <v>680515</v>
      </c>
      <c r="D80" s="283">
        <f t="shared" si="1"/>
        <v>0.44149665689621392</v>
      </c>
      <c r="E80" s="280"/>
      <c r="F80" s="293"/>
    </row>
    <row r="81" spans="1:18" outlineLevel="1" x14ac:dyDescent="0.2">
      <c r="A81" s="281" t="s">
        <v>767</v>
      </c>
      <c r="B81" s="282">
        <v>643257</v>
      </c>
      <c r="C81" s="282">
        <v>231659</v>
      </c>
      <c r="D81" s="283">
        <f t="shared" si="1"/>
        <v>0.36013444082225299</v>
      </c>
      <c r="E81" s="280"/>
      <c r="F81" s="293"/>
    </row>
    <row r="82" spans="1:18" outlineLevel="1" x14ac:dyDescent="0.2">
      <c r="A82" s="281" t="s">
        <v>768</v>
      </c>
      <c r="B82" s="282">
        <v>316026</v>
      </c>
      <c r="C82" s="282">
        <v>116770</v>
      </c>
      <c r="D82" s="283">
        <f t="shared" si="1"/>
        <v>0.36949491497535014</v>
      </c>
      <c r="E82" s="280"/>
      <c r="F82" s="293"/>
    </row>
    <row r="83" spans="1:18" outlineLevel="1" x14ac:dyDescent="0.2">
      <c r="A83" s="281" t="s">
        <v>769</v>
      </c>
      <c r="B83" s="282">
        <v>970217.5</v>
      </c>
      <c r="C83" s="282">
        <v>159050.5</v>
      </c>
      <c r="D83" s="283">
        <f t="shared" si="1"/>
        <v>0.16393282949441748</v>
      </c>
      <c r="E83" s="280"/>
      <c r="F83" s="293"/>
    </row>
    <row r="84" spans="1:18" x14ac:dyDescent="0.2">
      <c r="A84" s="275" t="s">
        <v>770</v>
      </c>
      <c r="B84" s="279">
        <v>3601890</v>
      </c>
      <c r="C84" s="279">
        <v>1816543</v>
      </c>
      <c r="D84" s="280">
        <f t="shared" si="1"/>
        <v>0.50433050426303971</v>
      </c>
      <c r="E84" s="280"/>
      <c r="F84" s="293"/>
    </row>
    <row r="85" spans="1:18" x14ac:dyDescent="0.2">
      <c r="B85" s="279"/>
      <c r="C85" s="279"/>
    </row>
    <row r="86" spans="1:18" x14ac:dyDescent="0.2">
      <c r="B86" s="275">
        <f>B55-'[4]2023.gada budzeta plans_apvieno'!T277</f>
        <v>0</v>
      </c>
      <c r="C86" s="275">
        <f>C55-'[4]2023.gada budzeta plans_apvieno'!W277</f>
        <v>0</v>
      </c>
    </row>
    <row r="90" spans="1:18" x14ac:dyDescent="0.2">
      <c r="B90" s="279"/>
      <c r="C90" s="279"/>
    </row>
    <row r="91" spans="1:18" s="289" customFormat="1" hidden="1" outlineLevel="1" x14ac:dyDescent="0.2">
      <c r="A91" s="288" t="s">
        <v>346</v>
      </c>
      <c r="C91" s="282"/>
    </row>
    <row r="92" spans="1:18" s="289" customFormat="1" ht="27" hidden="1" customHeight="1" outlineLevel="1" x14ac:dyDescent="0.2">
      <c r="A92" s="319" t="s">
        <v>771</v>
      </c>
      <c r="B92" s="319"/>
      <c r="C92" s="319"/>
      <c r="D92" s="319"/>
      <c r="E92" s="319"/>
      <c r="F92" s="319"/>
      <c r="G92" s="319"/>
      <c r="H92" s="319"/>
      <c r="I92" s="319"/>
      <c r="J92" s="319"/>
      <c r="K92" s="319"/>
      <c r="L92" s="319"/>
      <c r="M92" s="319"/>
      <c r="N92" s="319"/>
      <c r="O92" s="319"/>
      <c r="P92" s="319"/>
      <c r="Q92" s="319"/>
      <c r="R92" s="319"/>
    </row>
    <row r="93" spans="1:18" s="281" customFormat="1" hidden="1" outlineLevel="1" x14ac:dyDescent="0.2">
      <c r="A93" s="281" t="s">
        <v>772</v>
      </c>
      <c r="C93" s="290"/>
    </row>
    <row r="94" spans="1:18" s="281" customFormat="1" hidden="1" outlineLevel="1" x14ac:dyDescent="0.2">
      <c r="A94" s="281" t="s">
        <v>773</v>
      </c>
      <c r="C94" s="290"/>
    </row>
    <row r="95" spans="1:18" s="281" customFormat="1" hidden="1" outlineLevel="1" x14ac:dyDescent="0.2">
      <c r="A95" s="281" t="s">
        <v>774</v>
      </c>
      <c r="C95" s="290"/>
    </row>
    <row r="96" spans="1:18" s="289" customFormat="1" hidden="1" outlineLevel="1" x14ac:dyDescent="0.2">
      <c r="A96" s="289" t="s">
        <v>775</v>
      </c>
      <c r="C96" s="282"/>
    </row>
    <row r="97" spans="1:18" s="289" customFormat="1" hidden="1" outlineLevel="1" x14ac:dyDescent="0.2">
      <c r="A97" s="289" t="s">
        <v>776</v>
      </c>
      <c r="C97" s="282"/>
    </row>
    <row r="98" spans="1:18" s="289" customFormat="1" hidden="1" outlineLevel="1" x14ac:dyDescent="0.2">
      <c r="A98" s="289" t="s">
        <v>777</v>
      </c>
      <c r="C98" s="282"/>
    </row>
    <row r="99" spans="1:18" s="289" customFormat="1" hidden="1" outlineLevel="1" x14ac:dyDescent="0.2">
      <c r="A99" s="289" t="s">
        <v>778</v>
      </c>
      <c r="C99" s="282"/>
    </row>
    <row r="100" spans="1:18" s="289" customFormat="1" hidden="1" outlineLevel="1" x14ac:dyDescent="0.2">
      <c r="A100" s="289" t="s">
        <v>779</v>
      </c>
      <c r="C100" s="282"/>
    </row>
    <row r="101" spans="1:18" s="289" customFormat="1" ht="28.15" hidden="1" customHeight="1" outlineLevel="1" x14ac:dyDescent="0.2">
      <c r="A101" s="320" t="s">
        <v>780</v>
      </c>
      <c r="B101" s="320"/>
      <c r="C101" s="320"/>
      <c r="D101" s="320"/>
      <c r="E101" s="320"/>
      <c r="F101" s="320"/>
      <c r="G101" s="320"/>
      <c r="H101" s="320"/>
      <c r="I101" s="320"/>
      <c r="J101" s="320"/>
      <c r="K101" s="320"/>
      <c r="L101" s="320"/>
      <c r="M101" s="320"/>
      <c r="N101" s="320"/>
      <c r="O101" s="320"/>
      <c r="P101" s="320"/>
      <c r="Q101" s="320"/>
      <c r="R101" s="320"/>
    </row>
    <row r="102" spans="1:18" s="289" customFormat="1" hidden="1" outlineLevel="1" x14ac:dyDescent="0.2">
      <c r="A102" s="281" t="s">
        <v>781</v>
      </c>
    </row>
    <row r="103" spans="1:18" s="289" customFormat="1" hidden="1" outlineLevel="1" x14ac:dyDescent="0.2">
      <c r="A103" s="281" t="s">
        <v>782</v>
      </c>
    </row>
    <row r="104" spans="1:18" s="289" customFormat="1" hidden="1" outlineLevel="1" x14ac:dyDescent="0.2">
      <c r="A104" s="281" t="s">
        <v>783</v>
      </c>
    </row>
    <row r="105" spans="1:18" s="289" customFormat="1" hidden="1" outlineLevel="1" x14ac:dyDescent="0.2">
      <c r="A105" s="289" t="s">
        <v>784</v>
      </c>
    </row>
    <row r="106" spans="1:18" s="289" customFormat="1" hidden="1" outlineLevel="1" x14ac:dyDescent="0.2">
      <c r="A106" s="289" t="s">
        <v>785</v>
      </c>
    </row>
    <row r="107" spans="1:18" s="289" customFormat="1" hidden="1" outlineLevel="1" x14ac:dyDescent="0.2">
      <c r="A107" s="289" t="s">
        <v>786</v>
      </c>
    </row>
    <row r="108" spans="1:18" s="281" customFormat="1" hidden="1" outlineLevel="1" x14ac:dyDescent="0.2">
      <c r="A108" s="281" t="s">
        <v>787</v>
      </c>
    </row>
    <row r="109" spans="1:18" s="281" customFormat="1" hidden="1" outlineLevel="1" x14ac:dyDescent="0.2">
      <c r="A109" s="281" t="s">
        <v>788</v>
      </c>
    </row>
    <row r="110" spans="1:18" s="281" customFormat="1" hidden="1" outlineLevel="1" x14ac:dyDescent="0.2">
      <c r="A110" s="281" t="s">
        <v>789</v>
      </c>
    </row>
    <row r="111" spans="1:18" s="281" customFormat="1" hidden="1" outlineLevel="1" x14ac:dyDescent="0.2">
      <c r="A111" s="281" t="s">
        <v>790</v>
      </c>
    </row>
    <row r="112" spans="1:18" s="289" customFormat="1" hidden="1" outlineLevel="1" x14ac:dyDescent="0.2">
      <c r="A112" s="289" t="s">
        <v>791</v>
      </c>
    </row>
    <row r="113" spans="1:6" s="289" customFormat="1" hidden="1" outlineLevel="1" x14ac:dyDescent="0.2"/>
    <row r="114" spans="1:6" s="289" customFormat="1" hidden="1" outlineLevel="1" x14ac:dyDescent="0.2">
      <c r="A114" s="289" t="s">
        <v>700</v>
      </c>
    </row>
    <row r="115" spans="1:6" s="289" customFormat="1" hidden="1" outlineLevel="1" x14ac:dyDescent="0.2"/>
    <row r="116" spans="1:6" s="289" customFormat="1" hidden="1" outlineLevel="1" x14ac:dyDescent="0.2"/>
    <row r="117" spans="1:6" s="289" customFormat="1" hidden="1" outlineLevel="1" x14ac:dyDescent="0.2"/>
    <row r="118" spans="1:6" collapsed="1" x14ac:dyDescent="0.2"/>
    <row r="120" spans="1:6" x14ac:dyDescent="0.2">
      <c r="A120" s="295" t="s">
        <v>792</v>
      </c>
      <c r="B120" s="296"/>
      <c r="C120" s="296"/>
      <c r="D120" s="296"/>
      <c r="E120" s="296"/>
    </row>
    <row r="121" spans="1:6" x14ac:dyDescent="0.2">
      <c r="A121" s="275" t="s">
        <v>793</v>
      </c>
    </row>
    <row r="122" spans="1:6" ht="51" x14ac:dyDescent="0.2">
      <c r="A122" s="273" t="s">
        <v>794</v>
      </c>
      <c r="B122" s="274" t="str">
        <f>B5</f>
        <v>Budžeta 28.06.2023. grozījumi</v>
      </c>
      <c r="C122" s="274" t="str">
        <f>"Izpilde"&amp;" "&amp;$C$2</f>
        <v>Izpilde 2023.g. 1.pusgads</v>
      </c>
      <c r="D122" s="274" t="str">
        <f>"Izdevumu izpilde, %,"&amp;" "&amp;$C$2</f>
        <v>Izdevumu izpilde, %, 2023.g. 1.pusgads</v>
      </c>
      <c r="E122" s="274" t="s">
        <v>795</v>
      </c>
      <c r="F122" s="297"/>
    </row>
    <row r="123" spans="1:6" x14ac:dyDescent="0.2">
      <c r="A123" s="275" t="s">
        <v>796</v>
      </c>
      <c r="B123" s="298">
        <v>1174756</v>
      </c>
      <c r="C123" s="298">
        <v>622639</v>
      </c>
      <c r="D123" s="280">
        <f>C123/B123</f>
        <v>0.53001559472775628</v>
      </c>
      <c r="E123" s="298">
        <f>B123/2-C123</f>
        <v>-35261</v>
      </c>
      <c r="F123" s="297"/>
    </row>
    <row r="124" spans="1:6" x14ac:dyDescent="0.2">
      <c r="A124" s="275" t="s">
        <v>797</v>
      </c>
      <c r="B124" s="298">
        <v>102082</v>
      </c>
      <c r="C124" s="298">
        <v>33481</v>
      </c>
      <c r="D124" s="280">
        <f t="shared" ref="D124:D126" si="2">C124/B124</f>
        <v>0.32798142669618541</v>
      </c>
      <c r="E124" s="298">
        <f t="shared" ref="E124:E126" si="3">B124/2-C124</f>
        <v>17560</v>
      </c>
      <c r="F124" s="297"/>
    </row>
    <row r="125" spans="1:6" x14ac:dyDescent="0.2">
      <c r="A125" s="275" t="s">
        <v>798</v>
      </c>
      <c r="B125" s="298">
        <v>1301493</v>
      </c>
      <c r="C125" s="298">
        <v>382252</v>
      </c>
      <c r="D125" s="280">
        <f t="shared" si="2"/>
        <v>0.2937026937524827</v>
      </c>
      <c r="E125" s="298">
        <f t="shared" si="3"/>
        <v>268494.5</v>
      </c>
      <c r="F125" s="297"/>
    </row>
    <row r="126" spans="1:6" x14ac:dyDescent="0.2">
      <c r="A126" s="299" t="s">
        <v>799</v>
      </c>
      <c r="B126" s="300">
        <v>294260</v>
      </c>
      <c r="C126" s="300">
        <v>118198</v>
      </c>
      <c r="D126" s="301">
        <f t="shared" si="2"/>
        <v>0.40167878746686603</v>
      </c>
      <c r="E126" s="300">
        <f t="shared" si="3"/>
        <v>28932</v>
      </c>
      <c r="F126" s="297"/>
    </row>
    <row r="127" spans="1:6" x14ac:dyDescent="0.2">
      <c r="E127" s="302">
        <f>SUM(E123:E126)</f>
        <v>279725.5</v>
      </c>
    </row>
    <row r="128" spans="1:6" x14ac:dyDescent="0.2">
      <c r="B128" s="298"/>
      <c r="C128" s="298"/>
      <c r="D128" s="298"/>
      <c r="E128" s="298"/>
    </row>
  </sheetData>
  <mergeCells count="2">
    <mergeCell ref="A92:R92"/>
    <mergeCell ref="A101:R101"/>
  </mergeCells>
  <conditionalFormatting sqref="B26:C26">
    <cfRule type="expression" dxfId="5" priority="2">
      <formula>$B$26=0</formula>
    </cfRule>
  </conditionalFormatting>
  <conditionalFormatting sqref="B86:C86">
    <cfRule type="expression" dxfId="4" priority="1">
      <formula>$B$86=0</formula>
    </cfRule>
  </conditionalFormatting>
  <pageMargins left="0.7" right="0.7" top="0.75" bottom="0.75" header="0.3" footer="0.3"/>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06C0-E414-480B-9404-3EC4CE423B12}">
  <dimension ref="B3:G17"/>
  <sheetViews>
    <sheetView workbookViewId="0">
      <selection activeCell="F38" sqref="F38"/>
    </sheetView>
  </sheetViews>
  <sheetFormatPr defaultRowHeight="12" x14ac:dyDescent="0.2"/>
  <cols>
    <col min="4" max="4" width="17.140625" customWidth="1"/>
    <col min="5" max="7" width="25.42578125" customWidth="1"/>
  </cols>
  <sheetData>
    <row r="3" spans="2:7" ht="15" x14ac:dyDescent="0.25">
      <c r="B3" s="303" t="s">
        <v>800</v>
      </c>
      <c r="C3" s="304"/>
      <c r="D3" s="305"/>
      <c r="E3" s="304"/>
      <c r="F3" s="304"/>
      <c r="G3" s="304"/>
    </row>
    <row r="4" spans="2:7" ht="15" x14ac:dyDescent="0.25">
      <c r="B4" s="304"/>
      <c r="C4" s="304"/>
      <c r="D4" s="305"/>
      <c r="E4" s="304"/>
      <c r="F4" s="304"/>
      <c r="G4" s="304"/>
    </row>
    <row r="5" spans="2:7" ht="15" x14ac:dyDescent="0.2">
      <c r="B5" s="321"/>
      <c r="C5" s="321"/>
      <c r="D5" s="321"/>
      <c r="E5" s="310" t="s">
        <v>801</v>
      </c>
      <c r="F5" s="310" t="s">
        <v>802</v>
      </c>
      <c r="G5" s="310" t="s">
        <v>803</v>
      </c>
    </row>
    <row r="6" spans="2:7" ht="15" x14ac:dyDescent="0.2">
      <c r="B6" s="321">
        <v>2023</v>
      </c>
      <c r="C6" s="321" t="s">
        <v>804</v>
      </c>
      <c r="D6" s="306" t="s">
        <v>805</v>
      </c>
      <c r="E6" s="311">
        <v>900472.53448045254</v>
      </c>
      <c r="F6" s="311">
        <v>112347.73</v>
      </c>
      <c r="G6" s="318">
        <v>20351</v>
      </c>
    </row>
    <row r="7" spans="2:7" ht="15" x14ac:dyDescent="0.2">
      <c r="B7" s="321"/>
      <c r="C7" s="321"/>
      <c r="D7" s="307" t="s">
        <v>806</v>
      </c>
      <c r="E7" s="312">
        <v>951427</v>
      </c>
      <c r="F7" s="312">
        <v>112905.46000000002</v>
      </c>
      <c r="G7" s="312">
        <v>21089.33</v>
      </c>
    </row>
    <row r="8" spans="2:7" ht="15" x14ac:dyDescent="0.2">
      <c r="B8" s="321"/>
      <c r="C8" s="321" t="s">
        <v>807</v>
      </c>
      <c r="D8" s="306" t="s">
        <v>805</v>
      </c>
      <c r="E8" s="311">
        <v>900472.53448045254</v>
      </c>
      <c r="F8" s="311">
        <v>201158.30999999994</v>
      </c>
      <c r="G8" s="318">
        <v>20351</v>
      </c>
    </row>
    <row r="9" spans="2:7" ht="15" x14ac:dyDescent="0.2">
      <c r="B9" s="321"/>
      <c r="C9" s="321"/>
      <c r="D9" s="307" t="s">
        <v>806</v>
      </c>
      <c r="E9" s="312">
        <v>865115.39999999991</v>
      </c>
      <c r="F9" s="312">
        <v>215426.25000000003</v>
      </c>
      <c r="G9" s="312">
        <v>20245.339999999997</v>
      </c>
    </row>
    <row r="10" spans="2:7" ht="15" x14ac:dyDescent="0.2">
      <c r="B10" s="321"/>
      <c r="C10" s="321" t="s">
        <v>808</v>
      </c>
      <c r="D10" s="306" t="s">
        <v>805</v>
      </c>
      <c r="E10" s="311">
        <v>900472.53448045254</v>
      </c>
      <c r="F10" s="311">
        <v>351463.33999999997</v>
      </c>
      <c r="G10" s="318">
        <v>20351</v>
      </c>
    </row>
    <row r="11" spans="2:7" ht="15" x14ac:dyDescent="0.2">
      <c r="B11" s="321"/>
      <c r="C11" s="321"/>
      <c r="D11" s="307" t="s">
        <v>809</v>
      </c>
      <c r="E11" s="312">
        <v>886888.26</v>
      </c>
      <c r="F11" s="316">
        <v>404513.31</v>
      </c>
      <c r="G11" s="316">
        <v>20108.539999999994</v>
      </c>
    </row>
    <row r="12" spans="2:7" ht="15" x14ac:dyDescent="0.2">
      <c r="B12" s="321"/>
      <c r="C12" s="321" t="s">
        <v>810</v>
      </c>
      <c r="D12" s="306" t="s">
        <v>805</v>
      </c>
      <c r="E12" s="311">
        <v>900472.53448045254</v>
      </c>
      <c r="F12" s="311">
        <v>382369.62000000011</v>
      </c>
      <c r="G12" s="318">
        <v>20351</v>
      </c>
    </row>
    <row r="13" spans="2:7" ht="15" x14ac:dyDescent="0.2">
      <c r="B13" s="321"/>
      <c r="C13" s="321"/>
      <c r="D13" s="307" t="s">
        <v>809</v>
      </c>
      <c r="E13" s="312">
        <v>898459.27</v>
      </c>
      <c r="F13" s="316">
        <v>489882.25000000017</v>
      </c>
      <c r="G13" s="316">
        <v>19960.469999999998</v>
      </c>
    </row>
    <row r="14" spans="2:7" ht="14.25" x14ac:dyDescent="0.2">
      <c r="B14" s="321"/>
      <c r="C14" s="322" t="s">
        <v>811</v>
      </c>
      <c r="D14" s="308" t="s">
        <v>805</v>
      </c>
      <c r="E14" s="313">
        <v>3601890.1379218102</v>
      </c>
      <c r="F14" s="313">
        <v>1047339</v>
      </c>
      <c r="G14" s="313">
        <v>81404</v>
      </c>
    </row>
    <row r="15" spans="2:7" ht="14.25" x14ac:dyDescent="0.2">
      <c r="B15" s="321"/>
      <c r="C15" s="322"/>
      <c r="D15" s="309" t="s">
        <v>809</v>
      </c>
      <c r="E15" s="314">
        <v>3601889.93</v>
      </c>
      <c r="F15" s="317">
        <v>1222727.2700000003</v>
      </c>
      <c r="G15" s="317">
        <v>81403.679999999993</v>
      </c>
    </row>
    <row r="16" spans="2:7" ht="15" x14ac:dyDescent="0.25">
      <c r="B16" s="304"/>
      <c r="C16" s="304"/>
      <c r="D16" s="305" t="s">
        <v>812</v>
      </c>
      <c r="E16" s="315">
        <v>0.20792180998250842</v>
      </c>
      <c r="F16" s="315">
        <v>-175388.27000000025</v>
      </c>
      <c r="G16" s="315">
        <v>0.32000000000698492</v>
      </c>
    </row>
    <row r="17" spans="2:7" ht="15" x14ac:dyDescent="0.25">
      <c r="B17" s="304"/>
      <c r="C17" s="304"/>
      <c r="D17" s="304"/>
      <c r="E17" s="304"/>
      <c r="F17" s="304"/>
      <c r="G17" s="304"/>
    </row>
  </sheetData>
  <mergeCells count="7">
    <mergeCell ref="B5:D5"/>
    <mergeCell ref="B6:B15"/>
    <mergeCell ref="C6:C7"/>
    <mergeCell ref="C8:C9"/>
    <mergeCell ref="C10:C11"/>
    <mergeCell ref="C12:C13"/>
    <mergeCell ref="C14: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FBDC-BD78-4900-9B4C-67EC726CF2E4}">
  <sheetPr>
    <tabColor theme="0" tint="-4.9989318521683403E-2"/>
    <pageSetUpPr fitToPage="1"/>
  </sheetPr>
  <dimension ref="A1:Q278"/>
  <sheetViews>
    <sheetView zoomScaleNormal="100" zoomScaleSheetLayoutView="80" workbookViewId="0">
      <pane xSplit="4" ySplit="5" topLeftCell="E269" activePane="bottomRight" state="frozen"/>
      <selection activeCell="C1" sqref="C1"/>
      <selection pane="topRight" activeCell="E1" sqref="E1"/>
      <selection pane="bottomLeft" activeCell="C6" sqref="C6"/>
      <selection pane="bottomRight" activeCell="A279" sqref="A279:XFD319"/>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32" customWidth="1" collapsed="1"/>
    <col min="4" max="4" width="48.5703125" style="3" customWidth="1"/>
    <col min="5" max="5" width="14.85546875" style="8" customWidth="1"/>
    <col min="6" max="6" width="14.85546875" style="8" customWidth="1" collapsed="1"/>
    <col min="7" max="7" width="14.85546875" style="1" hidden="1" customWidth="1" outlineLevel="1"/>
    <col min="8" max="8" width="54" style="13" hidden="1" customWidth="1" outlineLevel="1" collapsed="1"/>
    <col min="9" max="9" width="14.85546875" style="1" customWidth="1" collapsed="1"/>
    <col min="10" max="10" width="14.85546875" style="1" hidden="1" customWidth="1" outlineLevel="1"/>
    <col min="11" max="11" width="56.42578125" style="13" hidden="1" customWidth="1" outlineLevel="1" collapsed="1"/>
    <col min="12" max="12" width="14.85546875" style="1" customWidth="1" collapsed="1"/>
    <col min="13" max="13" width="14.85546875" style="1" hidden="1" customWidth="1" outlineLevel="1"/>
    <col min="14" max="14" width="56.42578125" style="13" hidden="1" customWidth="1" outlineLevel="1" collapsed="1"/>
    <col min="15" max="15" width="14.85546875" style="133" customWidth="1" collapsed="1"/>
    <col min="16" max="16" width="14.85546875" style="256" customWidth="1" outlineLevel="1" collapsed="1"/>
    <col min="17" max="17" width="41.5703125" style="133" customWidth="1" outlineLevel="1" collapsed="1"/>
    <col min="18" max="183" width="9" style="1"/>
    <col min="184" max="185" width="0" style="1" hidden="1" customWidth="1"/>
    <col min="186" max="186" width="13.7109375" style="1" customWidth="1"/>
    <col min="187" max="187" width="52.85546875" style="1" customWidth="1"/>
    <col min="188" max="227" width="0" style="1" hidden="1" customWidth="1"/>
    <col min="228"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8" width="14.85546875" style="1" customWidth="1"/>
    <col min="239" max="240" width="0" style="1" hidden="1" customWidth="1"/>
    <col min="241" max="241" width="14.85546875" style="1" customWidth="1"/>
    <col min="242" max="243" width="0" style="1" hidden="1" customWidth="1"/>
    <col min="244" max="245" width="14.85546875" style="1" customWidth="1"/>
    <col min="246" max="246" width="44.42578125" style="1" customWidth="1"/>
    <col min="247" max="251" width="14.85546875" style="1" customWidth="1"/>
    <col min="252" max="252" width="63.85546875" style="1" customWidth="1"/>
    <col min="253" max="253" width="13.28515625" style="1" customWidth="1"/>
    <col min="254" max="439" width="9" style="1"/>
    <col min="440" max="441" width="0" style="1" hidden="1" customWidth="1"/>
    <col min="442" max="442" width="13.7109375" style="1" customWidth="1"/>
    <col min="443" max="443" width="52.85546875" style="1" customWidth="1"/>
    <col min="444" max="483" width="0" style="1" hidden="1" customWidth="1"/>
    <col min="484"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4" width="14.85546875" style="1" customWidth="1"/>
    <col min="495" max="496" width="0" style="1" hidden="1" customWidth="1"/>
    <col min="497" max="497" width="14.85546875" style="1" customWidth="1"/>
    <col min="498" max="499" width="0" style="1" hidden="1" customWidth="1"/>
    <col min="500" max="501" width="14.85546875" style="1" customWidth="1"/>
    <col min="502" max="502" width="44.42578125" style="1" customWidth="1"/>
    <col min="503" max="507" width="14.85546875" style="1" customWidth="1"/>
    <col min="508" max="508" width="63.85546875" style="1" customWidth="1"/>
    <col min="509" max="509" width="13.28515625" style="1" customWidth="1"/>
    <col min="510" max="695" width="9" style="1"/>
    <col min="696" max="697" width="0" style="1" hidden="1" customWidth="1"/>
    <col min="698" max="698" width="13.7109375" style="1" customWidth="1"/>
    <col min="699" max="699" width="52.85546875" style="1" customWidth="1"/>
    <col min="700" max="739" width="0" style="1" hidden="1" customWidth="1"/>
    <col min="740"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0" width="14.85546875" style="1" customWidth="1"/>
    <col min="751" max="752" width="0" style="1" hidden="1" customWidth="1"/>
    <col min="753" max="753" width="14.85546875" style="1" customWidth="1"/>
    <col min="754" max="755" width="0" style="1" hidden="1" customWidth="1"/>
    <col min="756" max="757" width="14.85546875" style="1" customWidth="1"/>
    <col min="758" max="758" width="44.42578125" style="1" customWidth="1"/>
    <col min="759" max="763" width="14.85546875" style="1" customWidth="1"/>
    <col min="764" max="764" width="63.85546875" style="1" customWidth="1"/>
    <col min="765" max="765" width="13.28515625" style="1" customWidth="1"/>
    <col min="766" max="951" width="9" style="1"/>
    <col min="952" max="953" width="0" style="1" hidden="1" customWidth="1"/>
    <col min="954" max="954" width="13.7109375" style="1" customWidth="1"/>
    <col min="955" max="955" width="52.85546875" style="1" customWidth="1"/>
    <col min="956" max="995" width="0" style="1" hidden="1" customWidth="1"/>
    <col min="996"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6" width="14.85546875" style="1" customWidth="1"/>
    <col min="1007" max="1008" width="0" style="1" hidden="1" customWidth="1"/>
    <col min="1009" max="1009" width="14.85546875" style="1" customWidth="1"/>
    <col min="1010" max="1011" width="0" style="1" hidden="1" customWidth="1"/>
    <col min="1012" max="1013" width="14.85546875" style="1" customWidth="1"/>
    <col min="1014" max="1014" width="44.42578125" style="1" customWidth="1"/>
    <col min="1015" max="1019" width="14.85546875" style="1" customWidth="1"/>
    <col min="1020" max="1020" width="63.85546875" style="1" customWidth="1"/>
    <col min="1021" max="1021" width="13.28515625" style="1" customWidth="1"/>
    <col min="1022" max="1207" width="9" style="1"/>
    <col min="1208" max="1209" width="0" style="1" hidden="1" customWidth="1"/>
    <col min="1210" max="1210" width="13.7109375" style="1" customWidth="1"/>
    <col min="1211" max="1211" width="52.85546875" style="1" customWidth="1"/>
    <col min="1212" max="1251" width="0" style="1" hidden="1" customWidth="1"/>
    <col min="1252"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2" width="14.85546875" style="1" customWidth="1"/>
    <col min="1263" max="1264" width="0" style="1" hidden="1" customWidth="1"/>
    <col min="1265" max="1265" width="14.85546875" style="1" customWidth="1"/>
    <col min="1266" max="1267" width="0" style="1" hidden="1" customWidth="1"/>
    <col min="1268" max="1269" width="14.85546875" style="1" customWidth="1"/>
    <col min="1270" max="1270" width="44.42578125" style="1" customWidth="1"/>
    <col min="1271" max="1275" width="14.85546875" style="1" customWidth="1"/>
    <col min="1276" max="1276" width="63.85546875" style="1" customWidth="1"/>
    <col min="1277" max="1277" width="13.28515625" style="1" customWidth="1"/>
    <col min="1278" max="1463" width="9" style="1"/>
    <col min="1464" max="1465" width="0" style="1" hidden="1" customWidth="1"/>
    <col min="1466" max="1466" width="13.7109375" style="1" customWidth="1"/>
    <col min="1467" max="1467" width="52.85546875" style="1" customWidth="1"/>
    <col min="1468" max="1507" width="0" style="1" hidden="1" customWidth="1"/>
    <col min="1508"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8" width="14.85546875" style="1" customWidth="1"/>
    <col min="1519" max="1520" width="0" style="1" hidden="1" customWidth="1"/>
    <col min="1521" max="1521" width="14.85546875" style="1" customWidth="1"/>
    <col min="1522" max="1523" width="0" style="1" hidden="1" customWidth="1"/>
    <col min="1524" max="1525" width="14.85546875" style="1" customWidth="1"/>
    <col min="1526" max="1526" width="44.42578125" style="1" customWidth="1"/>
    <col min="1527" max="1531" width="14.85546875" style="1" customWidth="1"/>
    <col min="1532" max="1532" width="63.85546875" style="1" customWidth="1"/>
    <col min="1533" max="1533" width="13.28515625" style="1" customWidth="1"/>
    <col min="1534" max="1719" width="9" style="1"/>
    <col min="1720" max="1721" width="0" style="1" hidden="1" customWidth="1"/>
    <col min="1722" max="1722" width="13.7109375" style="1" customWidth="1"/>
    <col min="1723" max="1723" width="52.85546875" style="1" customWidth="1"/>
    <col min="1724" max="1763" width="0" style="1" hidden="1" customWidth="1"/>
    <col min="1764"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4" width="14.85546875" style="1" customWidth="1"/>
    <col min="1775" max="1776" width="0" style="1" hidden="1" customWidth="1"/>
    <col min="1777" max="1777" width="14.85546875" style="1" customWidth="1"/>
    <col min="1778" max="1779" width="0" style="1" hidden="1" customWidth="1"/>
    <col min="1780" max="1781" width="14.85546875" style="1" customWidth="1"/>
    <col min="1782" max="1782" width="44.42578125" style="1" customWidth="1"/>
    <col min="1783" max="1787" width="14.85546875" style="1" customWidth="1"/>
    <col min="1788" max="1788" width="63.85546875" style="1" customWidth="1"/>
    <col min="1789" max="1789" width="13.28515625" style="1" customWidth="1"/>
    <col min="1790" max="1975" width="9" style="1"/>
    <col min="1976" max="1977" width="0" style="1" hidden="1" customWidth="1"/>
    <col min="1978" max="1978" width="13.7109375" style="1" customWidth="1"/>
    <col min="1979" max="1979" width="52.85546875" style="1" customWidth="1"/>
    <col min="1980" max="2019" width="0" style="1" hidden="1" customWidth="1"/>
    <col min="2020"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0" width="14.85546875" style="1" customWidth="1"/>
    <col min="2031" max="2032" width="0" style="1" hidden="1" customWidth="1"/>
    <col min="2033" max="2033" width="14.85546875" style="1" customWidth="1"/>
    <col min="2034" max="2035" width="0" style="1" hidden="1" customWidth="1"/>
    <col min="2036" max="2037" width="14.85546875" style="1" customWidth="1"/>
    <col min="2038" max="2038" width="44.42578125" style="1" customWidth="1"/>
    <col min="2039" max="2043" width="14.85546875" style="1" customWidth="1"/>
    <col min="2044" max="2044" width="63.85546875" style="1" customWidth="1"/>
    <col min="2045" max="2045" width="13.28515625" style="1" customWidth="1"/>
    <col min="2046" max="2231" width="9" style="1"/>
    <col min="2232" max="2233" width="0" style="1" hidden="1" customWidth="1"/>
    <col min="2234" max="2234" width="13.7109375" style="1" customWidth="1"/>
    <col min="2235" max="2235" width="52.85546875" style="1" customWidth="1"/>
    <col min="2236" max="2275" width="0" style="1" hidden="1" customWidth="1"/>
    <col min="2276"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6" width="14.85546875" style="1" customWidth="1"/>
    <col min="2287" max="2288" width="0" style="1" hidden="1" customWidth="1"/>
    <col min="2289" max="2289" width="14.85546875" style="1" customWidth="1"/>
    <col min="2290" max="2291" width="0" style="1" hidden="1" customWidth="1"/>
    <col min="2292" max="2293" width="14.85546875" style="1" customWidth="1"/>
    <col min="2294" max="2294" width="44.42578125" style="1" customWidth="1"/>
    <col min="2295" max="2299" width="14.85546875" style="1" customWidth="1"/>
    <col min="2300" max="2300" width="63.85546875" style="1" customWidth="1"/>
    <col min="2301" max="2301" width="13.28515625" style="1" customWidth="1"/>
    <col min="2302" max="2487" width="9" style="1"/>
    <col min="2488" max="2489" width="0" style="1" hidden="1" customWidth="1"/>
    <col min="2490" max="2490" width="13.7109375" style="1" customWidth="1"/>
    <col min="2491" max="2491" width="52.85546875" style="1" customWidth="1"/>
    <col min="2492" max="2531" width="0" style="1" hidden="1" customWidth="1"/>
    <col min="2532"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2" width="14.85546875" style="1" customWidth="1"/>
    <col min="2543" max="2544" width="0" style="1" hidden="1" customWidth="1"/>
    <col min="2545" max="2545" width="14.85546875" style="1" customWidth="1"/>
    <col min="2546" max="2547" width="0" style="1" hidden="1" customWidth="1"/>
    <col min="2548" max="2549" width="14.85546875" style="1" customWidth="1"/>
    <col min="2550" max="2550" width="44.42578125" style="1" customWidth="1"/>
    <col min="2551" max="2555" width="14.85546875" style="1" customWidth="1"/>
    <col min="2556" max="2556" width="63.85546875" style="1" customWidth="1"/>
    <col min="2557" max="2557" width="13.28515625" style="1" customWidth="1"/>
    <col min="2558" max="2743" width="9" style="1"/>
    <col min="2744" max="2745" width="0" style="1" hidden="1" customWidth="1"/>
    <col min="2746" max="2746" width="13.7109375" style="1" customWidth="1"/>
    <col min="2747" max="2747" width="52.85546875" style="1" customWidth="1"/>
    <col min="2748" max="2787" width="0" style="1" hidden="1" customWidth="1"/>
    <col min="2788"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8" width="14.85546875" style="1" customWidth="1"/>
    <col min="2799" max="2800" width="0" style="1" hidden="1" customWidth="1"/>
    <col min="2801" max="2801" width="14.85546875" style="1" customWidth="1"/>
    <col min="2802" max="2803" width="0" style="1" hidden="1" customWidth="1"/>
    <col min="2804" max="2805" width="14.85546875" style="1" customWidth="1"/>
    <col min="2806" max="2806" width="44.42578125" style="1" customWidth="1"/>
    <col min="2807" max="2811" width="14.85546875" style="1" customWidth="1"/>
    <col min="2812" max="2812" width="63.85546875" style="1" customWidth="1"/>
    <col min="2813" max="2813" width="13.28515625" style="1" customWidth="1"/>
    <col min="2814" max="2999" width="9" style="1"/>
    <col min="3000" max="3001" width="0" style="1" hidden="1" customWidth="1"/>
    <col min="3002" max="3002" width="13.7109375" style="1" customWidth="1"/>
    <col min="3003" max="3003" width="52.85546875" style="1" customWidth="1"/>
    <col min="3004" max="3043" width="0" style="1" hidden="1" customWidth="1"/>
    <col min="3044"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4" width="14.85546875" style="1" customWidth="1"/>
    <col min="3055" max="3056" width="0" style="1" hidden="1" customWidth="1"/>
    <col min="3057" max="3057" width="14.85546875" style="1" customWidth="1"/>
    <col min="3058" max="3059" width="0" style="1" hidden="1" customWidth="1"/>
    <col min="3060" max="3061" width="14.85546875" style="1" customWidth="1"/>
    <col min="3062" max="3062" width="44.42578125" style="1" customWidth="1"/>
    <col min="3063" max="3067" width="14.85546875" style="1" customWidth="1"/>
    <col min="3068" max="3068" width="63.85546875" style="1" customWidth="1"/>
    <col min="3069" max="3069" width="13.28515625" style="1" customWidth="1"/>
    <col min="3070" max="3255" width="9" style="1"/>
    <col min="3256" max="3257" width="0" style="1" hidden="1" customWidth="1"/>
    <col min="3258" max="3258" width="13.7109375" style="1" customWidth="1"/>
    <col min="3259" max="3259" width="52.85546875" style="1" customWidth="1"/>
    <col min="3260" max="3299" width="0" style="1" hidden="1" customWidth="1"/>
    <col min="3300"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0" width="14.85546875" style="1" customWidth="1"/>
    <col min="3311" max="3312" width="0" style="1" hidden="1" customWidth="1"/>
    <col min="3313" max="3313" width="14.85546875" style="1" customWidth="1"/>
    <col min="3314" max="3315" width="0" style="1" hidden="1" customWidth="1"/>
    <col min="3316" max="3317" width="14.85546875" style="1" customWidth="1"/>
    <col min="3318" max="3318" width="44.42578125" style="1" customWidth="1"/>
    <col min="3319" max="3323" width="14.85546875" style="1" customWidth="1"/>
    <col min="3324" max="3324" width="63.85546875" style="1" customWidth="1"/>
    <col min="3325" max="3325" width="13.28515625" style="1" customWidth="1"/>
    <col min="3326" max="3511" width="9" style="1"/>
    <col min="3512" max="3513" width="0" style="1" hidden="1" customWidth="1"/>
    <col min="3514" max="3514" width="13.7109375" style="1" customWidth="1"/>
    <col min="3515" max="3515" width="52.85546875" style="1" customWidth="1"/>
    <col min="3516" max="3555" width="0" style="1" hidden="1" customWidth="1"/>
    <col min="3556"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6" width="14.85546875" style="1" customWidth="1"/>
    <col min="3567" max="3568" width="0" style="1" hidden="1" customWidth="1"/>
    <col min="3569" max="3569" width="14.85546875" style="1" customWidth="1"/>
    <col min="3570" max="3571" width="0" style="1" hidden="1" customWidth="1"/>
    <col min="3572" max="3573" width="14.85546875" style="1" customWidth="1"/>
    <col min="3574" max="3574" width="44.42578125" style="1" customWidth="1"/>
    <col min="3575" max="3579" width="14.85546875" style="1" customWidth="1"/>
    <col min="3580" max="3580" width="63.85546875" style="1" customWidth="1"/>
    <col min="3581" max="3581" width="13.28515625" style="1" customWidth="1"/>
    <col min="3582" max="3767" width="9" style="1"/>
    <col min="3768" max="3769" width="0" style="1" hidden="1" customWidth="1"/>
    <col min="3770" max="3770" width="13.7109375" style="1" customWidth="1"/>
    <col min="3771" max="3771" width="52.85546875" style="1" customWidth="1"/>
    <col min="3772" max="3811" width="0" style="1" hidden="1" customWidth="1"/>
    <col min="3812"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2" width="14.85546875" style="1" customWidth="1"/>
    <col min="3823" max="3824" width="0" style="1" hidden="1" customWidth="1"/>
    <col min="3825" max="3825" width="14.85546875" style="1" customWidth="1"/>
    <col min="3826" max="3827" width="0" style="1" hidden="1" customWidth="1"/>
    <col min="3828" max="3829" width="14.85546875" style="1" customWidth="1"/>
    <col min="3830" max="3830" width="44.42578125" style="1" customWidth="1"/>
    <col min="3831" max="3835" width="14.85546875" style="1" customWidth="1"/>
    <col min="3836" max="3836" width="63.85546875" style="1" customWidth="1"/>
    <col min="3837" max="3837" width="13.28515625" style="1" customWidth="1"/>
    <col min="3838" max="4023" width="9" style="1"/>
    <col min="4024" max="4025" width="0" style="1" hidden="1" customWidth="1"/>
    <col min="4026" max="4026" width="13.7109375" style="1" customWidth="1"/>
    <col min="4027" max="4027" width="52.85546875" style="1" customWidth="1"/>
    <col min="4028" max="4067" width="0" style="1" hidden="1" customWidth="1"/>
    <col min="4068"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8" width="14.85546875" style="1" customWidth="1"/>
    <col min="4079" max="4080" width="0" style="1" hidden="1" customWidth="1"/>
    <col min="4081" max="4081" width="14.85546875" style="1" customWidth="1"/>
    <col min="4082" max="4083" width="0" style="1" hidden="1" customWidth="1"/>
    <col min="4084" max="4085" width="14.85546875" style="1" customWidth="1"/>
    <col min="4086" max="4086" width="44.42578125" style="1" customWidth="1"/>
    <col min="4087" max="4091" width="14.85546875" style="1" customWidth="1"/>
    <col min="4092" max="4092" width="63.85546875" style="1" customWidth="1"/>
    <col min="4093" max="4093" width="13.28515625" style="1" customWidth="1"/>
    <col min="4094" max="4279" width="9" style="1"/>
    <col min="4280" max="4281" width="0" style="1" hidden="1" customWidth="1"/>
    <col min="4282" max="4282" width="13.7109375" style="1" customWidth="1"/>
    <col min="4283" max="4283" width="52.85546875" style="1" customWidth="1"/>
    <col min="4284" max="4323" width="0" style="1" hidden="1" customWidth="1"/>
    <col min="4324"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4" width="14.85546875" style="1" customWidth="1"/>
    <col min="4335" max="4336" width="0" style="1" hidden="1" customWidth="1"/>
    <col min="4337" max="4337" width="14.85546875" style="1" customWidth="1"/>
    <col min="4338" max="4339" width="0" style="1" hidden="1" customWidth="1"/>
    <col min="4340" max="4341" width="14.85546875" style="1" customWidth="1"/>
    <col min="4342" max="4342" width="44.42578125" style="1" customWidth="1"/>
    <col min="4343" max="4347" width="14.85546875" style="1" customWidth="1"/>
    <col min="4348" max="4348" width="63.85546875" style="1" customWidth="1"/>
    <col min="4349" max="4349" width="13.28515625" style="1" customWidth="1"/>
    <col min="4350" max="4535" width="9" style="1"/>
    <col min="4536" max="4537" width="0" style="1" hidden="1" customWidth="1"/>
    <col min="4538" max="4538" width="13.7109375" style="1" customWidth="1"/>
    <col min="4539" max="4539" width="52.85546875" style="1" customWidth="1"/>
    <col min="4540" max="4579" width="0" style="1" hidden="1" customWidth="1"/>
    <col min="4580"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0" width="14.85546875" style="1" customWidth="1"/>
    <col min="4591" max="4592" width="0" style="1" hidden="1" customWidth="1"/>
    <col min="4593" max="4593" width="14.85546875" style="1" customWidth="1"/>
    <col min="4594" max="4595" width="0" style="1" hidden="1" customWidth="1"/>
    <col min="4596" max="4597" width="14.85546875" style="1" customWidth="1"/>
    <col min="4598" max="4598" width="44.42578125" style="1" customWidth="1"/>
    <col min="4599" max="4603" width="14.85546875" style="1" customWidth="1"/>
    <col min="4604" max="4604" width="63.85546875" style="1" customWidth="1"/>
    <col min="4605" max="4605" width="13.28515625" style="1" customWidth="1"/>
    <col min="4606" max="4791" width="9" style="1"/>
    <col min="4792" max="4793" width="0" style="1" hidden="1" customWidth="1"/>
    <col min="4794" max="4794" width="13.7109375" style="1" customWidth="1"/>
    <col min="4795" max="4795" width="52.85546875" style="1" customWidth="1"/>
    <col min="4796" max="4835" width="0" style="1" hidden="1" customWidth="1"/>
    <col min="4836"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6" width="14.85546875" style="1" customWidth="1"/>
    <col min="4847" max="4848" width="0" style="1" hidden="1" customWidth="1"/>
    <col min="4849" max="4849" width="14.85546875" style="1" customWidth="1"/>
    <col min="4850" max="4851" width="0" style="1" hidden="1" customWidth="1"/>
    <col min="4852" max="4853" width="14.85546875" style="1" customWidth="1"/>
    <col min="4854" max="4854" width="44.42578125" style="1" customWidth="1"/>
    <col min="4855" max="4859" width="14.85546875" style="1" customWidth="1"/>
    <col min="4860" max="4860" width="63.85546875" style="1" customWidth="1"/>
    <col min="4861" max="4861" width="13.28515625" style="1" customWidth="1"/>
    <col min="4862" max="5047" width="9" style="1"/>
    <col min="5048" max="5049" width="0" style="1" hidden="1" customWidth="1"/>
    <col min="5050" max="5050" width="13.7109375" style="1" customWidth="1"/>
    <col min="5051" max="5051" width="52.85546875" style="1" customWidth="1"/>
    <col min="5052" max="5091" width="0" style="1" hidden="1" customWidth="1"/>
    <col min="5092"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2" width="14.85546875" style="1" customWidth="1"/>
    <col min="5103" max="5104" width="0" style="1" hidden="1" customWidth="1"/>
    <col min="5105" max="5105" width="14.85546875" style="1" customWidth="1"/>
    <col min="5106" max="5107" width="0" style="1" hidden="1" customWidth="1"/>
    <col min="5108" max="5109" width="14.85546875" style="1" customWidth="1"/>
    <col min="5110" max="5110" width="44.42578125" style="1" customWidth="1"/>
    <col min="5111" max="5115" width="14.85546875" style="1" customWidth="1"/>
    <col min="5116" max="5116" width="63.85546875" style="1" customWidth="1"/>
    <col min="5117" max="5117" width="13.28515625" style="1" customWidth="1"/>
    <col min="5118" max="5303" width="9" style="1"/>
    <col min="5304" max="5305" width="0" style="1" hidden="1" customWidth="1"/>
    <col min="5306" max="5306" width="13.7109375" style="1" customWidth="1"/>
    <col min="5307" max="5307" width="52.85546875" style="1" customWidth="1"/>
    <col min="5308" max="5347" width="0" style="1" hidden="1" customWidth="1"/>
    <col min="5348"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8" width="14.85546875" style="1" customWidth="1"/>
    <col min="5359" max="5360" width="0" style="1" hidden="1" customWidth="1"/>
    <col min="5361" max="5361" width="14.85546875" style="1" customWidth="1"/>
    <col min="5362" max="5363" width="0" style="1" hidden="1" customWidth="1"/>
    <col min="5364" max="5365" width="14.85546875" style="1" customWidth="1"/>
    <col min="5366" max="5366" width="44.42578125" style="1" customWidth="1"/>
    <col min="5367" max="5371" width="14.85546875" style="1" customWidth="1"/>
    <col min="5372" max="5372" width="63.85546875" style="1" customWidth="1"/>
    <col min="5373" max="5373" width="13.28515625" style="1" customWidth="1"/>
    <col min="5374" max="5559" width="9" style="1"/>
    <col min="5560" max="5561" width="0" style="1" hidden="1" customWidth="1"/>
    <col min="5562" max="5562" width="13.7109375" style="1" customWidth="1"/>
    <col min="5563" max="5563" width="52.85546875" style="1" customWidth="1"/>
    <col min="5564" max="5603" width="0" style="1" hidden="1" customWidth="1"/>
    <col min="5604"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4" width="14.85546875" style="1" customWidth="1"/>
    <col min="5615" max="5616" width="0" style="1" hidden="1" customWidth="1"/>
    <col min="5617" max="5617" width="14.85546875" style="1" customWidth="1"/>
    <col min="5618" max="5619" width="0" style="1" hidden="1" customWidth="1"/>
    <col min="5620" max="5621" width="14.85546875" style="1" customWidth="1"/>
    <col min="5622" max="5622" width="44.42578125" style="1" customWidth="1"/>
    <col min="5623" max="5627" width="14.85546875" style="1" customWidth="1"/>
    <col min="5628" max="5628" width="63.85546875" style="1" customWidth="1"/>
    <col min="5629" max="5629" width="13.28515625" style="1" customWidth="1"/>
    <col min="5630" max="5815" width="9" style="1"/>
    <col min="5816" max="5817" width="0" style="1" hidden="1" customWidth="1"/>
    <col min="5818" max="5818" width="13.7109375" style="1" customWidth="1"/>
    <col min="5819" max="5819" width="52.85546875" style="1" customWidth="1"/>
    <col min="5820" max="5859" width="0" style="1" hidden="1" customWidth="1"/>
    <col min="5860"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0" width="14.85546875" style="1" customWidth="1"/>
    <col min="5871" max="5872" width="0" style="1" hidden="1" customWidth="1"/>
    <col min="5873" max="5873" width="14.85546875" style="1" customWidth="1"/>
    <col min="5874" max="5875" width="0" style="1" hidden="1" customWidth="1"/>
    <col min="5876" max="5877" width="14.85546875" style="1" customWidth="1"/>
    <col min="5878" max="5878" width="44.42578125" style="1" customWidth="1"/>
    <col min="5879" max="5883" width="14.85546875" style="1" customWidth="1"/>
    <col min="5884" max="5884" width="63.85546875" style="1" customWidth="1"/>
    <col min="5885" max="5885" width="13.28515625" style="1" customWidth="1"/>
    <col min="5886" max="6071" width="9" style="1"/>
    <col min="6072" max="6073" width="0" style="1" hidden="1" customWidth="1"/>
    <col min="6074" max="6074" width="13.7109375" style="1" customWidth="1"/>
    <col min="6075" max="6075" width="52.85546875" style="1" customWidth="1"/>
    <col min="6076" max="6115" width="0" style="1" hidden="1" customWidth="1"/>
    <col min="6116"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6" width="14.85546875" style="1" customWidth="1"/>
    <col min="6127" max="6128" width="0" style="1" hidden="1" customWidth="1"/>
    <col min="6129" max="6129" width="14.85546875" style="1" customWidth="1"/>
    <col min="6130" max="6131" width="0" style="1" hidden="1" customWidth="1"/>
    <col min="6132" max="6133" width="14.85546875" style="1" customWidth="1"/>
    <col min="6134" max="6134" width="44.42578125" style="1" customWidth="1"/>
    <col min="6135" max="6139" width="14.85546875" style="1" customWidth="1"/>
    <col min="6140" max="6140" width="63.85546875" style="1" customWidth="1"/>
    <col min="6141" max="6141" width="13.28515625" style="1" customWidth="1"/>
    <col min="6142" max="6327" width="9" style="1"/>
    <col min="6328" max="6329" width="0" style="1" hidden="1" customWidth="1"/>
    <col min="6330" max="6330" width="13.7109375" style="1" customWidth="1"/>
    <col min="6331" max="6331" width="52.85546875" style="1" customWidth="1"/>
    <col min="6332" max="6371" width="0" style="1" hidden="1" customWidth="1"/>
    <col min="6372"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2" width="14.85546875" style="1" customWidth="1"/>
    <col min="6383" max="6384" width="0" style="1" hidden="1" customWidth="1"/>
    <col min="6385" max="6385" width="14.85546875" style="1" customWidth="1"/>
    <col min="6386" max="6387" width="0" style="1" hidden="1" customWidth="1"/>
    <col min="6388" max="6389" width="14.85546875" style="1" customWidth="1"/>
    <col min="6390" max="6390" width="44.42578125" style="1" customWidth="1"/>
    <col min="6391" max="6395" width="14.85546875" style="1" customWidth="1"/>
    <col min="6396" max="6396" width="63.85546875" style="1" customWidth="1"/>
    <col min="6397" max="6397" width="13.28515625" style="1" customWidth="1"/>
    <col min="6398" max="6583" width="9" style="1"/>
    <col min="6584" max="6585" width="0" style="1" hidden="1" customWidth="1"/>
    <col min="6586" max="6586" width="13.7109375" style="1" customWidth="1"/>
    <col min="6587" max="6587" width="52.85546875" style="1" customWidth="1"/>
    <col min="6588" max="6627" width="0" style="1" hidden="1" customWidth="1"/>
    <col min="6628"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8" width="14.85546875" style="1" customWidth="1"/>
    <col min="6639" max="6640" width="0" style="1" hidden="1" customWidth="1"/>
    <col min="6641" max="6641" width="14.85546875" style="1" customWidth="1"/>
    <col min="6642" max="6643" width="0" style="1" hidden="1" customWidth="1"/>
    <col min="6644" max="6645" width="14.85546875" style="1" customWidth="1"/>
    <col min="6646" max="6646" width="44.42578125" style="1" customWidth="1"/>
    <col min="6647" max="6651" width="14.85546875" style="1" customWidth="1"/>
    <col min="6652" max="6652" width="63.85546875" style="1" customWidth="1"/>
    <col min="6653" max="6653" width="13.28515625" style="1" customWidth="1"/>
    <col min="6654" max="6839" width="9" style="1"/>
    <col min="6840" max="6841" width="0" style="1" hidden="1" customWidth="1"/>
    <col min="6842" max="6842" width="13.7109375" style="1" customWidth="1"/>
    <col min="6843" max="6843" width="52.85546875" style="1" customWidth="1"/>
    <col min="6844" max="6883" width="0" style="1" hidden="1" customWidth="1"/>
    <col min="6884"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4" width="14.85546875" style="1" customWidth="1"/>
    <col min="6895" max="6896" width="0" style="1" hidden="1" customWidth="1"/>
    <col min="6897" max="6897" width="14.85546875" style="1" customWidth="1"/>
    <col min="6898" max="6899" width="0" style="1" hidden="1" customWidth="1"/>
    <col min="6900" max="6901" width="14.85546875" style="1" customWidth="1"/>
    <col min="6902" max="6902" width="44.42578125" style="1" customWidth="1"/>
    <col min="6903" max="6907" width="14.85546875" style="1" customWidth="1"/>
    <col min="6908" max="6908" width="63.85546875" style="1" customWidth="1"/>
    <col min="6909" max="6909" width="13.28515625" style="1" customWidth="1"/>
    <col min="6910" max="7095" width="9" style="1"/>
    <col min="7096" max="7097" width="0" style="1" hidden="1" customWidth="1"/>
    <col min="7098" max="7098" width="13.7109375" style="1" customWidth="1"/>
    <col min="7099" max="7099" width="52.85546875" style="1" customWidth="1"/>
    <col min="7100" max="7139" width="0" style="1" hidden="1" customWidth="1"/>
    <col min="7140"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0" width="14.85546875" style="1" customWidth="1"/>
    <col min="7151" max="7152" width="0" style="1" hidden="1" customWidth="1"/>
    <col min="7153" max="7153" width="14.85546875" style="1" customWidth="1"/>
    <col min="7154" max="7155" width="0" style="1" hidden="1" customWidth="1"/>
    <col min="7156" max="7157" width="14.85546875" style="1" customWidth="1"/>
    <col min="7158" max="7158" width="44.42578125" style="1" customWidth="1"/>
    <col min="7159" max="7163" width="14.85546875" style="1" customWidth="1"/>
    <col min="7164" max="7164" width="63.85546875" style="1" customWidth="1"/>
    <col min="7165" max="7165" width="13.28515625" style="1" customWidth="1"/>
    <col min="7166" max="7351" width="9" style="1"/>
    <col min="7352" max="7353" width="0" style="1" hidden="1" customWidth="1"/>
    <col min="7354" max="7354" width="13.7109375" style="1" customWidth="1"/>
    <col min="7355" max="7355" width="52.85546875" style="1" customWidth="1"/>
    <col min="7356" max="7395" width="0" style="1" hidden="1" customWidth="1"/>
    <col min="7396"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6" width="14.85546875" style="1" customWidth="1"/>
    <col min="7407" max="7408" width="0" style="1" hidden="1" customWidth="1"/>
    <col min="7409" max="7409" width="14.85546875" style="1" customWidth="1"/>
    <col min="7410" max="7411" width="0" style="1" hidden="1" customWidth="1"/>
    <col min="7412" max="7413" width="14.85546875" style="1" customWidth="1"/>
    <col min="7414" max="7414" width="44.42578125" style="1" customWidth="1"/>
    <col min="7415" max="7419" width="14.85546875" style="1" customWidth="1"/>
    <col min="7420" max="7420" width="63.85546875" style="1" customWidth="1"/>
    <col min="7421" max="7421" width="13.28515625" style="1" customWidth="1"/>
    <col min="7422" max="7607" width="9" style="1"/>
    <col min="7608" max="7609" width="0" style="1" hidden="1" customWidth="1"/>
    <col min="7610" max="7610" width="13.7109375" style="1" customWidth="1"/>
    <col min="7611" max="7611" width="52.85546875" style="1" customWidth="1"/>
    <col min="7612" max="7651" width="0" style="1" hidden="1" customWidth="1"/>
    <col min="7652"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2" width="14.85546875" style="1" customWidth="1"/>
    <col min="7663" max="7664" width="0" style="1" hidden="1" customWidth="1"/>
    <col min="7665" max="7665" width="14.85546875" style="1" customWidth="1"/>
    <col min="7666" max="7667" width="0" style="1" hidden="1" customWidth="1"/>
    <col min="7668" max="7669" width="14.85546875" style="1" customWidth="1"/>
    <col min="7670" max="7670" width="44.42578125" style="1" customWidth="1"/>
    <col min="7671" max="7675" width="14.85546875" style="1" customWidth="1"/>
    <col min="7676" max="7676" width="63.85546875" style="1" customWidth="1"/>
    <col min="7677" max="7677" width="13.28515625" style="1" customWidth="1"/>
    <col min="7678" max="7863" width="9" style="1"/>
    <col min="7864" max="7865" width="0" style="1" hidden="1" customWidth="1"/>
    <col min="7866" max="7866" width="13.7109375" style="1" customWidth="1"/>
    <col min="7867" max="7867" width="52.85546875" style="1" customWidth="1"/>
    <col min="7868" max="7907" width="0" style="1" hidden="1" customWidth="1"/>
    <col min="7908"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8" width="14.85546875" style="1" customWidth="1"/>
    <col min="7919" max="7920" width="0" style="1" hidden="1" customWidth="1"/>
    <col min="7921" max="7921" width="14.85546875" style="1" customWidth="1"/>
    <col min="7922" max="7923" width="0" style="1" hidden="1" customWidth="1"/>
    <col min="7924" max="7925" width="14.85546875" style="1" customWidth="1"/>
    <col min="7926" max="7926" width="44.42578125" style="1" customWidth="1"/>
    <col min="7927" max="7931" width="14.85546875" style="1" customWidth="1"/>
    <col min="7932" max="7932" width="63.85546875" style="1" customWidth="1"/>
    <col min="7933" max="7933" width="13.28515625" style="1" customWidth="1"/>
    <col min="7934" max="8119" width="9" style="1"/>
    <col min="8120" max="8121" width="0" style="1" hidden="1" customWidth="1"/>
    <col min="8122" max="8122" width="13.7109375" style="1" customWidth="1"/>
    <col min="8123" max="8123" width="52.85546875" style="1" customWidth="1"/>
    <col min="8124" max="8163" width="0" style="1" hidden="1" customWidth="1"/>
    <col min="8164"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4" width="14.85546875" style="1" customWidth="1"/>
    <col min="8175" max="8176" width="0" style="1" hidden="1" customWidth="1"/>
    <col min="8177" max="8177" width="14.85546875" style="1" customWidth="1"/>
    <col min="8178" max="8179" width="0" style="1" hidden="1" customWidth="1"/>
    <col min="8180" max="8181" width="14.85546875" style="1" customWidth="1"/>
    <col min="8182" max="8182" width="44.42578125" style="1" customWidth="1"/>
    <col min="8183" max="8187" width="14.85546875" style="1" customWidth="1"/>
    <col min="8188" max="8188" width="63.85546875" style="1" customWidth="1"/>
    <col min="8189" max="8189" width="13.28515625" style="1" customWidth="1"/>
    <col min="8190" max="8375" width="9" style="1"/>
    <col min="8376" max="8377" width="0" style="1" hidden="1" customWidth="1"/>
    <col min="8378" max="8378" width="13.7109375" style="1" customWidth="1"/>
    <col min="8379" max="8379" width="52.85546875" style="1" customWidth="1"/>
    <col min="8380" max="8419" width="0" style="1" hidden="1" customWidth="1"/>
    <col min="8420"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0" width="14.85546875" style="1" customWidth="1"/>
    <col min="8431" max="8432" width="0" style="1" hidden="1" customWidth="1"/>
    <col min="8433" max="8433" width="14.85546875" style="1" customWidth="1"/>
    <col min="8434" max="8435" width="0" style="1" hidden="1" customWidth="1"/>
    <col min="8436" max="8437" width="14.85546875" style="1" customWidth="1"/>
    <col min="8438" max="8438" width="44.42578125" style="1" customWidth="1"/>
    <col min="8439" max="8443" width="14.85546875" style="1" customWidth="1"/>
    <col min="8444" max="8444" width="63.85546875" style="1" customWidth="1"/>
    <col min="8445" max="8445" width="13.28515625" style="1" customWidth="1"/>
    <col min="8446" max="8631" width="9" style="1"/>
    <col min="8632" max="8633" width="0" style="1" hidden="1" customWidth="1"/>
    <col min="8634" max="8634" width="13.7109375" style="1" customWidth="1"/>
    <col min="8635" max="8635" width="52.85546875" style="1" customWidth="1"/>
    <col min="8636" max="8675" width="0" style="1" hidden="1" customWidth="1"/>
    <col min="8676"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6" width="14.85546875" style="1" customWidth="1"/>
    <col min="8687" max="8688" width="0" style="1" hidden="1" customWidth="1"/>
    <col min="8689" max="8689" width="14.85546875" style="1" customWidth="1"/>
    <col min="8690" max="8691" width="0" style="1" hidden="1" customWidth="1"/>
    <col min="8692" max="8693" width="14.85546875" style="1" customWidth="1"/>
    <col min="8694" max="8694" width="44.42578125" style="1" customWidth="1"/>
    <col min="8695" max="8699" width="14.85546875" style="1" customWidth="1"/>
    <col min="8700" max="8700" width="63.85546875" style="1" customWidth="1"/>
    <col min="8701" max="8701" width="13.28515625" style="1" customWidth="1"/>
    <col min="8702" max="8887" width="9" style="1"/>
    <col min="8888" max="8889" width="0" style="1" hidden="1" customWidth="1"/>
    <col min="8890" max="8890" width="13.7109375" style="1" customWidth="1"/>
    <col min="8891" max="8891" width="52.85546875" style="1" customWidth="1"/>
    <col min="8892" max="8931" width="0" style="1" hidden="1" customWidth="1"/>
    <col min="8932"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2" width="14.85546875" style="1" customWidth="1"/>
    <col min="8943" max="8944" width="0" style="1" hidden="1" customWidth="1"/>
    <col min="8945" max="8945" width="14.85546875" style="1" customWidth="1"/>
    <col min="8946" max="8947" width="0" style="1" hidden="1" customWidth="1"/>
    <col min="8948" max="8949" width="14.85546875" style="1" customWidth="1"/>
    <col min="8950" max="8950" width="44.42578125" style="1" customWidth="1"/>
    <col min="8951" max="8955" width="14.85546875" style="1" customWidth="1"/>
    <col min="8956" max="8956" width="63.85546875" style="1" customWidth="1"/>
    <col min="8957" max="8957" width="13.28515625" style="1" customWidth="1"/>
    <col min="8958" max="9143" width="9" style="1"/>
    <col min="9144" max="9145" width="0" style="1" hidden="1" customWidth="1"/>
    <col min="9146" max="9146" width="13.7109375" style="1" customWidth="1"/>
    <col min="9147" max="9147" width="52.85546875" style="1" customWidth="1"/>
    <col min="9148" max="9187" width="0" style="1" hidden="1" customWidth="1"/>
    <col min="9188"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8" width="14.85546875" style="1" customWidth="1"/>
    <col min="9199" max="9200" width="0" style="1" hidden="1" customWidth="1"/>
    <col min="9201" max="9201" width="14.85546875" style="1" customWidth="1"/>
    <col min="9202" max="9203" width="0" style="1" hidden="1" customWidth="1"/>
    <col min="9204" max="9205" width="14.85546875" style="1" customWidth="1"/>
    <col min="9206" max="9206" width="44.42578125" style="1" customWidth="1"/>
    <col min="9207" max="9211" width="14.85546875" style="1" customWidth="1"/>
    <col min="9212" max="9212" width="63.85546875" style="1" customWidth="1"/>
    <col min="9213" max="9213" width="13.28515625" style="1" customWidth="1"/>
    <col min="9214" max="9399" width="9" style="1"/>
    <col min="9400" max="9401" width="0" style="1" hidden="1" customWidth="1"/>
    <col min="9402" max="9402" width="13.7109375" style="1" customWidth="1"/>
    <col min="9403" max="9403" width="52.85546875" style="1" customWidth="1"/>
    <col min="9404" max="9443" width="0" style="1" hidden="1" customWidth="1"/>
    <col min="9444"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4" width="14.85546875" style="1" customWidth="1"/>
    <col min="9455" max="9456" width="0" style="1" hidden="1" customWidth="1"/>
    <col min="9457" max="9457" width="14.85546875" style="1" customWidth="1"/>
    <col min="9458" max="9459" width="0" style="1" hidden="1" customWidth="1"/>
    <col min="9460" max="9461" width="14.85546875" style="1" customWidth="1"/>
    <col min="9462" max="9462" width="44.42578125" style="1" customWidth="1"/>
    <col min="9463" max="9467" width="14.85546875" style="1" customWidth="1"/>
    <col min="9468" max="9468" width="63.85546875" style="1" customWidth="1"/>
    <col min="9469" max="9469" width="13.28515625" style="1" customWidth="1"/>
    <col min="9470" max="9655" width="9" style="1"/>
    <col min="9656" max="9657" width="0" style="1" hidden="1" customWidth="1"/>
    <col min="9658" max="9658" width="13.7109375" style="1" customWidth="1"/>
    <col min="9659" max="9659" width="52.85546875" style="1" customWidth="1"/>
    <col min="9660" max="9699" width="0" style="1" hidden="1" customWidth="1"/>
    <col min="9700"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0" width="14.85546875" style="1" customWidth="1"/>
    <col min="9711" max="9712" width="0" style="1" hidden="1" customWidth="1"/>
    <col min="9713" max="9713" width="14.85546875" style="1" customWidth="1"/>
    <col min="9714" max="9715" width="0" style="1" hidden="1" customWidth="1"/>
    <col min="9716" max="9717" width="14.85546875" style="1" customWidth="1"/>
    <col min="9718" max="9718" width="44.42578125" style="1" customWidth="1"/>
    <col min="9719" max="9723" width="14.85546875" style="1" customWidth="1"/>
    <col min="9724" max="9724" width="63.85546875" style="1" customWidth="1"/>
    <col min="9725" max="9725" width="13.28515625" style="1" customWidth="1"/>
    <col min="9726" max="9911" width="9" style="1"/>
    <col min="9912" max="9913" width="0" style="1" hidden="1" customWidth="1"/>
    <col min="9914" max="9914" width="13.7109375" style="1" customWidth="1"/>
    <col min="9915" max="9915" width="52.85546875" style="1" customWidth="1"/>
    <col min="9916" max="9955" width="0" style="1" hidden="1" customWidth="1"/>
    <col min="9956"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6" width="14.85546875" style="1" customWidth="1"/>
    <col min="9967" max="9968" width="0" style="1" hidden="1" customWidth="1"/>
    <col min="9969" max="9969" width="14.85546875" style="1" customWidth="1"/>
    <col min="9970" max="9971" width="0" style="1" hidden="1" customWidth="1"/>
    <col min="9972" max="9973" width="14.85546875" style="1" customWidth="1"/>
    <col min="9974" max="9974" width="44.42578125" style="1" customWidth="1"/>
    <col min="9975" max="9979" width="14.85546875" style="1" customWidth="1"/>
    <col min="9980" max="9980" width="63.85546875" style="1" customWidth="1"/>
    <col min="9981" max="9981" width="13.28515625" style="1" customWidth="1"/>
    <col min="9982" max="10167" width="9" style="1"/>
    <col min="10168" max="10169" width="0" style="1" hidden="1" customWidth="1"/>
    <col min="10170" max="10170" width="13.7109375" style="1" customWidth="1"/>
    <col min="10171" max="10171" width="52.85546875" style="1" customWidth="1"/>
    <col min="10172" max="10211" width="0" style="1" hidden="1" customWidth="1"/>
    <col min="10212"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2" width="14.85546875" style="1" customWidth="1"/>
    <col min="10223" max="10224" width="0" style="1" hidden="1" customWidth="1"/>
    <col min="10225" max="10225" width="14.85546875" style="1" customWidth="1"/>
    <col min="10226" max="10227" width="0" style="1" hidden="1" customWidth="1"/>
    <col min="10228" max="10229" width="14.85546875" style="1" customWidth="1"/>
    <col min="10230" max="10230" width="44.42578125" style="1" customWidth="1"/>
    <col min="10231" max="10235" width="14.85546875" style="1" customWidth="1"/>
    <col min="10236" max="10236" width="63.85546875" style="1" customWidth="1"/>
    <col min="10237" max="10237" width="13.28515625" style="1" customWidth="1"/>
    <col min="10238" max="10423" width="9" style="1"/>
    <col min="10424" max="10425" width="0" style="1" hidden="1" customWidth="1"/>
    <col min="10426" max="10426" width="13.7109375" style="1" customWidth="1"/>
    <col min="10427" max="10427" width="52.85546875" style="1" customWidth="1"/>
    <col min="10428" max="10467" width="0" style="1" hidden="1" customWidth="1"/>
    <col min="10468"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8" width="14.85546875" style="1" customWidth="1"/>
    <col min="10479" max="10480" width="0" style="1" hidden="1" customWidth="1"/>
    <col min="10481" max="10481" width="14.85546875" style="1" customWidth="1"/>
    <col min="10482" max="10483" width="0" style="1" hidden="1" customWidth="1"/>
    <col min="10484" max="10485" width="14.85546875" style="1" customWidth="1"/>
    <col min="10486" max="10486" width="44.42578125" style="1" customWidth="1"/>
    <col min="10487" max="10491" width="14.85546875" style="1" customWidth="1"/>
    <col min="10492" max="10492" width="63.85546875" style="1" customWidth="1"/>
    <col min="10493" max="10493" width="13.28515625" style="1" customWidth="1"/>
    <col min="10494" max="10679" width="9" style="1"/>
    <col min="10680" max="10681" width="0" style="1" hidden="1" customWidth="1"/>
    <col min="10682" max="10682" width="13.7109375" style="1" customWidth="1"/>
    <col min="10683" max="10683" width="52.85546875" style="1" customWidth="1"/>
    <col min="10684" max="10723" width="0" style="1" hidden="1" customWidth="1"/>
    <col min="10724"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4" width="14.85546875" style="1" customWidth="1"/>
    <col min="10735" max="10736" width="0" style="1" hidden="1" customWidth="1"/>
    <col min="10737" max="10737" width="14.85546875" style="1" customWidth="1"/>
    <col min="10738" max="10739" width="0" style="1" hidden="1" customWidth="1"/>
    <col min="10740" max="10741" width="14.85546875" style="1" customWidth="1"/>
    <col min="10742" max="10742" width="44.42578125" style="1" customWidth="1"/>
    <col min="10743" max="10747" width="14.85546875" style="1" customWidth="1"/>
    <col min="10748" max="10748" width="63.85546875" style="1" customWidth="1"/>
    <col min="10749" max="10749" width="13.28515625" style="1" customWidth="1"/>
    <col min="10750" max="10935" width="9" style="1"/>
    <col min="10936" max="10937" width="0" style="1" hidden="1" customWidth="1"/>
    <col min="10938" max="10938" width="13.7109375" style="1" customWidth="1"/>
    <col min="10939" max="10939" width="52.85546875" style="1" customWidth="1"/>
    <col min="10940" max="10979" width="0" style="1" hidden="1" customWidth="1"/>
    <col min="10980"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0" width="14.85546875" style="1" customWidth="1"/>
    <col min="10991" max="10992" width="0" style="1" hidden="1" customWidth="1"/>
    <col min="10993" max="10993" width="14.85546875" style="1" customWidth="1"/>
    <col min="10994" max="10995" width="0" style="1" hidden="1" customWidth="1"/>
    <col min="10996" max="10997" width="14.85546875" style="1" customWidth="1"/>
    <col min="10998" max="10998" width="44.42578125" style="1" customWidth="1"/>
    <col min="10999" max="11003" width="14.85546875" style="1" customWidth="1"/>
    <col min="11004" max="11004" width="63.85546875" style="1" customWidth="1"/>
    <col min="11005" max="11005" width="13.28515625" style="1" customWidth="1"/>
    <col min="11006" max="11191" width="9" style="1"/>
    <col min="11192" max="11193" width="0" style="1" hidden="1" customWidth="1"/>
    <col min="11194" max="11194" width="13.7109375" style="1" customWidth="1"/>
    <col min="11195" max="11195" width="52.85546875" style="1" customWidth="1"/>
    <col min="11196" max="11235" width="0" style="1" hidden="1" customWidth="1"/>
    <col min="11236"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6" width="14.85546875" style="1" customWidth="1"/>
    <col min="11247" max="11248" width="0" style="1" hidden="1" customWidth="1"/>
    <col min="11249" max="11249" width="14.85546875" style="1" customWidth="1"/>
    <col min="11250" max="11251" width="0" style="1" hidden="1" customWidth="1"/>
    <col min="11252" max="11253" width="14.85546875" style="1" customWidth="1"/>
    <col min="11254" max="11254" width="44.42578125" style="1" customWidth="1"/>
    <col min="11255" max="11259" width="14.85546875" style="1" customWidth="1"/>
    <col min="11260" max="11260" width="63.85546875" style="1" customWidth="1"/>
    <col min="11261" max="11261" width="13.28515625" style="1" customWidth="1"/>
    <col min="11262" max="11447" width="9" style="1"/>
    <col min="11448" max="11449" width="0" style="1" hidden="1" customWidth="1"/>
    <col min="11450" max="11450" width="13.7109375" style="1" customWidth="1"/>
    <col min="11451" max="11451" width="52.85546875" style="1" customWidth="1"/>
    <col min="11452" max="11491" width="0" style="1" hidden="1" customWidth="1"/>
    <col min="11492"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2" width="14.85546875" style="1" customWidth="1"/>
    <col min="11503" max="11504" width="0" style="1" hidden="1" customWidth="1"/>
    <col min="11505" max="11505" width="14.85546875" style="1" customWidth="1"/>
    <col min="11506" max="11507" width="0" style="1" hidden="1" customWidth="1"/>
    <col min="11508" max="11509" width="14.85546875" style="1" customWidth="1"/>
    <col min="11510" max="11510" width="44.42578125" style="1" customWidth="1"/>
    <col min="11511" max="11515" width="14.85546875" style="1" customWidth="1"/>
    <col min="11516" max="11516" width="63.85546875" style="1" customWidth="1"/>
    <col min="11517" max="11517" width="13.28515625" style="1" customWidth="1"/>
    <col min="11518" max="11703" width="9" style="1"/>
    <col min="11704" max="11705" width="0" style="1" hidden="1" customWidth="1"/>
    <col min="11706" max="11706" width="13.7109375" style="1" customWidth="1"/>
    <col min="11707" max="11707" width="52.85546875" style="1" customWidth="1"/>
    <col min="11708" max="11747" width="0" style="1" hidden="1" customWidth="1"/>
    <col min="11748"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8" width="14.85546875" style="1" customWidth="1"/>
    <col min="11759" max="11760" width="0" style="1" hidden="1" customWidth="1"/>
    <col min="11761" max="11761" width="14.85546875" style="1" customWidth="1"/>
    <col min="11762" max="11763" width="0" style="1" hidden="1" customWidth="1"/>
    <col min="11764" max="11765" width="14.85546875" style="1" customWidth="1"/>
    <col min="11766" max="11766" width="44.42578125" style="1" customWidth="1"/>
    <col min="11767" max="11771" width="14.85546875" style="1" customWidth="1"/>
    <col min="11772" max="11772" width="63.85546875" style="1" customWidth="1"/>
    <col min="11773" max="11773" width="13.28515625" style="1" customWidth="1"/>
    <col min="11774" max="11959" width="9" style="1"/>
    <col min="11960" max="11961" width="0" style="1" hidden="1" customWidth="1"/>
    <col min="11962" max="11962" width="13.7109375" style="1" customWidth="1"/>
    <col min="11963" max="11963" width="52.85546875" style="1" customWidth="1"/>
    <col min="11964" max="12003" width="0" style="1" hidden="1" customWidth="1"/>
    <col min="12004"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4" width="14.85546875" style="1" customWidth="1"/>
    <col min="12015" max="12016" width="0" style="1" hidden="1" customWidth="1"/>
    <col min="12017" max="12017" width="14.85546875" style="1" customWidth="1"/>
    <col min="12018" max="12019" width="0" style="1" hidden="1" customWidth="1"/>
    <col min="12020" max="12021" width="14.85546875" style="1" customWidth="1"/>
    <col min="12022" max="12022" width="44.42578125" style="1" customWidth="1"/>
    <col min="12023" max="12027" width="14.85546875" style="1" customWidth="1"/>
    <col min="12028" max="12028" width="63.85546875" style="1" customWidth="1"/>
    <col min="12029" max="12029" width="13.28515625" style="1" customWidth="1"/>
    <col min="12030" max="12215" width="9" style="1"/>
    <col min="12216" max="12217" width="0" style="1" hidden="1" customWidth="1"/>
    <col min="12218" max="12218" width="13.7109375" style="1" customWidth="1"/>
    <col min="12219" max="12219" width="52.85546875" style="1" customWidth="1"/>
    <col min="12220" max="12259" width="0" style="1" hidden="1" customWidth="1"/>
    <col min="12260"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0" width="14.85546875" style="1" customWidth="1"/>
    <col min="12271" max="12272" width="0" style="1" hidden="1" customWidth="1"/>
    <col min="12273" max="12273" width="14.85546875" style="1" customWidth="1"/>
    <col min="12274" max="12275" width="0" style="1" hidden="1" customWidth="1"/>
    <col min="12276" max="12277" width="14.85546875" style="1" customWidth="1"/>
    <col min="12278" max="12278" width="44.42578125" style="1" customWidth="1"/>
    <col min="12279" max="12283" width="14.85546875" style="1" customWidth="1"/>
    <col min="12284" max="12284" width="63.85546875" style="1" customWidth="1"/>
    <col min="12285" max="12285" width="13.28515625" style="1" customWidth="1"/>
    <col min="12286" max="12471" width="9" style="1"/>
    <col min="12472" max="12473" width="0" style="1" hidden="1" customWidth="1"/>
    <col min="12474" max="12474" width="13.7109375" style="1" customWidth="1"/>
    <col min="12475" max="12475" width="52.85546875" style="1" customWidth="1"/>
    <col min="12476" max="12515" width="0" style="1" hidden="1" customWidth="1"/>
    <col min="12516"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6" width="14.85546875" style="1" customWidth="1"/>
    <col min="12527" max="12528" width="0" style="1" hidden="1" customWidth="1"/>
    <col min="12529" max="12529" width="14.85546875" style="1" customWidth="1"/>
    <col min="12530" max="12531" width="0" style="1" hidden="1" customWidth="1"/>
    <col min="12532" max="12533" width="14.85546875" style="1" customWidth="1"/>
    <col min="12534" max="12534" width="44.42578125" style="1" customWidth="1"/>
    <col min="12535" max="12539" width="14.85546875" style="1" customWidth="1"/>
    <col min="12540" max="12540" width="63.85546875" style="1" customWidth="1"/>
    <col min="12541" max="12541" width="13.28515625" style="1" customWidth="1"/>
    <col min="12542" max="12727" width="9" style="1"/>
    <col min="12728" max="12729" width="0" style="1" hidden="1" customWidth="1"/>
    <col min="12730" max="12730" width="13.7109375" style="1" customWidth="1"/>
    <col min="12731" max="12731" width="52.85546875" style="1" customWidth="1"/>
    <col min="12732" max="12771" width="0" style="1" hidden="1" customWidth="1"/>
    <col min="12772"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2" width="14.85546875" style="1" customWidth="1"/>
    <col min="12783" max="12784" width="0" style="1" hidden="1" customWidth="1"/>
    <col min="12785" max="12785" width="14.85546875" style="1" customWidth="1"/>
    <col min="12786" max="12787" width="0" style="1" hidden="1" customWidth="1"/>
    <col min="12788" max="12789" width="14.85546875" style="1" customWidth="1"/>
    <col min="12790" max="12790" width="44.42578125" style="1" customWidth="1"/>
    <col min="12791" max="12795" width="14.85546875" style="1" customWidth="1"/>
    <col min="12796" max="12796" width="63.85546875" style="1" customWidth="1"/>
    <col min="12797" max="12797" width="13.28515625" style="1" customWidth="1"/>
    <col min="12798" max="12983" width="9" style="1"/>
    <col min="12984" max="12985" width="0" style="1" hidden="1" customWidth="1"/>
    <col min="12986" max="12986" width="13.7109375" style="1" customWidth="1"/>
    <col min="12987" max="12987" width="52.85546875" style="1" customWidth="1"/>
    <col min="12988" max="13027" width="0" style="1" hidden="1" customWidth="1"/>
    <col min="13028"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8" width="14.85546875" style="1" customWidth="1"/>
    <col min="13039" max="13040" width="0" style="1" hidden="1" customWidth="1"/>
    <col min="13041" max="13041" width="14.85546875" style="1" customWidth="1"/>
    <col min="13042" max="13043" width="0" style="1" hidden="1" customWidth="1"/>
    <col min="13044" max="13045" width="14.85546875" style="1" customWidth="1"/>
    <col min="13046" max="13046" width="44.42578125" style="1" customWidth="1"/>
    <col min="13047" max="13051" width="14.85546875" style="1" customWidth="1"/>
    <col min="13052" max="13052" width="63.85546875" style="1" customWidth="1"/>
    <col min="13053" max="13053" width="13.28515625" style="1" customWidth="1"/>
    <col min="13054" max="13239" width="9" style="1"/>
    <col min="13240" max="13241" width="0" style="1" hidden="1" customWidth="1"/>
    <col min="13242" max="13242" width="13.7109375" style="1" customWidth="1"/>
    <col min="13243" max="13243" width="52.85546875" style="1" customWidth="1"/>
    <col min="13244" max="13283" width="0" style="1" hidden="1" customWidth="1"/>
    <col min="13284"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4" width="14.85546875" style="1" customWidth="1"/>
    <col min="13295" max="13296" width="0" style="1" hidden="1" customWidth="1"/>
    <col min="13297" max="13297" width="14.85546875" style="1" customWidth="1"/>
    <col min="13298" max="13299" width="0" style="1" hidden="1" customWidth="1"/>
    <col min="13300" max="13301" width="14.85546875" style="1" customWidth="1"/>
    <col min="13302" max="13302" width="44.42578125" style="1" customWidth="1"/>
    <col min="13303" max="13307" width="14.85546875" style="1" customWidth="1"/>
    <col min="13308" max="13308" width="63.85546875" style="1" customWidth="1"/>
    <col min="13309" max="13309" width="13.28515625" style="1" customWidth="1"/>
    <col min="13310" max="13495" width="9" style="1"/>
    <col min="13496" max="13497" width="0" style="1" hidden="1" customWidth="1"/>
    <col min="13498" max="13498" width="13.7109375" style="1" customWidth="1"/>
    <col min="13499" max="13499" width="52.85546875" style="1" customWidth="1"/>
    <col min="13500" max="13539" width="0" style="1" hidden="1" customWidth="1"/>
    <col min="13540"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0" width="14.85546875" style="1" customWidth="1"/>
    <col min="13551" max="13552" width="0" style="1" hidden="1" customWidth="1"/>
    <col min="13553" max="13553" width="14.85546875" style="1" customWidth="1"/>
    <col min="13554" max="13555" width="0" style="1" hidden="1" customWidth="1"/>
    <col min="13556" max="13557" width="14.85546875" style="1" customWidth="1"/>
    <col min="13558" max="13558" width="44.42578125" style="1" customWidth="1"/>
    <col min="13559" max="13563" width="14.85546875" style="1" customWidth="1"/>
    <col min="13564" max="13564" width="63.85546875" style="1" customWidth="1"/>
    <col min="13565" max="13565" width="13.28515625" style="1" customWidth="1"/>
    <col min="13566" max="13751" width="9" style="1"/>
    <col min="13752" max="13753" width="0" style="1" hidden="1" customWidth="1"/>
    <col min="13754" max="13754" width="13.7109375" style="1" customWidth="1"/>
    <col min="13755" max="13755" width="52.85546875" style="1" customWidth="1"/>
    <col min="13756" max="13795" width="0" style="1" hidden="1" customWidth="1"/>
    <col min="13796"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6" width="14.85546875" style="1" customWidth="1"/>
    <col min="13807" max="13808" width="0" style="1" hidden="1" customWidth="1"/>
    <col min="13809" max="13809" width="14.85546875" style="1" customWidth="1"/>
    <col min="13810" max="13811" width="0" style="1" hidden="1" customWidth="1"/>
    <col min="13812" max="13813" width="14.85546875" style="1" customWidth="1"/>
    <col min="13814" max="13814" width="44.42578125" style="1" customWidth="1"/>
    <col min="13815" max="13819" width="14.85546875" style="1" customWidth="1"/>
    <col min="13820" max="13820" width="63.85546875" style="1" customWidth="1"/>
    <col min="13821" max="13821" width="13.28515625" style="1" customWidth="1"/>
    <col min="13822" max="14007" width="9" style="1"/>
    <col min="14008" max="14009" width="0" style="1" hidden="1" customWidth="1"/>
    <col min="14010" max="14010" width="13.7109375" style="1" customWidth="1"/>
    <col min="14011" max="14011" width="52.85546875" style="1" customWidth="1"/>
    <col min="14012" max="14051" width="0" style="1" hidden="1" customWidth="1"/>
    <col min="14052"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2" width="14.85546875" style="1" customWidth="1"/>
    <col min="14063" max="14064" width="0" style="1" hidden="1" customWidth="1"/>
    <col min="14065" max="14065" width="14.85546875" style="1" customWidth="1"/>
    <col min="14066" max="14067" width="0" style="1" hidden="1" customWidth="1"/>
    <col min="14068" max="14069" width="14.85546875" style="1" customWidth="1"/>
    <col min="14070" max="14070" width="44.42578125" style="1" customWidth="1"/>
    <col min="14071" max="14075" width="14.85546875" style="1" customWidth="1"/>
    <col min="14076" max="14076" width="63.85546875" style="1" customWidth="1"/>
    <col min="14077" max="14077" width="13.28515625" style="1" customWidth="1"/>
    <col min="14078" max="14263" width="9" style="1"/>
    <col min="14264" max="14265" width="0" style="1" hidden="1" customWidth="1"/>
    <col min="14266" max="14266" width="13.7109375" style="1" customWidth="1"/>
    <col min="14267" max="14267" width="52.85546875" style="1" customWidth="1"/>
    <col min="14268" max="14307" width="0" style="1" hidden="1" customWidth="1"/>
    <col min="14308"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8" width="14.85546875" style="1" customWidth="1"/>
    <col min="14319" max="14320" width="0" style="1" hidden="1" customWidth="1"/>
    <col min="14321" max="14321" width="14.85546875" style="1" customWidth="1"/>
    <col min="14322" max="14323" width="0" style="1" hidden="1" customWidth="1"/>
    <col min="14324" max="14325" width="14.85546875" style="1" customWidth="1"/>
    <col min="14326" max="14326" width="44.42578125" style="1" customWidth="1"/>
    <col min="14327" max="14331" width="14.85546875" style="1" customWidth="1"/>
    <col min="14332" max="14332" width="63.85546875" style="1" customWidth="1"/>
    <col min="14333" max="14333" width="13.28515625" style="1" customWidth="1"/>
    <col min="14334" max="14519" width="9" style="1"/>
    <col min="14520" max="14521" width="0" style="1" hidden="1" customWidth="1"/>
    <col min="14522" max="14522" width="13.7109375" style="1" customWidth="1"/>
    <col min="14523" max="14523" width="52.85546875" style="1" customWidth="1"/>
    <col min="14524" max="14563" width="0" style="1" hidden="1" customWidth="1"/>
    <col min="14564"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4" width="14.85546875" style="1" customWidth="1"/>
    <col min="14575" max="14576" width="0" style="1" hidden="1" customWidth="1"/>
    <col min="14577" max="14577" width="14.85546875" style="1" customWidth="1"/>
    <col min="14578" max="14579" width="0" style="1" hidden="1" customWidth="1"/>
    <col min="14580" max="14581" width="14.85546875" style="1" customWidth="1"/>
    <col min="14582" max="14582" width="44.42578125" style="1" customWidth="1"/>
    <col min="14583" max="14587" width="14.85546875" style="1" customWidth="1"/>
    <col min="14588" max="14588" width="63.85546875" style="1" customWidth="1"/>
    <col min="14589" max="14589" width="13.28515625" style="1" customWidth="1"/>
    <col min="14590" max="14775" width="9" style="1"/>
    <col min="14776" max="14777" width="0" style="1" hidden="1" customWidth="1"/>
    <col min="14778" max="14778" width="13.7109375" style="1" customWidth="1"/>
    <col min="14779" max="14779" width="52.85546875" style="1" customWidth="1"/>
    <col min="14780" max="14819" width="0" style="1" hidden="1" customWidth="1"/>
    <col min="14820"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0" width="14.85546875" style="1" customWidth="1"/>
    <col min="14831" max="14832" width="0" style="1" hidden="1" customWidth="1"/>
    <col min="14833" max="14833" width="14.85546875" style="1" customWidth="1"/>
    <col min="14834" max="14835" width="0" style="1" hidden="1" customWidth="1"/>
    <col min="14836" max="14837" width="14.85546875" style="1" customWidth="1"/>
    <col min="14838" max="14838" width="44.42578125" style="1" customWidth="1"/>
    <col min="14839" max="14843" width="14.85546875" style="1" customWidth="1"/>
    <col min="14844" max="14844" width="63.85546875" style="1" customWidth="1"/>
    <col min="14845" max="14845" width="13.28515625" style="1" customWidth="1"/>
    <col min="14846" max="15031" width="9" style="1"/>
    <col min="15032" max="15033" width="0" style="1" hidden="1" customWidth="1"/>
    <col min="15034" max="15034" width="13.7109375" style="1" customWidth="1"/>
    <col min="15035" max="15035" width="52.85546875" style="1" customWidth="1"/>
    <col min="15036" max="15075" width="0" style="1" hidden="1" customWidth="1"/>
    <col min="15076"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6" width="14.85546875" style="1" customWidth="1"/>
    <col min="15087" max="15088" width="0" style="1" hidden="1" customWidth="1"/>
    <col min="15089" max="15089" width="14.85546875" style="1" customWidth="1"/>
    <col min="15090" max="15091" width="0" style="1" hidden="1" customWidth="1"/>
    <col min="15092" max="15093" width="14.85546875" style="1" customWidth="1"/>
    <col min="15094" max="15094" width="44.42578125" style="1" customWidth="1"/>
    <col min="15095" max="15099" width="14.85546875" style="1" customWidth="1"/>
    <col min="15100" max="15100" width="63.85546875" style="1" customWidth="1"/>
    <col min="15101" max="15101" width="13.28515625" style="1" customWidth="1"/>
    <col min="15102" max="15287" width="9" style="1"/>
    <col min="15288" max="15289" width="0" style="1" hidden="1" customWidth="1"/>
    <col min="15290" max="15290" width="13.7109375" style="1" customWidth="1"/>
    <col min="15291" max="15291" width="52.85546875" style="1" customWidth="1"/>
    <col min="15292" max="15331" width="0" style="1" hidden="1" customWidth="1"/>
    <col min="15332"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2" width="14.85546875" style="1" customWidth="1"/>
    <col min="15343" max="15344" width="0" style="1" hidden="1" customWidth="1"/>
    <col min="15345" max="15345" width="14.85546875" style="1" customWidth="1"/>
    <col min="15346" max="15347" width="0" style="1" hidden="1" customWidth="1"/>
    <col min="15348" max="15349" width="14.85546875" style="1" customWidth="1"/>
    <col min="15350" max="15350" width="44.42578125" style="1" customWidth="1"/>
    <col min="15351" max="15355" width="14.85546875" style="1" customWidth="1"/>
    <col min="15356" max="15356" width="63.85546875" style="1" customWidth="1"/>
    <col min="15357" max="15357" width="13.28515625" style="1" customWidth="1"/>
    <col min="15358" max="15543" width="9" style="1"/>
    <col min="15544" max="15545" width="0" style="1" hidden="1" customWidth="1"/>
    <col min="15546" max="15546" width="13.7109375" style="1" customWidth="1"/>
    <col min="15547" max="15547" width="52.85546875" style="1" customWidth="1"/>
    <col min="15548" max="15587" width="0" style="1" hidden="1" customWidth="1"/>
    <col min="15588"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8" width="14.85546875" style="1" customWidth="1"/>
    <col min="15599" max="15600" width="0" style="1" hidden="1" customWidth="1"/>
    <col min="15601" max="15601" width="14.85546875" style="1" customWidth="1"/>
    <col min="15602" max="15603" width="0" style="1" hidden="1" customWidth="1"/>
    <col min="15604" max="15605" width="14.85546875" style="1" customWidth="1"/>
    <col min="15606" max="15606" width="44.42578125" style="1" customWidth="1"/>
    <col min="15607" max="15611" width="14.85546875" style="1" customWidth="1"/>
    <col min="15612" max="15612" width="63.85546875" style="1" customWidth="1"/>
    <col min="15613" max="15613" width="13.28515625" style="1" customWidth="1"/>
    <col min="15614" max="15799" width="9" style="1"/>
    <col min="15800" max="15801" width="0" style="1" hidden="1" customWidth="1"/>
    <col min="15802" max="15802" width="13.7109375" style="1" customWidth="1"/>
    <col min="15803" max="15803" width="52.85546875" style="1" customWidth="1"/>
    <col min="15804" max="15843" width="0" style="1" hidden="1" customWidth="1"/>
    <col min="15844"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4" width="14.85546875" style="1" customWidth="1"/>
    <col min="15855" max="15856" width="0" style="1" hidden="1" customWidth="1"/>
    <col min="15857" max="15857" width="14.85546875" style="1" customWidth="1"/>
    <col min="15858" max="15859" width="0" style="1" hidden="1" customWidth="1"/>
    <col min="15860" max="15861" width="14.85546875" style="1" customWidth="1"/>
    <col min="15862" max="15862" width="44.42578125" style="1" customWidth="1"/>
    <col min="15863" max="15867" width="14.85546875" style="1" customWidth="1"/>
    <col min="15868" max="15868" width="63.85546875" style="1" customWidth="1"/>
    <col min="15869" max="15869" width="13.28515625" style="1" customWidth="1"/>
    <col min="15870" max="16055" width="9" style="1"/>
    <col min="16056" max="16057" width="0" style="1" hidden="1" customWidth="1"/>
    <col min="16058" max="16058" width="13.7109375" style="1" customWidth="1"/>
    <col min="16059" max="16059" width="52.85546875" style="1" customWidth="1"/>
    <col min="16060" max="16099" width="0" style="1" hidden="1" customWidth="1"/>
    <col min="16100"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0" width="14.85546875" style="1" customWidth="1"/>
    <col min="16111" max="16112" width="0" style="1" hidden="1" customWidth="1"/>
    <col min="16113" max="16113" width="14.85546875" style="1" customWidth="1"/>
    <col min="16114" max="16115" width="0" style="1" hidden="1" customWidth="1"/>
    <col min="16116" max="16117" width="14.85546875" style="1" customWidth="1"/>
    <col min="16118" max="16118" width="44.42578125" style="1" customWidth="1"/>
    <col min="16119" max="16123" width="14.85546875" style="1" customWidth="1"/>
    <col min="16124" max="16124" width="63.85546875" style="1" customWidth="1"/>
    <col min="16125" max="16125" width="13.28515625" style="1" customWidth="1"/>
    <col min="16126" max="16324" width="9" style="1"/>
    <col min="16325" max="16357" width="9.140625" style="1" customWidth="1"/>
    <col min="16358" max="16384" width="9" style="1"/>
  </cols>
  <sheetData>
    <row r="1" spans="1:17" ht="25.5" outlineLevel="1" x14ac:dyDescent="0.35">
      <c r="C1" s="2" t="s">
        <v>0</v>
      </c>
      <c r="D1" s="2"/>
      <c r="E1" s="5"/>
      <c r="F1" s="5"/>
      <c r="G1" s="3"/>
      <c r="H1" s="6"/>
      <c r="I1" s="3"/>
      <c r="J1" s="3"/>
      <c r="K1" s="6"/>
      <c r="L1" s="3"/>
      <c r="M1" s="3"/>
      <c r="N1" s="6"/>
      <c r="O1" s="7"/>
      <c r="P1" s="232"/>
      <c r="Q1" s="7"/>
    </row>
    <row r="2" spans="1:17" ht="25.5" outlineLevel="1" x14ac:dyDescent="0.35">
      <c r="C2" s="333" t="s">
        <v>1</v>
      </c>
      <c r="D2" s="333"/>
      <c r="G2" s="4"/>
      <c r="H2" s="9"/>
      <c r="I2" s="4"/>
      <c r="J2" s="4"/>
      <c r="K2" s="9"/>
      <c r="L2" s="4"/>
      <c r="M2" s="4"/>
      <c r="N2" s="9"/>
      <c r="O2" s="10"/>
      <c r="P2" s="233"/>
      <c r="Q2" s="10"/>
    </row>
    <row r="3" spans="1:17" ht="20.25" outlineLevel="1" x14ac:dyDescent="0.3">
      <c r="C3" s="323" t="s">
        <v>2</v>
      </c>
      <c r="D3" s="323"/>
      <c r="E3" s="12"/>
      <c r="F3" s="12"/>
      <c r="G3" s="11"/>
      <c r="I3" s="11"/>
      <c r="J3" s="11"/>
      <c r="L3" s="11"/>
      <c r="M3" s="11"/>
      <c r="O3" s="14"/>
      <c r="P3" s="234">
        <f>6/12</f>
        <v>0.5</v>
      </c>
      <c r="Q3" s="14"/>
    </row>
    <row r="4" spans="1:17" ht="15.75" outlineLevel="1" thickBot="1" x14ac:dyDescent="0.3">
      <c r="C4" s="15"/>
      <c r="E4" s="12"/>
      <c r="F4" s="12"/>
      <c r="G4" s="13"/>
      <c r="I4" s="12"/>
      <c r="J4" s="13"/>
      <c r="L4" s="12"/>
      <c r="M4" s="13"/>
      <c r="O4" s="235"/>
      <c r="P4" s="231"/>
      <c r="Q4" s="16"/>
    </row>
    <row r="5" spans="1:17" ht="55.15" customHeight="1" thickBot="1" x14ac:dyDescent="0.3">
      <c r="C5" s="17" t="s">
        <v>3</v>
      </c>
      <c r="D5" s="18" t="s">
        <v>4</v>
      </c>
      <c r="E5" s="20" t="s">
        <v>6</v>
      </c>
      <c r="F5" s="20" t="s">
        <v>7</v>
      </c>
      <c r="G5" s="19" t="s">
        <v>8</v>
      </c>
      <c r="H5" s="21" t="s">
        <v>9</v>
      </c>
      <c r="I5" s="19" t="s">
        <v>10</v>
      </c>
      <c r="J5" s="19" t="s">
        <v>11</v>
      </c>
      <c r="K5" s="21" t="s">
        <v>9</v>
      </c>
      <c r="L5" s="19" t="s">
        <v>12</v>
      </c>
      <c r="M5" s="19" t="s">
        <v>13</v>
      </c>
      <c r="N5" s="21" t="s">
        <v>9</v>
      </c>
      <c r="O5" s="236" t="s">
        <v>14</v>
      </c>
      <c r="P5" s="237" t="s">
        <v>15</v>
      </c>
      <c r="Q5" s="22" t="s">
        <v>16</v>
      </c>
    </row>
    <row r="6" spans="1:17" x14ac:dyDescent="0.25">
      <c r="C6" s="23" t="s">
        <v>17</v>
      </c>
      <c r="D6" s="24" t="s">
        <v>18</v>
      </c>
      <c r="E6" s="25">
        <v>31414871</v>
      </c>
      <c r="F6" s="25">
        <f t="shared" ref="F6" si="0">ROUND((F7+F11+F14+F17+F20),0)</f>
        <v>31414871</v>
      </c>
      <c r="G6" s="26">
        <f>F6-E6</f>
        <v>0</v>
      </c>
      <c r="H6" s="27"/>
      <c r="I6" s="25">
        <f>ROUND((I7+I11+I14+I17+I20),0)</f>
        <v>31582267</v>
      </c>
      <c r="J6" s="26">
        <f>I6-F6</f>
        <v>167396</v>
      </c>
      <c r="K6" s="27"/>
      <c r="L6" s="25">
        <f>ROUND((L7+L11+L14+L17+L20),0)</f>
        <v>31582267</v>
      </c>
      <c r="M6" s="26">
        <f>L6-I6</f>
        <v>0</v>
      </c>
      <c r="N6" s="27"/>
      <c r="O6" s="238">
        <f>ROUND((O7+O11+O14+O17+O20),0)</f>
        <v>16264306</v>
      </c>
      <c r="P6" s="239">
        <f>O6/L6</f>
        <v>0.51498222087730439</v>
      </c>
      <c r="Q6" s="28"/>
    </row>
    <row r="7" spans="1:17" x14ac:dyDescent="0.25">
      <c r="B7" s="1" t="s">
        <v>19</v>
      </c>
      <c r="C7" s="29" t="s">
        <v>20</v>
      </c>
      <c r="D7" s="30" t="s">
        <v>21</v>
      </c>
      <c r="E7" s="32">
        <v>28441559</v>
      </c>
      <c r="F7" s="32">
        <f>SUM(F8:F9)</f>
        <v>28441559</v>
      </c>
      <c r="G7" s="31">
        <f t="shared" ref="G7:G71" si="1">F7-E7</f>
        <v>0</v>
      </c>
      <c r="H7" s="33"/>
      <c r="I7" s="31">
        <f>SUM(I8:I9)</f>
        <v>28608955</v>
      </c>
      <c r="J7" s="31">
        <f>I7-F7</f>
        <v>167396</v>
      </c>
      <c r="K7" s="33"/>
      <c r="L7" s="31">
        <f>SUM(L8:L9)</f>
        <v>28608955</v>
      </c>
      <c r="M7" s="31">
        <f>L7-I7</f>
        <v>0</v>
      </c>
      <c r="N7" s="33"/>
      <c r="O7" s="34">
        <f>SUM(O8:O9)</f>
        <v>13695912.279999999</v>
      </c>
      <c r="P7" s="240">
        <f>O7/L7</f>
        <v>0.47872815627134929</v>
      </c>
      <c r="Q7" s="34"/>
    </row>
    <row r="8" spans="1:17" ht="45" x14ac:dyDescent="0.25">
      <c r="A8" s="1" t="s">
        <v>22</v>
      </c>
      <c r="B8" s="35" t="s">
        <v>23</v>
      </c>
      <c r="C8" s="36" t="s">
        <v>24</v>
      </c>
      <c r="D8" s="37" t="s">
        <v>25</v>
      </c>
      <c r="E8" s="39">
        <v>28441559</v>
      </c>
      <c r="F8" s="39">
        <f>ROUND(E8,0)</f>
        <v>28441559</v>
      </c>
      <c r="G8" s="38">
        <f t="shared" si="1"/>
        <v>0</v>
      </c>
      <c r="H8" s="40"/>
      <c r="I8" s="38">
        <f>ROUND(F8,0)+167396</f>
        <v>28608955</v>
      </c>
      <c r="J8" s="38">
        <f>I8-F8</f>
        <v>167396</v>
      </c>
      <c r="K8" s="40" t="s">
        <v>26</v>
      </c>
      <c r="L8" s="38">
        <f>ROUND(I8,0)</f>
        <v>28608955</v>
      </c>
      <c r="M8" s="38">
        <f>L8-I8</f>
        <v>0</v>
      </c>
      <c r="N8" s="40"/>
      <c r="O8" s="41">
        <v>13695912.279999999</v>
      </c>
      <c r="P8" s="241">
        <f>O8/L8</f>
        <v>0.47872815627134929</v>
      </c>
      <c r="Q8" s="77" t="s">
        <v>27</v>
      </c>
    </row>
    <row r="9" spans="1:17" ht="27.75" hidden="1" customHeight="1" outlineLevel="1" x14ac:dyDescent="0.25">
      <c r="B9" s="35"/>
      <c r="C9" s="36" t="s">
        <v>28</v>
      </c>
      <c r="D9" s="37" t="s">
        <v>29</v>
      </c>
      <c r="E9" s="39">
        <v>0</v>
      </c>
      <c r="F9" s="39">
        <f>ROUND(E9,0)</f>
        <v>0</v>
      </c>
      <c r="G9" s="38">
        <f t="shared" si="1"/>
        <v>0</v>
      </c>
      <c r="H9" s="40"/>
      <c r="I9" s="38">
        <f>ROUND(H9,0)</f>
        <v>0</v>
      </c>
      <c r="J9" s="38">
        <f t="shared" ref="J9:J72" si="2">I9-F9</f>
        <v>0</v>
      </c>
      <c r="K9" s="40"/>
      <c r="L9" s="38">
        <f>ROUND(K9,0)</f>
        <v>0</v>
      </c>
      <c r="M9" s="38">
        <f t="shared" ref="M9:M72" si="3">L9-I9</f>
        <v>0</v>
      </c>
      <c r="N9" s="40"/>
      <c r="O9" s="41">
        <f>ROUND(H9,0)</f>
        <v>0</v>
      </c>
      <c r="P9" s="241"/>
      <c r="Q9" s="41"/>
    </row>
    <row r="10" spans="1:17" ht="32.450000000000003" customHeight="1" collapsed="1" x14ac:dyDescent="0.25">
      <c r="C10" s="23" t="s">
        <v>30</v>
      </c>
      <c r="D10" s="24" t="s">
        <v>31</v>
      </c>
      <c r="E10" s="25">
        <v>2903312</v>
      </c>
      <c r="F10" s="25">
        <f>F11+F14+F17</f>
        <v>2903312</v>
      </c>
      <c r="G10" s="26">
        <f t="shared" si="1"/>
        <v>0</v>
      </c>
      <c r="H10" s="27"/>
      <c r="I10" s="25">
        <f>I11+I14+I17</f>
        <v>2903312</v>
      </c>
      <c r="J10" s="26">
        <f t="shared" si="2"/>
        <v>0</v>
      </c>
      <c r="K10" s="27"/>
      <c r="L10" s="25">
        <f>L11+L14+L17</f>
        <v>2903312</v>
      </c>
      <c r="M10" s="26">
        <f t="shared" si="3"/>
        <v>0</v>
      </c>
      <c r="N10" s="27"/>
      <c r="O10" s="238">
        <f>O11+O14+O17</f>
        <v>2522628.11</v>
      </c>
      <c r="P10" s="239">
        <f t="shared" ref="P10:P20" si="4">O10/L10</f>
        <v>0.86887944182368271</v>
      </c>
      <c r="Q10" s="28" t="s">
        <v>32</v>
      </c>
    </row>
    <row r="11" spans="1:17" x14ac:dyDescent="0.25">
      <c r="B11" s="1" t="s">
        <v>33</v>
      </c>
      <c r="C11" s="42" t="s">
        <v>34</v>
      </c>
      <c r="D11" s="43" t="s">
        <v>35</v>
      </c>
      <c r="E11" s="45">
        <v>1998295</v>
      </c>
      <c r="F11" s="45">
        <f>SUM(F12:F13)</f>
        <v>1998295</v>
      </c>
      <c r="G11" s="44">
        <f t="shared" si="1"/>
        <v>0</v>
      </c>
      <c r="H11" s="46"/>
      <c r="I11" s="44">
        <f>SUM(I12:I13)</f>
        <v>1998295</v>
      </c>
      <c r="J11" s="44">
        <f t="shared" si="2"/>
        <v>0</v>
      </c>
      <c r="K11" s="46"/>
      <c r="L11" s="44">
        <f>SUM(L12:L13)</f>
        <v>1998295</v>
      </c>
      <c r="M11" s="44">
        <f t="shared" si="3"/>
        <v>0</v>
      </c>
      <c r="N11" s="46"/>
      <c r="O11" s="47">
        <f>SUM(O12:O13)</f>
        <v>1624356.58</v>
      </c>
      <c r="P11" s="242">
        <f t="shared" si="4"/>
        <v>0.81287126275149568</v>
      </c>
      <c r="Q11" s="47"/>
    </row>
    <row r="12" spans="1:17" x14ac:dyDescent="0.25">
      <c r="A12" s="1" t="s">
        <v>22</v>
      </c>
      <c r="B12" s="35" t="s">
        <v>36</v>
      </c>
      <c r="C12" s="36" t="s">
        <v>37</v>
      </c>
      <c r="D12" s="37" t="s">
        <v>25</v>
      </c>
      <c r="E12" s="39">
        <v>1807872</v>
      </c>
      <c r="F12" s="39">
        <f>ROUND(E12,0)</f>
        <v>1807872</v>
      </c>
      <c r="G12" s="38">
        <f t="shared" si="1"/>
        <v>0</v>
      </c>
      <c r="H12" s="48"/>
      <c r="I12" s="38">
        <f>ROUND(F12,0)</f>
        <v>1807872</v>
      </c>
      <c r="J12" s="38">
        <f t="shared" si="2"/>
        <v>0</v>
      </c>
      <c r="K12" s="48"/>
      <c r="L12" s="38">
        <f>ROUND(I12,0)</f>
        <v>1807872</v>
      </c>
      <c r="M12" s="38">
        <f t="shared" si="3"/>
        <v>0</v>
      </c>
      <c r="N12" s="48"/>
      <c r="O12" s="41">
        <v>1501414.99</v>
      </c>
      <c r="P12" s="241">
        <f t="shared" si="4"/>
        <v>0.830487440482512</v>
      </c>
      <c r="Q12" s="41"/>
    </row>
    <row r="13" spans="1:17" x14ac:dyDescent="0.25">
      <c r="A13" s="1" t="s">
        <v>22</v>
      </c>
      <c r="B13" s="35" t="s">
        <v>38</v>
      </c>
      <c r="C13" s="36" t="s">
        <v>39</v>
      </c>
      <c r="D13" s="37" t="s">
        <v>40</v>
      </c>
      <c r="E13" s="39">
        <v>190423</v>
      </c>
      <c r="F13" s="39">
        <f>ROUND(E13,0)</f>
        <v>190423</v>
      </c>
      <c r="G13" s="38">
        <f t="shared" si="1"/>
        <v>0</v>
      </c>
      <c r="H13" s="40"/>
      <c r="I13" s="38">
        <f>ROUND(F13,0)</f>
        <v>190423</v>
      </c>
      <c r="J13" s="38">
        <f t="shared" si="2"/>
        <v>0</v>
      </c>
      <c r="K13" s="40"/>
      <c r="L13" s="38">
        <f>ROUND(I13,0)</f>
        <v>190423</v>
      </c>
      <c r="M13" s="38">
        <f t="shared" si="3"/>
        <v>0</v>
      </c>
      <c r="N13" s="40"/>
      <c r="O13" s="41">
        <v>122941.59</v>
      </c>
      <c r="P13" s="241">
        <f t="shared" si="4"/>
        <v>0.64562363790088384</v>
      </c>
      <c r="Q13" s="41"/>
    </row>
    <row r="14" spans="1:17" x14ac:dyDescent="0.25">
      <c r="B14" s="1" t="s">
        <v>41</v>
      </c>
      <c r="C14" s="42" t="s">
        <v>42</v>
      </c>
      <c r="D14" s="43" t="s">
        <v>43</v>
      </c>
      <c r="E14" s="45">
        <v>412472</v>
      </c>
      <c r="F14" s="45">
        <f>SUM(F15:F16)</f>
        <v>412472</v>
      </c>
      <c r="G14" s="44">
        <f t="shared" si="1"/>
        <v>0</v>
      </c>
      <c r="H14" s="46"/>
      <c r="I14" s="44">
        <f>SUM(I15:I16)</f>
        <v>412472</v>
      </c>
      <c r="J14" s="44">
        <f t="shared" si="2"/>
        <v>0</v>
      </c>
      <c r="K14" s="46"/>
      <c r="L14" s="44">
        <f>SUM(L15:L16)</f>
        <v>412472</v>
      </c>
      <c r="M14" s="44">
        <f t="shared" si="3"/>
        <v>0</v>
      </c>
      <c r="N14" s="46"/>
      <c r="O14" s="47">
        <f>SUM(O15:O16)</f>
        <v>300186.11</v>
      </c>
      <c r="P14" s="242">
        <f t="shared" si="4"/>
        <v>0.72777330339998836</v>
      </c>
      <c r="Q14" s="47"/>
    </row>
    <row r="15" spans="1:17" x14ac:dyDescent="0.25">
      <c r="A15" s="1" t="s">
        <v>22</v>
      </c>
      <c r="B15" s="35" t="s">
        <v>44</v>
      </c>
      <c r="C15" s="36" t="s">
        <v>45</v>
      </c>
      <c r="D15" s="37" t="s">
        <v>46</v>
      </c>
      <c r="E15" s="39">
        <v>326353</v>
      </c>
      <c r="F15" s="39">
        <f>ROUND(E15,0)</f>
        <v>326353</v>
      </c>
      <c r="G15" s="38">
        <f t="shared" si="1"/>
        <v>0</v>
      </c>
      <c r="H15" s="49"/>
      <c r="I15" s="38">
        <f>ROUND(F15,0)</f>
        <v>326353</v>
      </c>
      <c r="J15" s="38">
        <f t="shared" si="2"/>
        <v>0</v>
      </c>
      <c r="K15" s="49"/>
      <c r="L15" s="38">
        <f>ROUND(I15,0)</f>
        <v>326353</v>
      </c>
      <c r="M15" s="38">
        <f t="shared" si="3"/>
        <v>0</v>
      </c>
      <c r="N15" s="49"/>
      <c r="O15" s="41">
        <v>263754.15999999997</v>
      </c>
      <c r="P15" s="241">
        <f t="shared" si="4"/>
        <v>0.80818671806295628</v>
      </c>
      <c r="Q15" s="41"/>
    </row>
    <row r="16" spans="1:17" x14ac:dyDescent="0.25">
      <c r="A16" s="1" t="s">
        <v>22</v>
      </c>
      <c r="B16" s="35" t="s">
        <v>47</v>
      </c>
      <c r="C16" s="36" t="s">
        <v>48</v>
      </c>
      <c r="D16" s="37" t="s">
        <v>40</v>
      </c>
      <c r="E16" s="39">
        <v>86119</v>
      </c>
      <c r="F16" s="39">
        <f>ROUND(E16,0)</f>
        <v>86119</v>
      </c>
      <c r="G16" s="38">
        <f t="shared" si="1"/>
        <v>0</v>
      </c>
      <c r="H16" s="40"/>
      <c r="I16" s="38">
        <f>ROUND(F16,0)</f>
        <v>86119</v>
      </c>
      <c r="J16" s="38">
        <f t="shared" si="2"/>
        <v>0</v>
      </c>
      <c r="K16" s="40"/>
      <c r="L16" s="38">
        <f>ROUND(I16,0)</f>
        <v>86119</v>
      </c>
      <c r="M16" s="38">
        <f t="shared" si="3"/>
        <v>0</v>
      </c>
      <c r="N16" s="40"/>
      <c r="O16" s="41">
        <v>36431.949999999997</v>
      </c>
      <c r="P16" s="241">
        <f t="shared" si="4"/>
        <v>0.42304195357586594</v>
      </c>
      <c r="Q16" s="41"/>
    </row>
    <row r="17" spans="1:17" ht="29.25" x14ac:dyDescent="0.25">
      <c r="B17" s="1" t="s">
        <v>49</v>
      </c>
      <c r="C17" s="42" t="s">
        <v>50</v>
      </c>
      <c r="D17" s="43" t="s">
        <v>51</v>
      </c>
      <c r="E17" s="45">
        <v>492545</v>
      </c>
      <c r="F17" s="45">
        <f>SUM(F18:F19)</f>
        <v>492545</v>
      </c>
      <c r="G17" s="44">
        <f t="shared" si="1"/>
        <v>0</v>
      </c>
      <c r="H17" s="46"/>
      <c r="I17" s="44">
        <f>SUM(I18:I19)</f>
        <v>492545</v>
      </c>
      <c r="J17" s="44">
        <f t="shared" si="2"/>
        <v>0</v>
      </c>
      <c r="K17" s="46"/>
      <c r="L17" s="44">
        <f>SUM(L18:L19)</f>
        <v>492545</v>
      </c>
      <c r="M17" s="44">
        <f t="shared" si="3"/>
        <v>0</v>
      </c>
      <c r="N17" s="46"/>
      <c r="O17" s="47">
        <f>SUM(O18:O19)</f>
        <v>598085.42000000004</v>
      </c>
      <c r="P17" s="242">
        <f t="shared" si="4"/>
        <v>1.2142756905460415</v>
      </c>
      <c r="Q17" s="47"/>
    </row>
    <row r="18" spans="1:17" ht="18.75" customHeight="1" x14ac:dyDescent="0.25">
      <c r="A18" s="1" t="s">
        <v>22</v>
      </c>
      <c r="B18" s="35" t="s">
        <v>52</v>
      </c>
      <c r="C18" s="36" t="s">
        <v>53</v>
      </c>
      <c r="D18" s="37" t="s">
        <v>46</v>
      </c>
      <c r="E18" s="39">
        <v>431787</v>
      </c>
      <c r="F18" s="39">
        <f>ROUND(E18,0)</f>
        <v>431787</v>
      </c>
      <c r="G18" s="38">
        <f t="shared" si="1"/>
        <v>0</v>
      </c>
      <c r="H18" s="49"/>
      <c r="I18" s="38">
        <f>ROUND(F18,0)</f>
        <v>431787</v>
      </c>
      <c r="J18" s="38">
        <f t="shared" si="2"/>
        <v>0</v>
      </c>
      <c r="K18" s="49"/>
      <c r="L18" s="38">
        <f>ROUND(I18,0)</f>
        <v>431787</v>
      </c>
      <c r="M18" s="38">
        <f t="shared" si="3"/>
        <v>0</v>
      </c>
      <c r="N18" s="49"/>
      <c r="O18" s="41">
        <v>546720.63</v>
      </c>
      <c r="P18" s="241">
        <f t="shared" si="4"/>
        <v>1.2661813116189233</v>
      </c>
      <c r="Q18" s="41"/>
    </row>
    <row r="19" spans="1:17" x14ac:dyDescent="0.25">
      <c r="A19" s="1" t="s">
        <v>22</v>
      </c>
      <c r="B19" s="35" t="s">
        <v>54</v>
      </c>
      <c r="C19" s="36" t="s">
        <v>55</v>
      </c>
      <c r="D19" s="37" t="s">
        <v>40</v>
      </c>
      <c r="E19" s="39">
        <v>60758</v>
      </c>
      <c r="F19" s="39">
        <f>ROUND(E19,0)</f>
        <v>60758</v>
      </c>
      <c r="G19" s="38">
        <f t="shared" si="1"/>
        <v>0</v>
      </c>
      <c r="H19" s="48"/>
      <c r="I19" s="38">
        <f>ROUND(F19,0)</f>
        <v>60758</v>
      </c>
      <c r="J19" s="38">
        <f t="shared" si="2"/>
        <v>0</v>
      </c>
      <c r="K19" s="48"/>
      <c r="L19" s="38">
        <f>ROUND(I19,0)</f>
        <v>60758</v>
      </c>
      <c r="M19" s="38">
        <f t="shared" si="3"/>
        <v>0</v>
      </c>
      <c r="N19" s="48"/>
      <c r="O19" s="41">
        <v>51364.79</v>
      </c>
      <c r="P19" s="241">
        <f t="shared" si="4"/>
        <v>0.84539961815727971</v>
      </c>
      <c r="Q19" s="41"/>
    </row>
    <row r="20" spans="1:17" ht="29.25" x14ac:dyDescent="0.25">
      <c r="B20" s="50"/>
      <c r="C20" s="42" t="s">
        <v>56</v>
      </c>
      <c r="D20" s="43" t="s">
        <v>57</v>
      </c>
      <c r="E20" s="45">
        <v>70000</v>
      </c>
      <c r="F20" s="45">
        <f t="shared" ref="F20" si="5">SUM(F21:F22)</f>
        <v>70000</v>
      </c>
      <c r="G20" s="44">
        <f t="shared" si="1"/>
        <v>0</v>
      </c>
      <c r="H20" s="46"/>
      <c r="I20" s="44">
        <f>SUM(I21:I22)</f>
        <v>70000</v>
      </c>
      <c r="J20" s="44">
        <f t="shared" si="2"/>
        <v>0</v>
      </c>
      <c r="K20" s="46"/>
      <c r="L20" s="44">
        <f>SUM(L21:L22)</f>
        <v>70000</v>
      </c>
      <c r="M20" s="44">
        <f t="shared" si="3"/>
        <v>0</v>
      </c>
      <c r="N20" s="46"/>
      <c r="O20" s="47">
        <f>SUM(O21:O22)</f>
        <v>45765.59</v>
      </c>
      <c r="P20" s="242">
        <f t="shared" si="4"/>
        <v>0.65379414285714277</v>
      </c>
      <c r="Q20" s="47"/>
    </row>
    <row r="21" spans="1:17" ht="14.45" customHeight="1" outlineLevel="1" x14ac:dyDescent="0.25">
      <c r="B21" s="35" t="s">
        <v>58</v>
      </c>
      <c r="C21" s="36" t="s">
        <v>59</v>
      </c>
      <c r="D21" s="37" t="s">
        <v>60</v>
      </c>
      <c r="E21" s="39">
        <v>0</v>
      </c>
      <c r="F21" s="39">
        <f>ROUND(E21,0)</f>
        <v>0</v>
      </c>
      <c r="G21" s="38">
        <f t="shared" si="1"/>
        <v>0</v>
      </c>
      <c r="H21" s="49"/>
      <c r="I21" s="38">
        <f>ROUND(F21,0)</f>
        <v>0</v>
      </c>
      <c r="J21" s="38">
        <f t="shared" si="2"/>
        <v>0</v>
      </c>
      <c r="K21" s="49"/>
      <c r="L21" s="38">
        <f>ROUND(I21,0)</f>
        <v>0</v>
      </c>
      <c r="M21" s="38">
        <f t="shared" si="3"/>
        <v>0</v>
      </c>
      <c r="N21" s="49"/>
      <c r="O21" s="41">
        <f>ROUND(H21,0)</f>
        <v>0</v>
      </c>
      <c r="P21" s="241"/>
      <c r="Q21" s="41"/>
    </row>
    <row r="22" spans="1:17" ht="15.6" customHeight="1" x14ac:dyDescent="0.25">
      <c r="B22" s="35" t="s">
        <v>61</v>
      </c>
      <c r="C22" s="36" t="s">
        <v>59</v>
      </c>
      <c r="D22" s="37" t="s">
        <v>62</v>
      </c>
      <c r="E22" s="39">
        <v>70000</v>
      </c>
      <c r="F22" s="39">
        <f>ROUND(E22,0)</f>
        <v>70000</v>
      </c>
      <c r="G22" s="38">
        <f t="shared" si="1"/>
        <v>0</v>
      </c>
      <c r="H22" s="51"/>
      <c r="I22" s="38">
        <f>ROUND(F22,0)</f>
        <v>70000</v>
      </c>
      <c r="J22" s="38">
        <f t="shared" si="2"/>
        <v>0</v>
      </c>
      <c r="K22" s="51"/>
      <c r="L22" s="38">
        <f>ROUND(I22,0)</f>
        <v>70000</v>
      </c>
      <c r="M22" s="38">
        <f t="shared" si="3"/>
        <v>0</v>
      </c>
      <c r="N22" s="51"/>
      <c r="O22" s="41">
        <v>45765.59</v>
      </c>
      <c r="P22" s="241">
        <f t="shared" ref="P22:P31" si="6">O22/L22</f>
        <v>0.65379414285714277</v>
      </c>
      <c r="Q22" s="41" t="s">
        <v>63</v>
      </c>
    </row>
    <row r="23" spans="1:17" ht="15.75" customHeight="1" x14ac:dyDescent="0.25">
      <c r="B23" s="1" t="s">
        <v>64</v>
      </c>
      <c r="C23" s="42" t="s">
        <v>65</v>
      </c>
      <c r="D23" s="43" t="s">
        <v>66</v>
      </c>
      <c r="E23" s="45">
        <v>160000</v>
      </c>
      <c r="F23" s="45">
        <f t="shared" ref="F23" si="7">F24+F28</f>
        <v>160000</v>
      </c>
      <c r="G23" s="44">
        <f t="shared" si="1"/>
        <v>0</v>
      </c>
      <c r="H23" s="46"/>
      <c r="I23" s="44">
        <f>I24+I28</f>
        <v>160000</v>
      </c>
      <c r="J23" s="44">
        <f t="shared" si="2"/>
        <v>0</v>
      </c>
      <c r="K23" s="46"/>
      <c r="L23" s="44">
        <f>L24+L28</f>
        <v>160000</v>
      </c>
      <c r="M23" s="44">
        <f t="shared" si="3"/>
        <v>0</v>
      </c>
      <c r="N23" s="46"/>
      <c r="O23" s="47">
        <f>O24+O28</f>
        <v>93709.440000000002</v>
      </c>
      <c r="P23" s="242">
        <f t="shared" si="6"/>
        <v>0.58568399999999998</v>
      </c>
      <c r="Q23" s="243" t="s">
        <v>67</v>
      </c>
    </row>
    <row r="24" spans="1:17" x14ac:dyDescent="0.25">
      <c r="A24" s="1" t="s">
        <v>22</v>
      </c>
      <c r="B24" s="1" t="s">
        <v>68</v>
      </c>
      <c r="C24" s="36" t="s">
        <v>69</v>
      </c>
      <c r="D24" s="37" t="s">
        <v>70</v>
      </c>
      <c r="E24" s="39">
        <v>6700</v>
      </c>
      <c r="F24" s="39">
        <f>F25+F26+F27</f>
        <v>6700</v>
      </c>
      <c r="G24" s="38">
        <f t="shared" si="1"/>
        <v>0</v>
      </c>
      <c r="H24" s="48"/>
      <c r="I24" s="38">
        <f>I25+I26+I27</f>
        <v>6700</v>
      </c>
      <c r="J24" s="38">
        <f t="shared" si="2"/>
        <v>0</v>
      </c>
      <c r="K24" s="48"/>
      <c r="L24" s="38">
        <f>L25+L26+L27</f>
        <v>6700</v>
      </c>
      <c r="M24" s="38">
        <f t="shared" si="3"/>
        <v>0</v>
      </c>
      <c r="N24" s="48"/>
      <c r="O24" s="41">
        <f>O25+O26+O27</f>
        <v>3902.08</v>
      </c>
      <c r="P24" s="244">
        <f t="shared" si="6"/>
        <v>0.58240000000000003</v>
      </c>
      <c r="Q24" s="41"/>
    </row>
    <row r="25" spans="1:17" ht="26.25" x14ac:dyDescent="0.25">
      <c r="B25" s="35" t="s">
        <v>71</v>
      </c>
      <c r="C25" s="52" t="s">
        <v>72</v>
      </c>
      <c r="D25" s="53" t="s">
        <v>73</v>
      </c>
      <c r="E25" s="39">
        <v>1700</v>
      </c>
      <c r="F25" s="39">
        <f>ROUND(E25,0)</f>
        <v>1700</v>
      </c>
      <c r="G25" s="38">
        <f t="shared" si="1"/>
        <v>0</v>
      </c>
      <c r="H25" s="48"/>
      <c r="I25" s="38">
        <f>ROUND(F25,0)</f>
        <v>1700</v>
      </c>
      <c r="J25" s="38">
        <f t="shared" si="2"/>
        <v>0</v>
      </c>
      <c r="K25" s="48"/>
      <c r="L25" s="38">
        <f>ROUND(I25,0)</f>
        <v>1700</v>
      </c>
      <c r="M25" s="38">
        <f t="shared" si="3"/>
        <v>0</v>
      </c>
      <c r="N25" s="48"/>
      <c r="O25" s="41">
        <v>784.95</v>
      </c>
      <c r="P25" s="241">
        <f t="shared" si="6"/>
        <v>0.46173529411764708</v>
      </c>
      <c r="Q25" s="41"/>
    </row>
    <row r="26" spans="1:17" ht="26.25" x14ac:dyDescent="0.25">
      <c r="B26" s="35" t="s">
        <v>74</v>
      </c>
      <c r="C26" s="52" t="s">
        <v>75</v>
      </c>
      <c r="D26" s="53" t="s">
        <v>76</v>
      </c>
      <c r="E26" s="39">
        <v>4500</v>
      </c>
      <c r="F26" s="39">
        <f>ROUND(E26,0)</f>
        <v>4500</v>
      </c>
      <c r="G26" s="38">
        <f t="shared" si="1"/>
        <v>0</v>
      </c>
      <c r="H26" s="48"/>
      <c r="I26" s="38">
        <f>ROUND(F26,0)</f>
        <v>4500</v>
      </c>
      <c r="J26" s="38">
        <f t="shared" si="2"/>
        <v>0</v>
      </c>
      <c r="K26" s="48"/>
      <c r="L26" s="38">
        <f>ROUND(I26,0)</f>
        <v>4500</v>
      </c>
      <c r="M26" s="38">
        <f t="shared" si="3"/>
        <v>0</v>
      </c>
      <c r="N26" s="48"/>
      <c r="O26" s="41">
        <v>2996</v>
      </c>
      <c r="P26" s="241">
        <f t="shared" si="6"/>
        <v>0.6657777777777778</v>
      </c>
      <c r="Q26" s="41"/>
    </row>
    <row r="27" spans="1:17" ht="26.25" x14ac:dyDescent="0.25">
      <c r="B27" s="35" t="s">
        <v>77</v>
      </c>
      <c r="C27" s="52" t="s">
        <v>78</v>
      </c>
      <c r="D27" s="53" t="s">
        <v>79</v>
      </c>
      <c r="E27" s="39">
        <v>500</v>
      </c>
      <c r="F27" s="39">
        <f>ROUND(E27,0)</f>
        <v>500</v>
      </c>
      <c r="G27" s="38">
        <f t="shared" si="1"/>
        <v>0</v>
      </c>
      <c r="H27" s="48"/>
      <c r="I27" s="38">
        <f>ROUND(F27,0)</f>
        <v>500</v>
      </c>
      <c r="J27" s="38">
        <f t="shared" si="2"/>
        <v>0</v>
      </c>
      <c r="K27" s="48"/>
      <c r="L27" s="38">
        <f>ROUND(I27,0)</f>
        <v>500</v>
      </c>
      <c r="M27" s="38">
        <f t="shared" si="3"/>
        <v>0</v>
      </c>
      <c r="N27" s="48"/>
      <c r="O27" s="41">
        <v>121.13</v>
      </c>
      <c r="P27" s="241">
        <f t="shared" si="6"/>
        <v>0.24226</v>
      </c>
      <c r="Q27" s="41"/>
    </row>
    <row r="28" spans="1:17" x14ac:dyDescent="0.25">
      <c r="A28" s="1" t="s">
        <v>22</v>
      </c>
      <c r="B28" s="1" t="s">
        <v>80</v>
      </c>
      <c r="C28" s="36" t="s">
        <v>81</v>
      </c>
      <c r="D28" s="37" t="s">
        <v>82</v>
      </c>
      <c r="E28" s="39">
        <v>153300</v>
      </c>
      <c r="F28" s="39">
        <f>SUM(F29:F35)</f>
        <v>153300</v>
      </c>
      <c r="G28" s="38">
        <f t="shared" si="1"/>
        <v>0</v>
      </c>
      <c r="H28" s="48"/>
      <c r="I28" s="38">
        <f>SUM(I29:I35)</f>
        <v>153300</v>
      </c>
      <c r="J28" s="38">
        <f t="shared" si="2"/>
        <v>0</v>
      </c>
      <c r="K28" s="48"/>
      <c r="L28" s="38">
        <f>SUM(L29:L35)</f>
        <v>153300</v>
      </c>
      <c r="M28" s="38">
        <f t="shared" si="3"/>
        <v>0</v>
      </c>
      <c r="N28" s="48"/>
      <c r="O28" s="41">
        <f>SUM(O29:O35)</f>
        <v>89807.360000000001</v>
      </c>
      <c r="P28" s="244">
        <f t="shared" si="6"/>
        <v>0.58582752772341817</v>
      </c>
      <c r="Q28" s="41"/>
    </row>
    <row r="29" spans="1:17" ht="26.25" x14ac:dyDescent="0.25">
      <c r="B29" s="35" t="s">
        <v>83</v>
      </c>
      <c r="C29" s="52" t="s">
        <v>84</v>
      </c>
      <c r="D29" s="53" t="s">
        <v>85</v>
      </c>
      <c r="E29" s="39">
        <v>350</v>
      </c>
      <c r="F29" s="39">
        <f t="shared" ref="F29:F35" si="8">ROUND(E29,0)</f>
        <v>350</v>
      </c>
      <c r="G29" s="38">
        <f t="shared" si="1"/>
        <v>0</v>
      </c>
      <c r="H29" s="48"/>
      <c r="I29" s="38">
        <f t="shared" ref="I29:I35" si="9">ROUND(F29,0)</f>
        <v>350</v>
      </c>
      <c r="J29" s="38">
        <f t="shared" si="2"/>
        <v>0</v>
      </c>
      <c r="K29" s="48"/>
      <c r="L29" s="38">
        <f t="shared" ref="L29:L35" si="10">ROUND(I29,0)</f>
        <v>350</v>
      </c>
      <c r="M29" s="38">
        <f t="shared" si="3"/>
        <v>0</v>
      </c>
      <c r="N29" s="48"/>
      <c r="O29" s="41">
        <v>50</v>
      </c>
      <c r="P29" s="241">
        <f t="shared" si="6"/>
        <v>0.14285714285714285</v>
      </c>
      <c r="Q29" s="41"/>
    </row>
    <row r="30" spans="1:17" ht="26.25" x14ac:dyDescent="0.25">
      <c r="B30" s="54" t="s">
        <v>86</v>
      </c>
      <c r="C30" s="52" t="s">
        <v>87</v>
      </c>
      <c r="D30" s="53" t="s">
        <v>88</v>
      </c>
      <c r="E30" s="39">
        <v>1100</v>
      </c>
      <c r="F30" s="39">
        <f t="shared" si="8"/>
        <v>1100</v>
      </c>
      <c r="G30" s="38">
        <f t="shared" si="1"/>
        <v>0</v>
      </c>
      <c r="H30" s="48"/>
      <c r="I30" s="38">
        <f t="shared" si="9"/>
        <v>1100</v>
      </c>
      <c r="J30" s="38">
        <f t="shared" si="2"/>
        <v>0</v>
      </c>
      <c r="K30" s="48"/>
      <c r="L30" s="38">
        <f t="shared" si="10"/>
        <v>1100</v>
      </c>
      <c r="M30" s="38">
        <f t="shared" si="3"/>
        <v>0</v>
      </c>
      <c r="N30" s="48"/>
      <c r="O30" s="41">
        <v>1130</v>
      </c>
      <c r="P30" s="241">
        <f t="shared" si="6"/>
        <v>1.0272727272727273</v>
      </c>
      <c r="Q30" s="41"/>
    </row>
    <row r="31" spans="1:17" x14ac:dyDescent="0.25">
      <c r="B31" s="35" t="s">
        <v>89</v>
      </c>
      <c r="C31" s="52" t="s">
        <v>90</v>
      </c>
      <c r="D31" s="53" t="s">
        <v>91</v>
      </c>
      <c r="E31" s="39">
        <v>27000</v>
      </c>
      <c r="F31" s="39">
        <f t="shared" si="8"/>
        <v>27000</v>
      </c>
      <c r="G31" s="38">
        <f t="shared" si="1"/>
        <v>0</v>
      </c>
      <c r="H31" s="48"/>
      <c r="I31" s="38">
        <f t="shared" si="9"/>
        <v>27000</v>
      </c>
      <c r="J31" s="38">
        <f t="shared" si="2"/>
        <v>0</v>
      </c>
      <c r="K31" s="48"/>
      <c r="L31" s="38">
        <f t="shared" si="10"/>
        <v>27000</v>
      </c>
      <c r="M31" s="38">
        <f t="shared" si="3"/>
        <v>0</v>
      </c>
      <c r="N31" s="48"/>
      <c r="O31" s="41">
        <v>21177.3</v>
      </c>
      <c r="P31" s="241">
        <f t="shared" si="6"/>
        <v>0.7843444444444444</v>
      </c>
      <c r="Q31" s="41"/>
    </row>
    <row r="32" spans="1:17" x14ac:dyDescent="0.25">
      <c r="B32" s="35" t="s">
        <v>92</v>
      </c>
      <c r="C32" s="52" t="s">
        <v>93</v>
      </c>
      <c r="D32" s="53" t="s">
        <v>94</v>
      </c>
      <c r="E32" s="39">
        <v>0</v>
      </c>
      <c r="F32" s="39">
        <f t="shared" si="8"/>
        <v>0</v>
      </c>
      <c r="G32" s="38">
        <f t="shared" si="1"/>
        <v>0</v>
      </c>
      <c r="H32" s="48"/>
      <c r="I32" s="38">
        <f t="shared" si="9"/>
        <v>0</v>
      </c>
      <c r="J32" s="38">
        <f t="shared" si="2"/>
        <v>0</v>
      </c>
      <c r="K32" s="48"/>
      <c r="L32" s="38">
        <f t="shared" si="10"/>
        <v>0</v>
      </c>
      <c r="M32" s="38">
        <f t="shared" si="3"/>
        <v>0</v>
      </c>
      <c r="N32" s="48"/>
      <c r="O32" s="41">
        <v>0</v>
      </c>
      <c r="P32" s="241"/>
      <c r="Q32" s="41"/>
    </row>
    <row r="33" spans="1:17" ht="26.25" x14ac:dyDescent="0.25">
      <c r="B33" s="35" t="s">
        <v>95</v>
      </c>
      <c r="C33" s="52" t="s">
        <v>96</v>
      </c>
      <c r="D33" s="53" t="s">
        <v>97</v>
      </c>
      <c r="E33" s="39">
        <v>11500</v>
      </c>
      <c r="F33" s="39">
        <f t="shared" si="8"/>
        <v>11500</v>
      </c>
      <c r="G33" s="38">
        <f t="shared" si="1"/>
        <v>0</v>
      </c>
      <c r="H33" s="48"/>
      <c r="I33" s="38">
        <f t="shared" si="9"/>
        <v>11500</v>
      </c>
      <c r="J33" s="38">
        <f t="shared" si="2"/>
        <v>0</v>
      </c>
      <c r="K33" s="48"/>
      <c r="L33" s="38">
        <f t="shared" si="10"/>
        <v>11500</v>
      </c>
      <c r="M33" s="38">
        <f t="shared" si="3"/>
        <v>0</v>
      </c>
      <c r="N33" s="48"/>
      <c r="O33" s="41">
        <v>8286.7999999999993</v>
      </c>
      <c r="P33" s="241">
        <f t="shared" ref="P33:P48" si="11">O33/L33</f>
        <v>0.72059130434782603</v>
      </c>
      <c r="Q33" s="41"/>
    </row>
    <row r="34" spans="1:17" x14ac:dyDescent="0.25">
      <c r="B34" s="35" t="s">
        <v>98</v>
      </c>
      <c r="C34" s="52" t="s">
        <v>99</v>
      </c>
      <c r="D34" s="53" t="s">
        <v>100</v>
      </c>
      <c r="E34" s="39">
        <v>106350</v>
      </c>
      <c r="F34" s="39">
        <f t="shared" si="8"/>
        <v>106350</v>
      </c>
      <c r="G34" s="38">
        <f t="shared" si="1"/>
        <v>0</v>
      </c>
      <c r="H34" s="48"/>
      <c r="I34" s="38">
        <f t="shared" si="9"/>
        <v>106350</v>
      </c>
      <c r="J34" s="38">
        <f t="shared" si="2"/>
        <v>0</v>
      </c>
      <c r="K34" s="48"/>
      <c r="L34" s="38">
        <f t="shared" si="10"/>
        <v>106350</v>
      </c>
      <c r="M34" s="38">
        <f t="shared" si="3"/>
        <v>0</v>
      </c>
      <c r="N34" s="48"/>
      <c r="O34" s="41">
        <v>56107.29</v>
      </c>
      <c r="P34" s="241">
        <f t="shared" si="11"/>
        <v>0.52757207334273626</v>
      </c>
      <c r="Q34" s="41"/>
    </row>
    <row r="35" spans="1:17" x14ac:dyDescent="0.25">
      <c r="B35" s="35" t="s">
        <v>101</v>
      </c>
      <c r="C35" s="52" t="s">
        <v>102</v>
      </c>
      <c r="D35" s="53" t="s">
        <v>103</v>
      </c>
      <c r="E35" s="39">
        <v>7000</v>
      </c>
      <c r="F35" s="39">
        <f t="shared" si="8"/>
        <v>7000</v>
      </c>
      <c r="G35" s="38">
        <f t="shared" si="1"/>
        <v>0</v>
      </c>
      <c r="H35" s="48"/>
      <c r="I35" s="38">
        <f t="shared" si="9"/>
        <v>7000</v>
      </c>
      <c r="J35" s="38">
        <f t="shared" si="2"/>
        <v>0</v>
      </c>
      <c r="K35" s="48"/>
      <c r="L35" s="38">
        <f t="shared" si="10"/>
        <v>7000</v>
      </c>
      <c r="M35" s="38">
        <f t="shared" si="3"/>
        <v>0</v>
      </c>
      <c r="N35" s="48"/>
      <c r="O35" s="41">
        <v>3055.97</v>
      </c>
      <c r="P35" s="241">
        <f t="shared" si="11"/>
        <v>0.43656714285714282</v>
      </c>
      <c r="Q35" s="41"/>
    </row>
    <row r="36" spans="1:17" ht="18" customHeight="1" x14ac:dyDescent="0.25">
      <c r="B36" s="1" t="s">
        <v>104</v>
      </c>
      <c r="C36" s="42" t="s">
        <v>105</v>
      </c>
      <c r="D36" s="43" t="s">
        <v>106</v>
      </c>
      <c r="E36" s="45">
        <v>65000</v>
      </c>
      <c r="F36" s="45">
        <f>F37+F38</f>
        <v>65000</v>
      </c>
      <c r="G36" s="44">
        <f t="shared" si="1"/>
        <v>0</v>
      </c>
      <c r="H36" s="55"/>
      <c r="I36" s="44">
        <f>I37+I38</f>
        <v>65000</v>
      </c>
      <c r="J36" s="44">
        <f t="shared" si="2"/>
        <v>0</v>
      </c>
      <c r="K36" s="55"/>
      <c r="L36" s="44">
        <f>L37+L38</f>
        <v>65000</v>
      </c>
      <c r="M36" s="44">
        <f t="shared" si="3"/>
        <v>0</v>
      </c>
      <c r="N36" s="55"/>
      <c r="O36" s="47">
        <f>O37+O38</f>
        <v>26313.21</v>
      </c>
      <c r="P36" s="242">
        <f t="shared" si="11"/>
        <v>0.40481861538461539</v>
      </c>
      <c r="Q36" s="243" t="s">
        <v>67</v>
      </c>
    </row>
    <row r="37" spans="1:17" ht="16.5" customHeight="1" x14ac:dyDescent="0.25">
      <c r="B37" s="50" t="s">
        <v>107</v>
      </c>
      <c r="C37" s="36" t="s">
        <v>108</v>
      </c>
      <c r="D37" s="37" t="s">
        <v>106</v>
      </c>
      <c r="E37" s="39">
        <v>31000</v>
      </c>
      <c r="F37" s="39">
        <f>ROUND(E37,0)</f>
        <v>31000</v>
      </c>
      <c r="G37" s="38">
        <f t="shared" si="1"/>
        <v>0</v>
      </c>
      <c r="H37" s="40"/>
      <c r="I37" s="38">
        <f>ROUND(F37,0)</f>
        <v>31000</v>
      </c>
      <c r="J37" s="38">
        <f t="shared" si="2"/>
        <v>0</v>
      </c>
      <c r="K37" s="40"/>
      <c r="L37" s="38">
        <f>ROUND(I37,0)</f>
        <v>31000</v>
      </c>
      <c r="M37" s="38">
        <f t="shared" si="3"/>
        <v>0</v>
      </c>
      <c r="N37" s="40"/>
      <c r="O37" s="41">
        <v>13727.93</v>
      </c>
      <c r="P37" s="241">
        <f t="shared" si="11"/>
        <v>0.44283645161290325</v>
      </c>
      <c r="Q37" s="41"/>
    </row>
    <row r="38" spans="1:17" ht="30" x14ac:dyDescent="0.25">
      <c r="B38" s="50" t="s">
        <v>109</v>
      </c>
      <c r="C38" s="36" t="s">
        <v>110</v>
      </c>
      <c r="D38" s="37" t="s">
        <v>111</v>
      </c>
      <c r="E38" s="39">
        <v>34000</v>
      </c>
      <c r="F38" s="39">
        <f>ROUND(E38,0)</f>
        <v>34000</v>
      </c>
      <c r="G38" s="38">
        <f t="shared" si="1"/>
        <v>0</v>
      </c>
      <c r="H38" s="40"/>
      <c r="I38" s="38">
        <f>ROUND(F38,0)</f>
        <v>34000</v>
      </c>
      <c r="J38" s="38">
        <f t="shared" si="2"/>
        <v>0</v>
      </c>
      <c r="K38" s="40"/>
      <c r="L38" s="38">
        <f>ROUND(I38,0)</f>
        <v>34000</v>
      </c>
      <c r="M38" s="38">
        <f t="shared" si="3"/>
        <v>0</v>
      </c>
      <c r="N38" s="40"/>
      <c r="O38" s="41">
        <v>12585.28</v>
      </c>
      <c r="P38" s="241">
        <f t="shared" si="11"/>
        <v>0.37015529411764708</v>
      </c>
      <c r="Q38" s="41"/>
    </row>
    <row r="39" spans="1:17" x14ac:dyDescent="0.25">
      <c r="B39" s="1" t="s">
        <v>112</v>
      </c>
      <c r="C39" s="42" t="s">
        <v>113</v>
      </c>
      <c r="D39" s="43" t="s">
        <v>114</v>
      </c>
      <c r="E39" s="45">
        <v>22453</v>
      </c>
      <c r="F39" s="45">
        <f>F40+F41+F42</f>
        <v>33317</v>
      </c>
      <c r="G39" s="44">
        <f t="shared" si="1"/>
        <v>10864</v>
      </c>
      <c r="H39" s="46"/>
      <c r="I39" s="44">
        <f>I40+I41+I42</f>
        <v>176317</v>
      </c>
      <c r="J39" s="44">
        <f t="shared" si="2"/>
        <v>143000</v>
      </c>
      <c r="K39" s="46"/>
      <c r="L39" s="44">
        <f>L40+L41+L42</f>
        <v>176317</v>
      </c>
      <c r="M39" s="44">
        <f t="shared" si="3"/>
        <v>0</v>
      </c>
      <c r="N39" s="46"/>
      <c r="O39" s="47">
        <f>O40+O41+O42</f>
        <v>171061</v>
      </c>
      <c r="P39" s="242">
        <f t="shared" si="11"/>
        <v>0.97019005541155989</v>
      </c>
      <c r="Q39" s="47"/>
    </row>
    <row r="40" spans="1:17" ht="29.45" customHeight="1" x14ac:dyDescent="0.25">
      <c r="A40" s="1" t="s">
        <v>22</v>
      </c>
      <c r="B40" s="3" t="s">
        <v>115</v>
      </c>
      <c r="C40" s="36" t="s">
        <v>116</v>
      </c>
      <c r="D40" s="56" t="s">
        <v>117</v>
      </c>
      <c r="E40" s="39">
        <v>16000</v>
      </c>
      <c r="F40" s="39">
        <f>ROUND(E40,0)+10864</f>
        <v>26864</v>
      </c>
      <c r="G40" s="38">
        <f t="shared" si="1"/>
        <v>10864</v>
      </c>
      <c r="H40" s="57" t="s">
        <v>118</v>
      </c>
      <c r="I40" s="38">
        <f>ROUND(F40,0)+143000</f>
        <v>169864</v>
      </c>
      <c r="J40" s="41">
        <f t="shared" si="2"/>
        <v>143000</v>
      </c>
      <c r="K40" s="58" t="s">
        <v>119</v>
      </c>
      <c r="L40" s="38">
        <f>ROUND(I40,0)</f>
        <v>169864</v>
      </c>
      <c r="M40" s="38">
        <f t="shared" si="3"/>
        <v>0</v>
      </c>
      <c r="N40" s="57"/>
      <c r="O40" s="41">
        <f>10864+2701+143216</f>
        <v>156781</v>
      </c>
      <c r="P40" s="241">
        <f t="shared" si="11"/>
        <v>0.92297956011868321</v>
      </c>
      <c r="Q40" s="77" t="s">
        <v>120</v>
      </c>
    </row>
    <row r="41" spans="1:17" ht="30" x14ac:dyDescent="0.25">
      <c r="B41" s="1" t="s">
        <v>121</v>
      </c>
      <c r="C41" s="36" t="s">
        <v>122</v>
      </c>
      <c r="D41" s="37" t="s">
        <v>123</v>
      </c>
      <c r="E41" s="39">
        <v>500</v>
      </c>
      <c r="F41" s="39">
        <f>ROUND(E41,0)</f>
        <v>500</v>
      </c>
      <c r="G41" s="38">
        <f t="shared" si="1"/>
        <v>0</v>
      </c>
      <c r="H41" s="57"/>
      <c r="I41" s="38">
        <f>ROUND(F41,0)</f>
        <v>500</v>
      </c>
      <c r="J41" s="38">
        <f t="shared" si="2"/>
        <v>0</v>
      </c>
      <c r="K41" s="57"/>
      <c r="L41" s="38">
        <f>ROUND(I41,0)</f>
        <v>500</v>
      </c>
      <c r="M41" s="38">
        <f t="shared" si="3"/>
        <v>0</v>
      </c>
      <c r="N41" s="57"/>
      <c r="O41" s="41">
        <f>376+673+2955</f>
        <v>4004</v>
      </c>
      <c r="P41" s="241">
        <f t="shared" si="11"/>
        <v>8.0079999999999991</v>
      </c>
      <c r="Q41" s="41"/>
    </row>
    <row r="42" spans="1:17" x14ac:dyDescent="0.25">
      <c r="C42" s="36" t="s">
        <v>124</v>
      </c>
      <c r="D42" s="37" t="s">
        <v>125</v>
      </c>
      <c r="E42" s="39">
        <v>5953</v>
      </c>
      <c r="F42" s="39">
        <f>ROUND(E42,0)</f>
        <v>5953</v>
      </c>
      <c r="G42" s="38">
        <f t="shared" si="1"/>
        <v>0</v>
      </c>
      <c r="H42" s="40"/>
      <c r="I42" s="38">
        <f>ROUND(F42,0)</f>
        <v>5953</v>
      </c>
      <c r="J42" s="38">
        <f t="shared" si="2"/>
        <v>0</v>
      </c>
      <c r="K42" s="40"/>
      <c r="L42" s="38">
        <f>ROUND(I42,0)</f>
        <v>5953</v>
      </c>
      <c r="M42" s="38">
        <f t="shared" si="3"/>
        <v>0</v>
      </c>
      <c r="N42" s="40"/>
      <c r="O42" s="41">
        <v>10276</v>
      </c>
      <c r="P42" s="241">
        <f t="shared" si="11"/>
        <v>1.7261884763984545</v>
      </c>
      <c r="Q42" s="41"/>
    </row>
    <row r="43" spans="1:17" ht="15" customHeight="1" x14ac:dyDescent="0.25">
      <c r="B43" s="1" t="s">
        <v>126</v>
      </c>
      <c r="C43" s="59" t="s">
        <v>127</v>
      </c>
      <c r="D43" s="43" t="s">
        <v>128</v>
      </c>
      <c r="E43" s="45">
        <v>433856</v>
      </c>
      <c r="F43" s="45">
        <f>ROUND(E43,0)</f>
        <v>433856</v>
      </c>
      <c r="G43" s="44">
        <f t="shared" si="1"/>
        <v>0</v>
      </c>
      <c r="H43" s="55"/>
      <c r="I43" s="44">
        <f>ROUND(F43,0)</f>
        <v>433856</v>
      </c>
      <c r="J43" s="44">
        <f t="shared" si="2"/>
        <v>0</v>
      </c>
      <c r="K43" s="55"/>
      <c r="L43" s="44">
        <f>ROUND(I43,0)</f>
        <v>433856</v>
      </c>
      <c r="M43" s="44">
        <f t="shared" si="3"/>
        <v>0</v>
      </c>
      <c r="N43" s="55"/>
      <c r="O43" s="47">
        <v>55083</v>
      </c>
      <c r="P43" s="242">
        <f t="shared" si="11"/>
        <v>0.12696148030682991</v>
      </c>
      <c r="Q43" s="243" t="s">
        <v>129</v>
      </c>
    </row>
    <row r="44" spans="1:17" x14ac:dyDescent="0.25">
      <c r="C44" s="59" t="s">
        <v>130</v>
      </c>
      <c r="D44" s="43" t="s">
        <v>131</v>
      </c>
      <c r="E44" s="45">
        <v>9528140.4900000002</v>
      </c>
      <c r="F44" s="45">
        <f t="shared" ref="F44" si="12">F45+F67+F88</f>
        <v>9575632</v>
      </c>
      <c r="G44" s="44">
        <f t="shared" si="1"/>
        <v>47491.509999999776</v>
      </c>
      <c r="H44" s="44"/>
      <c r="I44" s="44">
        <f>I45+I67+I88</f>
        <v>9633217</v>
      </c>
      <c r="J44" s="44">
        <f t="shared" si="2"/>
        <v>57585</v>
      </c>
      <c r="K44" s="44"/>
      <c r="L44" s="44">
        <f>L45+L67+L88</f>
        <v>9973168</v>
      </c>
      <c r="M44" s="44">
        <f t="shared" si="3"/>
        <v>339951</v>
      </c>
      <c r="N44" s="44"/>
      <c r="O44" s="47">
        <f>O45+O67+O88</f>
        <v>5686422</v>
      </c>
      <c r="P44" s="242">
        <f t="shared" si="11"/>
        <v>0.57017208574045875</v>
      </c>
      <c r="Q44" s="47"/>
    </row>
    <row r="45" spans="1:17" ht="17.45" customHeight="1" x14ac:dyDescent="0.25">
      <c r="B45" s="35"/>
      <c r="C45" s="60" t="s">
        <v>132</v>
      </c>
      <c r="D45" s="61" t="s">
        <v>133</v>
      </c>
      <c r="E45" s="39">
        <v>7875899</v>
      </c>
      <c r="F45" s="39">
        <f t="shared" ref="F45" si="13">SUM(F46:F49)+F52+SUM(F56:F66)</f>
        <v>7923391</v>
      </c>
      <c r="G45" s="38">
        <f t="shared" si="1"/>
        <v>47492</v>
      </c>
      <c r="H45" s="38"/>
      <c r="I45" s="38">
        <f>SUM(I46:I49)+I52+SUM(I56:I66)</f>
        <v>7975976</v>
      </c>
      <c r="J45" s="38">
        <f t="shared" si="2"/>
        <v>52585</v>
      </c>
      <c r="K45" s="38"/>
      <c r="L45" s="38">
        <f>SUM(L46:L49)+L52+SUM(L56:L66)</f>
        <v>8315927</v>
      </c>
      <c r="M45" s="38">
        <f t="shared" si="3"/>
        <v>339951</v>
      </c>
      <c r="N45" s="38"/>
      <c r="O45" s="41">
        <f>SUM(O46:O49)+O52+SUM(O56:O66)</f>
        <v>5255723</v>
      </c>
      <c r="P45" s="241">
        <f t="shared" si="11"/>
        <v>0.63200687067118311</v>
      </c>
      <c r="Q45" s="41" t="s">
        <v>134</v>
      </c>
    </row>
    <row r="46" spans="1:17" ht="16.899999999999999" customHeight="1" x14ac:dyDescent="0.25">
      <c r="A46" s="1" t="s">
        <v>135</v>
      </c>
      <c r="B46" s="1" t="s">
        <v>136</v>
      </c>
      <c r="C46" s="52" t="s">
        <v>137</v>
      </c>
      <c r="D46" s="37" t="s">
        <v>138</v>
      </c>
      <c r="E46" s="39">
        <v>593640</v>
      </c>
      <c r="F46" s="39">
        <f>ROUND(E46,0)+52289</f>
        <v>645929</v>
      </c>
      <c r="G46" s="38">
        <f t="shared" si="1"/>
        <v>52289</v>
      </c>
      <c r="H46" s="57" t="s">
        <v>139</v>
      </c>
      <c r="I46" s="38">
        <f>ROUND(F46,0)</f>
        <v>645929</v>
      </c>
      <c r="J46" s="38">
        <f t="shared" si="2"/>
        <v>0</v>
      </c>
      <c r="K46" s="57"/>
      <c r="L46" s="38">
        <f>ROUND(I46,0)</f>
        <v>645929</v>
      </c>
      <c r="M46" s="38">
        <f t="shared" si="3"/>
        <v>0</v>
      </c>
      <c r="N46" s="57"/>
      <c r="O46" s="41">
        <v>430739</v>
      </c>
      <c r="P46" s="241">
        <f t="shared" si="11"/>
        <v>0.66685192954643624</v>
      </c>
      <c r="Q46" s="41"/>
    </row>
    <row r="47" spans="1:17" ht="13.9" customHeight="1" x14ac:dyDescent="0.25">
      <c r="A47" s="1" t="s">
        <v>135</v>
      </c>
      <c r="B47" s="50" t="s">
        <v>140</v>
      </c>
      <c r="C47" s="52" t="s">
        <v>141</v>
      </c>
      <c r="D47" s="37" t="s">
        <v>142</v>
      </c>
      <c r="E47" s="39">
        <v>299288</v>
      </c>
      <c r="F47" s="39">
        <f>ROUND(E47,0)</f>
        <v>299288</v>
      </c>
      <c r="G47" s="38">
        <f t="shared" si="1"/>
        <v>0</v>
      </c>
      <c r="H47" s="40"/>
      <c r="I47" s="38">
        <f>ROUND(F47,0)</f>
        <v>299288</v>
      </c>
      <c r="J47" s="38">
        <f t="shared" si="2"/>
        <v>0</v>
      </c>
      <c r="K47" s="40"/>
      <c r="L47" s="38">
        <f>ROUND(I47,0)</f>
        <v>299288</v>
      </c>
      <c r="M47" s="38">
        <f t="shared" si="3"/>
        <v>0</v>
      </c>
      <c r="N47" s="40"/>
      <c r="O47" s="41">
        <v>149644</v>
      </c>
      <c r="P47" s="241">
        <f t="shared" si="11"/>
        <v>0.5</v>
      </c>
      <c r="Q47" s="41"/>
    </row>
    <row r="48" spans="1:17" x14ac:dyDescent="0.25">
      <c r="B48" s="50" t="s">
        <v>143</v>
      </c>
      <c r="C48" s="52" t="s">
        <v>144</v>
      </c>
      <c r="D48" s="37" t="s">
        <v>145</v>
      </c>
      <c r="E48" s="39">
        <v>249276</v>
      </c>
      <c r="F48" s="39">
        <f>ROUND(E48,0)</f>
        <v>249276</v>
      </c>
      <c r="G48" s="38">
        <f t="shared" si="1"/>
        <v>0</v>
      </c>
      <c r="H48" s="57"/>
      <c r="I48" s="38">
        <f>ROUND(F48,0)</f>
        <v>249276</v>
      </c>
      <c r="J48" s="38">
        <f t="shared" si="2"/>
        <v>0</v>
      </c>
      <c r="K48" s="57"/>
      <c r="L48" s="38">
        <f>ROUND(I48,0)</f>
        <v>249276</v>
      </c>
      <c r="M48" s="38">
        <f t="shared" si="3"/>
        <v>0</v>
      </c>
      <c r="N48" s="57"/>
      <c r="O48" s="41">
        <f>115973+13383</f>
        <v>129356</v>
      </c>
      <c r="P48" s="241">
        <f t="shared" si="11"/>
        <v>0.51892681204769009</v>
      </c>
      <c r="Q48" s="41"/>
    </row>
    <row r="49" spans="1:17" ht="14.25" customHeight="1" x14ac:dyDescent="0.25">
      <c r="A49" s="1" t="s">
        <v>135</v>
      </c>
      <c r="B49" s="50" t="s">
        <v>146</v>
      </c>
      <c r="C49" s="52" t="s">
        <v>147</v>
      </c>
      <c r="D49" s="37" t="s">
        <v>148</v>
      </c>
      <c r="E49" s="39">
        <v>0</v>
      </c>
      <c r="F49" s="39">
        <f t="shared" ref="F49" si="14">F50+F51</f>
        <v>0</v>
      </c>
      <c r="G49" s="38">
        <f t="shared" si="1"/>
        <v>0</v>
      </c>
      <c r="H49" s="38"/>
      <c r="I49" s="38">
        <f>I50+I51</f>
        <v>0</v>
      </c>
      <c r="J49" s="38">
        <f t="shared" si="2"/>
        <v>0</v>
      </c>
      <c r="K49" s="38"/>
      <c r="L49" s="38">
        <f>L50+L51</f>
        <v>63466</v>
      </c>
      <c r="M49" s="38">
        <f t="shared" si="3"/>
        <v>63466</v>
      </c>
      <c r="N49" s="38"/>
      <c r="O49" s="41">
        <f>O50+O51</f>
        <v>63465</v>
      </c>
      <c r="P49" s="241"/>
      <c r="Q49" s="41"/>
    </row>
    <row r="50" spans="1:17" ht="14.25" customHeight="1" x14ac:dyDescent="0.25">
      <c r="B50" s="50"/>
      <c r="C50" s="52" t="s">
        <v>149</v>
      </c>
      <c r="D50" s="53" t="s">
        <v>150</v>
      </c>
      <c r="E50" s="39"/>
      <c r="F50" s="39"/>
      <c r="G50" s="38">
        <f t="shared" si="1"/>
        <v>0</v>
      </c>
      <c r="H50" s="57"/>
      <c r="I50" s="38"/>
      <c r="J50" s="38">
        <f t="shared" si="2"/>
        <v>0</v>
      </c>
      <c r="K50" s="57"/>
      <c r="L50" s="38">
        <f>41084+1240+10652+4493+1870+2968+1159</f>
        <v>63466</v>
      </c>
      <c r="M50" s="38">
        <f t="shared" si="3"/>
        <v>63466</v>
      </c>
      <c r="N50" s="57" t="s">
        <v>151</v>
      </c>
      <c r="O50" s="41">
        <v>63465</v>
      </c>
      <c r="P50" s="241"/>
      <c r="Q50" s="41"/>
    </row>
    <row r="51" spans="1:17" ht="17.45" customHeight="1" x14ac:dyDescent="0.25">
      <c r="B51" s="50"/>
      <c r="C51" s="52" t="s">
        <v>152</v>
      </c>
      <c r="D51" s="53" t="s">
        <v>153</v>
      </c>
      <c r="E51" s="39"/>
      <c r="F51" s="39"/>
      <c r="G51" s="38">
        <f t="shared" si="1"/>
        <v>0</v>
      </c>
      <c r="H51" s="57"/>
      <c r="I51" s="38"/>
      <c r="J51" s="38">
        <f t="shared" si="2"/>
        <v>0</v>
      </c>
      <c r="K51" s="57"/>
      <c r="L51" s="38"/>
      <c r="M51" s="38">
        <f t="shared" si="3"/>
        <v>0</v>
      </c>
      <c r="N51" s="57"/>
      <c r="O51" s="41"/>
      <c r="P51" s="241"/>
      <c r="Q51" s="41"/>
    </row>
    <row r="52" spans="1:17" ht="13.9" customHeight="1" x14ac:dyDescent="0.25">
      <c r="B52" s="1" t="s">
        <v>154</v>
      </c>
      <c r="C52" s="52" t="s">
        <v>155</v>
      </c>
      <c r="D52" s="37" t="s">
        <v>156</v>
      </c>
      <c r="E52" s="64">
        <v>5320740</v>
      </c>
      <c r="F52" s="64">
        <f>F53+F54+F55</f>
        <v>5320740</v>
      </c>
      <c r="G52" s="63">
        <f t="shared" si="1"/>
        <v>0</v>
      </c>
      <c r="H52" s="65"/>
      <c r="I52" s="63">
        <f>I53+I54+I55</f>
        <v>5320740</v>
      </c>
      <c r="J52" s="63">
        <f t="shared" si="2"/>
        <v>0</v>
      </c>
      <c r="K52" s="65"/>
      <c r="L52" s="63">
        <f>L53+L54+L55</f>
        <v>5320740</v>
      </c>
      <c r="M52" s="63">
        <f t="shared" si="3"/>
        <v>0</v>
      </c>
      <c r="N52" s="65"/>
      <c r="O52" s="66">
        <f>O53+O54+O55</f>
        <v>3547160</v>
      </c>
      <c r="P52" s="245">
        <f>O52/L52</f>
        <v>0.66666666666666663</v>
      </c>
      <c r="Q52" s="66"/>
    </row>
    <row r="53" spans="1:17" s="71" customFormat="1" x14ac:dyDescent="0.25">
      <c r="A53" s="1" t="s">
        <v>135</v>
      </c>
      <c r="B53" s="50" t="s">
        <v>157</v>
      </c>
      <c r="C53" s="52" t="s">
        <v>158</v>
      </c>
      <c r="D53" s="53" t="s">
        <v>159</v>
      </c>
      <c r="E53" s="68">
        <v>723948</v>
      </c>
      <c r="F53" s="68">
        <f t="shared" ref="F53:F65" si="15">ROUND(E53,0)</f>
        <v>723948</v>
      </c>
      <c r="G53" s="67">
        <f t="shared" si="1"/>
        <v>0</v>
      </c>
      <c r="H53" s="69"/>
      <c r="I53" s="67">
        <f t="shared" ref="I53:I60" si="16">ROUND(F53,0)</f>
        <v>723948</v>
      </c>
      <c r="J53" s="67">
        <f t="shared" si="2"/>
        <v>0</v>
      </c>
      <c r="K53" s="69"/>
      <c r="L53" s="67">
        <f t="shared" ref="L53:L60" si="17">ROUND(I53,0)</f>
        <v>723948</v>
      </c>
      <c r="M53" s="67">
        <f t="shared" si="3"/>
        <v>0</v>
      </c>
      <c r="N53" s="69"/>
      <c r="O53" s="70">
        <v>482632</v>
      </c>
      <c r="P53" s="246">
        <f>O53/L53</f>
        <v>0.66666666666666663</v>
      </c>
      <c r="Q53" s="70"/>
    </row>
    <row r="54" spans="1:17" s="71" customFormat="1" x14ac:dyDescent="0.25">
      <c r="A54" s="1" t="s">
        <v>135</v>
      </c>
      <c r="B54" s="50" t="s">
        <v>160</v>
      </c>
      <c r="C54" s="52" t="s">
        <v>161</v>
      </c>
      <c r="D54" s="53" t="s">
        <v>162</v>
      </c>
      <c r="E54" s="68">
        <v>4279428</v>
      </c>
      <c r="F54" s="68">
        <f>ROUND(E54,0)</f>
        <v>4279428</v>
      </c>
      <c r="G54" s="67">
        <f t="shared" si="1"/>
        <v>0</v>
      </c>
      <c r="H54" s="69"/>
      <c r="I54" s="67">
        <f t="shared" si="16"/>
        <v>4279428</v>
      </c>
      <c r="J54" s="67">
        <f t="shared" si="2"/>
        <v>0</v>
      </c>
      <c r="K54" s="69"/>
      <c r="L54" s="67">
        <f t="shared" si="17"/>
        <v>4279428</v>
      </c>
      <c r="M54" s="67">
        <f t="shared" si="3"/>
        <v>0</v>
      </c>
      <c r="N54" s="69"/>
      <c r="O54" s="334">
        <v>3064528</v>
      </c>
      <c r="P54" s="336">
        <f>O54/(L54+L55)</f>
        <v>0.66666666666666663</v>
      </c>
      <c r="Q54" s="70"/>
    </row>
    <row r="55" spans="1:17" s="71" customFormat="1" x14ac:dyDescent="0.25">
      <c r="A55" s="1" t="s">
        <v>135</v>
      </c>
      <c r="B55" s="1"/>
      <c r="C55" s="52" t="s">
        <v>163</v>
      </c>
      <c r="D55" s="53" t="s">
        <v>164</v>
      </c>
      <c r="E55" s="68">
        <v>317364</v>
      </c>
      <c r="F55" s="68">
        <f t="shared" si="15"/>
        <v>317364</v>
      </c>
      <c r="G55" s="72">
        <f t="shared" si="1"/>
        <v>0</v>
      </c>
      <c r="H55" s="73"/>
      <c r="I55" s="67">
        <f t="shared" si="16"/>
        <v>317364</v>
      </c>
      <c r="J55" s="72">
        <f t="shared" si="2"/>
        <v>0</v>
      </c>
      <c r="K55" s="73"/>
      <c r="L55" s="67">
        <f t="shared" si="17"/>
        <v>317364</v>
      </c>
      <c r="M55" s="72">
        <f t="shared" si="3"/>
        <v>0</v>
      </c>
      <c r="N55" s="73"/>
      <c r="O55" s="335"/>
      <c r="P55" s="337"/>
      <c r="Q55" s="70"/>
    </row>
    <row r="56" spans="1:17" ht="31.5" customHeight="1" x14ac:dyDescent="0.25">
      <c r="A56" s="1" t="s">
        <v>135</v>
      </c>
      <c r="B56" s="1" t="s">
        <v>165</v>
      </c>
      <c r="C56" s="52" t="s">
        <v>166</v>
      </c>
      <c r="D56" s="37" t="s">
        <v>167</v>
      </c>
      <c r="E56" s="39">
        <v>13088</v>
      </c>
      <c r="F56" s="39">
        <f t="shared" si="15"/>
        <v>13088</v>
      </c>
      <c r="G56" s="38">
        <f t="shared" si="1"/>
        <v>0</v>
      </c>
      <c r="H56" s="48"/>
      <c r="I56" s="38">
        <f t="shared" si="16"/>
        <v>13088</v>
      </c>
      <c r="J56" s="38">
        <f t="shared" si="2"/>
        <v>0</v>
      </c>
      <c r="K56" s="48"/>
      <c r="L56" s="38">
        <f t="shared" si="17"/>
        <v>13088</v>
      </c>
      <c r="M56" s="38">
        <f t="shared" si="3"/>
        <v>0</v>
      </c>
      <c r="N56" s="48"/>
      <c r="O56" s="41">
        <v>6544</v>
      </c>
      <c r="P56" s="241">
        <f>O56/L56</f>
        <v>0.5</v>
      </c>
      <c r="Q56" s="41"/>
    </row>
    <row r="57" spans="1:17" ht="19.149999999999999" customHeight="1" x14ac:dyDescent="0.25">
      <c r="A57" s="1" t="s">
        <v>135</v>
      </c>
      <c r="B57" s="50" t="s">
        <v>168</v>
      </c>
      <c r="C57" s="52" t="s">
        <v>169</v>
      </c>
      <c r="D57" s="37" t="s">
        <v>170</v>
      </c>
      <c r="E57" s="39">
        <v>16104</v>
      </c>
      <c r="F57" s="39">
        <f>ROUND(E57,0)-2011</f>
        <v>14093</v>
      </c>
      <c r="G57" s="38">
        <f t="shared" si="1"/>
        <v>-2011</v>
      </c>
      <c r="H57" s="40" t="s">
        <v>171</v>
      </c>
      <c r="I57" s="38">
        <f t="shared" si="16"/>
        <v>14093</v>
      </c>
      <c r="J57" s="38">
        <f t="shared" si="2"/>
        <v>0</v>
      </c>
      <c r="K57" s="40"/>
      <c r="L57" s="38">
        <f t="shared" si="17"/>
        <v>14093</v>
      </c>
      <c r="M57" s="38">
        <f t="shared" si="3"/>
        <v>0</v>
      </c>
      <c r="N57" s="40"/>
      <c r="O57" s="338">
        <v>16559</v>
      </c>
      <c r="P57" s="340">
        <f>O57/(L57+L58)</f>
        <v>0.93232363042621469</v>
      </c>
      <c r="Q57" s="74"/>
    </row>
    <row r="58" spans="1:17" ht="19.149999999999999" customHeight="1" x14ac:dyDescent="0.25">
      <c r="B58" s="50"/>
      <c r="C58" s="52" t="s">
        <v>172</v>
      </c>
      <c r="D58" s="37" t="s">
        <v>173</v>
      </c>
      <c r="E58" s="39">
        <v>6454</v>
      </c>
      <c r="F58" s="39">
        <f>ROUND(E58,0)-2786</f>
        <v>3668</v>
      </c>
      <c r="G58" s="38">
        <f t="shared" si="1"/>
        <v>-2786</v>
      </c>
      <c r="H58" s="40" t="s">
        <v>171</v>
      </c>
      <c r="I58" s="38">
        <f t="shared" si="16"/>
        <v>3668</v>
      </c>
      <c r="J58" s="38">
        <f t="shared" si="2"/>
        <v>0</v>
      </c>
      <c r="K58" s="40"/>
      <c r="L58" s="38">
        <f t="shared" si="17"/>
        <v>3668</v>
      </c>
      <c r="M58" s="38">
        <f t="shared" si="3"/>
        <v>0</v>
      </c>
      <c r="N58" s="40"/>
      <c r="O58" s="339"/>
      <c r="P58" s="341">
        <f>O58/F58</f>
        <v>0</v>
      </c>
      <c r="Q58" s="74"/>
    </row>
    <row r="59" spans="1:17" ht="18.600000000000001" customHeight="1" x14ac:dyDescent="0.25">
      <c r="B59" s="1" t="s">
        <v>174</v>
      </c>
      <c r="C59" s="52" t="s">
        <v>175</v>
      </c>
      <c r="D59" s="37" t="s">
        <v>176</v>
      </c>
      <c r="E59" s="39">
        <v>421092</v>
      </c>
      <c r="F59" s="39">
        <f t="shared" si="15"/>
        <v>421092</v>
      </c>
      <c r="G59" s="38">
        <f t="shared" si="1"/>
        <v>0</v>
      </c>
      <c r="H59" s="57"/>
      <c r="I59" s="38">
        <f t="shared" si="16"/>
        <v>421092</v>
      </c>
      <c r="J59" s="38">
        <f t="shared" si="2"/>
        <v>0</v>
      </c>
      <c r="K59" s="57"/>
      <c r="L59" s="38">
        <f t="shared" si="17"/>
        <v>421092</v>
      </c>
      <c r="M59" s="38">
        <f t="shared" si="3"/>
        <v>0</v>
      </c>
      <c r="N59" s="57"/>
      <c r="O59" s="41">
        <v>224839</v>
      </c>
      <c r="P59" s="241">
        <f>O59/L59</f>
        <v>0.53394270135742306</v>
      </c>
      <c r="Q59" s="41"/>
    </row>
    <row r="60" spans="1:17" ht="31.5" customHeight="1" x14ac:dyDescent="0.25">
      <c r="C60" s="52" t="s">
        <v>177</v>
      </c>
      <c r="D60" s="37" t="s">
        <v>178</v>
      </c>
      <c r="E60" s="39">
        <v>25954</v>
      </c>
      <c r="F60" s="39">
        <f t="shared" si="15"/>
        <v>25954</v>
      </c>
      <c r="G60" s="38">
        <f t="shared" si="1"/>
        <v>0</v>
      </c>
      <c r="H60" s="40"/>
      <c r="I60" s="38">
        <f t="shared" si="16"/>
        <v>25954</v>
      </c>
      <c r="J60" s="38">
        <f t="shared" si="2"/>
        <v>0</v>
      </c>
      <c r="K60" s="40"/>
      <c r="L60" s="38">
        <f t="shared" si="17"/>
        <v>25954</v>
      </c>
      <c r="M60" s="38">
        <f t="shared" si="3"/>
        <v>0</v>
      </c>
      <c r="N60" s="40"/>
      <c r="O60" s="41">
        <v>23700</v>
      </c>
      <c r="P60" s="241">
        <f>O60/L60</f>
        <v>0.91315404176620174</v>
      </c>
      <c r="Q60" s="41"/>
    </row>
    <row r="61" spans="1:17" ht="31.5" hidden="1" customHeight="1" outlineLevel="1" x14ac:dyDescent="0.25">
      <c r="C61" s="52"/>
      <c r="D61" s="37" t="s">
        <v>179</v>
      </c>
      <c r="E61" s="39"/>
      <c r="F61" s="39"/>
      <c r="G61" s="38"/>
      <c r="H61" s="40"/>
      <c r="I61" s="38"/>
      <c r="J61" s="38">
        <f t="shared" si="2"/>
        <v>0</v>
      </c>
      <c r="K61" s="40"/>
      <c r="L61" s="38"/>
      <c r="M61" s="38">
        <f t="shared" si="3"/>
        <v>0</v>
      </c>
      <c r="N61" s="40"/>
      <c r="O61" s="41"/>
      <c r="P61" s="241"/>
      <c r="Q61" s="41"/>
    </row>
    <row r="62" spans="1:17" ht="16.5" customHeight="1" collapsed="1" x14ac:dyDescent="0.25">
      <c r="B62" s="75" t="s">
        <v>180</v>
      </c>
      <c r="C62" s="52" t="s">
        <v>181</v>
      </c>
      <c r="D62" s="76" t="s">
        <v>182</v>
      </c>
      <c r="E62" s="39">
        <v>342263</v>
      </c>
      <c r="F62" s="39">
        <f t="shared" si="15"/>
        <v>342263</v>
      </c>
      <c r="G62" s="38">
        <f t="shared" si="1"/>
        <v>0</v>
      </c>
      <c r="H62" s="40"/>
      <c r="I62" s="38">
        <f>ROUND(F62,0)+32585</f>
        <v>374848</v>
      </c>
      <c r="J62" s="38">
        <f t="shared" si="2"/>
        <v>32585</v>
      </c>
      <c r="K62" s="40" t="s">
        <v>183</v>
      </c>
      <c r="L62" s="38">
        <f>ROUND(I62,0)</f>
        <v>374848</v>
      </c>
      <c r="M62" s="38">
        <f t="shared" si="3"/>
        <v>0</v>
      </c>
      <c r="N62" s="40"/>
      <c r="O62" s="41">
        <v>187424</v>
      </c>
      <c r="P62" s="241">
        <f>O62/L62</f>
        <v>0.5</v>
      </c>
      <c r="Q62" s="41" t="s">
        <v>184</v>
      </c>
    </row>
    <row r="63" spans="1:17" ht="58.9" customHeight="1" x14ac:dyDescent="0.25">
      <c r="C63" s="52"/>
      <c r="D63" s="37" t="s">
        <v>185</v>
      </c>
      <c r="E63" s="39">
        <v>0</v>
      </c>
      <c r="F63" s="39">
        <f t="shared" si="15"/>
        <v>0</v>
      </c>
      <c r="G63" s="38">
        <f t="shared" si="1"/>
        <v>0</v>
      </c>
      <c r="H63" s="57"/>
      <c r="I63" s="38">
        <f>ROUND(F63,0)</f>
        <v>0</v>
      </c>
      <c r="J63" s="38">
        <f t="shared" si="2"/>
        <v>0</v>
      </c>
      <c r="K63" s="57"/>
      <c r="L63" s="38">
        <f>ROUND(I63,0)</f>
        <v>0</v>
      </c>
      <c r="M63" s="38">
        <f t="shared" si="3"/>
        <v>0</v>
      </c>
      <c r="N63" s="57"/>
      <c r="O63" s="41">
        <f>ROUND(H63,0)</f>
        <v>0</v>
      </c>
      <c r="P63" s="247"/>
      <c r="Q63" s="74"/>
    </row>
    <row r="64" spans="1:17" ht="15.6" customHeight="1" x14ac:dyDescent="0.25">
      <c r="C64" s="52" t="s">
        <v>186</v>
      </c>
      <c r="D64" s="37" t="s">
        <v>187</v>
      </c>
      <c r="E64" s="39">
        <v>50000</v>
      </c>
      <c r="F64" s="39">
        <f t="shared" si="15"/>
        <v>50000</v>
      </c>
      <c r="G64" s="38">
        <f t="shared" si="1"/>
        <v>0</v>
      </c>
      <c r="H64" s="57"/>
      <c r="I64" s="38">
        <f>ROUND(F64,0)+20000</f>
        <v>70000</v>
      </c>
      <c r="J64" s="38">
        <f t="shared" si="2"/>
        <v>20000</v>
      </c>
      <c r="K64" s="57" t="s">
        <v>188</v>
      </c>
      <c r="L64" s="38">
        <f>ROUND(I64,0)</f>
        <v>70000</v>
      </c>
      <c r="M64" s="38">
        <f t="shared" si="3"/>
        <v>0</v>
      </c>
      <c r="N64" s="57"/>
      <c r="O64" s="41">
        <v>95801</v>
      </c>
      <c r="P64" s="247">
        <f t="shared" ref="P64:P69" si="18">O64/L64</f>
        <v>1.3685857142857143</v>
      </c>
      <c r="Q64" s="74" t="s">
        <v>189</v>
      </c>
    </row>
    <row r="65" spans="1:17" ht="17.45" customHeight="1" x14ac:dyDescent="0.25">
      <c r="B65" s="1" t="s">
        <v>154</v>
      </c>
      <c r="C65" s="52" t="s">
        <v>190</v>
      </c>
      <c r="D65" s="37" t="s">
        <v>191</v>
      </c>
      <c r="E65" s="39">
        <v>400000</v>
      </c>
      <c r="F65" s="39">
        <f t="shared" si="15"/>
        <v>400000</v>
      </c>
      <c r="G65" s="38">
        <f t="shared" si="1"/>
        <v>0</v>
      </c>
      <c r="H65" s="57"/>
      <c r="I65" s="38">
        <f>ROUND(F65,0)</f>
        <v>400000</v>
      </c>
      <c r="J65" s="38">
        <f t="shared" si="2"/>
        <v>0</v>
      </c>
      <c r="K65" s="57"/>
      <c r="L65" s="38">
        <f>ROUND(I65,0)+263500</f>
        <v>663500</v>
      </c>
      <c r="M65" s="38">
        <f t="shared" si="3"/>
        <v>263500</v>
      </c>
      <c r="N65" s="57" t="s">
        <v>192</v>
      </c>
      <c r="O65" s="41">
        <f>57808+263499</f>
        <v>321307</v>
      </c>
      <c r="P65" s="247">
        <f t="shared" si="18"/>
        <v>0.48426073850791257</v>
      </c>
      <c r="Q65" s="74" t="s">
        <v>193</v>
      </c>
    </row>
    <row r="66" spans="1:17" ht="19.899999999999999" customHeight="1" x14ac:dyDescent="0.25">
      <c r="A66" s="75" t="s">
        <v>194</v>
      </c>
      <c r="B66" s="1" t="s">
        <v>195</v>
      </c>
      <c r="C66" s="52" t="s">
        <v>196</v>
      </c>
      <c r="D66" s="37" t="s">
        <v>197</v>
      </c>
      <c r="E66" s="39">
        <v>138000</v>
      </c>
      <c r="F66" s="39">
        <f>ROUND(E66,0)</f>
        <v>138000</v>
      </c>
      <c r="G66" s="38">
        <f t="shared" si="1"/>
        <v>0</v>
      </c>
      <c r="H66" s="57"/>
      <c r="I66" s="38">
        <f>ROUND(F66,0)</f>
        <v>138000</v>
      </c>
      <c r="J66" s="38">
        <f t="shared" si="2"/>
        <v>0</v>
      </c>
      <c r="K66" s="57"/>
      <c r="L66" s="38">
        <f>ROUND(I66,0)+5841+7144</f>
        <v>150985</v>
      </c>
      <c r="M66" s="38">
        <f t="shared" si="3"/>
        <v>12985</v>
      </c>
      <c r="N66" s="57" t="s">
        <v>198</v>
      </c>
      <c r="O66" s="41">
        <f>272661-O62-O56-O60+1756+2350+86</f>
        <v>59185</v>
      </c>
      <c r="P66" s="241">
        <f t="shared" si="18"/>
        <v>0.39199258204457399</v>
      </c>
      <c r="Q66" s="77"/>
    </row>
    <row r="67" spans="1:17" ht="32.25" customHeight="1" x14ac:dyDescent="0.25">
      <c r="C67" s="60" t="s">
        <v>199</v>
      </c>
      <c r="D67" s="61" t="s">
        <v>200</v>
      </c>
      <c r="E67" s="78">
        <v>1652241.49</v>
      </c>
      <c r="F67" s="78">
        <f>SUM(F68:F87)</f>
        <v>1652241</v>
      </c>
      <c r="G67" s="62">
        <f t="shared" si="1"/>
        <v>-0.48999999999068677</v>
      </c>
      <c r="H67" s="79"/>
      <c r="I67" s="62">
        <f>SUM(I68:I87)</f>
        <v>1657241</v>
      </c>
      <c r="J67" s="62">
        <f t="shared" si="2"/>
        <v>5000</v>
      </c>
      <c r="K67" s="79"/>
      <c r="L67" s="62">
        <f>SUM(L68:L87)</f>
        <v>1657241</v>
      </c>
      <c r="M67" s="62">
        <f t="shared" si="3"/>
        <v>0</v>
      </c>
      <c r="N67" s="79"/>
      <c r="O67" s="144">
        <f>SUM(O68:O87)</f>
        <v>430699</v>
      </c>
      <c r="P67" s="248">
        <f t="shared" si="18"/>
        <v>0.25988917725303684</v>
      </c>
      <c r="Q67" s="144" t="s">
        <v>201</v>
      </c>
    </row>
    <row r="68" spans="1:17" x14ac:dyDescent="0.25">
      <c r="A68" s="1" t="s">
        <v>135</v>
      </c>
      <c r="B68" s="50" t="s">
        <v>202</v>
      </c>
      <c r="C68" s="52" t="s">
        <v>203</v>
      </c>
      <c r="D68" s="80" t="s">
        <v>204</v>
      </c>
      <c r="E68" s="39">
        <v>7417</v>
      </c>
      <c r="F68" s="39">
        <f t="shared" ref="F68:F88" si="19">ROUND(E68,0)</f>
        <v>7417</v>
      </c>
      <c r="G68" s="38">
        <f t="shared" si="1"/>
        <v>0</v>
      </c>
      <c r="H68" s="81"/>
      <c r="I68" s="38">
        <f t="shared" ref="I68:I81" si="20">ROUND(F68,0)</f>
        <v>7417</v>
      </c>
      <c r="J68" s="38">
        <f t="shared" si="2"/>
        <v>0</v>
      </c>
      <c r="K68" s="81"/>
      <c r="L68" s="38">
        <f t="shared" ref="L68:L81" si="21">ROUND(I68,0)</f>
        <v>7417</v>
      </c>
      <c r="M68" s="38">
        <f t="shared" si="3"/>
        <v>0</v>
      </c>
      <c r="N68" s="81"/>
      <c r="O68" s="41">
        <v>1149</v>
      </c>
      <c r="P68" s="241">
        <f t="shared" si="18"/>
        <v>0.15491438587029796</v>
      </c>
      <c r="Q68" s="41"/>
    </row>
    <row r="69" spans="1:17" x14ac:dyDescent="0.25">
      <c r="A69" s="1" t="s">
        <v>205</v>
      </c>
      <c r="B69" s="1" t="s">
        <v>206</v>
      </c>
      <c r="C69" s="52" t="s">
        <v>207</v>
      </c>
      <c r="D69" s="80" t="s">
        <v>208</v>
      </c>
      <c r="E69" s="39">
        <v>109839.1</v>
      </c>
      <c r="F69" s="39">
        <f t="shared" si="19"/>
        <v>109839</v>
      </c>
      <c r="G69" s="38">
        <f t="shared" si="1"/>
        <v>-0.10000000000582077</v>
      </c>
      <c r="H69" s="49"/>
      <c r="I69" s="38">
        <f t="shared" si="20"/>
        <v>109839</v>
      </c>
      <c r="J69" s="38">
        <f t="shared" si="2"/>
        <v>0</v>
      </c>
      <c r="K69" s="49"/>
      <c r="L69" s="38">
        <f t="shared" si="21"/>
        <v>109839</v>
      </c>
      <c r="M69" s="38">
        <f t="shared" si="3"/>
        <v>0</v>
      </c>
      <c r="N69" s="49"/>
      <c r="O69" s="41">
        <v>0</v>
      </c>
      <c r="P69" s="241">
        <f t="shared" si="18"/>
        <v>0</v>
      </c>
      <c r="Q69" s="41" t="s">
        <v>201</v>
      </c>
    </row>
    <row r="70" spans="1:17" ht="30" hidden="1" outlineLevel="1" x14ac:dyDescent="0.25">
      <c r="C70" s="52" t="s">
        <v>209</v>
      </c>
      <c r="D70" s="80" t="s">
        <v>210</v>
      </c>
      <c r="E70" s="39">
        <v>0</v>
      </c>
      <c r="F70" s="39">
        <f t="shared" si="19"/>
        <v>0</v>
      </c>
      <c r="G70" s="38">
        <f t="shared" si="1"/>
        <v>0</v>
      </c>
      <c r="H70" s="57"/>
      <c r="I70" s="38">
        <f t="shared" si="20"/>
        <v>0</v>
      </c>
      <c r="J70" s="38">
        <f t="shared" si="2"/>
        <v>0</v>
      </c>
      <c r="K70" s="57"/>
      <c r="L70" s="38">
        <f t="shared" si="21"/>
        <v>0</v>
      </c>
      <c r="M70" s="38">
        <f t="shared" si="3"/>
        <v>0</v>
      </c>
      <c r="N70" s="57"/>
      <c r="O70" s="41">
        <f t="shared" ref="O70:O88" si="22">ROUND(H70,0)</f>
        <v>0</v>
      </c>
      <c r="P70" s="241"/>
      <c r="Q70" s="41"/>
    </row>
    <row r="71" spans="1:17" ht="45" hidden="1" outlineLevel="1" x14ac:dyDescent="0.25">
      <c r="B71" s="82" t="s">
        <v>211</v>
      </c>
      <c r="C71" s="52" t="s">
        <v>212</v>
      </c>
      <c r="D71" s="80" t="s">
        <v>213</v>
      </c>
      <c r="E71" s="39">
        <v>0</v>
      </c>
      <c r="F71" s="39">
        <f t="shared" si="19"/>
        <v>0</v>
      </c>
      <c r="G71" s="38">
        <f t="shared" si="1"/>
        <v>0</v>
      </c>
      <c r="H71" s="49"/>
      <c r="I71" s="38">
        <f t="shared" si="20"/>
        <v>0</v>
      </c>
      <c r="J71" s="38">
        <f t="shared" si="2"/>
        <v>0</v>
      </c>
      <c r="K71" s="49"/>
      <c r="L71" s="38">
        <f t="shared" si="21"/>
        <v>0</v>
      </c>
      <c r="M71" s="38">
        <f t="shared" si="3"/>
        <v>0</v>
      </c>
      <c r="N71" s="49"/>
      <c r="O71" s="41">
        <f t="shared" si="22"/>
        <v>0</v>
      </c>
      <c r="P71" s="241"/>
      <c r="Q71" s="41"/>
    </row>
    <row r="72" spans="1:17" ht="30" hidden="1" outlineLevel="1" x14ac:dyDescent="0.25">
      <c r="B72" s="1" t="s">
        <v>214</v>
      </c>
      <c r="C72" s="52" t="s">
        <v>215</v>
      </c>
      <c r="D72" s="80" t="s">
        <v>216</v>
      </c>
      <c r="E72" s="39">
        <v>0</v>
      </c>
      <c r="F72" s="39">
        <f t="shared" si="19"/>
        <v>0</v>
      </c>
      <c r="G72" s="38">
        <f t="shared" ref="G72:G126" si="23">F72-E72</f>
        <v>0</v>
      </c>
      <c r="H72" s="51"/>
      <c r="I72" s="38">
        <f t="shared" si="20"/>
        <v>0</v>
      </c>
      <c r="J72" s="38">
        <f t="shared" si="2"/>
        <v>0</v>
      </c>
      <c r="K72" s="51"/>
      <c r="L72" s="38">
        <f t="shared" si="21"/>
        <v>0</v>
      </c>
      <c r="M72" s="38">
        <f t="shared" si="3"/>
        <v>0</v>
      </c>
      <c r="N72" s="51"/>
      <c r="O72" s="41">
        <f t="shared" si="22"/>
        <v>0</v>
      </c>
      <c r="P72" s="241"/>
      <c r="Q72" s="41"/>
    </row>
    <row r="73" spans="1:17" ht="30" collapsed="1" x14ac:dyDescent="0.25">
      <c r="B73" s="50" t="s">
        <v>217</v>
      </c>
      <c r="C73" s="52" t="s">
        <v>218</v>
      </c>
      <c r="D73" s="80" t="s">
        <v>219</v>
      </c>
      <c r="E73" s="39">
        <v>81714</v>
      </c>
      <c r="F73" s="39">
        <f t="shared" si="19"/>
        <v>81714</v>
      </c>
      <c r="G73" s="38">
        <f t="shared" si="23"/>
        <v>0</v>
      </c>
      <c r="H73" s="83"/>
      <c r="I73" s="38">
        <f t="shared" si="20"/>
        <v>81714</v>
      </c>
      <c r="J73" s="38">
        <f t="shared" ref="J73:J126" si="24">I73-F73</f>
        <v>0</v>
      </c>
      <c r="K73" s="83"/>
      <c r="L73" s="38">
        <f t="shared" si="21"/>
        <v>81714</v>
      </c>
      <c r="M73" s="38">
        <f t="shared" ref="M73:M126" si="25">L73-I73</f>
        <v>0</v>
      </c>
      <c r="N73" s="83"/>
      <c r="O73" s="41">
        <v>10344</v>
      </c>
      <c r="P73" s="241">
        <f t="shared" ref="P73:P80" si="26">O73/L73</f>
        <v>0.12658785520229091</v>
      </c>
      <c r="Q73" s="77"/>
    </row>
    <row r="74" spans="1:17" ht="30" x14ac:dyDescent="0.25">
      <c r="B74" s="50"/>
      <c r="C74" s="52" t="s">
        <v>220</v>
      </c>
      <c r="D74" s="80" t="s">
        <v>221</v>
      </c>
      <c r="E74" s="39">
        <v>117147</v>
      </c>
      <c r="F74" s="39">
        <f t="shared" si="19"/>
        <v>117147</v>
      </c>
      <c r="G74" s="38">
        <f t="shared" si="23"/>
        <v>0</v>
      </c>
      <c r="H74" s="83"/>
      <c r="I74" s="38">
        <f t="shared" si="20"/>
        <v>117147</v>
      </c>
      <c r="J74" s="38">
        <f t="shared" si="24"/>
        <v>0</v>
      </c>
      <c r="K74" s="83"/>
      <c r="L74" s="38">
        <f t="shared" si="21"/>
        <v>117147</v>
      </c>
      <c r="M74" s="38">
        <f t="shared" si="25"/>
        <v>0</v>
      </c>
      <c r="N74" s="83"/>
      <c r="O74" s="41">
        <v>89128</v>
      </c>
      <c r="P74" s="241">
        <f t="shared" si="26"/>
        <v>0.76082187337277096</v>
      </c>
      <c r="Q74" s="41"/>
    </row>
    <row r="75" spans="1:17" x14ac:dyDescent="0.25">
      <c r="B75" s="50"/>
      <c r="C75" s="52" t="s">
        <v>222</v>
      </c>
      <c r="D75" s="80" t="s">
        <v>223</v>
      </c>
      <c r="E75" s="39">
        <v>291947</v>
      </c>
      <c r="F75" s="39">
        <f t="shared" si="19"/>
        <v>291947</v>
      </c>
      <c r="G75" s="38">
        <f t="shared" si="23"/>
        <v>0</v>
      </c>
      <c r="H75" s="83"/>
      <c r="I75" s="38">
        <f t="shared" si="20"/>
        <v>291947</v>
      </c>
      <c r="J75" s="38">
        <f t="shared" si="24"/>
        <v>0</v>
      </c>
      <c r="K75" s="83"/>
      <c r="L75" s="38">
        <f t="shared" si="21"/>
        <v>291947</v>
      </c>
      <c r="M75" s="38">
        <f t="shared" si="25"/>
        <v>0</v>
      </c>
      <c r="N75" s="83"/>
      <c r="O75" s="41">
        <v>222729</v>
      </c>
      <c r="P75" s="241">
        <f t="shared" si="26"/>
        <v>0.7629090211579499</v>
      </c>
      <c r="Q75" s="41"/>
    </row>
    <row r="76" spans="1:17" ht="30" x14ac:dyDescent="0.25">
      <c r="A76" s="1" t="s">
        <v>224</v>
      </c>
      <c r="B76" s="84" t="s">
        <v>225</v>
      </c>
      <c r="C76" s="52" t="s">
        <v>226</v>
      </c>
      <c r="D76" s="80" t="s">
        <v>227</v>
      </c>
      <c r="E76" s="39">
        <v>104321.39</v>
      </c>
      <c r="F76" s="39">
        <f t="shared" si="19"/>
        <v>104321</v>
      </c>
      <c r="G76" s="38">
        <f t="shared" si="23"/>
        <v>-0.38999999999941792</v>
      </c>
      <c r="H76" s="83"/>
      <c r="I76" s="38">
        <f t="shared" si="20"/>
        <v>104321</v>
      </c>
      <c r="J76" s="38">
        <f t="shared" si="24"/>
        <v>0</v>
      </c>
      <c r="K76" s="83"/>
      <c r="L76" s="38">
        <f t="shared" si="21"/>
        <v>104321</v>
      </c>
      <c r="M76" s="38">
        <f t="shared" si="25"/>
        <v>0</v>
      </c>
      <c r="N76" s="83"/>
      <c r="O76" s="41">
        <v>104321</v>
      </c>
      <c r="P76" s="241">
        <f t="shared" si="26"/>
        <v>1</v>
      </c>
      <c r="Q76" s="77"/>
    </row>
    <row r="77" spans="1:17" x14ac:dyDescent="0.25">
      <c r="B77" s="75" t="s">
        <v>5</v>
      </c>
      <c r="C77" s="52" t="s">
        <v>228</v>
      </c>
      <c r="D77" s="85" t="s">
        <v>229</v>
      </c>
      <c r="E77" s="39">
        <v>40898</v>
      </c>
      <c r="F77" s="39">
        <f t="shared" si="19"/>
        <v>40898</v>
      </c>
      <c r="G77" s="38">
        <f t="shared" si="23"/>
        <v>0</v>
      </c>
      <c r="H77" s="83"/>
      <c r="I77" s="38">
        <f t="shared" si="20"/>
        <v>40898</v>
      </c>
      <c r="J77" s="38">
        <f t="shared" si="24"/>
        <v>0</v>
      </c>
      <c r="K77" s="83"/>
      <c r="L77" s="38">
        <f t="shared" si="21"/>
        <v>40898</v>
      </c>
      <c r="M77" s="38">
        <f t="shared" si="25"/>
        <v>0</v>
      </c>
      <c r="N77" s="83"/>
      <c r="O77" s="41">
        <f t="shared" si="22"/>
        <v>0</v>
      </c>
      <c r="P77" s="241">
        <f t="shared" si="26"/>
        <v>0</v>
      </c>
      <c r="Q77" s="77"/>
    </row>
    <row r="78" spans="1:17" ht="30" hidden="1" outlineLevel="1" x14ac:dyDescent="0.25">
      <c r="B78" s="50"/>
      <c r="C78" s="52" t="s">
        <v>230</v>
      </c>
      <c r="D78" s="80" t="s">
        <v>231</v>
      </c>
      <c r="E78" s="39">
        <v>0</v>
      </c>
      <c r="F78" s="39">
        <f t="shared" si="19"/>
        <v>0</v>
      </c>
      <c r="G78" s="38">
        <f t="shared" si="23"/>
        <v>0</v>
      </c>
      <c r="H78" s="83"/>
      <c r="I78" s="38">
        <f t="shared" si="20"/>
        <v>0</v>
      </c>
      <c r="J78" s="38">
        <f t="shared" si="24"/>
        <v>0</v>
      </c>
      <c r="K78" s="83"/>
      <c r="L78" s="38">
        <f t="shared" si="21"/>
        <v>0</v>
      </c>
      <c r="M78" s="38">
        <f t="shared" si="25"/>
        <v>0</v>
      </c>
      <c r="N78" s="83"/>
      <c r="O78" s="41">
        <f t="shared" si="22"/>
        <v>0</v>
      </c>
      <c r="P78" s="241" t="e">
        <f t="shared" si="26"/>
        <v>#DIV/0!</v>
      </c>
      <c r="Q78" s="41"/>
    </row>
    <row r="79" spans="1:17" ht="30" hidden="1" outlineLevel="1" x14ac:dyDescent="0.25">
      <c r="B79" s="50"/>
      <c r="C79" s="52" t="s">
        <v>232</v>
      </c>
      <c r="D79" s="80" t="s">
        <v>233</v>
      </c>
      <c r="E79" s="39">
        <v>0</v>
      </c>
      <c r="F79" s="39">
        <f t="shared" si="19"/>
        <v>0</v>
      </c>
      <c r="G79" s="38">
        <f t="shared" si="23"/>
        <v>0</v>
      </c>
      <c r="H79" s="83"/>
      <c r="I79" s="38">
        <f t="shared" si="20"/>
        <v>0</v>
      </c>
      <c r="J79" s="38">
        <f t="shared" si="24"/>
        <v>0</v>
      </c>
      <c r="K79" s="83"/>
      <c r="L79" s="38">
        <f t="shared" si="21"/>
        <v>0</v>
      </c>
      <c r="M79" s="38">
        <f t="shared" si="25"/>
        <v>0</v>
      </c>
      <c r="N79" s="83"/>
      <c r="O79" s="41">
        <f t="shared" si="22"/>
        <v>0</v>
      </c>
      <c r="P79" s="241" t="e">
        <f t="shared" si="26"/>
        <v>#DIV/0!</v>
      </c>
      <c r="Q79" s="41"/>
    </row>
    <row r="80" spans="1:17" collapsed="1" x14ac:dyDescent="0.25">
      <c r="B80" s="86" t="s">
        <v>234</v>
      </c>
      <c r="C80" s="52" t="s">
        <v>235</v>
      </c>
      <c r="D80" s="85" t="s">
        <v>236</v>
      </c>
      <c r="E80" s="39">
        <v>202410</v>
      </c>
      <c r="F80" s="39">
        <f t="shared" si="19"/>
        <v>202410</v>
      </c>
      <c r="G80" s="38">
        <f t="shared" si="23"/>
        <v>0</v>
      </c>
      <c r="H80" s="83"/>
      <c r="I80" s="38">
        <f t="shared" si="20"/>
        <v>202410</v>
      </c>
      <c r="J80" s="38">
        <f t="shared" si="24"/>
        <v>0</v>
      </c>
      <c r="K80" s="83"/>
      <c r="L80" s="38">
        <f t="shared" si="21"/>
        <v>202410</v>
      </c>
      <c r="M80" s="38">
        <f t="shared" si="25"/>
        <v>0</v>
      </c>
      <c r="N80" s="83"/>
      <c r="O80" s="41">
        <f t="shared" si="22"/>
        <v>0</v>
      </c>
      <c r="P80" s="241">
        <f t="shared" si="26"/>
        <v>0</v>
      </c>
      <c r="Q80" s="41" t="s">
        <v>237</v>
      </c>
    </row>
    <row r="81" spans="1:17" ht="30" hidden="1" outlineLevel="1" x14ac:dyDescent="0.25">
      <c r="B81" s="50"/>
      <c r="C81" s="52" t="s">
        <v>238</v>
      </c>
      <c r="D81" s="80" t="s">
        <v>239</v>
      </c>
      <c r="E81" s="39">
        <v>0</v>
      </c>
      <c r="F81" s="39">
        <f t="shared" si="19"/>
        <v>0</v>
      </c>
      <c r="G81" s="38">
        <f t="shared" si="23"/>
        <v>0</v>
      </c>
      <c r="H81" s="83"/>
      <c r="I81" s="38">
        <f t="shared" si="20"/>
        <v>0</v>
      </c>
      <c r="J81" s="38">
        <f t="shared" si="24"/>
        <v>0</v>
      </c>
      <c r="K81" s="83"/>
      <c r="L81" s="38">
        <f t="shared" si="21"/>
        <v>0</v>
      </c>
      <c r="M81" s="38">
        <f t="shared" si="25"/>
        <v>0</v>
      </c>
      <c r="N81" s="83"/>
      <c r="O81" s="41">
        <f t="shared" si="22"/>
        <v>0</v>
      </c>
      <c r="P81" s="241"/>
      <c r="Q81" s="41"/>
    </row>
    <row r="82" spans="1:17" collapsed="1" x14ac:dyDescent="0.25">
      <c r="B82" s="50"/>
      <c r="C82" s="52" t="s">
        <v>240</v>
      </c>
      <c r="D82" s="80" t="s">
        <v>241</v>
      </c>
      <c r="E82" s="39">
        <v>2464</v>
      </c>
      <c r="F82" s="39">
        <f t="shared" si="19"/>
        <v>2464</v>
      </c>
      <c r="G82" s="38">
        <f t="shared" si="23"/>
        <v>0</v>
      </c>
      <c r="H82" s="83"/>
      <c r="I82" s="38">
        <f>ROUND(F82,0)+5000</f>
        <v>7464</v>
      </c>
      <c r="J82" s="38">
        <f t="shared" si="24"/>
        <v>5000</v>
      </c>
      <c r="K82" s="83" t="s">
        <v>242</v>
      </c>
      <c r="L82" s="38">
        <f>ROUND(I82,0)</f>
        <v>7464</v>
      </c>
      <c r="M82" s="38">
        <f t="shared" si="25"/>
        <v>0</v>
      </c>
      <c r="N82" s="83"/>
      <c r="O82" s="41">
        <v>3028</v>
      </c>
      <c r="P82" s="241">
        <f t="shared" ref="P82:P87" si="27">O82/L82</f>
        <v>0.40568060021436225</v>
      </c>
      <c r="Q82" s="77" t="s">
        <v>243</v>
      </c>
    </row>
    <row r="83" spans="1:17" ht="28.9" hidden="1" customHeight="1" outlineLevel="1" x14ac:dyDescent="0.25">
      <c r="B83" s="50"/>
      <c r="C83" s="52" t="s">
        <v>244</v>
      </c>
      <c r="D83" s="80" t="s">
        <v>245</v>
      </c>
      <c r="E83" s="39">
        <v>0</v>
      </c>
      <c r="F83" s="39">
        <f t="shared" si="19"/>
        <v>0</v>
      </c>
      <c r="G83" s="38">
        <f t="shared" si="23"/>
        <v>0</v>
      </c>
      <c r="H83" s="83"/>
      <c r="I83" s="38">
        <f t="shared" ref="I83:I88" si="28">ROUND(F83,0)</f>
        <v>0</v>
      </c>
      <c r="J83" s="38">
        <f t="shared" si="24"/>
        <v>0</v>
      </c>
      <c r="K83" s="83"/>
      <c r="L83" s="38">
        <f t="shared" ref="L83:L88" si="29">ROUND(I83,0)</f>
        <v>0</v>
      </c>
      <c r="M83" s="38">
        <f t="shared" si="25"/>
        <v>0</v>
      </c>
      <c r="N83" s="83"/>
      <c r="O83" s="41">
        <f t="shared" si="22"/>
        <v>0</v>
      </c>
      <c r="P83" s="241" t="e">
        <f t="shared" si="27"/>
        <v>#DIV/0!</v>
      </c>
      <c r="Q83" s="77"/>
    </row>
    <row r="84" spans="1:17" hidden="1" outlineLevel="1" x14ac:dyDescent="0.25">
      <c r="B84" s="50"/>
      <c r="C84" s="52" t="s">
        <v>246</v>
      </c>
      <c r="D84" s="80" t="s">
        <v>247</v>
      </c>
      <c r="E84" s="39">
        <v>0</v>
      </c>
      <c r="F84" s="39">
        <f t="shared" si="19"/>
        <v>0</v>
      </c>
      <c r="G84" s="38">
        <f t="shared" si="23"/>
        <v>0</v>
      </c>
      <c r="H84" s="83"/>
      <c r="I84" s="38">
        <f t="shared" si="28"/>
        <v>0</v>
      </c>
      <c r="J84" s="38">
        <f t="shared" si="24"/>
        <v>0</v>
      </c>
      <c r="K84" s="83"/>
      <c r="L84" s="38">
        <f t="shared" si="29"/>
        <v>0</v>
      </c>
      <c r="M84" s="38">
        <f t="shared" si="25"/>
        <v>0</v>
      </c>
      <c r="N84" s="83"/>
      <c r="O84" s="41">
        <f t="shared" si="22"/>
        <v>0</v>
      </c>
      <c r="P84" s="241" t="e">
        <f t="shared" si="27"/>
        <v>#DIV/0!</v>
      </c>
      <c r="Q84" s="77"/>
    </row>
    <row r="85" spans="1:17" ht="30" collapsed="1" x14ac:dyDescent="0.25">
      <c r="B85" s="86" t="s">
        <v>234</v>
      </c>
      <c r="C85" s="52" t="s">
        <v>248</v>
      </c>
      <c r="D85" s="80" t="s">
        <v>249</v>
      </c>
      <c r="E85" s="39">
        <v>14100</v>
      </c>
      <c r="F85" s="39">
        <f t="shared" si="19"/>
        <v>14100</v>
      </c>
      <c r="G85" s="38">
        <f t="shared" si="23"/>
        <v>0</v>
      </c>
      <c r="H85" s="83"/>
      <c r="I85" s="38">
        <f t="shared" si="28"/>
        <v>14100</v>
      </c>
      <c r="J85" s="38">
        <f t="shared" si="24"/>
        <v>0</v>
      </c>
      <c r="K85" s="83"/>
      <c r="L85" s="38">
        <f t="shared" si="29"/>
        <v>14100</v>
      </c>
      <c r="M85" s="38">
        <f t="shared" si="25"/>
        <v>0</v>
      </c>
      <c r="N85" s="83"/>
      <c r="O85" s="41">
        <f t="shared" si="22"/>
        <v>0</v>
      </c>
      <c r="P85" s="241">
        <f t="shared" si="27"/>
        <v>0</v>
      </c>
      <c r="Q85" s="77" t="s">
        <v>201</v>
      </c>
    </row>
    <row r="86" spans="1:17" x14ac:dyDescent="0.25">
      <c r="B86" s="50"/>
      <c r="C86" s="52" t="s">
        <v>250</v>
      </c>
      <c r="D86" s="87" t="s">
        <v>251</v>
      </c>
      <c r="E86" s="39">
        <v>382739</v>
      </c>
      <c r="F86" s="39">
        <f t="shared" si="19"/>
        <v>382739</v>
      </c>
      <c r="G86" s="38">
        <f t="shared" si="23"/>
        <v>0</v>
      </c>
      <c r="H86" s="83"/>
      <c r="I86" s="38">
        <f t="shared" si="28"/>
        <v>382739</v>
      </c>
      <c r="J86" s="38">
        <f t="shared" si="24"/>
        <v>0</v>
      </c>
      <c r="K86" s="83"/>
      <c r="L86" s="38">
        <f t="shared" si="29"/>
        <v>382739</v>
      </c>
      <c r="M86" s="38">
        <f t="shared" si="25"/>
        <v>0</v>
      </c>
      <c r="N86" s="83"/>
      <c r="O86" s="41">
        <f t="shared" si="22"/>
        <v>0</v>
      </c>
      <c r="P86" s="241">
        <f t="shared" si="27"/>
        <v>0</v>
      </c>
      <c r="Q86" s="77" t="s">
        <v>201</v>
      </c>
    </row>
    <row r="87" spans="1:17" ht="16.899999999999999" customHeight="1" x14ac:dyDescent="0.25">
      <c r="B87" s="50"/>
      <c r="C87" s="52" t="s">
        <v>252</v>
      </c>
      <c r="D87" s="87" t="s">
        <v>253</v>
      </c>
      <c r="E87" s="39">
        <v>297245</v>
      </c>
      <c r="F87" s="39">
        <f t="shared" si="19"/>
        <v>297245</v>
      </c>
      <c r="G87" s="38">
        <f t="shared" si="23"/>
        <v>0</v>
      </c>
      <c r="H87" s="83"/>
      <c r="I87" s="38">
        <f t="shared" si="28"/>
        <v>297245</v>
      </c>
      <c r="J87" s="38">
        <f t="shared" si="24"/>
        <v>0</v>
      </c>
      <c r="K87" s="83"/>
      <c r="L87" s="38">
        <f t="shared" si="29"/>
        <v>297245</v>
      </c>
      <c r="M87" s="38">
        <f t="shared" si="25"/>
        <v>0</v>
      </c>
      <c r="N87" s="83"/>
      <c r="O87" s="41">
        <f t="shared" si="22"/>
        <v>0</v>
      </c>
      <c r="P87" s="241">
        <f t="shared" si="27"/>
        <v>0</v>
      </c>
      <c r="Q87" s="77" t="s">
        <v>201</v>
      </c>
    </row>
    <row r="88" spans="1:17" hidden="1" outlineLevel="1" x14ac:dyDescent="0.25">
      <c r="B88" s="35" t="s">
        <v>254</v>
      </c>
      <c r="C88" s="36" t="s">
        <v>255</v>
      </c>
      <c r="D88" s="88" t="s">
        <v>256</v>
      </c>
      <c r="E88" s="39">
        <v>0</v>
      </c>
      <c r="F88" s="39">
        <f t="shared" si="19"/>
        <v>0</v>
      </c>
      <c r="G88" s="38">
        <f t="shared" si="23"/>
        <v>0</v>
      </c>
      <c r="H88" s="40"/>
      <c r="I88" s="38">
        <f t="shared" si="28"/>
        <v>0</v>
      </c>
      <c r="J88" s="38">
        <f t="shared" si="24"/>
        <v>0</v>
      </c>
      <c r="K88" s="40"/>
      <c r="L88" s="38">
        <f t="shared" si="29"/>
        <v>0</v>
      </c>
      <c r="M88" s="38">
        <f t="shared" si="25"/>
        <v>0</v>
      </c>
      <c r="N88" s="40"/>
      <c r="O88" s="41">
        <f t="shared" si="22"/>
        <v>0</v>
      </c>
      <c r="P88" s="241"/>
      <c r="Q88" s="41"/>
    </row>
    <row r="89" spans="1:17" collapsed="1" x14ac:dyDescent="0.25">
      <c r="C89" s="59" t="s">
        <v>257</v>
      </c>
      <c r="D89" s="43" t="s">
        <v>258</v>
      </c>
      <c r="E89" s="45">
        <v>295000</v>
      </c>
      <c r="F89" s="45">
        <f>F90+F91</f>
        <v>295000</v>
      </c>
      <c r="G89" s="44">
        <f t="shared" si="23"/>
        <v>0</v>
      </c>
      <c r="H89" s="46"/>
      <c r="I89" s="44">
        <f>I90+I91</f>
        <v>295000</v>
      </c>
      <c r="J89" s="44">
        <f t="shared" si="24"/>
        <v>0</v>
      </c>
      <c r="K89" s="46"/>
      <c r="L89" s="44">
        <f>L90+L91</f>
        <v>295000</v>
      </c>
      <c r="M89" s="44">
        <f t="shared" si="25"/>
        <v>0</v>
      </c>
      <c r="N89" s="46"/>
      <c r="O89" s="47">
        <f>O90+O91</f>
        <v>232134</v>
      </c>
      <c r="P89" s="242">
        <f>O89/L89</f>
        <v>0.78689491525423727</v>
      </c>
      <c r="Q89" s="47"/>
    </row>
    <row r="90" spans="1:17" ht="27.6" customHeight="1" x14ac:dyDescent="0.25">
      <c r="B90" s="1" t="s">
        <v>259</v>
      </c>
      <c r="C90" s="36" t="s">
        <v>260</v>
      </c>
      <c r="D90" s="37" t="s">
        <v>261</v>
      </c>
      <c r="E90" s="39">
        <v>295000</v>
      </c>
      <c r="F90" s="39">
        <f>ROUND(E90,0)</f>
        <v>295000</v>
      </c>
      <c r="G90" s="38">
        <f t="shared" si="23"/>
        <v>0</v>
      </c>
      <c r="H90" s="57"/>
      <c r="I90" s="38">
        <f>ROUND(F90,0)</f>
        <v>295000</v>
      </c>
      <c r="J90" s="38">
        <f t="shared" si="24"/>
        <v>0</v>
      </c>
      <c r="K90" s="57"/>
      <c r="L90" s="38">
        <f>ROUND(I90,0)</f>
        <v>295000</v>
      </c>
      <c r="M90" s="38">
        <f t="shared" si="25"/>
        <v>0</v>
      </c>
      <c r="N90" s="57"/>
      <c r="O90" s="41">
        <v>232134</v>
      </c>
      <c r="P90" s="241">
        <f>O90/L90</f>
        <v>0.78689491525423727</v>
      </c>
      <c r="Q90" s="41" t="s">
        <v>262</v>
      </c>
    </row>
    <row r="91" spans="1:17" ht="16.149999999999999" customHeight="1" x14ac:dyDescent="0.25">
      <c r="B91" s="1" t="s">
        <v>263</v>
      </c>
      <c r="C91" s="36" t="s">
        <v>264</v>
      </c>
      <c r="D91" s="37" t="s">
        <v>265</v>
      </c>
      <c r="E91" s="39">
        <v>0</v>
      </c>
      <c r="F91" s="39">
        <f>ROUND(E91,0)</f>
        <v>0</v>
      </c>
      <c r="G91" s="38">
        <f t="shared" si="23"/>
        <v>0</v>
      </c>
      <c r="H91" s="40"/>
      <c r="I91" s="38">
        <f>ROUND(F91,0)</f>
        <v>0</v>
      </c>
      <c r="J91" s="38">
        <f t="shared" si="24"/>
        <v>0</v>
      </c>
      <c r="K91" s="40"/>
      <c r="L91" s="38">
        <f>ROUND(I91,0)</f>
        <v>0</v>
      </c>
      <c r="M91" s="38">
        <f t="shared" si="25"/>
        <v>0</v>
      </c>
      <c r="N91" s="40"/>
      <c r="O91" s="41">
        <v>0</v>
      </c>
      <c r="P91" s="241"/>
      <c r="Q91" s="41"/>
    </row>
    <row r="92" spans="1:17" ht="35.450000000000003" customHeight="1" x14ac:dyDescent="0.25">
      <c r="C92" s="59" t="s">
        <v>266</v>
      </c>
      <c r="D92" s="43" t="s">
        <v>267</v>
      </c>
      <c r="E92" s="45">
        <v>4234051</v>
      </c>
      <c r="F92" s="45">
        <f t="shared" ref="F92" si="30">F93+F96+F99+F103+F107</f>
        <v>4234051</v>
      </c>
      <c r="G92" s="44">
        <f t="shared" si="23"/>
        <v>0</v>
      </c>
      <c r="H92" s="46"/>
      <c r="I92" s="44">
        <f>I93+I96+I99+I103+I107</f>
        <v>4234051</v>
      </c>
      <c r="J92" s="44">
        <f t="shared" si="24"/>
        <v>0</v>
      </c>
      <c r="K92" s="46"/>
      <c r="L92" s="44">
        <f>L93+L96+L99+L103+L107</f>
        <v>3970551</v>
      </c>
      <c r="M92" s="44">
        <f t="shared" si="25"/>
        <v>-263500</v>
      </c>
      <c r="N92" s="46"/>
      <c r="O92" s="47">
        <f>O93+O96+O99+O103+O107</f>
        <v>1224547</v>
      </c>
      <c r="P92" s="242">
        <f>O92/L92</f>
        <v>0.30840732180495856</v>
      </c>
      <c r="Q92" s="89"/>
    </row>
    <row r="93" spans="1:17" x14ac:dyDescent="0.25">
      <c r="A93" s="1" t="s">
        <v>22</v>
      </c>
      <c r="B93" s="1" t="s">
        <v>268</v>
      </c>
      <c r="C93" s="36" t="s">
        <v>269</v>
      </c>
      <c r="D93" s="37" t="s">
        <v>270</v>
      </c>
      <c r="E93" s="39">
        <v>149000</v>
      </c>
      <c r="F93" s="39">
        <f>SUM(F94:F95)</f>
        <v>149000</v>
      </c>
      <c r="G93" s="38">
        <f t="shared" si="23"/>
        <v>0</v>
      </c>
      <c r="H93" s="40"/>
      <c r="I93" s="38">
        <f>SUM(I94:I95)</f>
        <v>149000</v>
      </c>
      <c r="J93" s="38">
        <f t="shared" si="24"/>
        <v>0</v>
      </c>
      <c r="K93" s="40"/>
      <c r="L93" s="38">
        <f>SUM(L94:L95)</f>
        <v>149000</v>
      </c>
      <c r="M93" s="38">
        <f t="shared" si="25"/>
        <v>0</v>
      </c>
      <c r="N93" s="40"/>
      <c r="O93" s="41">
        <f>SUM(O94:O95)</f>
        <v>139925</v>
      </c>
      <c r="P93" s="241">
        <f>O93/L93</f>
        <v>0.93909395973154364</v>
      </c>
      <c r="Q93" s="41"/>
    </row>
    <row r="94" spans="1:17" ht="14.25" customHeight="1" x14ac:dyDescent="0.25">
      <c r="B94" s="1" t="s">
        <v>271</v>
      </c>
      <c r="C94" s="90" t="s">
        <v>272</v>
      </c>
      <c r="D94" s="91" t="s">
        <v>273</v>
      </c>
      <c r="E94" s="39">
        <v>24000</v>
      </c>
      <c r="F94" s="39">
        <f>ROUND(E94,0)</f>
        <v>24000</v>
      </c>
      <c r="G94" s="38">
        <f t="shared" si="23"/>
        <v>0</v>
      </c>
      <c r="H94" s="48"/>
      <c r="I94" s="38">
        <f>ROUND(F94,0)</f>
        <v>24000</v>
      </c>
      <c r="J94" s="38">
        <f t="shared" si="24"/>
        <v>0</v>
      </c>
      <c r="K94" s="48"/>
      <c r="L94" s="38">
        <f>ROUND(I94,0)</f>
        <v>24000</v>
      </c>
      <c r="M94" s="38">
        <f t="shared" si="25"/>
        <v>0</v>
      </c>
      <c r="N94" s="48"/>
      <c r="O94" s="41">
        <v>38780</v>
      </c>
      <c r="P94" s="241">
        <f>O94/L94</f>
        <v>1.6158333333333332</v>
      </c>
      <c r="Q94" s="41"/>
    </row>
    <row r="95" spans="1:17" ht="15.6" customHeight="1" x14ac:dyDescent="0.25">
      <c r="B95" s="1" t="s">
        <v>274</v>
      </c>
      <c r="C95" s="90" t="s">
        <v>275</v>
      </c>
      <c r="D95" s="91" t="s">
        <v>276</v>
      </c>
      <c r="E95" s="39">
        <v>125000</v>
      </c>
      <c r="F95" s="39">
        <f>ROUND(E95,0)</f>
        <v>125000</v>
      </c>
      <c r="G95" s="38">
        <f t="shared" si="23"/>
        <v>0</v>
      </c>
      <c r="H95" s="48"/>
      <c r="I95" s="38">
        <f>ROUND(F95,0)</f>
        <v>125000</v>
      </c>
      <c r="J95" s="38">
        <f t="shared" si="24"/>
        <v>0</v>
      </c>
      <c r="K95" s="48"/>
      <c r="L95" s="38">
        <f>ROUND(I95,0)</f>
        <v>125000</v>
      </c>
      <c r="M95" s="38">
        <f t="shared" si="25"/>
        <v>0</v>
      </c>
      <c r="N95" s="48"/>
      <c r="O95" s="41">
        <v>101145</v>
      </c>
      <c r="P95" s="241">
        <f>O95/L95</f>
        <v>0.80915999999999999</v>
      </c>
      <c r="Q95" s="41"/>
    </row>
    <row r="96" spans="1:17" ht="13.9" customHeight="1" x14ac:dyDescent="0.25">
      <c r="C96" s="36" t="s">
        <v>277</v>
      </c>
      <c r="D96" s="37" t="s">
        <v>278</v>
      </c>
      <c r="E96" s="39">
        <v>0</v>
      </c>
      <c r="F96" s="39">
        <f>F97+F98</f>
        <v>0</v>
      </c>
      <c r="G96" s="38">
        <f t="shared" si="23"/>
        <v>0</v>
      </c>
      <c r="H96" s="92"/>
      <c r="I96" s="38">
        <f>I97+I98</f>
        <v>0</v>
      </c>
      <c r="J96" s="38">
        <f t="shared" si="24"/>
        <v>0</v>
      </c>
      <c r="K96" s="92"/>
      <c r="L96" s="38">
        <f>L97+L98</f>
        <v>0</v>
      </c>
      <c r="M96" s="38">
        <f t="shared" si="25"/>
        <v>0</v>
      </c>
      <c r="N96" s="92"/>
      <c r="O96" s="41">
        <f>O97+O98</f>
        <v>87</v>
      </c>
      <c r="P96" s="241"/>
      <c r="Q96" s="41"/>
    </row>
    <row r="97" spans="1:17" x14ac:dyDescent="0.25">
      <c r="C97" s="90" t="s">
        <v>279</v>
      </c>
      <c r="D97" s="91" t="s">
        <v>280</v>
      </c>
      <c r="E97" s="39">
        <v>0</v>
      </c>
      <c r="F97" s="39"/>
      <c r="G97" s="38">
        <f t="shared" si="23"/>
        <v>0</v>
      </c>
      <c r="H97" s="48"/>
      <c r="I97" s="38"/>
      <c r="J97" s="38">
        <f t="shared" si="24"/>
        <v>0</v>
      </c>
      <c r="K97" s="48"/>
      <c r="L97" s="38"/>
      <c r="M97" s="38">
        <f t="shared" si="25"/>
        <v>0</v>
      </c>
      <c r="N97" s="48"/>
      <c r="O97" s="41"/>
      <c r="P97" s="241"/>
      <c r="Q97" s="41"/>
    </row>
    <row r="98" spans="1:17" ht="30" customHeight="1" x14ac:dyDescent="0.25">
      <c r="B98" s="75" t="s">
        <v>281</v>
      </c>
      <c r="C98" s="90" t="s">
        <v>282</v>
      </c>
      <c r="D98" s="80" t="s">
        <v>283</v>
      </c>
      <c r="E98" s="39">
        <v>0</v>
      </c>
      <c r="F98" s="39">
        <f>ROUND(E98,0)</f>
        <v>0</v>
      </c>
      <c r="G98" s="38">
        <f t="shared" si="23"/>
        <v>0</v>
      </c>
      <c r="H98" s="48"/>
      <c r="I98" s="38">
        <f>ROUND(F98,0)</f>
        <v>0</v>
      </c>
      <c r="J98" s="38">
        <f t="shared" si="24"/>
        <v>0</v>
      </c>
      <c r="K98" s="48"/>
      <c r="L98" s="38">
        <f>ROUND(I98,0)</f>
        <v>0</v>
      </c>
      <c r="M98" s="38">
        <f t="shared" si="25"/>
        <v>0</v>
      </c>
      <c r="N98" s="48"/>
      <c r="O98" s="41">
        <v>87</v>
      </c>
      <c r="P98" s="241"/>
      <c r="Q98" s="41"/>
    </row>
    <row r="99" spans="1:17" x14ac:dyDescent="0.25">
      <c r="A99" s="1" t="s">
        <v>22</v>
      </c>
      <c r="B99" s="1" t="s">
        <v>284</v>
      </c>
      <c r="C99" s="36" t="s">
        <v>285</v>
      </c>
      <c r="D99" s="37" t="s">
        <v>286</v>
      </c>
      <c r="E99" s="39">
        <v>157000</v>
      </c>
      <c r="F99" s="39">
        <f>SUM(F100:F102)</f>
        <v>157000</v>
      </c>
      <c r="G99" s="38">
        <f t="shared" si="23"/>
        <v>0</v>
      </c>
      <c r="H99" s="40"/>
      <c r="I99" s="38">
        <f>SUM(I100:I102)</f>
        <v>157000</v>
      </c>
      <c r="J99" s="38">
        <f t="shared" si="24"/>
        <v>0</v>
      </c>
      <c r="K99" s="40"/>
      <c r="L99" s="38">
        <f>SUM(L100:L102)</f>
        <v>157000</v>
      </c>
      <c r="M99" s="38">
        <f t="shared" si="25"/>
        <v>0</v>
      </c>
      <c r="N99" s="40"/>
      <c r="O99" s="41">
        <f>SUM(O100:O102)</f>
        <v>121112</v>
      </c>
      <c r="P99" s="241">
        <f t="shared" ref="P99:P126" si="31">O99/L99</f>
        <v>0.77141401273885346</v>
      </c>
      <c r="Q99" s="41"/>
    </row>
    <row r="100" spans="1:17" ht="15.75" customHeight="1" x14ac:dyDescent="0.25">
      <c r="B100" s="1" t="s">
        <v>287</v>
      </c>
      <c r="C100" s="90" t="s">
        <v>288</v>
      </c>
      <c r="D100" s="91" t="s">
        <v>289</v>
      </c>
      <c r="E100" s="39">
        <v>120000</v>
      </c>
      <c r="F100" s="39">
        <f>ROUND(E100,0)</f>
        <v>120000</v>
      </c>
      <c r="G100" s="38">
        <f t="shared" si="23"/>
        <v>0</v>
      </c>
      <c r="H100" s="57"/>
      <c r="I100" s="38">
        <f>ROUND(F100,0)</f>
        <v>120000</v>
      </c>
      <c r="J100" s="38">
        <f t="shared" si="24"/>
        <v>0</v>
      </c>
      <c r="K100" s="57"/>
      <c r="L100" s="38">
        <f>ROUND(I100,0)</f>
        <v>120000</v>
      </c>
      <c r="M100" s="38">
        <f t="shared" si="25"/>
        <v>0</v>
      </c>
      <c r="N100" s="57"/>
      <c r="O100" s="41">
        <f>92289+145</f>
        <v>92434</v>
      </c>
      <c r="P100" s="241">
        <f t="shared" si="31"/>
        <v>0.77028333333333332</v>
      </c>
      <c r="Q100" s="41"/>
    </row>
    <row r="101" spans="1:17" x14ac:dyDescent="0.25">
      <c r="B101" s="1" t="s">
        <v>290</v>
      </c>
      <c r="C101" s="90" t="s">
        <v>291</v>
      </c>
      <c r="D101" s="91" t="s">
        <v>292</v>
      </c>
      <c r="E101" s="39">
        <v>36000</v>
      </c>
      <c r="F101" s="39">
        <f>ROUND(E101,0)</f>
        <v>36000</v>
      </c>
      <c r="G101" s="38">
        <f t="shared" si="23"/>
        <v>0</v>
      </c>
      <c r="H101" s="40"/>
      <c r="I101" s="38">
        <f>ROUND(F101,0)</f>
        <v>36000</v>
      </c>
      <c r="J101" s="38">
        <f t="shared" si="24"/>
        <v>0</v>
      </c>
      <c r="K101" s="40"/>
      <c r="L101" s="38">
        <f>ROUND(I101,0)</f>
        <v>36000</v>
      </c>
      <c r="M101" s="38">
        <f t="shared" si="25"/>
        <v>0</v>
      </c>
      <c r="N101" s="40"/>
      <c r="O101" s="41">
        <v>28569</v>
      </c>
      <c r="P101" s="241">
        <f t="shared" si="31"/>
        <v>0.79358333333333331</v>
      </c>
      <c r="Q101" s="41"/>
    </row>
    <row r="102" spans="1:17" x14ac:dyDescent="0.25">
      <c r="C102" s="90" t="s">
        <v>293</v>
      </c>
      <c r="D102" s="80" t="s">
        <v>294</v>
      </c>
      <c r="E102" s="39">
        <v>1000</v>
      </c>
      <c r="F102" s="39">
        <f>ROUND(E102,0)</f>
        <v>1000</v>
      </c>
      <c r="G102" s="38">
        <f t="shared" si="23"/>
        <v>0</v>
      </c>
      <c r="H102" s="40"/>
      <c r="I102" s="38">
        <f>ROUND(F102,0)</f>
        <v>1000</v>
      </c>
      <c r="J102" s="38">
        <f t="shared" si="24"/>
        <v>0</v>
      </c>
      <c r="K102" s="40"/>
      <c r="L102" s="38">
        <f>ROUND(I102,0)</f>
        <v>1000</v>
      </c>
      <c r="M102" s="38">
        <f t="shared" si="25"/>
        <v>0</v>
      </c>
      <c r="N102" s="40"/>
      <c r="O102" s="41">
        <v>109</v>
      </c>
      <c r="P102" s="241">
        <f t="shared" si="31"/>
        <v>0.109</v>
      </c>
      <c r="Q102" s="41"/>
    </row>
    <row r="103" spans="1:17" ht="25.15" customHeight="1" x14ac:dyDescent="0.25">
      <c r="A103" s="1" t="s">
        <v>22</v>
      </c>
      <c r="B103" s="1" t="s">
        <v>295</v>
      </c>
      <c r="C103" s="36" t="s">
        <v>296</v>
      </c>
      <c r="D103" s="37" t="s">
        <v>297</v>
      </c>
      <c r="E103" s="39">
        <v>3826051</v>
      </c>
      <c r="F103" s="39">
        <f t="shared" ref="F103" si="32">SUM(F104:F106)</f>
        <v>3826051</v>
      </c>
      <c r="G103" s="38">
        <f t="shared" si="23"/>
        <v>0</v>
      </c>
      <c r="H103" s="57"/>
      <c r="I103" s="38">
        <f>SUM(I104:I106)</f>
        <v>3826051</v>
      </c>
      <c r="J103" s="38">
        <f t="shared" si="24"/>
        <v>0</v>
      </c>
      <c r="K103" s="57"/>
      <c r="L103" s="38">
        <f>SUM(L104:L106)</f>
        <v>3562551</v>
      </c>
      <c r="M103" s="38">
        <f t="shared" si="25"/>
        <v>-263500</v>
      </c>
      <c r="N103" s="57"/>
      <c r="O103" s="41">
        <f>SUM(O104:O106)</f>
        <v>941034</v>
      </c>
      <c r="P103" s="241">
        <f t="shared" si="31"/>
        <v>0.26414611327669413</v>
      </c>
      <c r="Q103" s="41"/>
    </row>
    <row r="104" spans="1:17" ht="16.5" customHeight="1" x14ac:dyDescent="0.25">
      <c r="A104" s="75" t="s">
        <v>298</v>
      </c>
      <c r="C104" s="90" t="s">
        <v>299</v>
      </c>
      <c r="D104" s="91" t="s">
        <v>297</v>
      </c>
      <c r="E104" s="39">
        <v>110000</v>
      </c>
      <c r="F104" s="39">
        <f>ROUND(E104,0)</f>
        <v>110000</v>
      </c>
      <c r="G104" s="38">
        <f t="shared" si="23"/>
        <v>0</v>
      </c>
      <c r="H104" s="40"/>
      <c r="I104" s="38">
        <f>ROUND(F104,0)</f>
        <v>110000</v>
      </c>
      <c r="J104" s="38">
        <f t="shared" si="24"/>
        <v>0</v>
      </c>
      <c r="K104" s="40"/>
      <c r="L104" s="38">
        <f>ROUND(I104,0)</f>
        <v>110000</v>
      </c>
      <c r="M104" s="38">
        <f t="shared" si="25"/>
        <v>0</v>
      </c>
      <c r="N104" s="40"/>
      <c r="O104" s="41">
        <v>59566</v>
      </c>
      <c r="P104" s="241">
        <f t="shared" si="31"/>
        <v>0.54150909090909094</v>
      </c>
      <c r="Q104" s="41"/>
    </row>
    <row r="105" spans="1:17" ht="16.5" customHeight="1" x14ac:dyDescent="0.25">
      <c r="C105" s="90" t="s">
        <v>300</v>
      </c>
      <c r="D105" s="91" t="s">
        <v>301</v>
      </c>
      <c r="E105" s="39">
        <v>2500</v>
      </c>
      <c r="F105" s="39">
        <f>ROUND(E105,0)</f>
        <v>2500</v>
      </c>
      <c r="G105" s="38">
        <f t="shared" si="23"/>
        <v>0</v>
      </c>
      <c r="H105" s="40"/>
      <c r="I105" s="38">
        <f>ROUND(F105,0)</f>
        <v>2500</v>
      </c>
      <c r="J105" s="38">
        <f t="shared" si="24"/>
        <v>0</v>
      </c>
      <c r="K105" s="40"/>
      <c r="L105" s="38">
        <f>ROUND(I105,0)</f>
        <v>2500</v>
      </c>
      <c r="M105" s="38">
        <f t="shared" si="25"/>
        <v>0</v>
      </c>
      <c r="N105" s="40"/>
      <c r="O105" s="41">
        <v>0</v>
      </c>
      <c r="P105" s="241">
        <f t="shared" si="31"/>
        <v>0</v>
      </c>
      <c r="Q105" s="41"/>
    </row>
    <row r="106" spans="1:17" ht="28.9" customHeight="1" x14ac:dyDescent="0.25">
      <c r="C106" s="90" t="s">
        <v>302</v>
      </c>
      <c r="D106" s="91" t="s">
        <v>303</v>
      </c>
      <c r="E106" s="39">
        <v>3713551</v>
      </c>
      <c r="F106" s="39">
        <f>ROUND(E106,0)</f>
        <v>3713551</v>
      </c>
      <c r="G106" s="38">
        <f t="shared" si="23"/>
        <v>0</v>
      </c>
      <c r="H106" s="40"/>
      <c r="I106" s="38">
        <f>ROUND(F106,0)</f>
        <v>3713551</v>
      </c>
      <c r="J106" s="38">
        <f t="shared" si="24"/>
        <v>0</v>
      </c>
      <c r="K106" s="40"/>
      <c r="L106" s="38">
        <f>ROUND(I106,0)-263500</f>
        <v>3450051</v>
      </c>
      <c r="M106" s="38">
        <f t="shared" si="25"/>
        <v>-263500</v>
      </c>
      <c r="N106" s="57" t="s">
        <v>192</v>
      </c>
      <c r="O106" s="41">
        <v>881468</v>
      </c>
      <c r="P106" s="241">
        <f t="shared" si="31"/>
        <v>0.2554941941437967</v>
      </c>
      <c r="Q106" s="41" t="s">
        <v>304</v>
      </c>
    </row>
    <row r="107" spans="1:17" ht="18" customHeight="1" thickBot="1" x14ac:dyDescent="0.3">
      <c r="A107" s="1" t="s">
        <v>22</v>
      </c>
      <c r="B107" s="50" t="s">
        <v>305</v>
      </c>
      <c r="C107" s="36" t="s">
        <v>306</v>
      </c>
      <c r="D107" s="37" t="s">
        <v>307</v>
      </c>
      <c r="E107" s="39">
        <v>102000</v>
      </c>
      <c r="F107" s="39">
        <f>ROUND(E107,0)</f>
        <v>102000</v>
      </c>
      <c r="G107" s="38">
        <f t="shared" si="23"/>
        <v>0</v>
      </c>
      <c r="H107" s="40"/>
      <c r="I107" s="38">
        <f>ROUND(F107,0)</f>
        <v>102000</v>
      </c>
      <c r="J107" s="38">
        <f t="shared" si="24"/>
        <v>0</v>
      </c>
      <c r="K107" s="40"/>
      <c r="L107" s="38">
        <f>ROUND(I107,0)</f>
        <v>102000</v>
      </c>
      <c r="M107" s="38">
        <f t="shared" si="25"/>
        <v>0</v>
      </c>
      <c r="N107" s="40"/>
      <c r="O107" s="41">
        <f>582+8590+8630+687+3900</f>
        <v>22389</v>
      </c>
      <c r="P107" s="241">
        <f t="shared" si="31"/>
        <v>0.2195</v>
      </c>
      <c r="Q107" s="41" t="s">
        <v>308</v>
      </c>
    </row>
    <row r="108" spans="1:17" ht="15" customHeight="1" thickBot="1" x14ac:dyDescent="0.3">
      <c r="C108" s="94"/>
      <c r="D108" s="95" t="s">
        <v>309</v>
      </c>
      <c r="E108" s="97">
        <v>46153371.490000002</v>
      </c>
      <c r="F108" s="97">
        <f t="shared" ref="F108" si="33">F7+F11+F14+F17+F20+F23+F36+F39+F43+F44+F89+F92</f>
        <v>46211727</v>
      </c>
      <c r="G108" s="96">
        <f t="shared" si="23"/>
        <v>58355.509999997914</v>
      </c>
      <c r="H108" s="98"/>
      <c r="I108" s="96">
        <f>I7+I11+I14+I17+I20+I23+I36+I39+I43+I44+I89+I92</f>
        <v>46579708</v>
      </c>
      <c r="J108" s="96">
        <f t="shared" si="24"/>
        <v>367981</v>
      </c>
      <c r="K108" s="98"/>
      <c r="L108" s="96">
        <f>L7+L11+L14+L17+L20+L23+L36+L39+L43+L44+L89+L92</f>
        <v>46656159</v>
      </c>
      <c r="M108" s="96">
        <f t="shared" si="25"/>
        <v>76451</v>
      </c>
      <c r="N108" s="98"/>
      <c r="O108" s="249">
        <f>O7+O11+O14+O17+O20+O23+O36+O39+O43+O44+O89+O92</f>
        <v>23753575.629999999</v>
      </c>
      <c r="P108" s="250">
        <f t="shared" si="31"/>
        <v>0.50911982767376973</v>
      </c>
      <c r="Q108" s="99"/>
    </row>
    <row r="109" spans="1:17" ht="15.75" thickBot="1" x14ac:dyDescent="0.3">
      <c r="C109" s="100" t="s">
        <v>310</v>
      </c>
      <c r="D109" s="101" t="s">
        <v>311</v>
      </c>
      <c r="E109" s="103">
        <v>7741521.0000000009</v>
      </c>
      <c r="F109" s="103">
        <f>SUM(F110:F111)</f>
        <v>7741521</v>
      </c>
      <c r="G109" s="102">
        <f t="shared" si="23"/>
        <v>0</v>
      </c>
      <c r="H109" s="104"/>
      <c r="I109" s="102">
        <f>SUM(I110:I111)</f>
        <v>7741521</v>
      </c>
      <c r="J109" s="102">
        <f t="shared" si="24"/>
        <v>0</v>
      </c>
      <c r="K109" s="104"/>
      <c r="L109" s="102">
        <f>SUM(L110:L111)</f>
        <v>7741521</v>
      </c>
      <c r="M109" s="102">
        <f t="shared" si="25"/>
        <v>0</v>
      </c>
      <c r="N109" s="104"/>
      <c r="O109" s="105">
        <f>SUM(O110:O111)</f>
        <v>7741521</v>
      </c>
      <c r="P109" s="251">
        <f t="shared" si="31"/>
        <v>1</v>
      </c>
      <c r="Q109" s="105"/>
    </row>
    <row r="110" spans="1:17" ht="17.25" customHeight="1" x14ac:dyDescent="0.25">
      <c r="C110" s="36" t="s">
        <v>312</v>
      </c>
      <c r="D110" s="37" t="s">
        <v>313</v>
      </c>
      <c r="E110" s="39">
        <v>1454963.94</v>
      </c>
      <c r="F110" s="39">
        <f>ROUND(E110,0)</f>
        <v>1454964</v>
      </c>
      <c r="G110" s="38">
        <f t="shared" si="23"/>
        <v>6.0000000055879354E-2</v>
      </c>
      <c r="H110" s="57"/>
      <c r="I110" s="38">
        <f>ROUND(F110,0)</f>
        <v>1454964</v>
      </c>
      <c r="J110" s="38">
        <f t="shared" si="24"/>
        <v>0</v>
      </c>
      <c r="K110" s="57"/>
      <c r="L110" s="38">
        <f>ROUND(I110,0)</f>
        <v>1454964</v>
      </c>
      <c r="M110" s="38">
        <f t="shared" si="25"/>
        <v>0</v>
      </c>
      <c r="N110" s="57"/>
      <c r="O110" s="41">
        <v>1454964</v>
      </c>
      <c r="P110" s="241">
        <f t="shared" si="31"/>
        <v>1</v>
      </c>
      <c r="Q110" s="41"/>
    </row>
    <row r="111" spans="1:17" x14ac:dyDescent="0.25">
      <c r="C111" s="36" t="s">
        <v>314</v>
      </c>
      <c r="D111" s="37" t="s">
        <v>315</v>
      </c>
      <c r="E111" s="39">
        <v>6286556.8600000013</v>
      </c>
      <c r="F111" s="39">
        <f>ROUND(E111,0)</f>
        <v>6286557</v>
      </c>
      <c r="G111" s="38">
        <f t="shared" si="23"/>
        <v>0.1399999987334013</v>
      </c>
      <c r="H111" s="40"/>
      <c r="I111" s="38">
        <f>ROUND(F111,0)</f>
        <v>6286557</v>
      </c>
      <c r="J111" s="38">
        <f t="shared" si="24"/>
        <v>0</v>
      </c>
      <c r="K111" s="40"/>
      <c r="L111" s="38">
        <f>ROUND(I111,0)</f>
        <v>6286557</v>
      </c>
      <c r="M111" s="38">
        <f t="shared" si="25"/>
        <v>0</v>
      </c>
      <c r="N111" s="40"/>
      <c r="O111" s="41">
        <v>6286557</v>
      </c>
      <c r="P111" s="241">
        <f t="shared" si="31"/>
        <v>1</v>
      </c>
      <c r="Q111" s="41"/>
    </row>
    <row r="112" spans="1:17" x14ac:dyDescent="0.25">
      <c r="C112" s="59" t="s">
        <v>316</v>
      </c>
      <c r="D112" s="106" t="s">
        <v>317</v>
      </c>
      <c r="E112" s="108">
        <v>4267403.7422000002</v>
      </c>
      <c r="F112" s="108">
        <f>SUM(F113:F125)</f>
        <v>4267404</v>
      </c>
      <c r="G112" s="44">
        <f t="shared" si="23"/>
        <v>0.25779999978840351</v>
      </c>
      <c r="H112" s="46"/>
      <c r="I112" s="107">
        <f>SUM(I113:I125)</f>
        <v>4393404</v>
      </c>
      <c r="J112" s="44">
        <f t="shared" si="24"/>
        <v>126000</v>
      </c>
      <c r="K112" s="46"/>
      <c r="L112" s="107">
        <f>SUM(L113:L125)</f>
        <v>4477904</v>
      </c>
      <c r="M112" s="44">
        <f t="shared" si="25"/>
        <v>84500</v>
      </c>
      <c r="N112" s="46"/>
      <c r="O112" s="252">
        <f>SUM(O113:O124)</f>
        <v>499981</v>
      </c>
      <c r="P112" s="253">
        <f t="shared" si="31"/>
        <v>0.11165514044070619</v>
      </c>
      <c r="Q112" s="252" t="s">
        <v>318</v>
      </c>
    </row>
    <row r="113" spans="1:17" ht="30" x14ac:dyDescent="0.25">
      <c r="A113" s="75"/>
      <c r="B113" s="75"/>
      <c r="C113" s="90" t="s">
        <v>319</v>
      </c>
      <c r="D113" s="109" t="s">
        <v>245</v>
      </c>
      <c r="E113" s="39">
        <v>59922</v>
      </c>
      <c r="F113" s="39">
        <f t="shared" ref="F113:F124" si="34">ROUND(E113,0)</f>
        <v>59922</v>
      </c>
      <c r="G113" s="111">
        <f t="shared" si="23"/>
        <v>0</v>
      </c>
      <c r="H113" s="51"/>
      <c r="I113" s="38">
        <f t="shared" ref="I113:I124" si="35">ROUND(F113,0)</f>
        <v>59922</v>
      </c>
      <c r="J113" s="111">
        <f t="shared" si="24"/>
        <v>0</v>
      </c>
      <c r="K113" s="51"/>
      <c r="L113" s="38">
        <f t="shared" ref="L113:L124" si="36">ROUND(I113,0)</f>
        <v>59922</v>
      </c>
      <c r="M113" s="111">
        <f t="shared" si="25"/>
        <v>0</v>
      </c>
      <c r="N113" s="51"/>
      <c r="O113" s="41">
        <f t="shared" ref="O113:O124" si="37">ROUND(H113,0)</f>
        <v>0</v>
      </c>
      <c r="P113" s="254">
        <f t="shared" si="31"/>
        <v>0</v>
      </c>
      <c r="Q113" s="112"/>
    </row>
    <row r="114" spans="1:17" x14ac:dyDescent="0.25">
      <c r="A114" s="75"/>
      <c r="B114" s="75"/>
      <c r="C114" s="90" t="s">
        <v>320</v>
      </c>
      <c r="D114" s="109" t="s">
        <v>247</v>
      </c>
      <c r="E114" s="39">
        <v>207089</v>
      </c>
      <c r="F114" s="39">
        <f t="shared" si="34"/>
        <v>207089</v>
      </c>
      <c r="G114" s="111">
        <f t="shared" si="23"/>
        <v>0</v>
      </c>
      <c r="H114" s="51"/>
      <c r="I114" s="38">
        <f t="shared" si="35"/>
        <v>207089</v>
      </c>
      <c r="J114" s="111">
        <f t="shared" si="24"/>
        <v>0</v>
      </c>
      <c r="K114" s="51"/>
      <c r="L114" s="38">
        <f t="shared" si="36"/>
        <v>207089</v>
      </c>
      <c r="M114" s="111">
        <f t="shared" si="25"/>
        <v>0</v>
      </c>
      <c r="N114" s="51"/>
      <c r="O114" s="41">
        <f t="shared" si="37"/>
        <v>0</v>
      </c>
      <c r="P114" s="254">
        <f t="shared" si="31"/>
        <v>0</v>
      </c>
      <c r="Q114" s="112"/>
    </row>
    <row r="115" spans="1:17" ht="44.45" customHeight="1" x14ac:dyDescent="0.25">
      <c r="A115" s="75"/>
      <c r="B115" s="75"/>
      <c r="C115" s="90" t="s">
        <v>321</v>
      </c>
      <c r="D115" s="109" t="s">
        <v>322</v>
      </c>
      <c r="E115" s="39">
        <v>320141.35220000002</v>
      </c>
      <c r="F115" s="39">
        <f t="shared" si="34"/>
        <v>320141</v>
      </c>
      <c r="G115" s="111">
        <f t="shared" si="23"/>
        <v>-0.35220000002300367</v>
      </c>
      <c r="H115" s="51"/>
      <c r="I115" s="38">
        <f t="shared" si="35"/>
        <v>320141</v>
      </c>
      <c r="J115" s="111">
        <f t="shared" si="24"/>
        <v>0</v>
      </c>
      <c r="K115" s="51"/>
      <c r="L115" s="38">
        <f t="shared" si="36"/>
        <v>320141</v>
      </c>
      <c r="M115" s="111">
        <f t="shared" si="25"/>
        <v>0</v>
      </c>
      <c r="N115" s="51"/>
      <c r="O115" s="41">
        <f t="shared" si="37"/>
        <v>0</v>
      </c>
      <c r="P115" s="254">
        <f t="shared" si="31"/>
        <v>0</v>
      </c>
      <c r="Q115" s="112" t="s">
        <v>323</v>
      </c>
    </row>
    <row r="116" spans="1:17" ht="30" x14ac:dyDescent="0.25">
      <c r="A116" s="75" t="s">
        <v>205</v>
      </c>
      <c r="B116" s="75" t="s">
        <v>324</v>
      </c>
      <c r="C116" s="90" t="s">
        <v>325</v>
      </c>
      <c r="D116" s="109" t="s">
        <v>326</v>
      </c>
      <c r="E116" s="39">
        <v>624704.49</v>
      </c>
      <c r="F116" s="39">
        <f t="shared" si="34"/>
        <v>624704</v>
      </c>
      <c r="G116" s="111">
        <f t="shared" si="23"/>
        <v>-0.48999999999068677</v>
      </c>
      <c r="H116" s="49"/>
      <c r="I116" s="38">
        <f t="shared" si="35"/>
        <v>624704</v>
      </c>
      <c r="J116" s="111">
        <f t="shared" si="24"/>
        <v>0</v>
      </c>
      <c r="K116" s="49"/>
      <c r="L116" s="38">
        <f t="shared" si="36"/>
        <v>624704</v>
      </c>
      <c r="M116" s="111">
        <f t="shared" si="25"/>
        <v>0</v>
      </c>
      <c r="N116" s="49"/>
      <c r="O116" s="41">
        <f t="shared" si="37"/>
        <v>0</v>
      </c>
      <c r="P116" s="254">
        <f t="shared" si="31"/>
        <v>0</v>
      </c>
      <c r="Q116" s="113"/>
    </row>
    <row r="117" spans="1:17" ht="30" customHeight="1" x14ac:dyDescent="0.25">
      <c r="A117" s="75"/>
      <c r="B117" s="75"/>
      <c r="C117" s="90" t="s">
        <v>327</v>
      </c>
      <c r="D117" s="109" t="s">
        <v>210</v>
      </c>
      <c r="E117" s="39">
        <v>37334.9</v>
      </c>
      <c r="F117" s="39">
        <f t="shared" si="34"/>
        <v>37335</v>
      </c>
      <c r="G117" s="111">
        <f t="shared" si="23"/>
        <v>9.9999999998544808E-2</v>
      </c>
      <c r="H117" s="49"/>
      <c r="I117" s="38">
        <f t="shared" si="35"/>
        <v>37335</v>
      </c>
      <c r="J117" s="111">
        <f t="shared" si="24"/>
        <v>0</v>
      </c>
      <c r="K117" s="49"/>
      <c r="L117" s="38">
        <f t="shared" si="36"/>
        <v>37335</v>
      </c>
      <c r="M117" s="111">
        <f t="shared" si="25"/>
        <v>0</v>
      </c>
      <c r="N117" s="49"/>
      <c r="O117" s="41">
        <v>37335</v>
      </c>
      <c r="P117" s="254">
        <f t="shared" si="31"/>
        <v>1</v>
      </c>
      <c r="Q117" s="113"/>
    </row>
    <row r="118" spans="1:17" x14ac:dyDescent="0.25">
      <c r="B118" s="75"/>
      <c r="C118" s="90" t="s">
        <v>328</v>
      </c>
      <c r="D118" s="109" t="s">
        <v>329</v>
      </c>
      <c r="E118" s="114">
        <v>582946</v>
      </c>
      <c r="F118" s="114">
        <f t="shared" si="34"/>
        <v>582946</v>
      </c>
      <c r="G118" s="115">
        <f t="shared" si="23"/>
        <v>0</v>
      </c>
      <c r="H118" s="116"/>
      <c r="I118" s="110">
        <f>ROUND(F118,0)</f>
        <v>582946</v>
      </c>
      <c r="J118" s="115">
        <f t="shared" si="24"/>
        <v>0</v>
      </c>
      <c r="K118" s="51"/>
      <c r="L118" s="110">
        <f t="shared" si="36"/>
        <v>582946</v>
      </c>
      <c r="M118" s="115">
        <f t="shared" si="25"/>
        <v>0</v>
      </c>
      <c r="N118" s="51"/>
      <c r="O118" s="41">
        <f>495501-32855</f>
        <v>462646</v>
      </c>
      <c r="P118" s="254">
        <f t="shared" si="31"/>
        <v>0.79363440181423317</v>
      </c>
      <c r="Q118" s="113"/>
    </row>
    <row r="119" spans="1:17" ht="45" customHeight="1" x14ac:dyDescent="0.25">
      <c r="B119" s="75"/>
      <c r="C119" s="90" t="s">
        <v>330</v>
      </c>
      <c r="D119" s="117" t="s">
        <v>331</v>
      </c>
      <c r="E119" s="118">
        <v>390000</v>
      </c>
      <c r="F119" s="114">
        <f t="shared" si="34"/>
        <v>390000</v>
      </c>
      <c r="G119" s="115">
        <f t="shared" si="23"/>
        <v>0</v>
      </c>
      <c r="H119" s="116"/>
      <c r="I119" s="110">
        <f t="shared" si="35"/>
        <v>390000</v>
      </c>
      <c r="J119" s="115">
        <f t="shared" si="24"/>
        <v>0</v>
      </c>
      <c r="K119" s="51"/>
      <c r="L119" s="110">
        <f t="shared" si="36"/>
        <v>390000</v>
      </c>
      <c r="M119" s="115">
        <f t="shared" si="25"/>
        <v>0</v>
      </c>
      <c r="N119" s="49"/>
      <c r="O119" s="41">
        <f t="shared" si="37"/>
        <v>0</v>
      </c>
      <c r="P119" s="254">
        <f t="shared" si="31"/>
        <v>0</v>
      </c>
      <c r="Q119" s="113"/>
    </row>
    <row r="120" spans="1:17" ht="16.149999999999999" customHeight="1" x14ac:dyDescent="0.25">
      <c r="B120" s="75"/>
      <c r="C120" s="90" t="s">
        <v>332</v>
      </c>
      <c r="D120" s="119" t="s">
        <v>333</v>
      </c>
      <c r="E120" s="120">
        <v>645000</v>
      </c>
      <c r="F120" s="114">
        <f t="shared" si="34"/>
        <v>645000</v>
      </c>
      <c r="G120" s="115">
        <f t="shared" si="23"/>
        <v>0</v>
      </c>
      <c r="H120" s="116"/>
      <c r="I120" s="110">
        <f t="shared" si="35"/>
        <v>645000</v>
      </c>
      <c r="J120" s="115">
        <f t="shared" si="24"/>
        <v>0</v>
      </c>
      <c r="K120" s="51"/>
      <c r="L120" s="110">
        <f t="shared" si="36"/>
        <v>645000</v>
      </c>
      <c r="M120" s="115">
        <f t="shared" si="25"/>
        <v>0</v>
      </c>
      <c r="N120" s="49"/>
      <c r="O120" s="41">
        <f t="shared" si="37"/>
        <v>0</v>
      </c>
      <c r="P120" s="254">
        <f t="shared" si="31"/>
        <v>0</v>
      </c>
      <c r="Q120" s="113"/>
    </row>
    <row r="121" spans="1:17" ht="16.149999999999999" customHeight="1" x14ac:dyDescent="0.25">
      <c r="B121" s="75"/>
      <c r="C121" s="90" t="s">
        <v>334</v>
      </c>
      <c r="D121" s="119" t="s">
        <v>251</v>
      </c>
      <c r="E121" s="120">
        <v>164032</v>
      </c>
      <c r="F121" s="114">
        <f t="shared" si="34"/>
        <v>164032</v>
      </c>
      <c r="G121" s="115">
        <f t="shared" si="23"/>
        <v>0</v>
      </c>
      <c r="H121" s="116"/>
      <c r="I121" s="110">
        <f t="shared" si="35"/>
        <v>164032</v>
      </c>
      <c r="J121" s="115">
        <f t="shared" si="24"/>
        <v>0</v>
      </c>
      <c r="K121" s="51"/>
      <c r="L121" s="110">
        <f t="shared" si="36"/>
        <v>164032</v>
      </c>
      <c r="M121" s="115">
        <f t="shared" si="25"/>
        <v>0</v>
      </c>
      <c r="N121" s="49"/>
      <c r="O121" s="41">
        <f t="shared" si="37"/>
        <v>0</v>
      </c>
      <c r="P121" s="254">
        <f t="shared" si="31"/>
        <v>0</v>
      </c>
      <c r="Q121" s="113"/>
    </row>
    <row r="122" spans="1:17" ht="18.600000000000001" customHeight="1" x14ac:dyDescent="0.25">
      <c r="B122" s="75"/>
      <c r="C122" s="90" t="s">
        <v>335</v>
      </c>
      <c r="D122" s="119" t="s">
        <v>253</v>
      </c>
      <c r="E122" s="120">
        <v>907235</v>
      </c>
      <c r="F122" s="114">
        <f t="shared" si="34"/>
        <v>907235</v>
      </c>
      <c r="G122" s="115">
        <f t="shared" si="23"/>
        <v>0</v>
      </c>
      <c r="H122" s="116"/>
      <c r="I122" s="110">
        <f t="shared" si="35"/>
        <v>907235</v>
      </c>
      <c r="J122" s="115">
        <f t="shared" si="24"/>
        <v>0</v>
      </c>
      <c r="K122" s="51"/>
      <c r="L122" s="110">
        <f t="shared" si="36"/>
        <v>907235</v>
      </c>
      <c r="M122" s="115">
        <f t="shared" si="25"/>
        <v>0</v>
      </c>
      <c r="N122" s="121"/>
      <c r="O122" s="41">
        <f t="shared" si="37"/>
        <v>0</v>
      </c>
      <c r="P122" s="254">
        <f t="shared" si="31"/>
        <v>0</v>
      </c>
      <c r="Q122" s="113"/>
    </row>
    <row r="123" spans="1:17" ht="27.6" customHeight="1" x14ac:dyDescent="0.25">
      <c r="B123" s="75"/>
      <c r="C123" s="122" t="s">
        <v>336</v>
      </c>
      <c r="D123" s="119" t="s">
        <v>337</v>
      </c>
      <c r="E123" s="120">
        <v>203000</v>
      </c>
      <c r="F123" s="114">
        <f t="shared" si="34"/>
        <v>203000</v>
      </c>
      <c r="G123" s="115">
        <f t="shared" si="23"/>
        <v>0</v>
      </c>
      <c r="H123" s="116"/>
      <c r="I123" s="110">
        <f t="shared" si="35"/>
        <v>203000</v>
      </c>
      <c r="J123" s="115">
        <f t="shared" si="24"/>
        <v>0</v>
      </c>
      <c r="K123" s="51"/>
      <c r="L123" s="110">
        <f>ROUND(I123,0)+84500</f>
        <v>287500</v>
      </c>
      <c r="M123" s="115">
        <f t="shared" si="25"/>
        <v>84500</v>
      </c>
      <c r="N123" s="123" t="s">
        <v>338</v>
      </c>
      <c r="O123" s="41">
        <f t="shared" si="37"/>
        <v>0</v>
      </c>
      <c r="P123" s="254">
        <f t="shared" si="31"/>
        <v>0</v>
      </c>
      <c r="Q123" s="113"/>
    </row>
    <row r="124" spans="1:17" ht="28.9" customHeight="1" x14ac:dyDescent="0.25">
      <c r="B124" s="75"/>
      <c r="C124" s="90" t="s">
        <v>339</v>
      </c>
      <c r="D124" s="124" t="s">
        <v>340</v>
      </c>
      <c r="E124" s="114">
        <v>126000</v>
      </c>
      <c r="F124" s="114">
        <f t="shared" si="34"/>
        <v>126000</v>
      </c>
      <c r="G124" s="115">
        <f t="shared" si="23"/>
        <v>0</v>
      </c>
      <c r="H124" s="116"/>
      <c r="I124" s="110">
        <f t="shared" si="35"/>
        <v>126000</v>
      </c>
      <c r="J124" s="115">
        <f t="shared" si="24"/>
        <v>0</v>
      </c>
      <c r="K124" s="51"/>
      <c r="L124" s="110">
        <f t="shared" si="36"/>
        <v>126000</v>
      </c>
      <c r="M124" s="115">
        <f t="shared" si="25"/>
        <v>0</v>
      </c>
      <c r="N124" s="40"/>
      <c r="O124" s="41">
        <f t="shared" si="37"/>
        <v>0</v>
      </c>
      <c r="P124" s="254">
        <f t="shared" si="31"/>
        <v>0</v>
      </c>
      <c r="Q124" s="113"/>
    </row>
    <row r="125" spans="1:17" ht="15" customHeight="1" thickBot="1" x14ac:dyDescent="0.3">
      <c r="B125" s="75"/>
      <c r="C125" s="125" t="s">
        <v>341</v>
      </c>
      <c r="D125" s="126" t="s">
        <v>342</v>
      </c>
      <c r="E125" s="127">
        <v>0</v>
      </c>
      <c r="F125" s="114">
        <f>ROUND(E125,0)</f>
        <v>0</v>
      </c>
      <c r="G125" s="115">
        <f>F125-E125</f>
        <v>0</v>
      </c>
      <c r="H125" s="116"/>
      <c r="I125" s="110">
        <f>ROUND(F125,0)+126000</f>
        <v>126000</v>
      </c>
      <c r="J125" s="115">
        <f>I125-F125</f>
        <v>126000</v>
      </c>
      <c r="K125" s="51" t="s">
        <v>343</v>
      </c>
      <c r="L125" s="110">
        <f>ROUND(I125,0)</f>
        <v>126000</v>
      </c>
      <c r="M125" s="115">
        <f t="shared" si="25"/>
        <v>0</v>
      </c>
      <c r="N125" s="128"/>
      <c r="O125" s="41">
        <f>ROUND(H125,0)</f>
        <v>0</v>
      </c>
      <c r="P125" s="254">
        <f t="shared" si="31"/>
        <v>0</v>
      </c>
      <c r="Q125" s="113"/>
    </row>
    <row r="126" spans="1:17" ht="15.75" thickBot="1" x14ac:dyDescent="0.3">
      <c r="C126" s="129"/>
      <c r="D126" s="130" t="s">
        <v>344</v>
      </c>
      <c r="E126" s="103">
        <v>58162296.232200004</v>
      </c>
      <c r="F126" s="103">
        <f t="shared" ref="F126" si="38">F108+F109+F112</f>
        <v>58220652</v>
      </c>
      <c r="G126" s="102">
        <f t="shared" si="23"/>
        <v>58355.76779999584</v>
      </c>
      <c r="H126" s="131"/>
      <c r="I126" s="102">
        <f>I108+I109+I112</f>
        <v>58714633</v>
      </c>
      <c r="J126" s="102">
        <f t="shared" si="24"/>
        <v>493981</v>
      </c>
      <c r="K126" s="131"/>
      <c r="L126" s="102">
        <f>L108+L109+L112</f>
        <v>58875584</v>
      </c>
      <c r="M126" s="102">
        <f t="shared" si="25"/>
        <v>160951</v>
      </c>
      <c r="N126" s="131"/>
      <c r="O126" s="105">
        <f>O108+O109+O112</f>
        <v>31995077.629999999</v>
      </c>
      <c r="P126" s="255">
        <f t="shared" si="31"/>
        <v>0.54343541849198473</v>
      </c>
      <c r="Q126" s="105"/>
    </row>
    <row r="128" spans="1:17" x14ac:dyDescent="0.25">
      <c r="G128" s="4"/>
      <c r="I128" s="4"/>
      <c r="J128" s="4"/>
      <c r="L128" s="4"/>
      <c r="M128" s="4"/>
      <c r="O128" s="10"/>
      <c r="Q128" s="10"/>
    </row>
    <row r="129" spans="2:17" ht="20.25" x14ac:dyDescent="0.3">
      <c r="C129" s="323" t="s">
        <v>345</v>
      </c>
      <c r="D129" s="323"/>
      <c r="G129" s="4"/>
      <c r="I129" s="4"/>
      <c r="J129" s="4"/>
      <c r="L129" s="4"/>
      <c r="M129" s="4"/>
      <c r="O129" s="10"/>
      <c r="Q129" s="10"/>
    </row>
    <row r="130" spans="2:17" ht="15.75" thickBot="1" x14ac:dyDescent="0.3">
      <c r="C130" s="324"/>
      <c r="D130" s="324"/>
      <c r="G130" s="134"/>
      <c r="I130" s="134"/>
      <c r="J130" s="134"/>
      <c r="L130" s="134"/>
      <c r="M130" s="134"/>
      <c r="O130" s="135"/>
      <c r="Q130" s="135"/>
    </row>
    <row r="131" spans="2:17" ht="57" customHeight="1" outlineLevel="1" thickBot="1" x14ac:dyDescent="0.3">
      <c r="C131" s="17" t="s">
        <v>3</v>
      </c>
      <c r="D131" s="18" t="s">
        <v>4</v>
      </c>
      <c r="E131" s="20" t="s">
        <v>6</v>
      </c>
      <c r="F131" s="20" t="s">
        <v>7</v>
      </c>
      <c r="G131" s="19" t="s">
        <v>8</v>
      </c>
      <c r="H131" s="21" t="s">
        <v>346</v>
      </c>
      <c r="I131" s="19" t="s">
        <v>10</v>
      </c>
      <c r="J131" s="19" t="s">
        <v>11</v>
      </c>
      <c r="K131" s="21" t="s">
        <v>346</v>
      </c>
      <c r="L131" s="19" t="s">
        <v>12</v>
      </c>
      <c r="M131" s="19" t="s">
        <v>13</v>
      </c>
      <c r="N131" s="21" t="s">
        <v>346</v>
      </c>
      <c r="O131" s="236" t="str">
        <f>O5</f>
        <v>30.06.2023. fakts</v>
      </c>
      <c r="P131" s="237" t="str">
        <f>P5</f>
        <v>30.06.2023. fakts (%) pret 2023. plānu</v>
      </c>
      <c r="Q131" s="22" t="s">
        <v>16</v>
      </c>
    </row>
    <row r="132" spans="2:17" x14ac:dyDescent="0.25">
      <c r="C132" s="136" t="s">
        <v>20</v>
      </c>
      <c r="D132" s="137" t="s">
        <v>347</v>
      </c>
      <c r="E132" s="139">
        <v>8245497.4604350002</v>
      </c>
      <c r="F132" s="139">
        <f t="shared" ref="F132" si="39">SUM(F133:F141)</f>
        <v>8245497</v>
      </c>
      <c r="G132" s="138">
        <f t="shared" ref="G132:G195" si="40">F132-E132</f>
        <v>-0.46043500024825335</v>
      </c>
      <c r="H132" s="140"/>
      <c r="I132" s="138">
        <f>SUM(I133:I141)</f>
        <v>8253567</v>
      </c>
      <c r="J132" s="138">
        <f t="shared" ref="J132:J195" si="41">I132-F132</f>
        <v>8070</v>
      </c>
      <c r="K132" s="140"/>
      <c r="L132" s="138">
        <f>SUM(L133:L141)</f>
        <v>8253567</v>
      </c>
      <c r="M132" s="138">
        <f t="shared" ref="M132:M195" si="42">L132-I132</f>
        <v>0</v>
      </c>
      <c r="N132" s="140"/>
      <c r="O132" s="141">
        <f>SUM(O133:O141)</f>
        <v>3590563</v>
      </c>
      <c r="P132" s="257">
        <f t="shared" ref="P132:P141" si="43">O132/L132</f>
        <v>0.43503166570284096</v>
      </c>
      <c r="Q132" s="141"/>
    </row>
    <row r="133" spans="2:17" ht="31.5" customHeight="1" x14ac:dyDescent="0.25">
      <c r="B133" s="75" t="s">
        <v>348</v>
      </c>
      <c r="C133" s="142" t="s">
        <v>24</v>
      </c>
      <c r="D133" s="143" t="s">
        <v>349</v>
      </c>
      <c r="E133" s="78">
        <v>1904696</v>
      </c>
      <c r="F133" s="78">
        <f>ROUND(E133,0)</f>
        <v>1904696</v>
      </c>
      <c r="G133" s="62">
        <f t="shared" si="40"/>
        <v>0</v>
      </c>
      <c r="H133" s="79"/>
      <c r="I133" s="62">
        <f>ROUND(F133,0)-16038</f>
        <v>1888658</v>
      </c>
      <c r="J133" s="144">
        <f t="shared" si="41"/>
        <v>-16038</v>
      </c>
      <c r="K133" s="145" t="s">
        <v>350</v>
      </c>
      <c r="L133" s="62">
        <f t="shared" ref="L133:L144" si="44">ROUND(I133,0)</f>
        <v>1888658</v>
      </c>
      <c r="M133" s="62">
        <f t="shared" si="42"/>
        <v>0</v>
      </c>
      <c r="N133" s="79"/>
      <c r="O133" s="144">
        <f>3249217-O139-O140</f>
        <v>805493.75</v>
      </c>
      <c r="P133" s="248">
        <f t="shared" si="43"/>
        <v>0.42648999977761987</v>
      </c>
      <c r="Q133" s="144"/>
    </row>
    <row r="134" spans="2:17" x14ac:dyDescent="0.25">
      <c r="B134" s="75" t="s">
        <v>351</v>
      </c>
      <c r="C134" s="142" t="s">
        <v>28</v>
      </c>
      <c r="D134" s="143" t="s">
        <v>352</v>
      </c>
      <c r="E134" s="78">
        <v>355819</v>
      </c>
      <c r="F134" s="78">
        <f t="shared" ref="F134:F143" si="45">ROUND(E134,0)</f>
        <v>355819</v>
      </c>
      <c r="G134" s="62">
        <f t="shared" si="40"/>
        <v>0</v>
      </c>
      <c r="H134" s="146"/>
      <c r="I134" s="62">
        <f t="shared" ref="I134:I139" si="46">ROUND(F134,0)</f>
        <v>355819</v>
      </c>
      <c r="J134" s="62">
        <f t="shared" si="41"/>
        <v>0</v>
      </c>
      <c r="K134" s="146"/>
      <c r="L134" s="62">
        <f t="shared" si="44"/>
        <v>355819</v>
      </c>
      <c r="M134" s="62">
        <f t="shared" si="42"/>
        <v>0</v>
      </c>
      <c r="N134" s="146"/>
      <c r="O134" s="144">
        <v>114099</v>
      </c>
      <c r="P134" s="248">
        <f t="shared" si="43"/>
        <v>0.32066584415109928</v>
      </c>
      <c r="Q134" s="144"/>
    </row>
    <row r="135" spans="2:17" ht="13.15" customHeight="1" x14ac:dyDescent="0.25">
      <c r="B135" s="75" t="s">
        <v>353</v>
      </c>
      <c r="C135" s="142" t="s">
        <v>354</v>
      </c>
      <c r="D135" s="143" t="s">
        <v>355</v>
      </c>
      <c r="E135" s="78">
        <v>58895</v>
      </c>
      <c r="F135" s="78">
        <f>ROUND(E135,0)</f>
        <v>58895</v>
      </c>
      <c r="G135" s="62">
        <f t="shared" si="40"/>
        <v>0</v>
      </c>
      <c r="H135" s="79"/>
      <c r="I135" s="62">
        <f t="shared" si="46"/>
        <v>58895</v>
      </c>
      <c r="J135" s="62">
        <f t="shared" si="41"/>
        <v>0</v>
      </c>
      <c r="K135" s="79"/>
      <c r="L135" s="62">
        <f t="shared" si="44"/>
        <v>58895</v>
      </c>
      <c r="M135" s="62">
        <f t="shared" si="42"/>
        <v>0</v>
      </c>
      <c r="N135" s="79"/>
      <c r="O135" s="144">
        <v>19178</v>
      </c>
      <c r="P135" s="248">
        <f t="shared" si="43"/>
        <v>0.32563035911367688</v>
      </c>
      <c r="Q135" s="144"/>
    </row>
    <row r="136" spans="2:17" ht="14.45" customHeight="1" x14ac:dyDescent="0.25">
      <c r="B136" s="75" t="s">
        <v>356</v>
      </c>
      <c r="C136" s="142" t="s">
        <v>357</v>
      </c>
      <c r="D136" s="143" t="s">
        <v>358</v>
      </c>
      <c r="E136" s="78">
        <v>50294</v>
      </c>
      <c r="F136" s="78">
        <f t="shared" si="45"/>
        <v>50294</v>
      </c>
      <c r="G136" s="62">
        <f t="shared" si="40"/>
        <v>0</v>
      </c>
      <c r="H136" s="79"/>
      <c r="I136" s="62">
        <f t="shared" si="46"/>
        <v>50294</v>
      </c>
      <c r="J136" s="62">
        <f t="shared" si="41"/>
        <v>0</v>
      </c>
      <c r="K136" s="79"/>
      <c r="L136" s="62">
        <f t="shared" si="44"/>
        <v>50294</v>
      </c>
      <c r="M136" s="62">
        <f t="shared" si="42"/>
        <v>0</v>
      </c>
      <c r="N136" s="79"/>
      <c r="O136" s="144">
        <v>13227</v>
      </c>
      <c r="P136" s="248">
        <f t="shared" si="43"/>
        <v>0.26299359764584246</v>
      </c>
      <c r="Q136" s="144"/>
    </row>
    <row r="137" spans="2:17" ht="18" customHeight="1" x14ac:dyDescent="0.25">
      <c r="B137" s="75" t="s">
        <v>359</v>
      </c>
      <c r="C137" s="142" t="s">
        <v>360</v>
      </c>
      <c r="D137" s="143" t="s">
        <v>361</v>
      </c>
      <c r="E137" s="78">
        <v>6588</v>
      </c>
      <c r="F137" s="78">
        <f t="shared" si="45"/>
        <v>6588</v>
      </c>
      <c r="G137" s="62">
        <f t="shared" si="40"/>
        <v>0</v>
      </c>
      <c r="H137" s="146"/>
      <c r="I137" s="62">
        <f t="shared" si="46"/>
        <v>6588</v>
      </c>
      <c r="J137" s="62">
        <f t="shared" si="41"/>
        <v>0</v>
      </c>
      <c r="K137" s="146"/>
      <c r="L137" s="62">
        <f t="shared" si="44"/>
        <v>6588</v>
      </c>
      <c r="M137" s="62">
        <f t="shared" si="42"/>
        <v>0</v>
      </c>
      <c r="N137" s="146"/>
      <c r="O137" s="144">
        <v>60</v>
      </c>
      <c r="P137" s="248">
        <f t="shared" si="43"/>
        <v>9.1074681238615673E-3</v>
      </c>
      <c r="Q137" s="144"/>
    </row>
    <row r="138" spans="2:17" ht="29.45" customHeight="1" x14ac:dyDescent="0.25">
      <c r="B138" s="75" t="s">
        <v>362</v>
      </c>
      <c r="C138" s="142" t="s">
        <v>363</v>
      </c>
      <c r="D138" s="143" t="s">
        <v>364</v>
      </c>
      <c r="E138" s="78">
        <v>71620</v>
      </c>
      <c r="F138" s="78">
        <f t="shared" si="45"/>
        <v>71620</v>
      </c>
      <c r="G138" s="62">
        <f t="shared" si="40"/>
        <v>0</v>
      </c>
      <c r="H138" s="146"/>
      <c r="I138" s="62">
        <f>ROUND(F138,0)-2000</f>
        <v>69620</v>
      </c>
      <c r="J138" s="62">
        <f t="shared" si="41"/>
        <v>-2000</v>
      </c>
      <c r="K138" s="146" t="s">
        <v>365</v>
      </c>
      <c r="L138" s="62">
        <f t="shared" si="44"/>
        <v>69620</v>
      </c>
      <c r="M138" s="62">
        <f t="shared" si="42"/>
        <v>0</v>
      </c>
      <c r="N138" s="146"/>
      <c r="O138" s="144">
        <v>10941</v>
      </c>
      <c r="P138" s="248">
        <f t="shared" si="43"/>
        <v>0.15715311692042516</v>
      </c>
      <c r="Q138" s="144"/>
    </row>
    <row r="139" spans="2:17" ht="15.6" customHeight="1" x14ac:dyDescent="0.25">
      <c r="B139" s="75" t="s">
        <v>348</v>
      </c>
      <c r="C139" s="142" t="s">
        <v>366</v>
      </c>
      <c r="D139" s="143" t="s">
        <v>367</v>
      </c>
      <c r="E139" s="78">
        <v>1047339</v>
      </c>
      <c r="F139" s="78">
        <f t="shared" si="45"/>
        <v>1047339</v>
      </c>
      <c r="G139" s="62">
        <f t="shared" si="40"/>
        <v>0</v>
      </c>
      <c r="H139" s="79"/>
      <c r="I139" s="62">
        <f t="shared" si="46"/>
        <v>1047339</v>
      </c>
      <c r="J139" s="62">
        <f t="shared" si="41"/>
        <v>0</v>
      </c>
      <c r="K139" s="79"/>
      <c r="L139" s="62">
        <f t="shared" si="44"/>
        <v>1047339</v>
      </c>
      <c r="M139" s="62">
        <f t="shared" si="42"/>
        <v>0</v>
      </c>
      <c r="N139" s="79"/>
      <c r="O139" s="144">
        <v>328331.71000000002</v>
      </c>
      <c r="P139" s="248">
        <f t="shared" si="43"/>
        <v>0.31349134329954298</v>
      </c>
      <c r="Q139" s="144" t="s">
        <v>368</v>
      </c>
    </row>
    <row r="140" spans="2:17" x14ac:dyDescent="0.25">
      <c r="B140" s="75" t="s">
        <v>348</v>
      </c>
      <c r="C140" s="142" t="s">
        <v>369</v>
      </c>
      <c r="D140" s="143" t="s">
        <v>370</v>
      </c>
      <c r="E140" s="78">
        <v>4392666</v>
      </c>
      <c r="F140" s="78">
        <f t="shared" si="45"/>
        <v>4392666</v>
      </c>
      <c r="G140" s="62">
        <f t="shared" si="40"/>
        <v>0</v>
      </c>
      <c r="H140" s="146"/>
      <c r="I140" s="62">
        <f>ROUND(F140,0)+26108</f>
        <v>4418774</v>
      </c>
      <c r="J140" s="62">
        <f t="shared" si="41"/>
        <v>26108</v>
      </c>
      <c r="K140" s="146" t="s">
        <v>26</v>
      </c>
      <c r="L140" s="62">
        <f t="shared" si="44"/>
        <v>4418774</v>
      </c>
      <c r="M140" s="62">
        <f t="shared" si="42"/>
        <v>0</v>
      </c>
      <c r="N140" s="146"/>
      <c r="O140" s="144">
        <v>2115391.54</v>
      </c>
      <c r="P140" s="248">
        <f t="shared" si="43"/>
        <v>0.47872815853447132</v>
      </c>
      <c r="Q140" s="144"/>
    </row>
    <row r="141" spans="2:17" ht="42.6" customHeight="1" x14ac:dyDescent="0.25">
      <c r="B141" s="75" t="s">
        <v>371</v>
      </c>
      <c r="C141" s="142" t="s">
        <v>372</v>
      </c>
      <c r="D141" s="143" t="s">
        <v>373</v>
      </c>
      <c r="E141" s="78">
        <v>357580.46043500002</v>
      </c>
      <c r="F141" s="78">
        <f>ROUND(E141,0)</f>
        <v>357580</v>
      </c>
      <c r="G141" s="62">
        <f t="shared" si="40"/>
        <v>-0.4604350000154227</v>
      </c>
      <c r="H141" s="79"/>
      <c r="I141" s="62">
        <f>ROUND(F141,0)</f>
        <v>357580</v>
      </c>
      <c r="J141" s="62">
        <f t="shared" si="41"/>
        <v>0</v>
      </c>
      <c r="K141" s="79"/>
      <c r="L141" s="62">
        <f t="shared" si="44"/>
        <v>357580</v>
      </c>
      <c r="M141" s="62">
        <f t="shared" si="42"/>
        <v>0</v>
      </c>
      <c r="N141" s="79"/>
      <c r="O141" s="144">
        <v>183841</v>
      </c>
      <c r="P141" s="248">
        <f t="shared" si="43"/>
        <v>0.51412551037530063</v>
      </c>
      <c r="Q141" s="144"/>
    </row>
    <row r="142" spans="2:17" x14ac:dyDescent="0.25">
      <c r="C142" s="147" t="s">
        <v>34</v>
      </c>
      <c r="D142" s="148" t="s">
        <v>374</v>
      </c>
      <c r="E142" s="45">
        <v>0</v>
      </c>
      <c r="F142" s="45">
        <f t="shared" si="45"/>
        <v>0</v>
      </c>
      <c r="G142" s="44">
        <f t="shared" si="40"/>
        <v>0</v>
      </c>
      <c r="H142" s="46"/>
      <c r="I142" s="44">
        <f>ROUND(F142,0)</f>
        <v>0</v>
      </c>
      <c r="J142" s="44">
        <f t="shared" si="41"/>
        <v>0</v>
      </c>
      <c r="K142" s="46"/>
      <c r="L142" s="44">
        <f t="shared" si="44"/>
        <v>0</v>
      </c>
      <c r="M142" s="44">
        <f t="shared" si="42"/>
        <v>0</v>
      </c>
      <c r="N142" s="46"/>
      <c r="O142" s="47">
        <f>ROUND(H142,0)</f>
        <v>0</v>
      </c>
      <c r="P142" s="242"/>
      <c r="Q142" s="47"/>
    </row>
    <row r="143" spans="2:17" ht="13.9" customHeight="1" x14ac:dyDescent="0.25">
      <c r="B143" s="75" t="s">
        <v>375</v>
      </c>
      <c r="C143" s="142" t="s">
        <v>37</v>
      </c>
      <c r="D143" s="143" t="s">
        <v>376</v>
      </c>
      <c r="E143" s="78">
        <v>0</v>
      </c>
      <c r="F143" s="78">
        <f t="shared" si="45"/>
        <v>0</v>
      </c>
      <c r="G143" s="62">
        <f t="shared" si="40"/>
        <v>0</v>
      </c>
      <c r="H143" s="146"/>
      <c r="I143" s="62">
        <f>ROUND(F143,0)</f>
        <v>0</v>
      </c>
      <c r="J143" s="62">
        <f t="shared" si="41"/>
        <v>0</v>
      </c>
      <c r="K143" s="146"/>
      <c r="L143" s="62">
        <f t="shared" si="44"/>
        <v>0</v>
      </c>
      <c r="M143" s="62">
        <f t="shared" si="42"/>
        <v>0</v>
      </c>
      <c r="N143" s="146"/>
      <c r="O143" s="144">
        <v>0</v>
      </c>
      <c r="P143" s="248"/>
      <c r="Q143" s="149"/>
    </row>
    <row r="144" spans="2:17" ht="15" customHeight="1" collapsed="1" x14ac:dyDescent="0.25">
      <c r="B144" s="75" t="s">
        <v>377</v>
      </c>
      <c r="C144" s="147" t="s">
        <v>42</v>
      </c>
      <c r="D144" s="148" t="s">
        <v>378</v>
      </c>
      <c r="E144" s="45">
        <v>936069.29245700024</v>
      </c>
      <c r="F144" s="45">
        <f>ROUND(E144,0)</f>
        <v>936069</v>
      </c>
      <c r="G144" s="44">
        <f t="shared" si="40"/>
        <v>-0.29245700023602694</v>
      </c>
      <c r="H144" s="55"/>
      <c r="I144" s="44">
        <f>ROUND(F144,0)</f>
        <v>936069</v>
      </c>
      <c r="J144" s="44">
        <f t="shared" si="41"/>
        <v>0</v>
      </c>
      <c r="K144" s="150"/>
      <c r="L144" s="44">
        <f t="shared" si="44"/>
        <v>936069</v>
      </c>
      <c r="M144" s="44">
        <f t="shared" si="42"/>
        <v>0</v>
      </c>
      <c r="N144" s="55"/>
      <c r="O144" s="47">
        <v>376714</v>
      </c>
      <c r="P144" s="242">
        <f t="shared" ref="P144:P158" si="47">O144/L144</f>
        <v>0.40244255498259207</v>
      </c>
      <c r="Q144" s="243" t="s">
        <v>379</v>
      </c>
    </row>
    <row r="145" spans="2:17" s="151" customFormat="1" ht="16.899999999999999" customHeight="1" x14ac:dyDescent="0.25">
      <c r="C145" s="147" t="s">
        <v>50</v>
      </c>
      <c r="D145" s="148" t="s">
        <v>380</v>
      </c>
      <c r="E145" s="45">
        <v>556693.29264600005</v>
      </c>
      <c r="F145" s="45">
        <f t="shared" ref="F145" si="48">F146+F149</f>
        <v>556693</v>
      </c>
      <c r="G145" s="44">
        <f t="shared" si="40"/>
        <v>-0.29264600004535168</v>
      </c>
      <c r="H145" s="55"/>
      <c r="I145" s="44">
        <f>I146+I149</f>
        <v>589278</v>
      </c>
      <c r="J145" s="44">
        <f t="shared" si="41"/>
        <v>32585</v>
      </c>
      <c r="K145" s="55"/>
      <c r="L145" s="44">
        <f>L146+L149</f>
        <v>589278</v>
      </c>
      <c r="M145" s="44">
        <f t="shared" si="42"/>
        <v>0</v>
      </c>
      <c r="N145" s="55"/>
      <c r="O145" s="47">
        <f>O146+O149</f>
        <v>182245</v>
      </c>
      <c r="P145" s="242">
        <f t="shared" si="47"/>
        <v>0.30926829102732495</v>
      </c>
      <c r="Q145" s="47"/>
    </row>
    <row r="146" spans="2:17" x14ac:dyDescent="0.25">
      <c r="B146" s="75" t="s">
        <v>381</v>
      </c>
      <c r="C146" s="142" t="s">
        <v>53</v>
      </c>
      <c r="D146" s="143" t="s">
        <v>382</v>
      </c>
      <c r="E146" s="78">
        <v>207617.29264600005</v>
      </c>
      <c r="F146" s="78">
        <f>SUM(F147:F148)</f>
        <v>207617</v>
      </c>
      <c r="G146" s="62">
        <f t="shared" ref="G146" si="49">SUM(G147:G148)</f>
        <v>3.7353999970946461E-2</v>
      </c>
      <c r="H146" s="62"/>
      <c r="I146" s="62">
        <f>SUM(I147:I148)</f>
        <v>207617</v>
      </c>
      <c r="J146" s="62">
        <f t="shared" si="41"/>
        <v>0</v>
      </c>
      <c r="K146" s="62"/>
      <c r="L146" s="62">
        <f>SUM(L147:L148)</f>
        <v>207617</v>
      </c>
      <c r="M146" s="62">
        <f t="shared" si="42"/>
        <v>0</v>
      </c>
      <c r="N146" s="62"/>
      <c r="O146" s="144">
        <f>SUM(O147:O148)</f>
        <v>81505</v>
      </c>
      <c r="P146" s="248">
        <f t="shared" si="47"/>
        <v>0.39257382584277783</v>
      </c>
      <c r="Q146" s="144"/>
    </row>
    <row r="147" spans="2:17" x14ac:dyDescent="0.25">
      <c r="B147" s="75" t="s">
        <v>381</v>
      </c>
      <c r="C147" s="152" t="s">
        <v>383</v>
      </c>
      <c r="D147" s="153" t="s">
        <v>384</v>
      </c>
      <c r="E147" s="39">
        <v>162450.96264600003</v>
      </c>
      <c r="F147" s="39">
        <f>ROUND(E147,0)</f>
        <v>162451</v>
      </c>
      <c r="G147" s="38">
        <f t="shared" si="40"/>
        <v>3.7353999970946461E-2</v>
      </c>
      <c r="H147" s="40"/>
      <c r="I147" s="38">
        <f>ROUND(F147,0)</f>
        <v>162451</v>
      </c>
      <c r="J147" s="38">
        <f t="shared" si="41"/>
        <v>0</v>
      </c>
      <c r="K147" s="40"/>
      <c r="L147" s="38">
        <f>ROUND(I147,0)</f>
        <v>162451</v>
      </c>
      <c r="M147" s="38">
        <f t="shared" si="42"/>
        <v>0</v>
      </c>
      <c r="N147" s="40"/>
      <c r="O147" s="41">
        <v>59521</v>
      </c>
      <c r="P147" s="241">
        <f t="shared" si="47"/>
        <v>0.36639355867307682</v>
      </c>
      <c r="Q147" s="41" t="s">
        <v>385</v>
      </c>
    </row>
    <row r="148" spans="2:17" x14ac:dyDescent="0.25">
      <c r="B148" s="75"/>
      <c r="C148" s="152" t="s">
        <v>386</v>
      </c>
      <c r="D148" s="153" t="s">
        <v>387</v>
      </c>
      <c r="E148" s="39">
        <v>45166.33</v>
      </c>
      <c r="F148" s="39">
        <f>ROUND(E148,0)</f>
        <v>45166</v>
      </c>
      <c r="G148" s="38"/>
      <c r="H148" s="40"/>
      <c r="I148" s="38">
        <f>ROUND(F148,0)</f>
        <v>45166</v>
      </c>
      <c r="J148" s="38">
        <f t="shared" si="41"/>
        <v>0</v>
      </c>
      <c r="K148" s="40"/>
      <c r="L148" s="38">
        <f>ROUND(I148,0)</f>
        <v>45166</v>
      </c>
      <c r="M148" s="38">
        <f t="shared" si="42"/>
        <v>0</v>
      </c>
      <c r="N148" s="40"/>
      <c r="O148" s="41">
        <v>21984</v>
      </c>
      <c r="P148" s="241">
        <f t="shared" si="47"/>
        <v>0.48673781162821589</v>
      </c>
      <c r="Q148" s="41"/>
    </row>
    <row r="149" spans="2:17" x14ac:dyDescent="0.25">
      <c r="B149" s="75" t="s">
        <v>388</v>
      </c>
      <c r="C149" s="142" t="s">
        <v>55</v>
      </c>
      <c r="D149" s="143" t="s">
        <v>389</v>
      </c>
      <c r="E149" s="78">
        <v>349076</v>
      </c>
      <c r="F149" s="78">
        <f>ROUND(E149,0)</f>
        <v>349076</v>
      </c>
      <c r="G149" s="62">
        <f t="shared" si="40"/>
        <v>0</v>
      </c>
      <c r="H149" s="146"/>
      <c r="I149" s="62">
        <f>ROUND(F149,0)+32585</f>
        <v>381661</v>
      </c>
      <c r="J149" s="62">
        <f t="shared" si="41"/>
        <v>32585</v>
      </c>
      <c r="K149" s="62" t="s">
        <v>183</v>
      </c>
      <c r="L149" s="62">
        <f>ROUND(I149,0)</f>
        <v>381661</v>
      </c>
      <c r="M149" s="62">
        <f t="shared" si="42"/>
        <v>0</v>
      </c>
      <c r="N149" s="62"/>
      <c r="O149" s="144">
        <v>100740</v>
      </c>
      <c r="P149" s="248">
        <f t="shared" si="47"/>
        <v>0.26395151718409793</v>
      </c>
      <c r="Q149" s="144" t="s">
        <v>390</v>
      </c>
    </row>
    <row r="150" spans="2:17" x14ac:dyDescent="0.25">
      <c r="C150" s="147" t="s">
        <v>56</v>
      </c>
      <c r="D150" s="148" t="s">
        <v>391</v>
      </c>
      <c r="E150" s="45">
        <v>260002</v>
      </c>
      <c r="F150" s="45">
        <f t="shared" ref="F150" si="50">F151</f>
        <v>260002</v>
      </c>
      <c r="G150" s="44">
        <f t="shared" si="40"/>
        <v>0</v>
      </c>
      <c r="H150" s="46"/>
      <c r="I150" s="44">
        <f>I151</f>
        <v>260002</v>
      </c>
      <c r="J150" s="44">
        <f t="shared" si="41"/>
        <v>0</v>
      </c>
      <c r="K150" s="46"/>
      <c r="L150" s="44">
        <f>L151</f>
        <v>260002</v>
      </c>
      <c r="M150" s="44">
        <f t="shared" si="42"/>
        <v>0</v>
      </c>
      <c r="N150" s="46"/>
      <c r="O150" s="47">
        <f>O151</f>
        <v>8297</v>
      </c>
      <c r="P150" s="242">
        <f t="shared" si="47"/>
        <v>3.1911292990053922E-2</v>
      </c>
      <c r="Q150" s="47"/>
    </row>
    <row r="151" spans="2:17" ht="16.149999999999999" customHeight="1" x14ac:dyDescent="0.25">
      <c r="B151" s="75" t="s">
        <v>392</v>
      </c>
      <c r="C151" s="142" t="s">
        <v>59</v>
      </c>
      <c r="D151" s="143" t="s">
        <v>393</v>
      </c>
      <c r="E151" s="78">
        <v>260002</v>
      </c>
      <c r="F151" s="78">
        <f>ROUND(E151,0)</f>
        <v>260002</v>
      </c>
      <c r="G151" s="62">
        <f t="shared" si="40"/>
        <v>0</v>
      </c>
      <c r="H151" s="79"/>
      <c r="I151" s="62">
        <f>ROUND(F151,0)</f>
        <v>260002</v>
      </c>
      <c r="J151" s="62">
        <f t="shared" si="41"/>
        <v>0</v>
      </c>
      <c r="K151" s="79"/>
      <c r="L151" s="62">
        <f>ROUND(I151,0)</f>
        <v>260002</v>
      </c>
      <c r="M151" s="62">
        <f t="shared" si="42"/>
        <v>0</v>
      </c>
      <c r="N151" s="79"/>
      <c r="O151" s="144">
        <f>8157+140</f>
        <v>8297</v>
      </c>
      <c r="P151" s="248">
        <f t="shared" si="47"/>
        <v>3.1911292990053922E-2</v>
      </c>
      <c r="Q151" s="144" t="s">
        <v>394</v>
      </c>
    </row>
    <row r="152" spans="2:17" ht="29.25" x14ac:dyDescent="0.25">
      <c r="C152" s="147" t="s">
        <v>65</v>
      </c>
      <c r="D152" s="148" t="s">
        <v>395</v>
      </c>
      <c r="E152" s="45">
        <v>16329241.372453</v>
      </c>
      <c r="F152" s="45">
        <f t="shared" ref="F152" si="51">F153+F154+F155+F156+F167</f>
        <v>16329241</v>
      </c>
      <c r="G152" s="44">
        <f>G154+G155+G156+G167</f>
        <v>-0.3724529993487522</v>
      </c>
      <c r="H152" s="44"/>
      <c r="I152" s="44">
        <f>I153+I154+I155+I156+I167</f>
        <v>16651546</v>
      </c>
      <c r="J152" s="44">
        <f t="shared" si="41"/>
        <v>322305</v>
      </c>
      <c r="K152" s="44"/>
      <c r="L152" s="44">
        <f>L153+L154+L155+L156+L167</f>
        <v>16728872</v>
      </c>
      <c r="M152" s="44">
        <f t="shared" si="42"/>
        <v>77326</v>
      </c>
      <c r="N152" s="44"/>
      <c r="O152" s="47">
        <f>O153+O154+O155+O156+O167</f>
        <v>4017206.9999999995</v>
      </c>
      <c r="P152" s="242">
        <f t="shared" si="47"/>
        <v>0.24013615502587379</v>
      </c>
      <c r="Q152" s="47"/>
    </row>
    <row r="153" spans="2:17" ht="15.6" customHeight="1" x14ac:dyDescent="0.25">
      <c r="B153" s="75" t="s">
        <v>375</v>
      </c>
      <c r="C153" s="142" t="s">
        <v>69</v>
      </c>
      <c r="D153" s="154" t="s">
        <v>376</v>
      </c>
      <c r="E153" s="78">
        <v>70000</v>
      </c>
      <c r="F153" s="78">
        <f>ROUND(E153,0)</f>
        <v>70000</v>
      </c>
      <c r="G153" s="62">
        <f>F153-E153</f>
        <v>0</v>
      </c>
      <c r="H153" s="146"/>
      <c r="I153" s="62">
        <f>ROUND(F153,0)</f>
        <v>70000</v>
      </c>
      <c r="J153" s="62">
        <f t="shared" si="41"/>
        <v>0</v>
      </c>
      <c r="K153" s="146"/>
      <c r="L153" s="62">
        <f>ROUND(I153,0)</f>
        <v>70000</v>
      </c>
      <c r="M153" s="62">
        <f t="shared" si="42"/>
        <v>0</v>
      </c>
      <c r="N153" s="146"/>
      <c r="O153" s="144">
        <f>ROUND(H153,0)</f>
        <v>0</v>
      </c>
      <c r="P153" s="248">
        <f t="shared" si="47"/>
        <v>0</v>
      </c>
      <c r="Q153" s="149"/>
    </row>
    <row r="154" spans="2:17" ht="19.149999999999999" customHeight="1" x14ac:dyDescent="0.25">
      <c r="B154" s="75" t="s">
        <v>396</v>
      </c>
      <c r="C154" s="142" t="s">
        <v>81</v>
      </c>
      <c r="D154" s="154" t="s">
        <v>397</v>
      </c>
      <c r="E154" s="156">
        <v>313523.70461999997</v>
      </c>
      <c r="F154" s="156">
        <f>ROUND(E154,0)</f>
        <v>313524</v>
      </c>
      <c r="G154" s="155">
        <f t="shared" si="40"/>
        <v>0.29538000002503395</v>
      </c>
      <c r="H154" s="79"/>
      <c r="I154" s="155">
        <f>ROUND(F154,0)+15000</f>
        <v>328524</v>
      </c>
      <c r="J154" s="157">
        <f t="shared" si="41"/>
        <v>15000</v>
      </c>
      <c r="K154" s="158" t="s">
        <v>398</v>
      </c>
      <c r="L154" s="155">
        <f>ROUND(I154,0)</f>
        <v>328524</v>
      </c>
      <c r="M154" s="155">
        <f t="shared" si="42"/>
        <v>0</v>
      </c>
      <c r="N154" s="159"/>
      <c r="O154" s="157">
        <v>130376</v>
      </c>
      <c r="P154" s="258">
        <f t="shared" si="47"/>
        <v>0.39685380672340531</v>
      </c>
      <c r="Q154" s="144" t="s">
        <v>399</v>
      </c>
    </row>
    <row r="155" spans="2:17" ht="58.15" customHeight="1" x14ac:dyDescent="0.25">
      <c r="B155" s="75" t="s">
        <v>400</v>
      </c>
      <c r="C155" s="142" t="s">
        <v>401</v>
      </c>
      <c r="D155" s="154" t="s">
        <v>402</v>
      </c>
      <c r="E155" s="156">
        <v>345571.12844500004</v>
      </c>
      <c r="F155" s="156">
        <f>ROUND(E155,0)</f>
        <v>345571</v>
      </c>
      <c r="G155" s="155">
        <f t="shared" si="40"/>
        <v>-0.12844500003848225</v>
      </c>
      <c r="H155" s="79"/>
      <c r="I155" s="155">
        <f>ROUND(F155,0)-11083</f>
        <v>334488</v>
      </c>
      <c r="J155" s="157">
        <f t="shared" si="41"/>
        <v>-11083</v>
      </c>
      <c r="K155" s="145" t="s">
        <v>350</v>
      </c>
      <c r="L155" s="155">
        <f>ROUND(I155,0)</f>
        <v>334488</v>
      </c>
      <c r="M155" s="155">
        <f t="shared" si="42"/>
        <v>0</v>
      </c>
      <c r="N155" s="79"/>
      <c r="O155" s="157">
        <v>92139</v>
      </c>
      <c r="P155" s="258">
        <f t="shared" si="47"/>
        <v>0.27546279687163666</v>
      </c>
      <c r="Q155" s="149" t="s">
        <v>403</v>
      </c>
    </row>
    <row r="156" spans="2:17" x14ac:dyDescent="0.25">
      <c r="C156" s="142" t="s">
        <v>404</v>
      </c>
      <c r="D156" s="154" t="s">
        <v>405</v>
      </c>
      <c r="E156" s="156">
        <v>1526970.0498800001</v>
      </c>
      <c r="F156" s="156">
        <f t="shared" ref="F156:G156" si="52">SUM(F157:F166)</f>
        <v>1526970</v>
      </c>
      <c r="G156" s="155">
        <f t="shared" si="52"/>
        <v>-4.9880000064149499E-2</v>
      </c>
      <c r="H156" s="155"/>
      <c r="I156" s="155">
        <f>SUM(I157:I166)</f>
        <v>1509840</v>
      </c>
      <c r="J156" s="155">
        <f t="shared" si="41"/>
        <v>-17130</v>
      </c>
      <c r="K156" s="155"/>
      <c r="L156" s="155">
        <f>SUM(L157:L166)</f>
        <v>1509840</v>
      </c>
      <c r="M156" s="155">
        <f t="shared" si="42"/>
        <v>0</v>
      </c>
      <c r="N156" s="155"/>
      <c r="O156" s="157">
        <f>SUM(O157:O166)</f>
        <v>288309</v>
      </c>
      <c r="P156" s="258">
        <f t="shared" si="47"/>
        <v>0.19095334604991257</v>
      </c>
      <c r="Q156" s="157"/>
    </row>
    <row r="157" spans="2:17" ht="28.15" customHeight="1" x14ac:dyDescent="0.25">
      <c r="B157" s="75" t="s">
        <v>194</v>
      </c>
      <c r="C157" s="152" t="s">
        <v>406</v>
      </c>
      <c r="D157" s="119" t="s">
        <v>407</v>
      </c>
      <c r="E157" s="39">
        <v>1009113.0498800001</v>
      </c>
      <c r="F157" s="39">
        <f>ROUND(E157,0)+5033</f>
        <v>1014146</v>
      </c>
      <c r="G157" s="38">
        <f t="shared" si="40"/>
        <v>5032.9501199999359</v>
      </c>
      <c r="H157" s="160" t="s">
        <v>408</v>
      </c>
      <c r="I157" s="38">
        <f>ROUND(F157,0)-17130</f>
        <v>997016</v>
      </c>
      <c r="J157" s="41">
        <f t="shared" si="41"/>
        <v>-17130</v>
      </c>
      <c r="K157" s="161" t="s">
        <v>350</v>
      </c>
      <c r="L157" s="38">
        <f>ROUND(I157,0)</f>
        <v>997016</v>
      </c>
      <c r="M157" s="38">
        <f t="shared" si="42"/>
        <v>0</v>
      </c>
      <c r="N157" s="160"/>
      <c r="O157" s="41">
        <f>142549-O164</f>
        <v>142549</v>
      </c>
      <c r="P157" s="244">
        <f t="shared" si="47"/>
        <v>0.14297563930769416</v>
      </c>
      <c r="Q157" s="77" t="s">
        <v>409</v>
      </c>
    </row>
    <row r="158" spans="2:17" ht="18.600000000000001" customHeight="1" x14ac:dyDescent="0.25">
      <c r="B158" s="75" t="s">
        <v>410</v>
      </c>
      <c r="C158" s="152" t="s">
        <v>411</v>
      </c>
      <c r="D158" s="162" t="s">
        <v>412</v>
      </c>
      <c r="E158" s="39">
        <v>40000</v>
      </c>
      <c r="F158" s="39">
        <f t="shared" ref="F158:F163" si="53">ROUND(E158,0)</f>
        <v>40000</v>
      </c>
      <c r="G158" s="38">
        <f t="shared" si="40"/>
        <v>0</v>
      </c>
      <c r="H158" s="160"/>
      <c r="I158" s="38">
        <f t="shared" ref="I158:I163" si="54">ROUND(F158,0)</f>
        <v>40000</v>
      </c>
      <c r="J158" s="38">
        <f t="shared" si="41"/>
        <v>0</v>
      </c>
      <c r="K158" s="160"/>
      <c r="L158" s="38">
        <f>ROUND(I158,0)+1630</f>
        <v>41630</v>
      </c>
      <c r="M158" s="38">
        <f t="shared" si="42"/>
        <v>1630</v>
      </c>
      <c r="N158" s="160" t="s">
        <v>413</v>
      </c>
      <c r="O158" s="41">
        <v>17736</v>
      </c>
      <c r="P158" s="325">
        <f t="shared" si="47"/>
        <v>0.42603891424453522</v>
      </c>
      <c r="Q158" s="41" t="s">
        <v>414</v>
      </c>
    </row>
    <row r="159" spans="2:17" ht="16.5" customHeight="1" x14ac:dyDescent="0.25">
      <c r="B159" s="75" t="s">
        <v>410</v>
      </c>
      <c r="C159" s="152" t="s">
        <v>415</v>
      </c>
      <c r="D159" s="162" t="s">
        <v>416</v>
      </c>
      <c r="E159" s="39">
        <v>10000</v>
      </c>
      <c r="F159" s="39">
        <f t="shared" si="53"/>
        <v>10000</v>
      </c>
      <c r="G159" s="38">
        <f t="shared" si="40"/>
        <v>0</v>
      </c>
      <c r="H159" s="160"/>
      <c r="I159" s="38">
        <f t="shared" si="54"/>
        <v>10000</v>
      </c>
      <c r="J159" s="38">
        <f t="shared" si="41"/>
        <v>0</v>
      </c>
      <c r="K159" s="160"/>
      <c r="L159" s="38">
        <f>ROUND(I159,0)</f>
        <v>10000</v>
      </c>
      <c r="M159" s="38">
        <f t="shared" si="42"/>
        <v>0</v>
      </c>
      <c r="N159" s="160"/>
      <c r="O159" s="41">
        <v>0</v>
      </c>
      <c r="P159" s="326">
        <f>O159/F159</f>
        <v>0</v>
      </c>
      <c r="Q159" s="41"/>
    </row>
    <row r="160" spans="2:17" ht="28.15" customHeight="1" x14ac:dyDescent="0.25">
      <c r="B160" s="75" t="s">
        <v>417</v>
      </c>
      <c r="C160" s="163" t="s">
        <v>418</v>
      </c>
      <c r="D160" s="164" t="s">
        <v>419</v>
      </c>
      <c r="E160" s="39">
        <v>42000</v>
      </c>
      <c r="F160" s="39">
        <f>ROUND(E160,0)+18000</f>
        <v>60000</v>
      </c>
      <c r="G160" s="38">
        <f t="shared" si="40"/>
        <v>18000</v>
      </c>
      <c r="H160" s="160" t="s">
        <v>420</v>
      </c>
      <c r="I160" s="38">
        <f t="shared" si="54"/>
        <v>60000</v>
      </c>
      <c r="J160" s="38">
        <f t="shared" si="41"/>
        <v>0</v>
      </c>
      <c r="K160" s="160"/>
      <c r="L160" s="38">
        <f>ROUND(I160,0)</f>
        <v>60000</v>
      </c>
      <c r="M160" s="38">
        <f t="shared" si="42"/>
        <v>0</v>
      </c>
      <c r="N160" s="160"/>
      <c r="O160" s="41">
        <v>24423</v>
      </c>
      <c r="P160" s="241">
        <f t="shared" ref="P160:P176" si="55">O160/L160</f>
        <v>0.40705000000000002</v>
      </c>
      <c r="Q160" s="41" t="s">
        <v>421</v>
      </c>
    </row>
    <row r="161" spans="2:17" ht="32.450000000000003" customHeight="1" x14ac:dyDescent="0.25">
      <c r="B161" s="75" t="s">
        <v>422</v>
      </c>
      <c r="C161" s="163" t="s">
        <v>423</v>
      </c>
      <c r="D161" s="165" t="s">
        <v>424</v>
      </c>
      <c r="E161" s="39">
        <v>85290</v>
      </c>
      <c r="F161" s="39">
        <f t="shared" si="53"/>
        <v>85290</v>
      </c>
      <c r="G161" s="38">
        <f t="shared" si="40"/>
        <v>0</v>
      </c>
      <c r="H161" s="160"/>
      <c r="I161" s="38">
        <f t="shared" si="54"/>
        <v>85290</v>
      </c>
      <c r="J161" s="38">
        <f t="shared" si="41"/>
        <v>0</v>
      </c>
      <c r="K161" s="160"/>
      <c r="L161" s="38">
        <f>ROUND(I161,0)</f>
        <v>85290</v>
      </c>
      <c r="M161" s="38">
        <f t="shared" si="42"/>
        <v>0</v>
      </c>
      <c r="N161" s="160"/>
      <c r="O161" s="41">
        <v>24993</v>
      </c>
      <c r="P161" s="241">
        <f t="shared" si="55"/>
        <v>0.29303552585297221</v>
      </c>
      <c r="Q161" s="41" t="s">
        <v>421</v>
      </c>
    </row>
    <row r="162" spans="2:17" ht="15.75" customHeight="1" x14ac:dyDescent="0.25">
      <c r="B162" s="75" t="s">
        <v>425</v>
      </c>
      <c r="C162" s="163" t="s">
        <v>426</v>
      </c>
      <c r="D162" s="165" t="s">
        <v>247</v>
      </c>
      <c r="E162" s="39">
        <v>236171</v>
      </c>
      <c r="F162" s="39">
        <f t="shared" si="53"/>
        <v>236171</v>
      </c>
      <c r="G162" s="38">
        <f t="shared" si="40"/>
        <v>0</v>
      </c>
      <c r="H162" s="160"/>
      <c r="I162" s="38">
        <f t="shared" si="54"/>
        <v>236171</v>
      </c>
      <c r="J162" s="38">
        <f t="shared" si="41"/>
        <v>0</v>
      </c>
      <c r="K162" s="160"/>
      <c r="L162" s="38">
        <f>ROUND(I162,0)</f>
        <v>236171</v>
      </c>
      <c r="M162" s="38">
        <f t="shared" si="42"/>
        <v>0</v>
      </c>
      <c r="N162" s="160"/>
      <c r="O162" s="41">
        <v>25368</v>
      </c>
      <c r="P162" s="241">
        <f t="shared" si="55"/>
        <v>0.10741369600840069</v>
      </c>
      <c r="Q162" s="41"/>
    </row>
    <row r="163" spans="2:17" ht="25.15" customHeight="1" x14ac:dyDescent="0.25">
      <c r="B163" s="75" t="s">
        <v>427</v>
      </c>
      <c r="C163" s="163" t="s">
        <v>428</v>
      </c>
      <c r="D163" s="165" t="s">
        <v>210</v>
      </c>
      <c r="E163" s="39">
        <v>53240</v>
      </c>
      <c r="F163" s="39">
        <f t="shared" si="53"/>
        <v>53240</v>
      </c>
      <c r="G163" s="38">
        <f t="shared" si="40"/>
        <v>0</v>
      </c>
      <c r="H163" s="57"/>
      <c r="I163" s="38">
        <f t="shared" si="54"/>
        <v>53240</v>
      </c>
      <c r="J163" s="38">
        <f t="shared" si="41"/>
        <v>0</v>
      </c>
      <c r="K163" s="57"/>
      <c r="L163" s="38">
        <f>ROUND(I163,0)</f>
        <v>53240</v>
      </c>
      <c r="M163" s="38">
        <f t="shared" si="42"/>
        <v>0</v>
      </c>
      <c r="N163" s="57"/>
      <c r="O163" s="41">
        <v>53240</v>
      </c>
      <c r="P163" s="241">
        <f t="shared" si="55"/>
        <v>1</v>
      </c>
      <c r="Q163" s="41" t="s">
        <v>421</v>
      </c>
    </row>
    <row r="164" spans="2:17" ht="13.15" customHeight="1" x14ac:dyDescent="0.25">
      <c r="B164" s="75" t="s">
        <v>194</v>
      </c>
      <c r="C164" s="163" t="s">
        <v>429</v>
      </c>
      <c r="D164" s="80" t="s">
        <v>430</v>
      </c>
      <c r="E164" s="39">
        <v>32020</v>
      </c>
      <c r="F164" s="39">
        <f>32020-18000-5033</f>
        <v>8987</v>
      </c>
      <c r="G164" s="38">
        <f t="shared" si="40"/>
        <v>-23033</v>
      </c>
      <c r="H164" s="160" t="s">
        <v>431</v>
      </c>
      <c r="I164" s="38">
        <f>32020-18000-5033</f>
        <v>8987</v>
      </c>
      <c r="J164" s="38">
        <f t="shared" si="41"/>
        <v>0</v>
      </c>
      <c r="K164" s="160"/>
      <c r="L164" s="38">
        <f>32020-18000-5033</f>
        <v>8987</v>
      </c>
      <c r="M164" s="38">
        <f t="shared" si="42"/>
        <v>0</v>
      </c>
      <c r="N164" s="160"/>
      <c r="O164" s="41">
        <v>0</v>
      </c>
      <c r="P164" s="241">
        <f t="shared" si="55"/>
        <v>0</v>
      </c>
      <c r="Q164" s="41"/>
    </row>
    <row r="165" spans="2:17" ht="40.9" customHeight="1" x14ac:dyDescent="0.25">
      <c r="B165" s="75" t="s">
        <v>281</v>
      </c>
      <c r="C165" s="163" t="s">
        <v>432</v>
      </c>
      <c r="D165" s="165" t="s">
        <v>433</v>
      </c>
      <c r="E165" s="39">
        <v>4136</v>
      </c>
      <c r="F165" s="39">
        <v>4136</v>
      </c>
      <c r="G165" s="38">
        <f t="shared" si="40"/>
        <v>0</v>
      </c>
      <c r="H165" s="160"/>
      <c r="I165" s="38">
        <f>4136-1298</f>
        <v>2838</v>
      </c>
      <c r="J165" s="38">
        <f t="shared" si="41"/>
        <v>-1298</v>
      </c>
      <c r="K165" s="327" t="s">
        <v>434</v>
      </c>
      <c r="L165" s="38">
        <f>4136-1298-1630</f>
        <v>1208</v>
      </c>
      <c r="M165" s="38">
        <f t="shared" si="42"/>
        <v>-1630</v>
      </c>
      <c r="N165" s="160" t="s">
        <v>413</v>
      </c>
      <c r="O165" s="41">
        <v>0</v>
      </c>
      <c r="P165" s="241">
        <f t="shared" si="55"/>
        <v>0</v>
      </c>
      <c r="Q165" s="41" t="s">
        <v>421</v>
      </c>
    </row>
    <row r="166" spans="2:17" ht="31.9" customHeight="1" x14ac:dyDescent="0.25">
      <c r="B166" s="75" t="s">
        <v>435</v>
      </c>
      <c r="C166" s="163" t="s">
        <v>436</v>
      </c>
      <c r="D166" s="165" t="s">
        <v>249</v>
      </c>
      <c r="E166" s="39">
        <v>15000</v>
      </c>
      <c r="F166" s="39">
        <v>15000</v>
      </c>
      <c r="G166" s="38">
        <f t="shared" si="40"/>
        <v>0</v>
      </c>
      <c r="H166" s="160"/>
      <c r="I166" s="38">
        <f>15000+1298</f>
        <v>16298</v>
      </c>
      <c r="J166" s="38">
        <f t="shared" si="41"/>
        <v>1298</v>
      </c>
      <c r="K166" s="328"/>
      <c r="L166" s="38">
        <f>15000+1298</f>
        <v>16298</v>
      </c>
      <c r="M166" s="38">
        <f t="shared" si="42"/>
        <v>0</v>
      </c>
      <c r="N166" s="166"/>
      <c r="O166" s="41">
        <v>0</v>
      </c>
      <c r="P166" s="241">
        <f t="shared" si="55"/>
        <v>0</v>
      </c>
      <c r="Q166" s="41" t="s">
        <v>421</v>
      </c>
    </row>
    <row r="167" spans="2:17" ht="29.25" customHeight="1" x14ac:dyDescent="0.25">
      <c r="C167" s="142" t="s">
        <v>437</v>
      </c>
      <c r="D167" s="154" t="s">
        <v>438</v>
      </c>
      <c r="E167" s="156">
        <v>14073176.489507999</v>
      </c>
      <c r="F167" s="156">
        <f t="shared" ref="F167" si="56">SUM(F168:F173,F177:F185)</f>
        <v>14073176</v>
      </c>
      <c r="G167" s="155">
        <f t="shared" si="40"/>
        <v>-0.4895079992711544</v>
      </c>
      <c r="H167" s="167"/>
      <c r="I167" s="155">
        <f>SUM(I168:I173,I177:I185)</f>
        <v>14408694</v>
      </c>
      <c r="J167" s="155">
        <f t="shared" si="41"/>
        <v>335518</v>
      </c>
      <c r="K167" s="167"/>
      <c r="L167" s="155">
        <f>SUM(L168:L173,L177:L185)</f>
        <v>14486020</v>
      </c>
      <c r="M167" s="155">
        <f t="shared" si="42"/>
        <v>77326</v>
      </c>
      <c r="N167" s="167"/>
      <c r="O167" s="157">
        <f>SUM(O168:O173,O177:O185)</f>
        <v>3506382.9999999995</v>
      </c>
      <c r="P167" s="258">
        <f t="shared" si="55"/>
        <v>0.24205288961357221</v>
      </c>
      <c r="Q167" s="157"/>
    </row>
    <row r="168" spans="2:17" s="82" customFormat="1" ht="17.25" hidden="1" customHeight="1" outlineLevel="1" x14ac:dyDescent="0.25">
      <c r="C168" s="168" t="s">
        <v>439</v>
      </c>
      <c r="D168" s="169" t="s">
        <v>440</v>
      </c>
      <c r="E168" s="39">
        <v>0</v>
      </c>
      <c r="F168" s="39">
        <f>ROUND(E168,0)</f>
        <v>0</v>
      </c>
      <c r="G168" s="38">
        <f t="shared" si="40"/>
        <v>0</v>
      </c>
      <c r="H168" s="170"/>
      <c r="I168" s="38">
        <f>ROUND(F168,0)</f>
        <v>0</v>
      </c>
      <c r="J168" s="38">
        <f t="shared" si="41"/>
        <v>0</v>
      </c>
      <c r="K168" s="170"/>
      <c r="L168" s="38">
        <f>ROUND(I168,0)</f>
        <v>0</v>
      </c>
      <c r="M168" s="38">
        <f t="shared" si="42"/>
        <v>0</v>
      </c>
      <c r="N168" s="170"/>
      <c r="O168" s="41">
        <f>ROUND(H168,0)</f>
        <v>0</v>
      </c>
      <c r="P168" s="241" t="e">
        <f t="shared" si="55"/>
        <v>#DIV/0!</v>
      </c>
      <c r="Q168" s="77"/>
    </row>
    <row r="169" spans="2:17" ht="15.75" customHeight="1" collapsed="1" x14ac:dyDescent="0.25">
      <c r="B169" s="75" t="s">
        <v>441</v>
      </c>
      <c r="C169" s="152" t="s">
        <v>439</v>
      </c>
      <c r="D169" s="171" t="s">
        <v>442</v>
      </c>
      <c r="E169" s="39">
        <v>160572.14087500004</v>
      </c>
      <c r="F169" s="39">
        <f>ROUND(E169,0)</f>
        <v>160572</v>
      </c>
      <c r="G169" s="38">
        <f t="shared" si="40"/>
        <v>-0.14087500004097819</v>
      </c>
      <c r="H169" s="166"/>
      <c r="I169" s="38">
        <f>ROUND(F169,0)</f>
        <v>160572</v>
      </c>
      <c r="J169" s="38">
        <f t="shared" si="41"/>
        <v>0</v>
      </c>
      <c r="K169" s="166"/>
      <c r="L169" s="38">
        <f>ROUND(I169,0)</f>
        <v>160572</v>
      </c>
      <c r="M169" s="38">
        <f t="shared" si="42"/>
        <v>0</v>
      </c>
      <c r="N169" s="166"/>
      <c r="O169" s="41">
        <v>67679</v>
      </c>
      <c r="P169" s="241">
        <f t="shared" si="55"/>
        <v>0.42148693421019856</v>
      </c>
      <c r="Q169" s="77"/>
    </row>
    <row r="170" spans="2:17" ht="13.9" customHeight="1" x14ac:dyDescent="0.25">
      <c r="B170" s="75" t="s">
        <v>443</v>
      </c>
      <c r="C170" s="152" t="s">
        <v>444</v>
      </c>
      <c r="D170" s="165" t="s">
        <v>445</v>
      </c>
      <c r="E170" s="39">
        <v>355701</v>
      </c>
      <c r="F170" s="39">
        <f t="shared" ref="F170:F182" si="57">ROUND(E170,0)</f>
        <v>355701</v>
      </c>
      <c r="G170" s="38">
        <f t="shared" si="40"/>
        <v>0</v>
      </c>
      <c r="H170" s="160"/>
      <c r="I170" s="38">
        <f>ROUND(F170,0)</f>
        <v>355701</v>
      </c>
      <c r="J170" s="38">
        <f t="shared" si="41"/>
        <v>0</v>
      </c>
      <c r="K170" s="160"/>
      <c r="L170" s="38">
        <f>ROUND(I170,0)</f>
        <v>355701</v>
      </c>
      <c r="M170" s="38">
        <f t="shared" si="42"/>
        <v>0</v>
      </c>
      <c r="N170" s="160"/>
      <c r="O170" s="41">
        <v>201814</v>
      </c>
      <c r="P170" s="241">
        <f t="shared" si="55"/>
        <v>0.56736978529720183</v>
      </c>
      <c r="Q170" s="41" t="s">
        <v>446</v>
      </c>
    </row>
    <row r="171" spans="2:17" ht="27" customHeight="1" x14ac:dyDescent="0.25">
      <c r="B171" s="75" t="s">
        <v>205</v>
      </c>
      <c r="C171" s="163" t="s">
        <v>447</v>
      </c>
      <c r="D171" s="165" t="s">
        <v>326</v>
      </c>
      <c r="E171" s="39">
        <v>891139</v>
      </c>
      <c r="F171" s="39">
        <f t="shared" si="57"/>
        <v>891139</v>
      </c>
      <c r="G171" s="38">
        <f t="shared" si="40"/>
        <v>0</v>
      </c>
      <c r="H171" s="160"/>
      <c r="I171" s="38">
        <f>ROUND(F171,0)</f>
        <v>891139</v>
      </c>
      <c r="J171" s="38">
        <f t="shared" si="41"/>
        <v>0</v>
      </c>
      <c r="K171" s="160"/>
      <c r="L171" s="38">
        <f>ROUND(I171,0)</f>
        <v>891139</v>
      </c>
      <c r="M171" s="38">
        <f t="shared" si="42"/>
        <v>0</v>
      </c>
      <c r="N171" s="160"/>
      <c r="O171" s="41">
        <v>6588</v>
      </c>
      <c r="P171" s="241">
        <f t="shared" si="55"/>
        <v>7.3927860861212448E-3</v>
      </c>
      <c r="Q171" s="41" t="s">
        <v>421</v>
      </c>
    </row>
    <row r="172" spans="2:17" ht="25.9" customHeight="1" x14ac:dyDescent="0.25">
      <c r="B172" s="75" t="s">
        <v>448</v>
      </c>
      <c r="C172" s="152" t="s">
        <v>449</v>
      </c>
      <c r="D172" s="171" t="s">
        <v>450</v>
      </c>
      <c r="E172" s="39">
        <v>3779449</v>
      </c>
      <c r="F172" s="39">
        <f t="shared" si="57"/>
        <v>3779449</v>
      </c>
      <c r="G172" s="38">
        <f t="shared" si="40"/>
        <v>0</v>
      </c>
      <c r="H172" s="160"/>
      <c r="I172" s="38">
        <f>ROUND(F172,0)</f>
        <v>3779449</v>
      </c>
      <c r="J172" s="38">
        <f t="shared" si="41"/>
        <v>0</v>
      </c>
      <c r="K172" s="160"/>
      <c r="L172" s="38">
        <f>ROUND(I172,0)</f>
        <v>3779449</v>
      </c>
      <c r="M172" s="38">
        <f t="shared" si="42"/>
        <v>0</v>
      </c>
      <c r="N172" s="160"/>
      <c r="O172" s="259">
        <v>1188245</v>
      </c>
      <c r="P172" s="241">
        <f t="shared" si="55"/>
        <v>0.31439635777596153</v>
      </c>
      <c r="Q172" s="41" t="s">
        <v>304</v>
      </c>
    </row>
    <row r="173" spans="2:17" ht="32.25" customHeight="1" x14ac:dyDescent="0.25">
      <c r="B173" s="75" t="s">
        <v>5</v>
      </c>
      <c r="C173" s="152" t="s">
        <v>451</v>
      </c>
      <c r="D173" s="171" t="s">
        <v>452</v>
      </c>
      <c r="E173" s="172">
        <v>5552774.9964329991</v>
      </c>
      <c r="F173" s="172">
        <f>SUM(F174:F176)</f>
        <v>5552775</v>
      </c>
      <c r="G173" s="38">
        <f t="shared" si="40"/>
        <v>3.5670008510351181E-3</v>
      </c>
      <c r="H173" s="160"/>
      <c r="I173" s="93">
        <f>SUM(I174:I176)</f>
        <v>5888293</v>
      </c>
      <c r="J173" s="38">
        <f t="shared" si="41"/>
        <v>335518</v>
      </c>
      <c r="K173" s="160"/>
      <c r="L173" s="93">
        <f>SUM(L174:L176)</f>
        <v>5908293</v>
      </c>
      <c r="M173" s="38">
        <f t="shared" si="42"/>
        <v>20000</v>
      </c>
      <c r="N173" s="160"/>
      <c r="O173" s="173">
        <f>SUM(O174:O176)</f>
        <v>1986174.18</v>
      </c>
      <c r="P173" s="260">
        <f t="shared" si="55"/>
        <v>0.33616717722022249</v>
      </c>
      <c r="Q173" s="173"/>
    </row>
    <row r="174" spans="2:17" ht="30.6" customHeight="1" x14ac:dyDescent="0.25">
      <c r="B174" s="75"/>
      <c r="C174" s="174" t="s">
        <v>453</v>
      </c>
      <c r="D174" s="175" t="s">
        <v>454</v>
      </c>
      <c r="E174" s="172">
        <v>4996040.3361329995</v>
      </c>
      <c r="F174" s="172">
        <f t="shared" si="57"/>
        <v>4996040</v>
      </c>
      <c r="G174" s="38">
        <f t="shared" si="40"/>
        <v>-0.33613299950957298</v>
      </c>
      <c r="H174" s="160"/>
      <c r="I174" s="93">
        <f>ROUND(F174,0)-18000+16000+21000+30000+5000+30000+12000+36000+(54000+126000)+15597</f>
        <v>5323637</v>
      </c>
      <c r="J174" s="41">
        <f t="shared" si="41"/>
        <v>327597</v>
      </c>
      <c r="K174" s="161" t="s">
        <v>455</v>
      </c>
      <c r="L174" s="93">
        <f>ROUND(I174,0)-17977-99-410-4242-202-86-55-19408-8457</f>
        <v>5272701</v>
      </c>
      <c r="M174" s="38">
        <f t="shared" si="42"/>
        <v>-50936</v>
      </c>
      <c r="N174" s="160" t="s">
        <v>456</v>
      </c>
      <c r="O174" s="173">
        <f>1656086+15670+4598</f>
        <v>1676354</v>
      </c>
      <c r="P174" s="260">
        <f t="shared" si="55"/>
        <v>0.31793079106894173</v>
      </c>
      <c r="Q174" s="173"/>
    </row>
    <row r="175" spans="2:17" ht="16.899999999999999" customHeight="1" x14ac:dyDescent="0.25">
      <c r="B175" s="75"/>
      <c r="C175" s="174" t="s">
        <v>457</v>
      </c>
      <c r="D175" s="175" t="s">
        <v>458</v>
      </c>
      <c r="E175" s="172">
        <v>295000</v>
      </c>
      <c r="F175" s="172">
        <f t="shared" si="57"/>
        <v>295000</v>
      </c>
      <c r="G175" s="38">
        <f t="shared" si="40"/>
        <v>0</v>
      </c>
      <c r="H175" s="160"/>
      <c r="I175" s="93">
        <f t="shared" ref="I175:I185" si="58">ROUND(F175,0)</f>
        <v>295000</v>
      </c>
      <c r="J175" s="38">
        <f t="shared" si="41"/>
        <v>0</v>
      </c>
      <c r="K175" s="160"/>
      <c r="L175" s="93">
        <f>ROUND(I175,0)</f>
        <v>295000</v>
      </c>
      <c r="M175" s="38">
        <f t="shared" si="42"/>
        <v>0</v>
      </c>
      <c r="N175" s="160"/>
      <c r="O175" s="173">
        <f>272919-O179-O170+141029</f>
        <v>180178.18</v>
      </c>
      <c r="P175" s="260">
        <f t="shared" si="55"/>
        <v>0.61077349152542371</v>
      </c>
      <c r="Q175" s="173"/>
    </row>
    <row r="176" spans="2:17" ht="15" customHeight="1" x14ac:dyDescent="0.25">
      <c r="B176" s="75"/>
      <c r="C176" s="174" t="s">
        <v>459</v>
      </c>
      <c r="D176" s="175" t="s">
        <v>460</v>
      </c>
      <c r="E176" s="172">
        <v>261734.66029999999</v>
      </c>
      <c r="F176" s="172">
        <f t="shared" si="57"/>
        <v>261735</v>
      </c>
      <c r="G176" s="38">
        <f t="shared" si="40"/>
        <v>0.33970000001136214</v>
      </c>
      <c r="H176" s="160"/>
      <c r="I176" s="93">
        <f>ROUND(F176,0)+7921</f>
        <v>269656</v>
      </c>
      <c r="J176" s="38">
        <f t="shared" si="41"/>
        <v>7921</v>
      </c>
      <c r="K176" s="160" t="s">
        <v>461</v>
      </c>
      <c r="L176" s="93">
        <f>ROUND(I176,0)+17977+99+410+4242+202+86+55+19408+8457+20000</f>
        <v>340592</v>
      </c>
      <c r="M176" s="38">
        <f t="shared" si="42"/>
        <v>70936</v>
      </c>
      <c r="N176" s="160" t="s">
        <v>462</v>
      </c>
      <c r="O176" s="173">
        <f>46028+99+86661-O180</f>
        <v>129642</v>
      </c>
      <c r="P176" s="260">
        <f t="shared" si="55"/>
        <v>0.38063724338798327</v>
      </c>
      <c r="Q176" s="173"/>
    </row>
    <row r="177" spans="2:17" ht="29.25" hidden="1" customHeight="1" outlineLevel="1" x14ac:dyDescent="0.25">
      <c r="B177" s="75" t="s">
        <v>463</v>
      </c>
      <c r="C177" s="152" t="s">
        <v>464</v>
      </c>
      <c r="D177" s="171" t="s">
        <v>465</v>
      </c>
      <c r="E177" s="39">
        <v>0</v>
      </c>
      <c r="F177" s="39">
        <f t="shared" si="57"/>
        <v>0</v>
      </c>
      <c r="G177" s="38">
        <f t="shared" si="40"/>
        <v>0</v>
      </c>
      <c r="H177" s="57"/>
      <c r="I177" s="38">
        <f t="shared" si="58"/>
        <v>0</v>
      </c>
      <c r="J177" s="38">
        <f t="shared" si="41"/>
        <v>0</v>
      </c>
      <c r="K177" s="57"/>
      <c r="L177" s="38">
        <f t="shared" ref="L177:L185" si="59">ROUND(I177,0)</f>
        <v>0</v>
      </c>
      <c r="M177" s="38">
        <f t="shared" si="42"/>
        <v>0</v>
      </c>
      <c r="N177" s="57"/>
      <c r="O177" s="41">
        <f>ROUND(H177,0)</f>
        <v>0</v>
      </c>
      <c r="P177" s="241"/>
      <c r="Q177" s="41"/>
    </row>
    <row r="178" spans="2:17" ht="39.6" customHeight="1" collapsed="1" x14ac:dyDescent="0.25">
      <c r="B178" s="75" t="s">
        <v>466</v>
      </c>
      <c r="C178" s="163" t="s">
        <v>467</v>
      </c>
      <c r="D178" s="165" t="s">
        <v>213</v>
      </c>
      <c r="E178" s="39">
        <v>391245.35220000002</v>
      </c>
      <c r="F178" s="39">
        <f t="shared" si="57"/>
        <v>391245</v>
      </c>
      <c r="G178" s="38">
        <f t="shared" si="40"/>
        <v>-0.35220000002300367</v>
      </c>
      <c r="H178" s="160"/>
      <c r="I178" s="38">
        <f t="shared" si="58"/>
        <v>391245</v>
      </c>
      <c r="J178" s="38">
        <f t="shared" si="41"/>
        <v>0</v>
      </c>
      <c r="K178" s="160"/>
      <c r="L178" s="38">
        <f t="shared" si="59"/>
        <v>391245</v>
      </c>
      <c r="M178" s="38">
        <f t="shared" si="42"/>
        <v>0</v>
      </c>
      <c r="N178" s="160"/>
      <c r="O178" s="41">
        <v>20781</v>
      </c>
      <c r="P178" s="241">
        <f t="shared" ref="P178:P235" si="60">O178/L178</f>
        <v>5.3115055783460492E-2</v>
      </c>
      <c r="Q178" s="41" t="s">
        <v>421</v>
      </c>
    </row>
    <row r="179" spans="2:17" ht="16.149999999999999" customHeight="1" x14ac:dyDescent="0.25">
      <c r="B179" s="75" t="s">
        <v>443</v>
      </c>
      <c r="C179" s="163" t="s">
        <v>468</v>
      </c>
      <c r="D179" s="165" t="s">
        <v>469</v>
      </c>
      <c r="E179" s="39">
        <v>32000</v>
      </c>
      <c r="F179" s="39">
        <f t="shared" si="57"/>
        <v>32000</v>
      </c>
      <c r="G179" s="38">
        <f t="shared" si="40"/>
        <v>0</v>
      </c>
      <c r="H179" s="160"/>
      <c r="I179" s="38">
        <f t="shared" si="58"/>
        <v>32000</v>
      </c>
      <c r="J179" s="38">
        <f t="shared" si="41"/>
        <v>0</v>
      </c>
      <c r="K179" s="160"/>
      <c r="L179" s="38">
        <f t="shared" si="59"/>
        <v>32000</v>
      </c>
      <c r="M179" s="38">
        <f t="shared" si="42"/>
        <v>0</v>
      </c>
      <c r="N179" s="160" t="s">
        <v>470</v>
      </c>
      <c r="O179" s="261">
        <f>26409.77+5546.05</f>
        <v>31955.82</v>
      </c>
      <c r="P179" s="241">
        <f t="shared" si="60"/>
        <v>0.99861937499999998</v>
      </c>
      <c r="Q179" s="41" t="s">
        <v>471</v>
      </c>
    </row>
    <row r="180" spans="2:17" ht="59.45" customHeight="1" x14ac:dyDescent="0.25">
      <c r="B180" s="75"/>
      <c r="C180" s="163" t="s">
        <v>472</v>
      </c>
      <c r="D180" s="165" t="s">
        <v>337</v>
      </c>
      <c r="E180" s="39">
        <v>293146</v>
      </c>
      <c r="F180" s="39">
        <f t="shared" si="57"/>
        <v>293146</v>
      </c>
      <c r="G180" s="38">
        <f t="shared" si="40"/>
        <v>0</v>
      </c>
      <c r="H180" s="160"/>
      <c r="I180" s="38">
        <f t="shared" si="58"/>
        <v>293146</v>
      </c>
      <c r="J180" s="38">
        <f t="shared" si="41"/>
        <v>0</v>
      </c>
      <c r="K180" s="160"/>
      <c r="L180" s="38">
        <f>ROUND(I180,0)+57326</f>
        <v>350472</v>
      </c>
      <c r="M180" s="38">
        <f t="shared" si="42"/>
        <v>57326</v>
      </c>
      <c r="N180" s="160" t="s">
        <v>338</v>
      </c>
      <c r="O180" s="261">
        <v>3146</v>
      </c>
      <c r="P180" s="241">
        <f t="shared" si="60"/>
        <v>8.9764660229633177E-3</v>
      </c>
      <c r="Q180" s="41" t="s">
        <v>471</v>
      </c>
    </row>
    <row r="181" spans="2:17" ht="28.15" customHeight="1" x14ac:dyDescent="0.25">
      <c r="B181" s="75"/>
      <c r="C181" s="163" t="s">
        <v>473</v>
      </c>
      <c r="D181" s="165" t="s">
        <v>340</v>
      </c>
      <c r="E181" s="39">
        <v>180000</v>
      </c>
      <c r="F181" s="39">
        <f t="shared" si="57"/>
        <v>180000</v>
      </c>
      <c r="G181" s="38">
        <f t="shared" si="40"/>
        <v>0</v>
      </c>
      <c r="H181" s="160"/>
      <c r="I181" s="38">
        <f t="shared" si="58"/>
        <v>180000</v>
      </c>
      <c r="J181" s="38">
        <f t="shared" si="41"/>
        <v>0</v>
      </c>
      <c r="K181" s="160"/>
      <c r="L181" s="38">
        <f t="shared" si="59"/>
        <v>180000</v>
      </c>
      <c r="M181" s="38">
        <f t="shared" si="42"/>
        <v>0</v>
      </c>
      <c r="N181" s="160"/>
      <c r="O181" s="261">
        <f>ROUND(H181,0)</f>
        <v>0</v>
      </c>
      <c r="P181" s="241">
        <f t="shared" si="60"/>
        <v>0</v>
      </c>
      <c r="Q181" s="41" t="s">
        <v>471</v>
      </c>
    </row>
    <row r="182" spans="2:17" ht="18.600000000000001" customHeight="1" x14ac:dyDescent="0.25">
      <c r="B182" s="75"/>
      <c r="C182" s="163" t="s">
        <v>474</v>
      </c>
      <c r="D182" s="171" t="s">
        <v>333</v>
      </c>
      <c r="E182" s="39">
        <v>645000</v>
      </c>
      <c r="F182" s="39">
        <f t="shared" si="57"/>
        <v>645000</v>
      </c>
      <c r="G182" s="38">
        <f t="shared" si="40"/>
        <v>0</v>
      </c>
      <c r="H182" s="160"/>
      <c r="I182" s="38">
        <f t="shared" si="58"/>
        <v>645000</v>
      </c>
      <c r="J182" s="38">
        <f t="shared" si="41"/>
        <v>0</v>
      </c>
      <c r="K182" s="160"/>
      <c r="L182" s="38">
        <f t="shared" si="59"/>
        <v>645000</v>
      </c>
      <c r="M182" s="38">
        <f t="shared" si="42"/>
        <v>0</v>
      </c>
      <c r="N182" s="160"/>
      <c r="O182" s="261">
        <v>0</v>
      </c>
      <c r="P182" s="241">
        <f t="shared" si="60"/>
        <v>0</v>
      </c>
      <c r="Q182" s="41" t="s">
        <v>421</v>
      </c>
    </row>
    <row r="183" spans="2:17" ht="18.600000000000001" customHeight="1" x14ac:dyDescent="0.25">
      <c r="B183" s="75"/>
      <c r="C183" s="163" t="s">
        <v>475</v>
      </c>
      <c r="D183" s="171" t="s">
        <v>251</v>
      </c>
      <c r="E183" s="39">
        <v>546771</v>
      </c>
      <c r="F183" s="39">
        <f>ROUND(E183,0)</f>
        <v>546771</v>
      </c>
      <c r="G183" s="38">
        <f>F183-E183</f>
        <v>0</v>
      </c>
      <c r="H183" s="160"/>
      <c r="I183" s="38">
        <f t="shared" si="58"/>
        <v>546771</v>
      </c>
      <c r="J183" s="38">
        <f t="shared" si="41"/>
        <v>0</v>
      </c>
      <c r="K183" s="160"/>
      <c r="L183" s="38">
        <f t="shared" si="59"/>
        <v>546771</v>
      </c>
      <c r="M183" s="38">
        <f t="shared" si="42"/>
        <v>0</v>
      </c>
      <c r="N183" s="160" t="s">
        <v>470</v>
      </c>
      <c r="O183" s="261">
        <f>ROUND(H183,0)</f>
        <v>0</v>
      </c>
      <c r="P183" s="241">
        <f t="shared" si="60"/>
        <v>0</v>
      </c>
      <c r="Q183" s="41" t="s">
        <v>421</v>
      </c>
    </row>
    <row r="184" spans="2:17" ht="18" customHeight="1" x14ac:dyDescent="0.25">
      <c r="B184" s="75"/>
      <c r="C184" s="163" t="s">
        <v>476</v>
      </c>
      <c r="D184" s="171" t="s">
        <v>253</v>
      </c>
      <c r="E184" s="39">
        <v>1204480</v>
      </c>
      <c r="F184" s="39">
        <f>ROUND(E184,0)</f>
        <v>1204480</v>
      </c>
      <c r="G184" s="38">
        <f>F184-E184</f>
        <v>0</v>
      </c>
      <c r="H184" s="160"/>
      <c r="I184" s="38">
        <f t="shared" si="58"/>
        <v>1204480</v>
      </c>
      <c r="J184" s="38">
        <f t="shared" si="41"/>
        <v>0</v>
      </c>
      <c r="K184" s="160"/>
      <c r="L184" s="38">
        <f t="shared" si="59"/>
        <v>1204480</v>
      </c>
      <c r="M184" s="38">
        <f t="shared" si="42"/>
        <v>0</v>
      </c>
      <c r="N184" s="160"/>
      <c r="O184" s="261">
        <f>ROUND(H184,0)</f>
        <v>0</v>
      </c>
      <c r="P184" s="241">
        <f t="shared" si="60"/>
        <v>0</v>
      </c>
      <c r="Q184" s="41" t="s">
        <v>421</v>
      </c>
    </row>
    <row r="185" spans="2:17" ht="27.6" customHeight="1" x14ac:dyDescent="0.25">
      <c r="B185" s="75" t="s">
        <v>477</v>
      </c>
      <c r="C185" s="163" t="s">
        <v>478</v>
      </c>
      <c r="D185" s="171" t="s">
        <v>479</v>
      </c>
      <c r="E185" s="39">
        <v>40898</v>
      </c>
      <c r="F185" s="39">
        <f>ROUND(E185,0)</f>
        <v>40898</v>
      </c>
      <c r="G185" s="38">
        <f>F185-E185</f>
        <v>0</v>
      </c>
      <c r="H185" s="57"/>
      <c r="I185" s="38">
        <f t="shared" si="58"/>
        <v>40898</v>
      </c>
      <c r="J185" s="38">
        <f t="shared" si="41"/>
        <v>0</v>
      </c>
      <c r="K185" s="57"/>
      <c r="L185" s="38">
        <f t="shared" si="59"/>
        <v>40898</v>
      </c>
      <c r="M185" s="38">
        <f t="shared" si="42"/>
        <v>0</v>
      </c>
      <c r="N185" s="57"/>
      <c r="O185" s="262">
        <v>0</v>
      </c>
      <c r="P185" s="241">
        <f t="shared" si="60"/>
        <v>0</v>
      </c>
      <c r="Q185" s="77" t="s">
        <v>471</v>
      </c>
    </row>
    <row r="186" spans="2:17" x14ac:dyDescent="0.25">
      <c r="C186" s="147" t="s">
        <v>105</v>
      </c>
      <c r="D186" s="148" t="s">
        <v>480</v>
      </c>
      <c r="E186" s="45">
        <v>2486998.34369</v>
      </c>
      <c r="F186" s="45">
        <f t="shared" ref="F186" si="61">SUM(F187,F191:F198)</f>
        <v>2486999</v>
      </c>
      <c r="G186" s="44">
        <f>SUM(G187,G192:G198)</f>
        <v>0.25630999998065818</v>
      </c>
      <c r="H186" s="44"/>
      <c r="I186" s="44">
        <f>SUM(I187,I191:I198)</f>
        <v>2523654</v>
      </c>
      <c r="J186" s="44">
        <f t="shared" si="41"/>
        <v>36655</v>
      </c>
      <c r="K186" s="44"/>
      <c r="L186" s="44">
        <f>SUM(L187,L191:L198)</f>
        <v>2540654</v>
      </c>
      <c r="M186" s="44">
        <f t="shared" si="42"/>
        <v>17000</v>
      </c>
      <c r="N186" s="44"/>
      <c r="O186" s="47">
        <f>SUM(O187,O191:O198)</f>
        <v>977714</v>
      </c>
      <c r="P186" s="242">
        <f t="shared" si="60"/>
        <v>0.38482768609972079</v>
      </c>
      <c r="Q186" s="47"/>
    </row>
    <row r="187" spans="2:17" ht="23.25" customHeight="1" x14ac:dyDescent="0.25">
      <c r="C187" s="142" t="s">
        <v>108</v>
      </c>
      <c r="D187" s="143" t="s">
        <v>481</v>
      </c>
      <c r="E187" s="78">
        <v>1187107.66267</v>
      </c>
      <c r="F187" s="78">
        <f t="shared" ref="F187:G187" si="62">SUM(F188:F190)</f>
        <v>1187108</v>
      </c>
      <c r="G187" s="62">
        <f t="shared" si="62"/>
        <v>0.3373299999802839</v>
      </c>
      <c r="H187" s="62"/>
      <c r="I187" s="62">
        <f>SUM(I188:I190)</f>
        <v>1189606</v>
      </c>
      <c r="J187" s="62">
        <f t="shared" si="41"/>
        <v>2498</v>
      </c>
      <c r="K187" s="62"/>
      <c r="L187" s="62">
        <f>SUM(L188:L190)</f>
        <v>1206606</v>
      </c>
      <c r="M187" s="62">
        <f t="shared" si="42"/>
        <v>17000</v>
      </c>
      <c r="N187" s="62"/>
      <c r="O187" s="144">
        <f>SUM(O188:O190)</f>
        <v>505758</v>
      </c>
      <c r="P187" s="248">
        <f t="shared" si="60"/>
        <v>0.41915753775466058</v>
      </c>
      <c r="Q187" s="149"/>
    </row>
    <row r="188" spans="2:17" ht="15" customHeight="1" x14ac:dyDescent="0.25">
      <c r="B188" s="75" t="s">
        <v>482</v>
      </c>
      <c r="C188" s="152" t="s">
        <v>483</v>
      </c>
      <c r="D188" s="153" t="s">
        <v>484</v>
      </c>
      <c r="E188" s="39">
        <v>589107.49502000003</v>
      </c>
      <c r="F188" s="39">
        <f>ROUND(E188,0)</f>
        <v>589107</v>
      </c>
      <c r="G188" s="38">
        <f t="shared" si="40"/>
        <v>-0.49502000003121793</v>
      </c>
      <c r="H188" s="160"/>
      <c r="I188" s="38">
        <f>ROUND(F188,0)+2498</f>
        <v>591605</v>
      </c>
      <c r="J188" s="41">
        <f t="shared" si="41"/>
        <v>2498</v>
      </c>
      <c r="K188" s="177" t="s">
        <v>485</v>
      </c>
      <c r="L188" s="38">
        <f>ROUND(I188,0)+17000</f>
        <v>608605</v>
      </c>
      <c r="M188" s="38">
        <f t="shared" si="42"/>
        <v>17000</v>
      </c>
      <c r="N188" s="178" t="s">
        <v>486</v>
      </c>
      <c r="O188" s="41">
        <v>315880</v>
      </c>
      <c r="P188" s="241">
        <f t="shared" si="60"/>
        <v>0.51902301164137654</v>
      </c>
      <c r="Q188" s="41" t="s">
        <v>487</v>
      </c>
    </row>
    <row r="189" spans="2:17" ht="16.149999999999999" customHeight="1" x14ac:dyDescent="0.25">
      <c r="B189" s="75" t="s">
        <v>488</v>
      </c>
      <c r="C189" s="152" t="s">
        <v>489</v>
      </c>
      <c r="D189" s="153" t="s">
        <v>490</v>
      </c>
      <c r="E189" s="39">
        <v>409633.66324999998</v>
      </c>
      <c r="F189" s="39">
        <f>ROUND(E189,0)</f>
        <v>409634</v>
      </c>
      <c r="G189" s="38">
        <f t="shared" si="40"/>
        <v>0.33675000001676381</v>
      </c>
      <c r="H189" s="160"/>
      <c r="I189" s="38">
        <f>ROUND(F189,0)</f>
        <v>409634</v>
      </c>
      <c r="J189" s="38">
        <f t="shared" si="41"/>
        <v>0</v>
      </c>
      <c r="K189" s="160"/>
      <c r="L189" s="38">
        <f t="shared" ref="L189:L198" si="63">ROUND(I189,0)</f>
        <v>409634</v>
      </c>
      <c r="M189" s="38">
        <f t="shared" si="42"/>
        <v>0</v>
      </c>
      <c r="N189" s="160"/>
      <c r="O189" s="41">
        <v>124565</v>
      </c>
      <c r="P189" s="241">
        <f t="shared" si="60"/>
        <v>0.30408852780775031</v>
      </c>
      <c r="Q189" s="41" t="s">
        <v>491</v>
      </c>
    </row>
    <row r="190" spans="2:17" ht="13.15" customHeight="1" x14ac:dyDescent="0.25">
      <c r="B190" s="75" t="s">
        <v>492</v>
      </c>
      <c r="C190" s="152" t="s">
        <v>493</v>
      </c>
      <c r="D190" s="153" t="s">
        <v>494</v>
      </c>
      <c r="E190" s="39">
        <v>188366.50440000001</v>
      </c>
      <c r="F190" s="39">
        <f>ROUND(E190,0)</f>
        <v>188367</v>
      </c>
      <c r="G190" s="38">
        <f t="shared" si="40"/>
        <v>0.49559999999473803</v>
      </c>
      <c r="H190" s="57"/>
      <c r="I190" s="38">
        <f>ROUND(F190,0)</f>
        <v>188367</v>
      </c>
      <c r="J190" s="38">
        <f t="shared" si="41"/>
        <v>0</v>
      </c>
      <c r="K190" s="57"/>
      <c r="L190" s="38">
        <f t="shared" si="63"/>
        <v>188367</v>
      </c>
      <c r="M190" s="38">
        <f t="shared" si="42"/>
        <v>0</v>
      </c>
      <c r="N190" s="57"/>
      <c r="O190" s="41">
        <v>65313</v>
      </c>
      <c r="P190" s="241">
        <f t="shared" si="60"/>
        <v>0.34673270795840033</v>
      </c>
      <c r="Q190" s="41"/>
    </row>
    <row r="191" spans="2:17" ht="16.899999999999999" customHeight="1" x14ac:dyDescent="0.25">
      <c r="B191" s="75" t="s">
        <v>495</v>
      </c>
      <c r="C191" s="179" t="s">
        <v>110</v>
      </c>
      <c r="D191" s="143" t="s">
        <v>496</v>
      </c>
      <c r="E191" s="78">
        <v>135145.60000000001</v>
      </c>
      <c r="F191" s="78">
        <f>ROUND(E191,0)</f>
        <v>135146</v>
      </c>
      <c r="G191" s="62">
        <f>F191-E191</f>
        <v>0.39999999999417923</v>
      </c>
      <c r="H191" s="180"/>
      <c r="I191" s="62">
        <f>ROUND(F191,0)+20000</f>
        <v>155146</v>
      </c>
      <c r="J191" s="144">
        <f t="shared" si="41"/>
        <v>20000</v>
      </c>
      <c r="K191" s="181" t="s">
        <v>497</v>
      </c>
      <c r="L191" s="62">
        <f t="shared" si="63"/>
        <v>155146</v>
      </c>
      <c r="M191" s="62">
        <f t="shared" si="42"/>
        <v>0</v>
      </c>
      <c r="N191" s="180"/>
      <c r="O191" s="144">
        <v>20859</v>
      </c>
      <c r="P191" s="248">
        <f t="shared" si="60"/>
        <v>0.13444755262784733</v>
      </c>
      <c r="Q191" s="144" t="s">
        <v>498</v>
      </c>
    </row>
    <row r="192" spans="2:17" ht="29.45" customHeight="1" x14ac:dyDescent="0.25">
      <c r="B192" s="75" t="s">
        <v>499</v>
      </c>
      <c r="C192" s="179" t="s">
        <v>500</v>
      </c>
      <c r="D192" s="143" t="s">
        <v>501</v>
      </c>
      <c r="E192" s="78">
        <v>212422.11000000002</v>
      </c>
      <c r="F192" s="78">
        <f t="shared" ref="F192:F198" si="64">ROUND(E192,0)</f>
        <v>212422</v>
      </c>
      <c r="G192" s="62">
        <f t="shared" si="40"/>
        <v>-0.11000000001513399</v>
      </c>
      <c r="H192" s="180"/>
      <c r="I192" s="62">
        <f>ROUND(F192,0)</f>
        <v>212422</v>
      </c>
      <c r="J192" s="62">
        <f t="shared" si="41"/>
        <v>0</v>
      </c>
      <c r="K192" s="180"/>
      <c r="L192" s="62">
        <f t="shared" si="63"/>
        <v>212422</v>
      </c>
      <c r="M192" s="62">
        <f t="shared" si="42"/>
        <v>0</v>
      </c>
      <c r="N192" s="180"/>
      <c r="O192" s="144">
        <v>0</v>
      </c>
      <c r="P192" s="248">
        <f t="shared" si="60"/>
        <v>0</v>
      </c>
      <c r="Q192" s="144" t="s">
        <v>421</v>
      </c>
    </row>
    <row r="193" spans="2:17" ht="27" customHeight="1" x14ac:dyDescent="0.25">
      <c r="B193" s="75" t="s">
        <v>502</v>
      </c>
      <c r="C193" s="179" t="s">
        <v>503</v>
      </c>
      <c r="D193" s="143" t="s">
        <v>239</v>
      </c>
      <c r="E193" s="78">
        <v>15704.03</v>
      </c>
      <c r="F193" s="78">
        <f t="shared" si="64"/>
        <v>15704</v>
      </c>
      <c r="G193" s="62">
        <f t="shared" si="40"/>
        <v>-3.0000000000654836E-2</v>
      </c>
      <c r="H193" s="79"/>
      <c r="I193" s="62">
        <f>ROUND(F193,0)</f>
        <v>15704</v>
      </c>
      <c r="J193" s="62">
        <f t="shared" si="41"/>
        <v>0</v>
      </c>
      <c r="K193" s="79"/>
      <c r="L193" s="62">
        <f t="shared" si="63"/>
        <v>15704</v>
      </c>
      <c r="M193" s="62">
        <f t="shared" si="42"/>
        <v>0</v>
      </c>
      <c r="N193" s="79"/>
      <c r="O193" s="144">
        <v>14030</v>
      </c>
      <c r="P193" s="248">
        <f t="shared" si="60"/>
        <v>0.89340295466123276</v>
      </c>
      <c r="Q193" s="144" t="s">
        <v>421</v>
      </c>
    </row>
    <row r="194" spans="2:17" ht="15" customHeight="1" x14ac:dyDescent="0.25">
      <c r="B194" s="75" t="s">
        <v>504</v>
      </c>
      <c r="C194" s="142" t="s">
        <v>505</v>
      </c>
      <c r="D194" s="143" t="s">
        <v>506</v>
      </c>
      <c r="E194" s="78">
        <v>121138.2865</v>
      </c>
      <c r="F194" s="78">
        <f t="shared" si="64"/>
        <v>121138</v>
      </c>
      <c r="G194" s="62">
        <f t="shared" si="40"/>
        <v>-0.28650000000197906</v>
      </c>
      <c r="H194" s="180"/>
      <c r="I194" s="62">
        <f>ROUND(F194,0)+13657+500</f>
        <v>135295</v>
      </c>
      <c r="J194" s="144">
        <f t="shared" si="41"/>
        <v>14157</v>
      </c>
      <c r="K194" s="181" t="s">
        <v>507</v>
      </c>
      <c r="L194" s="62">
        <f t="shared" si="63"/>
        <v>135295</v>
      </c>
      <c r="M194" s="62">
        <f t="shared" si="42"/>
        <v>0</v>
      </c>
      <c r="N194" s="180"/>
      <c r="O194" s="144">
        <v>52617</v>
      </c>
      <c r="P194" s="248">
        <f t="shared" si="60"/>
        <v>0.38890572452788352</v>
      </c>
      <c r="Q194" s="144" t="s">
        <v>508</v>
      </c>
    </row>
    <row r="195" spans="2:17" ht="15.6" customHeight="1" x14ac:dyDescent="0.25">
      <c r="B195" s="75" t="s">
        <v>509</v>
      </c>
      <c r="C195" s="142" t="s">
        <v>510</v>
      </c>
      <c r="D195" s="143" t="s">
        <v>511</v>
      </c>
      <c r="E195" s="78">
        <v>62655.829250000003</v>
      </c>
      <c r="F195" s="78">
        <f t="shared" si="64"/>
        <v>62656</v>
      </c>
      <c r="G195" s="62">
        <f t="shared" si="40"/>
        <v>0.17074999999749707</v>
      </c>
      <c r="H195" s="180"/>
      <c r="I195" s="62">
        <f>ROUND(F195,0)</f>
        <v>62656</v>
      </c>
      <c r="J195" s="62">
        <f t="shared" si="41"/>
        <v>0</v>
      </c>
      <c r="K195" s="180"/>
      <c r="L195" s="62">
        <f t="shared" si="63"/>
        <v>62656</v>
      </c>
      <c r="M195" s="62">
        <f t="shared" si="42"/>
        <v>0</v>
      </c>
      <c r="N195" s="180"/>
      <c r="O195" s="144">
        <v>26347</v>
      </c>
      <c r="P195" s="248">
        <f t="shared" si="60"/>
        <v>0.42050242594484166</v>
      </c>
      <c r="Q195" s="144"/>
    </row>
    <row r="196" spans="2:17" ht="17.25" customHeight="1" x14ac:dyDescent="0.25">
      <c r="B196" s="75" t="s">
        <v>298</v>
      </c>
      <c r="C196" s="142" t="s">
        <v>512</v>
      </c>
      <c r="D196" s="143" t="s">
        <v>513</v>
      </c>
      <c r="E196" s="78">
        <v>729596.65136999998</v>
      </c>
      <c r="F196" s="78">
        <f t="shared" si="64"/>
        <v>729597</v>
      </c>
      <c r="G196" s="62">
        <f t="shared" ref="G196:G259" si="65">F196-E196</f>
        <v>0.34863000002223998</v>
      </c>
      <c r="H196" s="79"/>
      <c r="I196" s="62">
        <f>ROUND(F196,0)</f>
        <v>729597</v>
      </c>
      <c r="J196" s="62">
        <f t="shared" ref="J196:J259" si="66">I196-F196</f>
        <v>0</v>
      </c>
      <c r="K196" s="79"/>
      <c r="L196" s="62">
        <f t="shared" si="63"/>
        <v>729597</v>
      </c>
      <c r="M196" s="62">
        <f t="shared" ref="M196:M259" si="67">L196-I196</f>
        <v>0</v>
      </c>
      <c r="N196" s="79"/>
      <c r="O196" s="144">
        <v>354103</v>
      </c>
      <c r="P196" s="248">
        <f t="shared" si="60"/>
        <v>0.48534053731032339</v>
      </c>
      <c r="Q196" s="144"/>
    </row>
    <row r="197" spans="2:17" ht="15.6" customHeight="1" x14ac:dyDescent="0.25">
      <c r="B197" s="75" t="s">
        <v>514</v>
      </c>
      <c r="C197" s="142" t="s">
        <v>515</v>
      </c>
      <c r="D197" s="143" t="s">
        <v>516</v>
      </c>
      <c r="E197" s="78">
        <v>4000</v>
      </c>
      <c r="F197" s="78">
        <f t="shared" si="64"/>
        <v>4000</v>
      </c>
      <c r="G197" s="62">
        <f t="shared" si="65"/>
        <v>0</v>
      </c>
      <c r="H197" s="146"/>
      <c r="I197" s="62">
        <f>ROUND(F197,0)</f>
        <v>4000</v>
      </c>
      <c r="J197" s="62">
        <f t="shared" si="66"/>
        <v>0</v>
      </c>
      <c r="K197" s="146"/>
      <c r="L197" s="62">
        <f t="shared" si="63"/>
        <v>4000</v>
      </c>
      <c r="M197" s="62">
        <f t="shared" si="67"/>
        <v>0</v>
      </c>
      <c r="N197" s="146"/>
      <c r="O197" s="144">
        <v>4000</v>
      </c>
      <c r="P197" s="248">
        <f t="shared" si="60"/>
        <v>1</v>
      </c>
      <c r="Q197" s="144"/>
    </row>
    <row r="198" spans="2:17" ht="15.6" customHeight="1" x14ac:dyDescent="0.25">
      <c r="B198" s="75" t="s">
        <v>517</v>
      </c>
      <c r="C198" s="142" t="s">
        <v>518</v>
      </c>
      <c r="D198" s="143" t="s">
        <v>519</v>
      </c>
      <c r="E198" s="78">
        <v>19228.173900000002</v>
      </c>
      <c r="F198" s="78">
        <f t="shared" si="64"/>
        <v>19228</v>
      </c>
      <c r="G198" s="62">
        <f t="shared" si="65"/>
        <v>-0.17390000000159489</v>
      </c>
      <c r="H198" s="146"/>
      <c r="I198" s="62">
        <f>ROUND(F198,0)</f>
        <v>19228</v>
      </c>
      <c r="J198" s="62">
        <f t="shared" si="66"/>
        <v>0</v>
      </c>
      <c r="K198" s="146"/>
      <c r="L198" s="62">
        <f t="shared" si="63"/>
        <v>19228</v>
      </c>
      <c r="M198" s="62">
        <f t="shared" si="67"/>
        <v>0</v>
      </c>
      <c r="N198" s="146"/>
      <c r="O198" s="144">
        <v>0</v>
      </c>
      <c r="P198" s="248">
        <f t="shared" si="60"/>
        <v>0</v>
      </c>
      <c r="Q198" s="144"/>
    </row>
    <row r="199" spans="2:17" s="132" customFormat="1" ht="15.6" customHeight="1" x14ac:dyDescent="0.2">
      <c r="C199" s="147" t="s">
        <v>113</v>
      </c>
      <c r="D199" s="148" t="s">
        <v>520</v>
      </c>
      <c r="E199" s="45">
        <v>4201176.8811799996</v>
      </c>
      <c r="F199" s="45">
        <f t="shared" ref="F199" si="68">F200+F206+F209+F213+F214+F215+F216+F217</f>
        <v>4201177</v>
      </c>
      <c r="G199" s="44">
        <f>G200+G206+G209+G213+G214+G215</f>
        <v>0.11881999997422099</v>
      </c>
      <c r="H199" s="44"/>
      <c r="I199" s="44">
        <f>I200+I206+I209+I213+I214+I215+I216+I217</f>
        <v>4179627</v>
      </c>
      <c r="J199" s="44">
        <f t="shared" si="66"/>
        <v>-21550</v>
      </c>
      <c r="K199" s="44"/>
      <c r="L199" s="44">
        <f>L200+L206+L209+L213+L214+L215+L216+L217</f>
        <v>4179627</v>
      </c>
      <c r="M199" s="44">
        <f t="shared" si="67"/>
        <v>0</v>
      </c>
      <c r="N199" s="44"/>
      <c r="O199" s="47">
        <f>O200+O206+O209+O213+O214+O215+O216+O217</f>
        <v>1726205</v>
      </c>
      <c r="P199" s="242">
        <f t="shared" si="60"/>
        <v>0.41300455758372695</v>
      </c>
      <c r="Q199" s="47"/>
    </row>
    <row r="200" spans="2:17" s="132" customFormat="1" ht="15" customHeight="1" x14ac:dyDescent="0.25">
      <c r="C200" s="142" t="s">
        <v>116</v>
      </c>
      <c r="D200" s="143" t="s">
        <v>521</v>
      </c>
      <c r="E200" s="78">
        <v>2428655</v>
      </c>
      <c r="F200" s="78">
        <f t="shared" ref="F200:G200" si="69">F201+F202+F203+F204+F205</f>
        <v>2428655</v>
      </c>
      <c r="G200" s="62">
        <f t="shared" si="69"/>
        <v>0</v>
      </c>
      <c r="H200" s="62"/>
      <c r="I200" s="62">
        <f>I201+I202+I203+I204+I205</f>
        <v>2415355</v>
      </c>
      <c r="J200" s="62">
        <f t="shared" si="66"/>
        <v>-13300</v>
      </c>
      <c r="K200" s="62"/>
      <c r="L200" s="62">
        <f>L201+L202+L203+L204+L205</f>
        <v>2415355</v>
      </c>
      <c r="M200" s="62">
        <f t="shared" si="67"/>
        <v>0</v>
      </c>
      <c r="N200" s="62"/>
      <c r="O200" s="144">
        <f>O201+O202+O203+O204+O205</f>
        <v>943108</v>
      </c>
      <c r="P200" s="248">
        <f t="shared" si="60"/>
        <v>0.39046351364499216</v>
      </c>
      <c r="Q200" s="144"/>
    </row>
    <row r="201" spans="2:17" s="182" customFormat="1" ht="16.899999999999999" customHeight="1" outlineLevel="1" x14ac:dyDescent="0.25">
      <c r="B201" s="182">
        <v>1010</v>
      </c>
      <c r="C201" s="183" t="s">
        <v>522</v>
      </c>
      <c r="D201" s="184" t="s">
        <v>523</v>
      </c>
      <c r="E201" s="185">
        <v>601819</v>
      </c>
      <c r="F201" s="185">
        <f>ROUND(E201,0)</f>
        <v>601819</v>
      </c>
      <c r="G201" s="176">
        <f t="shared" si="65"/>
        <v>0</v>
      </c>
      <c r="H201" s="186"/>
      <c r="I201" s="176">
        <f>ROUND(F201,0)-13300</f>
        <v>588519</v>
      </c>
      <c r="J201" s="187">
        <f t="shared" si="66"/>
        <v>-13300</v>
      </c>
      <c r="K201" s="161" t="s">
        <v>350</v>
      </c>
      <c r="L201" s="176">
        <f>ROUND(I201,0)</f>
        <v>588519</v>
      </c>
      <c r="M201" s="176">
        <f t="shared" si="67"/>
        <v>0</v>
      </c>
      <c r="N201" s="160"/>
      <c r="O201" s="187">
        <f>754790-O203-O202</f>
        <v>194493</v>
      </c>
      <c r="P201" s="263">
        <f t="shared" si="60"/>
        <v>0.33047871011811003</v>
      </c>
      <c r="Q201" s="187"/>
    </row>
    <row r="202" spans="2:17" s="182" customFormat="1" ht="16.149999999999999" customHeight="1" outlineLevel="1" x14ac:dyDescent="0.25">
      <c r="B202" s="182">
        <v>1010</v>
      </c>
      <c r="C202" s="183" t="s">
        <v>524</v>
      </c>
      <c r="D202" s="184" t="s">
        <v>525</v>
      </c>
      <c r="E202" s="185">
        <v>1373990</v>
      </c>
      <c r="F202" s="185">
        <f>ROUND(E202,0)</f>
        <v>1373990</v>
      </c>
      <c r="G202" s="176">
        <f t="shared" si="65"/>
        <v>0</v>
      </c>
      <c r="H202" s="79"/>
      <c r="I202" s="176">
        <f>ROUND(F202,0)</f>
        <v>1373990</v>
      </c>
      <c r="J202" s="176">
        <f t="shared" si="66"/>
        <v>0</v>
      </c>
      <c r="K202" s="81"/>
      <c r="L202" s="176">
        <f>ROUND(I202,0)</f>
        <v>1373990</v>
      </c>
      <c r="M202" s="176">
        <f t="shared" si="67"/>
        <v>0</v>
      </c>
      <c r="N202" s="81"/>
      <c r="O202" s="187">
        <v>536597</v>
      </c>
      <c r="P202" s="263">
        <f t="shared" si="60"/>
        <v>0.39053923245438465</v>
      </c>
      <c r="Q202" s="187"/>
    </row>
    <row r="203" spans="2:17" s="182" customFormat="1" ht="17.45" customHeight="1" outlineLevel="1" x14ac:dyDescent="0.25">
      <c r="B203" s="182">
        <v>1010</v>
      </c>
      <c r="C203" s="183" t="s">
        <v>526</v>
      </c>
      <c r="D203" s="184" t="s">
        <v>527</v>
      </c>
      <c r="E203" s="185">
        <v>25954</v>
      </c>
      <c r="F203" s="185">
        <f>ROUND(E203,0)</f>
        <v>25954</v>
      </c>
      <c r="G203" s="176">
        <f t="shared" si="65"/>
        <v>0</v>
      </c>
      <c r="H203" s="81"/>
      <c r="I203" s="176">
        <f>ROUND(F203,0)</f>
        <v>25954</v>
      </c>
      <c r="J203" s="176">
        <f t="shared" si="66"/>
        <v>0</v>
      </c>
      <c r="K203" s="81"/>
      <c r="L203" s="176">
        <f>ROUND(I203,0)</f>
        <v>25954</v>
      </c>
      <c r="M203" s="176">
        <f t="shared" si="67"/>
        <v>0</v>
      </c>
      <c r="N203" s="81"/>
      <c r="O203" s="41">
        <v>23700</v>
      </c>
      <c r="P203" s="263">
        <f t="shared" si="60"/>
        <v>0.91315404176620174</v>
      </c>
      <c r="Q203" s="187"/>
    </row>
    <row r="204" spans="2:17" s="182" customFormat="1" outlineLevel="1" x14ac:dyDescent="0.25">
      <c r="B204" s="182">
        <v>1012</v>
      </c>
      <c r="C204" s="183" t="s">
        <v>528</v>
      </c>
      <c r="D204" s="184" t="s">
        <v>529</v>
      </c>
      <c r="E204" s="185">
        <v>421092</v>
      </c>
      <c r="F204" s="185">
        <f>ROUND(E204,0)</f>
        <v>421092</v>
      </c>
      <c r="G204" s="176">
        <f t="shared" si="65"/>
        <v>0</v>
      </c>
      <c r="H204" s="186"/>
      <c r="I204" s="176">
        <f>ROUND(F204,0)</f>
        <v>421092</v>
      </c>
      <c r="J204" s="176">
        <f t="shared" si="66"/>
        <v>0</v>
      </c>
      <c r="K204" s="186"/>
      <c r="L204" s="176">
        <f>ROUND(I204,0)</f>
        <v>421092</v>
      </c>
      <c r="M204" s="176">
        <f t="shared" si="67"/>
        <v>0</v>
      </c>
      <c r="N204" s="186"/>
      <c r="O204" s="187">
        <v>186124</v>
      </c>
      <c r="P204" s="263">
        <f t="shared" si="60"/>
        <v>0.44200317270335221</v>
      </c>
      <c r="Q204" s="187"/>
    </row>
    <row r="205" spans="2:17" s="182" customFormat="1" outlineLevel="1" x14ac:dyDescent="0.25">
      <c r="B205" s="182">
        <v>1015</v>
      </c>
      <c r="C205" s="183" t="s">
        <v>530</v>
      </c>
      <c r="D205" s="184" t="s">
        <v>531</v>
      </c>
      <c r="E205" s="185">
        <v>5800</v>
      </c>
      <c r="F205" s="185">
        <f>ROUND(E205,0)</f>
        <v>5800</v>
      </c>
      <c r="G205" s="176">
        <f t="shared" si="65"/>
        <v>0</v>
      </c>
      <c r="H205" s="186"/>
      <c r="I205" s="176">
        <f>ROUND(F205,0)</f>
        <v>5800</v>
      </c>
      <c r="J205" s="176">
        <f t="shared" si="66"/>
        <v>0</v>
      </c>
      <c r="K205" s="186"/>
      <c r="L205" s="176">
        <f>ROUND(I205,0)</f>
        <v>5800</v>
      </c>
      <c r="M205" s="176">
        <f t="shared" si="67"/>
        <v>0</v>
      </c>
      <c r="N205" s="186"/>
      <c r="O205" s="187">
        <v>2194</v>
      </c>
      <c r="P205" s="263">
        <f t="shared" si="60"/>
        <v>0.37827586206896552</v>
      </c>
      <c r="Q205" s="187"/>
    </row>
    <row r="206" spans="2:17" s="132" customFormat="1" ht="19.5" customHeight="1" x14ac:dyDescent="0.25">
      <c r="C206" s="142" t="s">
        <v>122</v>
      </c>
      <c r="D206" s="143" t="s">
        <v>532</v>
      </c>
      <c r="E206" s="78">
        <v>10038</v>
      </c>
      <c r="F206" s="78">
        <f>F207+F208</f>
        <v>10038</v>
      </c>
      <c r="G206" s="62">
        <f t="shared" si="65"/>
        <v>0</v>
      </c>
      <c r="H206" s="79"/>
      <c r="I206" s="62">
        <f>I207+I208</f>
        <v>10038</v>
      </c>
      <c r="J206" s="62">
        <f t="shared" si="66"/>
        <v>0</v>
      </c>
      <c r="K206" s="79"/>
      <c r="L206" s="62">
        <f>L207+L208</f>
        <v>10038</v>
      </c>
      <c r="M206" s="62">
        <f t="shared" si="67"/>
        <v>0</v>
      </c>
      <c r="N206" s="79"/>
      <c r="O206" s="144">
        <f>O207+O208</f>
        <v>905</v>
      </c>
      <c r="P206" s="248">
        <f t="shared" si="60"/>
        <v>9.0157401872883042E-2</v>
      </c>
      <c r="Q206" s="144"/>
    </row>
    <row r="207" spans="2:17" s="182" customFormat="1" outlineLevel="1" x14ac:dyDescent="0.25">
      <c r="B207" s="182">
        <v>1011</v>
      </c>
      <c r="C207" s="183" t="s">
        <v>533</v>
      </c>
      <c r="D207" s="184" t="s">
        <v>534</v>
      </c>
      <c r="E207" s="185">
        <v>1407</v>
      </c>
      <c r="F207" s="185">
        <f>ROUND(E207,0)</f>
        <v>1407</v>
      </c>
      <c r="G207" s="176">
        <f t="shared" si="65"/>
        <v>0</v>
      </c>
      <c r="H207" s="186"/>
      <c r="I207" s="176">
        <f>ROUND(F207,0)</f>
        <v>1407</v>
      </c>
      <c r="J207" s="176">
        <f t="shared" si="66"/>
        <v>0</v>
      </c>
      <c r="K207" s="186"/>
      <c r="L207" s="176">
        <f>ROUND(I207,0)</f>
        <v>1407</v>
      </c>
      <c r="M207" s="176">
        <f t="shared" si="67"/>
        <v>0</v>
      </c>
      <c r="N207" s="186"/>
      <c r="O207" s="187">
        <v>115.43</v>
      </c>
      <c r="P207" s="263">
        <f t="shared" si="60"/>
        <v>8.2039800995024878E-2</v>
      </c>
      <c r="Q207" s="187"/>
    </row>
    <row r="208" spans="2:17" s="182" customFormat="1" outlineLevel="1" x14ac:dyDescent="0.25">
      <c r="B208" s="182">
        <v>1011</v>
      </c>
      <c r="C208" s="183" t="s">
        <v>535</v>
      </c>
      <c r="D208" s="184" t="s">
        <v>536</v>
      </c>
      <c r="E208" s="185">
        <v>8631</v>
      </c>
      <c r="F208" s="185">
        <f>ROUND(E208,0)</f>
        <v>8631</v>
      </c>
      <c r="G208" s="176">
        <f t="shared" si="65"/>
        <v>0</v>
      </c>
      <c r="H208" s="186"/>
      <c r="I208" s="176">
        <f>ROUND(F208,0)</f>
        <v>8631</v>
      </c>
      <c r="J208" s="176">
        <f t="shared" si="66"/>
        <v>0</v>
      </c>
      <c r="K208" s="186"/>
      <c r="L208" s="176">
        <f>ROUND(I208,0)</f>
        <v>8631</v>
      </c>
      <c r="M208" s="176">
        <f t="shared" si="67"/>
        <v>0</v>
      </c>
      <c r="N208" s="186"/>
      <c r="O208" s="187">
        <f>905-O207</f>
        <v>789.56999999999994</v>
      </c>
      <c r="P208" s="263">
        <f t="shared" si="60"/>
        <v>9.1480709071949939E-2</v>
      </c>
      <c r="Q208" s="187"/>
    </row>
    <row r="209" spans="2:17" s="132" customFormat="1" ht="30.6" customHeight="1" x14ac:dyDescent="0.25">
      <c r="C209" s="142" t="s">
        <v>124</v>
      </c>
      <c r="D209" s="143" t="s">
        <v>537</v>
      </c>
      <c r="E209" s="189">
        <v>839598</v>
      </c>
      <c r="F209" s="189">
        <f t="shared" ref="F209:G209" si="70">SUM(F210:F212)</f>
        <v>839598</v>
      </c>
      <c r="G209" s="188">
        <f t="shared" si="70"/>
        <v>0</v>
      </c>
      <c r="H209" s="146"/>
      <c r="I209" s="188">
        <f>SUM(I210:I212)</f>
        <v>818057</v>
      </c>
      <c r="J209" s="188">
        <f t="shared" si="66"/>
        <v>-21541</v>
      </c>
      <c r="K209" s="146"/>
      <c r="L209" s="188">
        <f>SUM(L210:L212)</f>
        <v>818057</v>
      </c>
      <c r="M209" s="188">
        <f t="shared" si="67"/>
        <v>0</v>
      </c>
      <c r="N209" s="146"/>
      <c r="O209" s="190">
        <f>SUM(O210:O212)</f>
        <v>273142</v>
      </c>
      <c r="P209" s="264">
        <f t="shared" si="60"/>
        <v>0.33389115917350504</v>
      </c>
      <c r="Q209" s="190"/>
    </row>
    <row r="210" spans="2:17" s="132" customFormat="1" ht="15" customHeight="1" x14ac:dyDescent="0.25">
      <c r="B210" s="1" t="s">
        <v>538</v>
      </c>
      <c r="C210" s="191" t="s">
        <v>539</v>
      </c>
      <c r="D210" s="192" t="s">
        <v>540</v>
      </c>
      <c r="E210" s="39">
        <v>347838</v>
      </c>
      <c r="F210" s="39">
        <f t="shared" ref="F210:F215" si="71">ROUND(E210,0)</f>
        <v>347838</v>
      </c>
      <c r="G210" s="38">
        <f t="shared" si="65"/>
        <v>0</v>
      </c>
      <c r="H210" s="40"/>
      <c r="I210" s="38">
        <f>ROUND(F210,0)-21541</f>
        <v>326297</v>
      </c>
      <c r="J210" s="41">
        <f t="shared" si="66"/>
        <v>-21541</v>
      </c>
      <c r="K210" s="161" t="s">
        <v>350</v>
      </c>
      <c r="L210" s="38">
        <f t="shared" ref="L210:L217" si="72">ROUND(I210,0)</f>
        <v>326297</v>
      </c>
      <c r="M210" s="38">
        <f t="shared" si="67"/>
        <v>0</v>
      </c>
      <c r="N210" s="160"/>
      <c r="O210" s="41">
        <f>108629-O211</f>
        <v>95343.06</v>
      </c>
      <c r="P210" s="241">
        <f t="shared" si="60"/>
        <v>0.29219717006285684</v>
      </c>
      <c r="Q210" s="41" t="s">
        <v>541</v>
      </c>
    </row>
    <row r="211" spans="2:17" s="132" customFormat="1" ht="15.75" customHeight="1" x14ac:dyDescent="0.25">
      <c r="B211" s="1" t="s">
        <v>538</v>
      </c>
      <c r="C211" s="193" t="s">
        <v>542</v>
      </c>
      <c r="D211" s="192" t="s">
        <v>543</v>
      </c>
      <c r="E211" s="39">
        <v>161090</v>
      </c>
      <c r="F211" s="39">
        <f t="shared" si="71"/>
        <v>161090</v>
      </c>
      <c r="G211" s="38">
        <f t="shared" si="65"/>
        <v>0</v>
      </c>
      <c r="H211" s="40"/>
      <c r="I211" s="38">
        <f t="shared" ref="I211:I217" si="73">ROUND(F211,0)</f>
        <v>161090</v>
      </c>
      <c r="J211" s="38">
        <f t="shared" si="66"/>
        <v>0</v>
      </c>
      <c r="K211" s="40"/>
      <c r="L211" s="38">
        <f t="shared" si="72"/>
        <v>161090</v>
      </c>
      <c r="M211" s="38">
        <f t="shared" si="67"/>
        <v>0</v>
      </c>
      <c r="N211" s="40"/>
      <c r="O211" s="41">
        <v>13285.94</v>
      </c>
      <c r="P211" s="241">
        <f t="shared" si="60"/>
        <v>8.2475262275746475E-2</v>
      </c>
      <c r="Q211" s="41" t="s">
        <v>421</v>
      </c>
    </row>
    <row r="212" spans="2:17" s="132" customFormat="1" ht="15.6" customHeight="1" x14ac:dyDescent="0.25">
      <c r="B212" s="1" t="s">
        <v>544</v>
      </c>
      <c r="C212" s="191" t="s">
        <v>545</v>
      </c>
      <c r="D212" s="192" t="s">
        <v>546</v>
      </c>
      <c r="E212" s="39">
        <v>330670</v>
      </c>
      <c r="F212" s="39">
        <f t="shared" si="71"/>
        <v>330670</v>
      </c>
      <c r="G212" s="38">
        <f t="shared" si="65"/>
        <v>0</v>
      </c>
      <c r="H212" s="40"/>
      <c r="I212" s="38">
        <f t="shared" si="73"/>
        <v>330670</v>
      </c>
      <c r="J212" s="38">
        <f t="shared" si="66"/>
        <v>0</v>
      </c>
      <c r="K212" s="40"/>
      <c r="L212" s="38">
        <f t="shared" si="72"/>
        <v>330670</v>
      </c>
      <c r="M212" s="38">
        <f t="shared" si="67"/>
        <v>0</v>
      </c>
      <c r="N212" s="40"/>
      <c r="O212" s="41">
        <v>164513</v>
      </c>
      <c r="P212" s="241">
        <f t="shared" si="60"/>
        <v>0.49751413796231891</v>
      </c>
      <c r="Q212" s="41"/>
    </row>
    <row r="213" spans="2:17" s="132" customFormat="1" ht="16.149999999999999" customHeight="1" x14ac:dyDescent="0.25">
      <c r="C213" s="142" t="s">
        <v>547</v>
      </c>
      <c r="D213" s="143" t="s">
        <v>548</v>
      </c>
      <c r="E213" s="78">
        <v>132505.09117999999</v>
      </c>
      <c r="F213" s="78">
        <f t="shared" si="71"/>
        <v>132505</v>
      </c>
      <c r="G213" s="62">
        <f t="shared" si="65"/>
        <v>-9.1179999988526106E-2</v>
      </c>
      <c r="H213" s="146"/>
      <c r="I213" s="62">
        <f>ROUND(F213,0)-6709</f>
        <v>125796</v>
      </c>
      <c r="J213" s="144">
        <f t="shared" si="66"/>
        <v>-6709</v>
      </c>
      <c r="K213" s="145" t="s">
        <v>350</v>
      </c>
      <c r="L213" s="62">
        <f t="shared" si="72"/>
        <v>125796</v>
      </c>
      <c r="M213" s="62">
        <f t="shared" si="67"/>
        <v>0</v>
      </c>
      <c r="N213" s="79"/>
      <c r="O213" s="144">
        <v>52762</v>
      </c>
      <c r="P213" s="248">
        <f t="shared" si="60"/>
        <v>0.41942510095710517</v>
      </c>
      <c r="Q213" s="144"/>
    </row>
    <row r="214" spans="2:17" s="132" customFormat="1" ht="18.75" customHeight="1" x14ac:dyDescent="0.25">
      <c r="B214" s="1">
        <v>1016</v>
      </c>
      <c r="C214" s="142" t="s">
        <v>549</v>
      </c>
      <c r="D214" s="143" t="s">
        <v>187</v>
      </c>
      <c r="E214" s="78">
        <v>50000</v>
      </c>
      <c r="F214" s="78">
        <f t="shared" si="71"/>
        <v>50000</v>
      </c>
      <c r="G214" s="62">
        <f t="shared" si="65"/>
        <v>0</v>
      </c>
      <c r="H214" s="146"/>
      <c r="I214" s="62">
        <f>ROUND(F214,0)+20000</f>
        <v>70000</v>
      </c>
      <c r="J214" s="62">
        <f t="shared" si="66"/>
        <v>20000</v>
      </c>
      <c r="K214" s="146" t="s">
        <v>188</v>
      </c>
      <c r="L214" s="62">
        <f t="shared" si="72"/>
        <v>70000</v>
      </c>
      <c r="M214" s="62">
        <f t="shared" si="67"/>
        <v>0</v>
      </c>
      <c r="N214" s="146"/>
      <c r="O214" s="144">
        <v>59915</v>
      </c>
      <c r="P214" s="248">
        <f t="shared" si="60"/>
        <v>0.85592857142857148</v>
      </c>
      <c r="Q214" s="144" t="s">
        <v>550</v>
      </c>
    </row>
    <row r="215" spans="2:17" s="132" customFormat="1" ht="18.75" customHeight="1" x14ac:dyDescent="0.25">
      <c r="B215" s="1">
        <v>1017</v>
      </c>
      <c r="C215" s="142" t="s">
        <v>551</v>
      </c>
      <c r="D215" s="143" t="s">
        <v>191</v>
      </c>
      <c r="E215" s="78">
        <v>698343.79</v>
      </c>
      <c r="F215" s="78">
        <f t="shared" si="71"/>
        <v>698344</v>
      </c>
      <c r="G215" s="62">
        <f t="shared" si="65"/>
        <v>0.2099999999627471</v>
      </c>
      <c r="H215" s="146"/>
      <c r="I215" s="62">
        <f t="shared" si="73"/>
        <v>698344</v>
      </c>
      <c r="J215" s="62">
        <f t="shared" si="66"/>
        <v>0</v>
      </c>
      <c r="K215" s="146"/>
      <c r="L215" s="62">
        <f t="shared" si="72"/>
        <v>698344</v>
      </c>
      <c r="M215" s="62">
        <f t="shared" si="67"/>
        <v>0</v>
      </c>
      <c r="N215" s="146"/>
      <c r="O215" s="144">
        <v>379580</v>
      </c>
      <c r="P215" s="248">
        <f t="shared" si="60"/>
        <v>0.54354301032156072</v>
      </c>
      <c r="Q215" s="144" t="s">
        <v>550</v>
      </c>
    </row>
    <row r="216" spans="2:17" ht="40.9" customHeight="1" x14ac:dyDescent="0.25">
      <c r="B216" s="1" t="s">
        <v>552</v>
      </c>
      <c r="C216" s="142" t="s">
        <v>553</v>
      </c>
      <c r="D216" s="143" t="s">
        <v>554</v>
      </c>
      <c r="E216" s="39">
        <v>23597</v>
      </c>
      <c r="F216" s="39">
        <f>ROUND(E216,0)</f>
        <v>23597</v>
      </c>
      <c r="G216" s="38">
        <f>F216-E216</f>
        <v>0</v>
      </c>
      <c r="H216" s="160"/>
      <c r="I216" s="38">
        <f t="shared" si="73"/>
        <v>23597</v>
      </c>
      <c r="J216" s="38">
        <f t="shared" si="66"/>
        <v>0</v>
      </c>
      <c r="K216" s="160"/>
      <c r="L216" s="38">
        <f t="shared" si="72"/>
        <v>23597</v>
      </c>
      <c r="M216" s="38">
        <f t="shared" si="67"/>
        <v>0</v>
      </c>
      <c r="N216" s="160"/>
      <c r="O216" s="41">
        <v>13385</v>
      </c>
      <c r="P216" s="241">
        <f t="shared" si="60"/>
        <v>0.56723312285460015</v>
      </c>
      <c r="Q216" s="77" t="s">
        <v>421</v>
      </c>
    </row>
    <row r="217" spans="2:17" ht="44.45" customHeight="1" x14ac:dyDescent="0.25">
      <c r="B217" s="1" t="s">
        <v>555</v>
      </c>
      <c r="C217" s="142" t="s">
        <v>556</v>
      </c>
      <c r="D217" s="143" t="s">
        <v>557</v>
      </c>
      <c r="E217" s="39">
        <v>18440</v>
      </c>
      <c r="F217" s="39">
        <f>ROUND(E217,0)</f>
        <v>18440</v>
      </c>
      <c r="G217" s="38">
        <f>F217-E217</f>
        <v>0</v>
      </c>
      <c r="H217" s="160"/>
      <c r="I217" s="38">
        <f t="shared" si="73"/>
        <v>18440</v>
      </c>
      <c r="J217" s="38">
        <f t="shared" si="66"/>
        <v>0</v>
      </c>
      <c r="K217" s="160"/>
      <c r="L217" s="38">
        <f t="shared" si="72"/>
        <v>18440</v>
      </c>
      <c r="M217" s="38">
        <f t="shared" si="67"/>
        <v>0</v>
      </c>
      <c r="N217" s="160"/>
      <c r="O217" s="41">
        <v>3408</v>
      </c>
      <c r="P217" s="241">
        <f t="shared" si="60"/>
        <v>0.18481561822125814</v>
      </c>
      <c r="Q217" s="77" t="s">
        <v>421</v>
      </c>
    </row>
    <row r="218" spans="2:17" x14ac:dyDescent="0.25">
      <c r="C218" s="147" t="s">
        <v>127</v>
      </c>
      <c r="D218" s="148" t="s">
        <v>558</v>
      </c>
      <c r="E218" s="45">
        <v>21517854.165859237</v>
      </c>
      <c r="F218" s="45">
        <f>F219+F220+F223+F226+F230+F234+F238+F246+F247+F258+F261+F264+F265+F266+F267+F268+F269</f>
        <v>21576210</v>
      </c>
      <c r="G218" s="44">
        <f>G219+G220+G223+G226+G230+G234+G238+G247+G258+G261+G264+G265+G266+G267+G268+G269</f>
        <v>58356.224140764331</v>
      </c>
      <c r="H218" s="44"/>
      <c r="I218" s="44">
        <f>I219+I220+I223+I226+I230+I234+I238+I246+I247+I258+I261+I264+I265+I266+I267+I268+I269</f>
        <v>21675003</v>
      </c>
      <c r="J218" s="44">
        <f t="shared" si="66"/>
        <v>98793</v>
      </c>
      <c r="K218" s="44"/>
      <c r="L218" s="44">
        <f>L219+L220+L223+L226+L230+L234+L238+L246+L247+L258+L261+L264+L265+L266+L267+L268+L269</f>
        <v>21738469</v>
      </c>
      <c r="M218" s="44">
        <f t="shared" si="67"/>
        <v>63466</v>
      </c>
      <c r="N218" s="44"/>
      <c r="O218" s="47">
        <f>O219+O220+O223+O226+O230+O234+O238+O246+O247+O258+O261+O264+O265+O266+O267+O268+O269</f>
        <v>9058844</v>
      </c>
      <c r="P218" s="242">
        <f t="shared" si="60"/>
        <v>0.41671950310760153</v>
      </c>
      <c r="Q218" s="47"/>
    </row>
    <row r="219" spans="2:17" ht="27.6" customHeight="1" x14ac:dyDescent="0.25">
      <c r="B219" s="194" t="s">
        <v>559</v>
      </c>
      <c r="C219" s="142" t="s">
        <v>560</v>
      </c>
      <c r="D219" s="154" t="s">
        <v>561</v>
      </c>
      <c r="E219" s="78">
        <v>1009440</v>
      </c>
      <c r="F219" s="78">
        <f>ROUND(E219,0)</f>
        <v>1009440</v>
      </c>
      <c r="G219" s="62">
        <f t="shared" si="65"/>
        <v>0</v>
      </c>
      <c r="H219" s="79"/>
      <c r="I219" s="62">
        <f>ROUND(F219,0)</f>
        <v>1009440</v>
      </c>
      <c r="J219" s="62">
        <f t="shared" si="66"/>
        <v>0</v>
      </c>
      <c r="K219" s="79"/>
      <c r="L219" s="62">
        <f>ROUND(I219,0)</f>
        <v>1009440</v>
      </c>
      <c r="M219" s="62">
        <f t="shared" si="67"/>
        <v>0</v>
      </c>
      <c r="N219" s="79"/>
      <c r="O219" s="144">
        <v>511594</v>
      </c>
      <c r="P219" s="248">
        <f t="shared" si="60"/>
        <v>0.50680971627833249</v>
      </c>
      <c r="Q219" s="144" t="s">
        <v>562</v>
      </c>
    </row>
    <row r="220" spans="2:17" ht="18" customHeight="1" x14ac:dyDescent="0.25">
      <c r="C220" s="142" t="s">
        <v>563</v>
      </c>
      <c r="D220" s="154" t="s">
        <v>564</v>
      </c>
      <c r="E220" s="78">
        <v>1943919.3519472245</v>
      </c>
      <c r="F220" s="78">
        <f t="shared" ref="F220" si="74">SUM(F221:F222)</f>
        <v>1943919</v>
      </c>
      <c r="G220" s="62">
        <f t="shared" si="65"/>
        <v>-0.35194722446613014</v>
      </c>
      <c r="H220" s="146"/>
      <c r="I220" s="62">
        <f>SUM(I221:I222)</f>
        <v>1956009</v>
      </c>
      <c r="J220" s="62">
        <f t="shared" si="66"/>
        <v>12090</v>
      </c>
      <c r="K220" s="146"/>
      <c r="L220" s="62">
        <f>SUM(L221:L222)</f>
        <v>1960502</v>
      </c>
      <c r="M220" s="62">
        <f t="shared" si="67"/>
        <v>4493</v>
      </c>
      <c r="N220" s="146"/>
      <c r="O220" s="144">
        <f>SUM(O221:O222)</f>
        <v>721730</v>
      </c>
      <c r="P220" s="248">
        <f t="shared" si="60"/>
        <v>0.36813530412108736</v>
      </c>
      <c r="Q220" s="144"/>
    </row>
    <row r="221" spans="2:17" ht="16.149999999999999" customHeight="1" x14ac:dyDescent="0.25">
      <c r="B221" s="75" t="s">
        <v>565</v>
      </c>
      <c r="C221" s="152" t="s">
        <v>566</v>
      </c>
      <c r="D221" s="119" t="s">
        <v>567</v>
      </c>
      <c r="E221" s="196">
        <v>273761</v>
      </c>
      <c r="F221" s="196">
        <f>ROUND(E221,0)</f>
        <v>273761</v>
      </c>
      <c r="G221" s="195">
        <f t="shared" si="65"/>
        <v>0</v>
      </c>
      <c r="H221" s="57"/>
      <c r="I221" s="195">
        <f>ROUND(F221,0)</f>
        <v>273761</v>
      </c>
      <c r="J221" s="195">
        <f t="shared" si="66"/>
        <v>0</v>
      </c>
      <c r="K221" s="57"/>
      <c r="L221" s="195">
        <f>ROUND(I221,0)+4493</f>
        <v>278254</v>
      </c>
      <c r="M221" s="195">
        <f t="shared" si="67"/>
        <v>4493</v>
      </c>
      <c r="N221" s="57" t="s">
        <v>151</v>
      </c>
      <c r="O221" s="197">
        <v>121644</v>
      </c>
      <c r="P221" s="265">
        <f t="shared" si="60"/>
        <v>0.43716891760765342</v>
      </c>
      <c r="Q221" s="197"/>
    </row>
    <row r="222" spans="2:17" ht="15" customHeight="1" x14ac:dyDescent="0.25">
      <c r="B222" s="75" t="s">
        <v>568</v>
      </c>
      <c r="C222" s="152" t="s">
        <v>569</v>
      </c>
      <c r="D222" s="119" t="s">
        <v>570</v>
      </c>
      <c r="E222" s="196">
        <v>1670158.3519472245</v>
      </c>
      <c r="F222" s="196">
        <f>ROUND(E222,0)</f>
        <v>1670158</v>
      </c>
      <c r="G222" s="195">
        <f t="shared" si="65"/>
        <v>-0.35194722446613014</v>
      </c>
      <c r="H222" s="198"/>
      <c r="I222" s="195">
        <f>ROUND(F222,0)-7910+20000</f>
        <v>1682248</v>
      </c>
      <c r="J222" s="197">
        <f t="shared" si="66"/>
        <v>12090</v>
      </c>
      <c r="K222" s="58" t="s">
        <v>571</v>
      </c>
      <c r="L222" s="195">
        <f>ROUND(I222,0)</f>
        <v>1682248</v>
      </c>
      <c r="M222" s="195">
        <f t="shared" si="67"/>
        <v>0</v>
      </c>
      <c r="N222" s="57"/>
      <c r="O222" s="197">
        <v>600086</v>
      </c>
      <c r="P222" s="265">
        <f t="shared" si="60"/>
        <v>0.35671672666574727</v>
      </c>
      <c r="Q222" s="197" t="s">
        <v>572</v>
      </c>
    </row>
    <row r="223" spans="2:17" ht="18" customHeight="1" x14ac:dyDescent="0.25">
      <c r="C223" s="142" t="s">
        <v>573</v>
      </c>
      <c r="D223" s="154" t="s">
        <v>574</v>
      </c>
      <c r="E223" s="78">
        <v>1237573.6494368</v>
      </c>
      <c r="F223" s="78">
        <f>F224+F225</f>
        <v>1237574</v>
      </c>
      <c r="G223" s="62">
        <f t="shared" si="65"/>
        <v>0.35056319995783269</v>
      </c>
      <c r="H223" s="146"/>
      <c r="I223" s="62">
        <f>I224+I225</f>
        <v>1230777</v>
      </c>
      <c r="J223" s="62">
        <f t="shared" si="66"/>
        <v>-6797</v>
      </c>
      <c r="K223" s="146"/>
      <c r="L223" s="62">
        <f>L224+L225</f>
        <v>1232647</v>
      </c>
      <c r="M223" s="62">
        <f t="shared" si="67"/>
        <v>1870</v>
      </c>
      <c r="N223" s="146"/>
      <c r="O223" s="144">
        <f>O224+O225</f>
        <v>443293</v>
      </c>
      <c r="P223" s="248">
        <f t="shared" si="60"/>
        <v>0.35962688425802358</v>
      </c>
      <c r="Q223" s="144"/>
    </row>
    <row r="224" spans="2:17" ht="16.5" customHeight="1" x14ac:dyDescent="0.25">
      <c r="B224" s="75" t="s">
        <v>575</v>
      </c>
      <c r="C224" s="152" t="s">
        <v>576</v>
      </c>
      <c r="D224" s="119" t="s">
        <v>567</v>
      </c>
      <c r="E224" s="39">
        <v>113943</v>
      </c>
      <c r="F224" s="39">
        <f>ROUND(E224,0)</f>
        <v>113943</v>
      </c>
      <c r="G224" s="38">
        <f t="shared" si="65"/>
        <v>0</v>
      </c>
      <c r="H224" s="57"/>
      <c r="I224" s="38">
        <f>ROUND(F224,0)</f>
        <v>113943</v>
      </c>
      <c r="J224" s="38">
        <f t="shared" si="66"/>
        <v>0</v>
      </c>
      <c r="K224" s="57"/>
      <c r="L224" s="38">
        <f>ROUND(I224,0)+1870</f>
        <v>115813</v>
      </c>
      <c r="M224" s="38">
        <f t="shared" si="67"/>
        <v>1870</v>
      </c>
      <c r="N224" s="57" t="s">
        <v>151</v>
      </c>
      <c r="O224" s="41">
        <v>50774</v>
      </c>
      <c r="P224" s="241">
        <f t="shared" si="60"/>
        <v>0.43841364959028778</v>
      </c>
      <c r="Q224" s="41"/>
    </row>
    <row r="225" spans="2:17" ht="13.15" customHeight="1" x14ac:dyDescent="0.25">
      <c r="B225" s="75" t="s">
        <v>577</v>
      </c>
      <c r="C225" s="152" t="s">
        <v>578</v>
      </c>
      <c r="D225" s="119" t="s">
        <v>570</v>
      </c>
      <c r="E225" s="39">
        <v>1123630.6494368</v>
      </c>
      <c r="F225" s="39">
        <f>ROUND(E225,0)</f>
        <v>1123631</v>
      </c>
      <c r="G225" s="38">
        <f t="shared" si="65"/>
        <v>0.35056319995783269</v>
      </c>
      <c r="H225" s="57"/>
      <c r="I225" s="38">
        <f>ROUND(F225,0)-6797</f>
        <v>1116834</v>
      </c>
      <c r="J225" s="41">
        <f t="shared" si="66"/>
        <v>-6797</v>
      </c>
      <c r="K225" s="58" t="s">
        <v>350</v>
      </c>
      <c r="L225" s="38">
        <f>ROUND(I225,0)</f>
        <v>1116834</v>
      </c>
      <c r="M225" s="38">
        <f t="shared" si="67"/>
        <v>0</v>
      </c>
      <c r="N225" s="57"/>
      <c r="O225" s="41">
        <v>392519</v>
      </c>
      <c r="P225" s="241">
        <f t="shared" si="60"/>
        <v>0.35145688616213333</v>
      </c>
      <c r="Q225" s="41" t="s">
        <v>572</v>
      </c>
    </row>
    <row r="226" spans="2:17" ht="18" customHeight="1" x14ac:dyDescent="0.25">
      <c r="C226" s="199" t="s">
        <v>579</v>
      </c>
      <c r="D226" s="154" t="s">
        <v>580</v>
      </c>
      <c r="E226" s="78">
        <v>1320896.3067867202</v>
      </c>
      <c r="F226" s="78">
        <f>F227+F228+F229</f>
        <v>1320896</v>
      </c>
      <c r="G226" s="62">
        <f t="shared" si="65"/>
        <v>-0.30678672017529607</v>
      </c>
      <c r="H226" s="146"/>
      <c r="I226" s="62">
        <f>I227+I228+I229</f>
        <v>1320896</v>
      </c>
      <c r="J226" s="62">
        <f t="shared" si="66"/>
        <v>0</v>
      </c>
      <c r="K226" s="146"/>
      <c r="L226" s="62">
        <f>L227+L228+L229</f>
        <v>1323864</v>
      </c>
      <c r="M226" s="62">
        <f t="shared" si="67"/>
        <v>2968</v>
      </c>
      <c r="N226" s="146"/>
      <c r="O226" s="144">
        <f>O227+O228+O229</f>
        <v>585342</v>
      </c>
      <c r="P226" s="248">
        <f t="shared" si="60"/>
        <v>0.44214662533311577</v>
      </c>
      <c r="Q226" s="144"/>
    </row>
    <row r="227" spans="2:17" ht="13.5" customHeight="1" x14ac:dyDescent="0.25">
      <c r="B227" s="1" t="s">
        <v>581</v>
      </c>
      <c r="C227" s="152" t="s">
        <v>582</v>
      </c>
      <c r="D227" s="119" t="s">
        <v>567</v>
      </c>
      <c r="E227" s="39">
        <v>192011</v>
      </c>
      <c r="F227" s="39">
        <f>ROUND(E227,0)</f>
        <v>192011</v>
      </c>
      <c r="G227" s="38">
        <f t="shared" si="65"/>
        <v>0</v>
      </c>
      <c r="H227" s="57"/>
      <c r="I227" s="38">
        <f>ROUND(F227,0)</f>
        <v>192011</v>
      </c>
      <c r="J227" s="38">
        <f t="shared" si="66"/>
        <v>0</v>
      </c>
      <c r="K227" s="57"/>
      <c r="L227" s="38">
        <f>ROUND(I227,0)+2968</f>
        <v>194979</v>
      </c>
      <c r="M227" s="38">
        <f t="shared" si="67"/>
        <v>2968</v>
      </c>
      <c r="N227" s="57" t="s">
        <v>151</v>
      </c>
      <c r="O227" s="41">
        <v>98326</v>
      </c>
      <c r="P227" s="241">
        <f t="shared" si="60"/>
        <v>0.50429020561188642</v>
      </c>
      <c r="Q227" s="41"/>
    </row>
    <row r="228" spans="2:17" ht="17.45" customHeight="1" x14ac:dyDescent="0.25">
      <c r="B228" s="1" t="s">
        <v>583</v>
      </c>
      <c r="C228" s="152" t="s">
        <v>584</v>
      </c>
      <c r="D228" s="119" t="s">
        <v>570</v>
      </c>
      <c r="E228" s="39">
        <v>968536.30678672018</v>
      </c>
      <c r="F228" s="39">
        <f>ROUND(E228,0)</f>
        <v>968536</v>
      </c>
      <c r="G228" s="38">
        <f t="shared" si="65"/>
        <v>-0.30678672017529607</v>
      </c>
      <c r="H228" s="57"/>
      <c r="I228" s="38">
        <f>ROUND(F228,0)</f>
        <v>968536</v>
      </c>
      <c r="J228" s="38">
        <f t="shared" si="66"/>
        <v>0</v>
      </c>
      <c r="K228" s="57"/>
      <c r="L228" s="38">
        <f>ROUND(I228,0)</f>
        <v>968536</v>
      </c>
      <c r="M228" s="38">
        <f t="shared" si="67"/>
        <v>0</v>
      </c>
      <c r="N228" s="57"/>
      <c r="O228" s="41">
        <v>423086</v>
      </c>
      <c r="P228" s="241">
        <f t="shared" si="60"/>
        <v>0.43683043273559269</v>
      </c>
      <c r="Q228" s="41" t="s">
        <v>572</v>
      </c>
    </row>
    <row r="229" spans="2:17" ht="17.45" customHeight="1" x14ac:dyDescent="0.25">
      <c r="C229" s="152" t="s">
        <v>585</v>
      </c>
      <c r="D229" s="119" t="s">
        <v>586</v>
      </c>
      <c r="E229" s="39">
        <v>160349</v>
      </c>
      <c r="F229" s="39">
        <f>ROUND(E229,0)</f>
        <v>160349</v>
      </c>
      <c r="G229" s="38">
        <f>F229-E229</f>
        <v>0</v>
      </c>
      <c r="H229" s="57"/>
      <c r="I229" s="38">
        <f>ROUND(F229,0)</f>
        <v>160349</v>
      </c>
      <c r="J229" s="38">
        <f t="shared" si="66"/>
        <v>0</v>
      </c>
      <c r="K229" s="57"/>
      <c r="L229" s="38">
        <f>ROUND(I229,0)</f>
        <v>160349</v>
      </c>
      <c r="M229" s="38">
        <f t="shared" si="67"/>
        <v>0</v>
      </c>
      <c r="N229" s="57"/>
      <c r="O229" s="261">
        <v>63930</v>
      </c>
      <c r="P229" s="241">
        <f t="shared" si="60"/>
        <v>0.39869285121828013</v>
      </c>
      <c r="Q229" s="41"/>
    </row>
    <row r="230" spans="2:17" x14ac:dyDescent="0.25">
      <c r="B230" s="1" t="s">
        <v>587</v>
      </c>
      <c r="C230" s="199" t="s">
        <v>588</v>
      </c>
      <c r="D230" s="154" t="s">
        <v>589</v>
      </c>
      <c r="E230" s="78">
        <v>1231648.2936508402</v>
      </c>
      <c r="F230" s="78">
        <f t="shared" ref="F230" si="75">SUM(F231:F233)</f>
        <v>1231648</v>
      </c>
      <c r="G230" s="62">
        <f t="shared" si="65"/>
        <v>-0.29365084017626941</v>
      </c>
      <c r="H230" s="146"/>
      <c r="I230" s="62">
        <f>SUM(I231:I233)</f>
        <v>1233648</v>
      </c>
      <c r="J230" s="62">
        <f t="shared" si="66"/>
        <v>2000</v>
      </c>
      <c r="K230" s="146"/>
      <c r="L230" s="62">
        <f>SUM(L231:L233)</f>
        <v>1234807</v>
      </c>
      <c r="M230" s="62">
        <f t="shared" si="67"/>
        <v>1159</v>
      </c>
      <c r="N230" s="146"/>
      <c r="O230" s="144">
        <f>SUM(O231:O233)</f>
        <v>508949</v>
      </c>
      <c r="P230" s="248">
        <f t="shared" si="60"/>
        <v>0.41216886525586588</v>
      </c>
      <c r="Q230" s="144"/>
    </row>
    <row r="231" spans="2:17" s="201" customFormat="1" ht="17.25" customHeight="1" x14ac:dyDescent="0.25">
      <c r="B231" s="200" t="s">
        <v>590</v>
      </c>
      <c r="C231" s="152" t="s">
        <v>591</v>
      </c>
      <c r="D231" s="119" t="s">
        <v>567</v>
      </c>
      <c r="E231" s="39">
        <v>71133</v>
      </c>
      <c r="F231" s="39">
        <f>ROUND(E231,0)</f>
        <v>71133</v>
      </c>
      <c r="G231" s="195">
        <f t="shared" si="65"/>
        <v>0</v>
      </c>
      <c r="H231" s="40"/>
      <c r="I231" s="38">
        <f>ROUND(F231,0)</f>
        <v>71133</v>
      </c>
      <c r="J231" s="195">
        <f t="shared" si="66"/>
        <v>0</v>
      </c>
      <c r="K231" s="40"/>
      <c r="L231" s="38">
        <f>ROUND(I231,0)+1159</f>
        <v>72292</v>
      </c>
      <c r="M231" s="195">
        <f t="shared" si="67"/>
        <v>1159</v>
      </c>
      <c r="N231" s="40" t="s">
        <v>151</v>
      </c>
      <c r="O231" s="41">
        <v>32535</v>
      </c>
      <c r="P231" s="241">
        <f t="shared" si="60"/>
        <v>0.45004979804127704</v>
      </c>
      <c r="Q231" s="41"/>
    </row>
    <row r="232" spans="2:17" s="201" customFormat="1" ht="15.6" customHeight="1" x14ac:dyDescent="0.25">
      <c r="C232" s="152" t="s">
        <v>592</v>
      </c>
      <c r="D232" s="119" t="s">
        <v>570</v>
      </c>
      <c r="E232" s="39">
        <v>1001768.2936508402</v>
      </c>
      <c r="F232" s="39">
        <f>ROUND(E232,0)</f>
        <v>1001768</v>
      </c>
      <c r="G232" s="195">
        <f t="shared" si="65"/>
        <v>-0.29365084017626941</v>
      </c>
      <c r="H232" s="57"/>
      <c r="I232" s="38">
        <f>ROUND(F232,0)+2000</f>
        <v>1003768</v>
      </c>
      <c r="J232" s="195">
        <f t="shared" si="66"/>
        <v>2000</v>
      </c>
      <c r="K232" s="40" t="s">
        <v>593</v>
      </c>
      <c r="L232" s="38">
        <f>ROUND(I232,0)</f>
        <v>1003768</v>
      </c>
      <c r="M232" s="195">
        <f t="shared" si="67"/>
        <v>0</v>
      </c>
      <c r="N232" s="40"/>
      <c r="O232" s="41">
        <v>408419</v>
      </c>
      <c r="P232" s="241">
        <f t="shared" si="60"/>
        <v>0.4068858541017446</v>
      </c>
      <c r="Q232" s="41" t="s">
        <v>572</v>
      </c>
    </row>
    <row r="233" spans="2:17" s="201" customFormat="1" ht="13.9" customHeight="1" x14ac:dyDescent="0.25">
      <c r="C233" s="152" t="s">
        <v>594</v>
      </c>
      <c r="D233" s="119" t="s">
        <v>586</v>
      </c>
      <c r="E233" s="39">
        <v>158747</v>
      </c>
      <c r="F233" s="39">
        <f>ROUND(E233,0)</f>
        <v>158747</v>
      </c>
      <c r="G233" s="195">
        <f>F233-E233</f>
        <v>0</v>
      </c>
      <c r="H233" s="57"/>
      <c r="I233" s="38">
        <f>ROUND(F233,0)</f>
        <v>158747</v>
      </c>
      <c r="J233" s="195">
        <f t="shared" si="66"/>
        <v>0</v>
      </c>
      <c r="K233" s="57"/>
      <c r="L233" s="38">
        <f>ROUND(I233,0)</f>
        <v>158747</v>
      </c>
      <c r="M233" s="195">
        <f t="shared" si="67"/>
        <v>0</v>
      </c>
      <c r="N233" s="57"/>
      <c r="O233" s="261">
        <v>67995</v>
      </c>
      <c r="P233" s="241">
        <f t="shared" si="60"/>
        <v>0.42832305492387257</v>
      </c>
      <c r="Q233" s="41"/>
    </row>
    <row r="234" spans="2:17" x14ac:dyDescent="0.25">
      <c r="C234" s="199" t="s">
        <v>595</v>
      </c>
      <c r="D234" s="154" t="s">
        <v>596</v>
      </c>
      <c r="E234" s="78">
        <v>2137999</v>
      </c>
      <c r="F234" s="78">
        <f>F235+F236+F237</f>
        <v>2137999</v>
      </c>
      <c r="G234" s="62">
        <f t="shared" si="65"/>
        <v>0</v>
      </c>
      <c r="H234" s="146"/>
      <c r="I234" s="62">
        <f>I235+I236+I237</f>
        <v>2137999</v>
      </c>
      <c r="J234" s="62">
        <f t="shared" si="66"/>
        <v>0</v>
      </c>
      <c r="K234" s="146"/>
      <c r="L234" s="62">
        <f>L235+L236+L237</f>
        <v>2137999</v>
      </c>
      <c r="M234" s="62">
        <f t="shared" si="67"/>
        <v>0</v>
      </c>
      <c r="N234" s="146"/>
      <c r="O234" s="144">
        <f>O235+O236+O237</f>
        <v>1117550</v>
      </c>
      <c r="P234" s="248">
        <f t="shared" si="60"/>
        <v>0.52270838293189104</v>
      </c>
      <c r="Q234" s="144"/>
    </row>
    <row r="235" spans="2:17" s="201" customFormat="1" x14ac:dyDescent="0.25">
      <c r="B235" s="200" t="s">
        <v>597</v>
      </c>
      <c r="C235" s="202" t="s">
        <v>598</v>
      </c>
      <c r="D235" s="203" t="s">
        <v>599</v>
      </c>
      <c r="E235" s="39">
        <v>625207</v>
      </c>
      <c r="F235" s="39">
        <f>ROUND(E235,0)</f>
        <v>625207</v>
      </c>
      <c r="G235" s="195">
        <f t="shared" si="65"/>
        <v>0</v>
      </c>
      <c r="H235" s="40"/>
      <c r="I235" s="38">
        <f>ROUND(F235,0)</f>
        <v>625207</v>
      </c>
      <c r="J235" s="195">
        <f t="shared" si="66"/>
        <v>0</v>
      </c>
      <c r="K235" s="40"/>
      <c r="L235" s="38">
        <f>ROUND(I235,0)</f>
        <v>625207</v>
      </c>
      <c r="M235" s="195">
        <f t="shared" si="67"/>
        <v>0</v>
      </c>
      <c r="N235" s="40"/>
      <c r="O235" s="41">
        <v>265837</v>
      </c>
      <c r="P235" s="241">
        <f t="shared" si="60"/>
        <v>0.42519837429843238</v>
      </c>
      <c r="Q235" s="41"/>
    </row>
    <row r="236" spans="2:17" s="201" customFormat="1" ht="16.149999999999999" customHeight="1" x14ac:dyDescent="0.25">
      <c r="B236" s="200" t="s">
        <v>600</v>
      </c>
      <c r="C236" s="202" t="s">
        <v>601</v>
      </c>
      <c r="D236" s="203" t="s">
        <v>602</v>
      </c>
      <c r="E236" s="39">
        <v>135000</v>
      </c>
      <c r="F236" s="39">
        <f>ROUND(E236,0)</f>
        <v>135000</v>
      </c>
      <c r="G236" s="195">
        <f t="shared" si="65"/>
        <v>0</v>
      </c>
      <c r="H236" s="40"/>
      <c r="I236" s="38">
        <f>ROUND(F236,0)</f>
        <v>135000</v>
      </c>
      <c r="J236" s="195">
        <f t="shared" si="66"/>
        <v>0</v>
      </c>
      <c r="K236" s="40"/>
      <c r="L236" s="38">
        <f>ROUND(I236,0)</f>
        <v>135000</v>
      </c>
      <c r="M236" s="195">
        <f t="shared" si="67"/>
        <v>0</v>
      </c>
      <c r="N236" s="40"/>
      <c r="O236" s="329">
        <f>429352+51495+370866</f>
        <v>851713</v>
      </c>
      <c r="P236" s="331">
        <f>O236/(L236+L237)</f>
        <v>0.56300734007054509</v>
      </c>
      <c r="Q236" s="41"/>
    </row>
    <row r="237" spans="2:17" x14ac:dyDescent="0.25">
      <c r="B237" s="75" t="s">
        <v>600</v>
      </c>
      <c r="C237" s="152" t="s">
        <v>603</v>
      </c>
      <c r="D237" s="119" t="s">
        <v>604</v>
      </c>
      <c r="E237" s="39">
        <v>1377792</v>
      </c>
      <c r="F237" s="39">
        <f>ROUND(E237,0)</f>
        <v>1377792</v>
      </c>
      <c r="G237" s="195">
        <f t="shared" si="65"/>
        <v>0</v>
      </c>
      <c r="H237" s="40"/>
      <c r="I237" s="38">
        <f>ROUND(F237,0)</f>
        <v>1377792</v>
      </c>
      <c r="J237" s="195">
        <f t="shared" si="66"/>
        <v>0</v>
      </c>
      <c r="K237" s="40"/>
      <c r="L237" s="38">
        <f>ROUND(I237,0)</f>
        <v>1377792</v>
      </c>
      <c r="M237" s="195">
        <f t="shared" si="67"/>
        <v>0</v>
      </c>
      <c r="N237" s="40"/>
      <c r="O237" s="330"/>
      <c r="P237" s="332">
        <f>O237/F237</f>
        <v>0</v>
      </c>
      <c r="Q237" s="41"/>
    </row>
    <row r="238" spans="2:17" s="132" customFormat="1" ht="15.75" customHeight="1" x14ac:dyDescent="0.2">
      <c r="C238" s="199" t="s">
        <v>605</v>
      </c>
      <c r="D238" s="154" t="s">
        <v>606</v>
      </c>
      <c r="E238" s="156">
        <v>1977338.5930570001</v>
      </c>
      <c r="F238" s="156">
        <f t="shared" ref="F238" si="76">F239+F240+F241+F242+F243+F244+F245</f>
        <v>1974553</v>
      </c>
      <c r="G238" s="155">
        <f t="shared" si="65"/>
        <v>-2785.5930570000783</v>
      </c>
      <c r="H238" s="167"/>
      <c r="I238" s="155">
        <f>I239+I240+I241+I242+I243+I244+I245</f>
        <v>1979553</v>
      </c>
      <c r="J238" s="155">
        <f t="shared" si="66"/>
        <v>5000</v>
      </c>
      <c r="K238" s="167"/>
      <c r="L238" s="155">
        <f>L239+L240+L241+L242+L243+L244+L245</f>
        <v>1990205</v>
      </c>
      <c r="M238" s="155">
        <f t="shared" si="67"/>
        <v>10652</v>
      </c>
      <c r="N238" s="167"/>
      <c r="O238" s="157">
        <f>O239+O240+O241+O242+O243+O244+O245</f>
        <v>988148</v>
      </c>
      <c r="P238" s="258">
        <f t="shared" ref="P238:P244" si="77">O238/L238</f>
        <v>0.49650563635404393</v>
      </c>
      <c r="Q238" s="157"/>
    </row>
    <row r="239" spans="2:17" s="35" customFormat="1" ht="17.25" customHeight="1" x14ac:dyDescent="0.25">
      <c r="B239" s="54" t="s">
        <v>607</v>
      </c>
      <c r="C239" s="152" t="s">
        <v>608</v>
      </c>
      <c r="D239" s="119" t="s">
        <v>567</v>
      </c>
      <c r="E239" s="39">
        <v>926167</v>
      </c>
      <c r="F239" s="39">
        <f>ROUND(E239,0)</f>
        <v>926167</v>
      </c>
      <c r="G239" s="38">
        <f t="shared" si="65"/>
        <v>0</v>
      </c>
      <c r="H239" s="57"/>
      <c r="I239" s="38">
        <f>ROUND(F239,0)</f>
        <v>926167</v>
      </c>
      <c r="J239" s="38">
        <f t="shared" si="66"/>
        <v>0</v>
      </c>
      <c r="K239" s="57"/>
      <c r="L239" s="38">
        <f>ROUND(I239,0)+10652</f>
        <v>936819</v>
      </c>
      <c r="M239" s="38">
        <f t="shared" si="67"/>
        <v>10652</v>
      </c>
      <c r="N239" s="57" t="s">
        <v>151</v>
      </c>
      <c r="O239" s="41">
        <f>505897-O240</f>
        <v>481193.49</v>
      </c>
      <c r="P239" s="241">
        <f t="shared" si="77"/>
        <v>0.51364616857685419</v>
      </c>
      <c r="Q239" s="41"/>
    </row>
    <row r="240" spans="2:17" s="35" customFormat="1" x14ac:dyDescent="0.25">
      <c r="B240" s="35" t="s">
        <v>607</v>
      </c>
      <c r="C240" s="152" t="s">
        <v>609</v>
      </c>
      <c r="D240" s="119" t="s">
        <v>610</v>
      </c>
      <c r="E240" s="39">
        <v>74869</v>
      </c>
      <c r="F240" s="39">
        <f>ROUND(E240,0)</f>
        <v>74869</v>
      </c>
      <c r="G240" s="38">
        <f t="shared" si="65"/>
        <v>0</v>
      </c>
      <c r="H240" s="57"/>
      <c r="I240" s="38">
        <f>ROUND(F240,0)</f>
        <v>74869</v>
      </c>
      <c r="J240" s="38">
        <f t="shared" si="66"/>
        <v>0</v>
      </c>
      <c r="K240" s="57"/>
      <c r="L240" s="38">
        <f t="shared" ref="L240:L246" si="78">ROUND(I240,0)</f>
        <v>74869</v>
      </c>
      <c r="M240" s="38">
        <f t="shared" si="67"/>
        <v>0</v>
      </c>
      <c r="N240" s="57"/>
      <c r="O240" s="41">
        <v>24703.51</v>
      </c>
      <c r="P240" s="241">
        <f t="shared" si="77"/>
        <v>0.32995645727871348</v>
      </c>
      <c r="Q240" s="41"/>
    </row>
    <row r="241" spans="2:17" s="35" customFormat="1" ht="17.25" customHeight="1" x14ac:dyDescent="0.25">
      <c r="B241" s="54" t="s">
        <v>611</v>
      </c>
      <c r="C241" s="152" t="s">
        <v>612</v>
      </c>
      <c r="D241" s="119" t="s">
        <v>570</v>
      </c>
      <c r="E241" s="39">
        <v>682154.59305699996</v>
      </c>
      <c r="F241" s="39">
        <f t="shared" ref="F241:F246" si="79">ROUND(E241,0)</f>
        <v>682155</v>
      </c>
      <c r="G241" s="38">
        <f t="shared" si="65"/>
        <v>0.40694300003815442</v>
      </c>
      <c r="H241" s="57"/>
      <c r="I241" s="38">
        <f>ROUND(F241,0)</f>
        <v>682155</v>
      </c>
      <c r="J241" s="38">
        <f t="shared" si="66"/>
        <v>0</v>
      </c>
      <c r="K241" s="57"/>
      <c r="L241" s="38">
        <f t="shared" si="78"/>
        <v>682155</v>
      </c>
      <c r="M241" s="38">
        <f t="shared" si="67"/>
        <v>0</v>
      </c>
      <c r="N241" s="57"/>
      <c r="O241" s="41">
        <v>320213</v>
      </c>
      <c r="P241" s="241">
        <f t="shared" si="77"/>
        <v>0.46941384289494326</v>
      </c>
      <c r="Q241" s="41" t="s">
        <v>572</v>
      </c>
    </row>
    <row r="242" spans="2:17" s="35" customFormat="1" ht="17.25" customHeight="1" x14ac:dyDescent="0.25">
      <c r="B242" s="54"/>
      <c r="C242" s="152" t="s">
        <v>613</v>
      </c>
      <c r="D242" s="119" t="s">
        <v>586</v>
      </c>
      <c r="E242" s="39">
        <v>241081</v>
      </c>
      <c r="F242" s="39">
        <f t="shared" si="79"/>
        <v>241081</v>
      </c>
      <c r="G242" s="38">
        <f t="shared" si="65"/>
        <v>0</v>
      </c>
      <c r="H242" s="57"/>
      <c r="I242" s="38">
        <f>ROUND(F242,0)</f>
        <v>241081</v>
      </c>
      <c r="J242" s="38">
        <f t="shared" si="66"/>
        <v>0</v>
      </c>
      <c r="K242" s="57"/>
      <c r="L242" s="38">
        <f t="shared" si="78"/>
        <v>241081</v>
      </c>
      <c r="M242" s="38">
        <f t="shared" si="67"/>
        <v>0</v>
      </c>
      <c r="N242" s="57"/>
      <c r="O242" s="261">
        <v>124399</v>
      </c>
      <c r="P242" s="241">
        <f t="shared" si="77"/>
        <v>0.51600499417208323</v>
      </c>
      <c r="Q242" s="41"/>
    </row>
    <row r="243" spans="2:17" s="35" customFormat="1" ht="16.899999999999999" customHeight="1" x14ac:dyDescent="0.25">
      <c r="B243" s="54" t="s">
        <v>614</v>
      </c>
      <c r="C243" s="152" t="s">
        <v>615</v>
      </c>
      <c r="D243" s="119" t="s">
        <v>616</v>
      </c>
      <c r="E243" s="39">
        <v>6454</v>
      </c>
      <c r="F243" s="39">
        <f>ROUND(E243,0)-2786</f>
        <v>3668</v>
      </c>
      <c r="G243" s="38">
        <f t="shared" si="65"/>
        <v>-2786</v>
      </c>
      <c r="H243" s="40" t="s">
        <v>171</v>
      </c>
      <c r="I243" s="38">
        <f>ROUND(F243,0)</f>
        <v>3668</v>
      </c>
      <c r="J243" s="38">
        <f t="shared" si="66"/>
        <v>0</v>
      </c>
      <c r="K243" s="40"/>
      <c r="L243" s="38">
        <f t="shared" si="78"/>
        <v>3668</v>
      </c>
      <c r="M243" s="38">
        <f t="shared" si="67"/>
        <v>0</v>
      </c>
      <c r="N243" s="40"/>
      <c r="O243" s="41">
        <v>3024</v>
      </c>
      <c r="P243" s="241">
        <f t="shared" si="77"/>
        <v>0.82442748091603058</v>
      </c>
      <c r="Q243" s="41"/>
    </row>
    <row r="244" spans="2:17" s="132" customFormat="1" ht="13.9" customHeight="1" x14ac:dyDescent="0.25">
      <c r="B244" s="75" t="s">
        <v>617</v>
      </c>
      <c r="C244" s="152" t="s">
        <v>618</v>
      </c>
      <c r="D244" s="119" t="s">
        <v>619</v>
      </c>
      <c r="E244" s="39">
        <v>46613</v>
      </c>
      <c r="F244" s="39">
        <f t="shared" si="79"/>
        <v>46613</v>
      </c>
      <c r="G244" s="38">
        <f t="shared" si="65"/>
        <v>0</v>
      </c>
      <c r="H244" s="40"/>
      <c r="I244" s="38">
        <f>ROUND(F244,0)+5000</f>
        <v>51613</v>
      </c>
      <c r="J244" s="38">
        <f t="shared" si="66"/>
        <v>5000</v>
      </c>
      <c r="K244" s="83" t="s">
        <v>242</v>
      </c>
      <c r="L244" s="38">
        <f t="shared" si="78"/>
        <v>51613</v>
      </c>
      <c r="M244" s="38">
        <f t="shared" si="67"/>
        <v>0</v>
      </c>
      <c r="N244" s="83"/>
      <c r="O244" s="41">
        <v>34615</v>
      </c>
      <c r="P244" s="241">
        <f t="shared" si="77"/>
        <v>0.67066436750431091</v>
      </c>
      <c r="Q244" s="41"/>
    </row>
    <row r="245" spans="2:17" s="132" customFormat="1" ht="15" customHeight="1" x14ac:dyDescent="0.25">
      <c r="B245" s="75" t="s">
        <v>620</v>
      </c>
      <c r="C245" s="152" t="s">
        <v>621</v>
      </c>
      <c r="D245" s="119" t="s">
        <v>622</v>
      </c>
      <c r="E245" s="39">
        <v>0</v>
      </c>
      <c r="F245" s="39">
        <f t="shared" si="79"/>
        <v>0</v>
      </c>
      <c r="G245" s="38">
        <f t="shared" si="65"/>
        <v>0</v>
      </c>
      <c r="H245" s="40"/>
      <c r="I245" s="38">
        <f>ROUND(F245,0)</f>
        <v>0</v>
      </c>
      <c r="J245" s="38">
        <f t="shared" si="66"/>
        <v>0</v>
      </c>
      <c r="K245" s="40"/>
      <c r="L245" s="38">
        <f t="shared" si="78"/>
        <v>0</v>
      </c>
      <c r="M245" s="38">
        <f t="shared" si="67"/>
        <v>0</v>
      </c>
      <c r="N245" s="40"/>
      <c r="O245" s="41">
        <f>ROUND(H245,0)</f>
        <v>0</v>
      </c>
      <c r="P245" s="241"/>
      <c r="Q245" s="41"/>
    </row>
    <row r="246" spans="2:17" s="35" customFormat="1" ht="21" customHeight="1" x14ac:dyDescent="0.25">
      <c r="B246" s="75" t="s">
        <v>623</v>
      </c>
      <c r="C246" s="199" t="s">
        <v>624</v>
      </c>
      <c r="D246" s="154" t="s">
        <v>329</v>
      </c>
      <c r="E246" s="156">
        <v>836633.39</v>
      </c>
      <c r="F246" s="156">
        <f t="shared" si="79"/>
        <v>836633</v>
      </c>
      <c r="G246" s="155">
        <f>F246-E246</f>
        <v>-0.39000000001396984</v>
      </c>
      <c r="H246" s="79"/>
      <c r="I246" s="155">
        <f>ROUND(F246,0)</f>
        <v>836633</v>
      </c>
      <c r="J246" s="155">
        <f t="shared" si="66"/>
        <v>0</v>
      </c>
      <c r="K246" s="79"/>
      <c r="L246" s="155">
        <f t="shared" si="78"/>
        <v>836633</v>
      </c>
      <c r="M246" s="155">
        <f t="shared" si="67"/>
        <v>0</v>
      </c>
      <c r="N246" s="79"/>
      <c r="O246" s="157">
        <v>126581</v>
      </c>
      <c r="P246" s="258">
        <f t="shared" ref="P246:P271" si="80">O246/L246</f>
        <v>0.15129811996418979</v>
      </c>
      <c r="Q246" s="144" t="s">
        <v>625</v>
      </c>
    </row>
    <row r="247" spans="2:17" s="35" customFormat="1" ht="15.75" customHeight="1" x14ac:dyDescent="0.25">
      <c r="B247" s="54"/>
      <c r="C247" s="199" t="s">
        <v>626</v>
      </c>
      <c r="D247" s="154" t="s">
        <v>627</v>
      </c>
      <c r="E247" s="156">
        <v>7240446.2743386505</v>
      </c>
      <c r="F247" s="156">
        <f>F248+F249+F250+F251+F252+F253+F254+F255</f>
        <v>7249299</v>
      </c>
      <c r="G247" s="155">
        <f t="shared" si="65"/>
        <v>8852.7256613494828</v>
      </c>
      <c r="H247" s="79"/>
      <c r="I247" s="155">
        <f>I248+I249+I250+I251+I252+I253+I254+I255</f>
        <v>7335799</v>
      </c>
      <c r="J247" s="155">
        <f t="shared" si="66"/>
        <v>86500</v>
      </c>
      <c r="K247" s="79"/>
      <c r="L247" s="155">
        <f>L248+L249+L250+L251+L252+L253+L254+L255</f>
        <v>7378123</v>
      </c>
      <c r="M247" s="155">
        <f t="shared" si="67"/>
        <v>42324</v>
      </c>
      <c r="N247" s="79"/>
      <c r="O247" s="157">
        <f>O248+O249+O250+O251+O252+O253+O254+O255</f>
        <v>2994244</v>
      </c>
      <c r="P247" s="258">
        <f t="shared" si="80"/>
        <v>0.40582733576005714</v>
      </c>
      <c r="Q247" s="157"/>
    </row>
    <row r="248" spans="2:17" s="35" customFormat="1" ht="17.25" customHeight="1" x14ac:dyDescent="0.25">
      <c r="B248" s="54" t="s">
        <v>628</v>
      </c>
      <c r="C248" s="152" t="s">
        <v>629</v>
      </c>
      <c r="D248" s="119" t="s">
        <v>567</v>
      </c>
      <c r="E248" s="39">
        <v>3750643</v>
      </c>
      <c r="F248" s="39">
        <f>ROUND(E248,0)</f>
        <v>3750643</v>
      </c>
      <c r="G248" s="38">
        <f t="shared" si="65"/>
        <v>0</v>
      </c>
      <c r="H248" s="57"/>
      <c r="I248" s="38">
        <f t="shared" ref="I248:I254" si="81">ROUND(F248,0)</f>
        <v>3750643</v>
      </c>
      <c r="J248" s="38">
        <f t="shared" si="66"/>
        <v>0</v>
      </c>
      <c r="K248" s="57"/>
      <c r="L248" s="38">
        <f>ROUND(I248,0)+41084</f>
        <v>3791727</v>
      </c>
      <c r="M248" s="38">
        <f t="shared" si="67"/>
        <v>41084</v>
      </c>
      <c r="N248" s="57" t="s">
        <v>151</v>
      </c>
      <c r="O248" s="41">
        <f>1714076-O254</f>
        <v>1642380</v>
      </c>
      <c r="P248" s="241">
        <f t="shared" si="80"/>
        <v>0.43314827254177318</v>
      </c>
      <c r="Q248" s="41"/>
    </row>
    <row r="249" spans="2:17" s="35" customFormat="1" ht="18" customHeight="1" x14ac:dyDescent="0.25">
      <c r="B249" s="54" t="s">
        <v>630</v>
      </c>
      <c r="C249" s="152" t="s">
        <v>631</v>
      </c>
      <c r="D249" s="119" t="s">
        <v>570</v>
      </c>
      <c r="E249" s="39">
        <v>1425817.7494320502</v>
      </c>
      <c r="F249" s="39">
        <f>ROUND(E249,0)+10864</f>
        <v>1436682</v>
      </c>
      <c r="G249" s="38">
        <f t="shared" si="65"/>
        <v>10864.250567949843</v>
      </c>
      <c r="H249" s="57" t="s">
        <v>632</v>
      </c>
      <c r="I249" s="38">
        <f>ROUND(F249,0)+43000</f>
        <v>1479682</v>
      </c>
      <c r="J249" s="41">
        <f t="shared" si="66"/>
        <v>43000</v>
      </c>
      <c r="K249" s="58" t="s">
        <v>633</v>
      </c>
      <c r="L249" s="38">
        <f t="shared" ref="L249:L254" si="82">ROUND(I249,0)</f>
        <v>1479682</v>
      </c>
      <c r="M249" s="38">
        <f t="shared" si="67"/>
        <v>0</v>
      </c>
      <c r="N249" s="57"/>
      <c r="O249" s="41">
        <f>610414-O252</f>
        <v>610414</v>
      </c>
      <c r="P249" s="241">
        <f t="shared" si="80"/>
        <v>0.41253053020851777</v>
      </c>
      <c r="Q249" s="41"/>
    </row>
    <row r="250" spans="2:17" s="35" customFormat="1" ht="17.45" customHeight="1" x14ac:dyDescent="0.25">
      <c r="B250" s="35" t="s">
        <v>634</v>
      </c>
      <c r="C250" s="152" t="s">
        <v>635</v>
      </c>
      <c r="D250" s="119" t="s">
        <v>619</v>
      </c>
      <c r="E250" s="39">
        <v>250373</v>
      </c>
      <c r="F250" s="39">
        <f>ROUND(E250,0)</f>
        <v>250373</v>
      </c>
      <c r="G250" s="38">
        <f t="shared" si="65"/>
        <v>0</v>
      </c>
      <c r="H250" s="40"/>
      <c r="I250" s="38">
        <f t="shared" si="81"/>
        <v>250373</v>
      </c>
      <c r="J250" s="38">
        <f t="shared" si="66"/>
        <v>0</v>
      </c>
      <c r="K250" s="40"/>
      <c r="L250" s="38">
        <f t="shared" si="82"/>
        <v>250373</v>
      </c>
      <c r="M250" s="38">
        <f t="shared" si="67"/>
        <v>0</v>
      </c>
      <c r="N250" s="40"/>
      <c r="O250" s="41">
        <v>142993</v>
      </c>
      <c r="P250" s="241">
        <f t="shared" si="80"/>
        <v>0.57111988912542488</v>
      </c>
      <c r="Q250" s="41"/>
    </row>
    <row r="251" spans="2:17" s="35" customFormat="1" ht="16.149999999999999" customHeight="1" x14ac:dyDescent="0.25">
      <c r="B251" s="54" t="s">
        <v>636</v>
      </c>
      <c r="C251" s="152" t="s">
        <v>637</v>
      </c>
      <c r="D251" s="119" t="s">
        <v>616</v>
      </c>
      <c r="E251" s="39">
        <v>16158</v>
      </c>
      <c r="F251" s="39">
        <f>ROUND(E251,0)-2011</f>
        <v>14147</v>
      </c>
      <c r="G251" s="38">
        <f t="shared" si="65"/>
        <v>-2011</v>
      </c>
      <c r="H251" s="40" t="s">
        <v>171</v>
      </c>
      <c r="I251" s="38">
        <f t="shared" si="81"/>
        <v>14147</v>
      </c>
      <c r="J251" s="38">
        <f t="shared" si="66"/>
        <v>0</v>
      </c>
      <c r="K251" s="40"/>
      <c r="L251" s="38">
        <f t="shared" si="82"/>
        <v>14147</v>
      </c>
      <c r="M251" s="38">
        <f t="shared" si="67"/>
        <v>0</v>
      </c>
      <c r="N251" s="40"/>
      <c r="O251" s="41">
        <v>14124</v>
      </c>
      <c r="P251" s="241">
        <f t="shared" si="80"/>
        <v>0.99837421361419387</v>
      </c>
      <c r="Q251" s="41"/>
    </row>
    <row r="252" spans="2:17" s="204" customFormat="1" ht="42.6" customHeight="1" x14ac:dyDescent="0.25">
      <c r="B252" s="54" t="s">
        <v>630</v>
      </c>
      <c r="C252" s="152" t="s">
        <v>638</v>
      </c>
      <c r="D252" s="119" t="s">
        <v>331</v>
      </c>
      <c r="E252" s="39">
        <v>390000</v>
      </c>
      <c r="F252" s="39">
        <f>ROUND(E252,0)</f>
        <v>390000</v>
      </c>
      <c r="G252" s="38">
        <f t="shared" si="65"/>
        <v>0</v>
      </c>
      <c r="H252" s="57"/>
      <c r="I252" s="38">
        <f>ROUND(F252,0)+43500</f>
        <v>433500</v>
      </c>
      <c r="J252" s="41">
        <f t="shared" si="66"/>
        <v>43500</v>
      </c>
      <c r="K252" s="58" t="s">
        <v>639</v>
      </c>
      <c r="L252" s="38">
        <f t="shared" si="82"/>
        <v>433500</v>
      </c>
      <c r="M252" s="38">
        <f t="shared" si="67"/>
        <v>0</v>
      </c>
      <c r="N252" s="57"/>
      <c r="O252" s="41">
        <f>ROUND(H252,0)</f>
        <v>0</v>
      </c>
      <c r="P252" s="241">
        <f t="shared" si="80"/>
        <v>0</v>
      </c>
      <c r="Q252" s="41"/>
    </row>
    <row r="253" spans="2:17" s="204" customFormat="1" ht="19.149999999999999" customHeight="1" x14ac:dyDescent="0.25">
      <c r="B253" s="205" t="s">
        <v>640</v>
      </c>
      <c r="C253" s="152" t="s">
        <v>641</v>
      </c>
      <c r="D253" s="119" t="s">
        <v>642</v>
      </c>
      <c r="E253" s="39">
        <v>838367.24456400005</v>
      </c>
      <c r="F253" s="39">
        <f>ROUND(E253,0)</f>
        <v>838367</v>
      </c>
      <c r="G253" s="38">
        <f t="shared" si="65"/>
        <v>-0.24456400005146861</v>
      </c>
      <c r="H253" s="57" t="s">
        <v>643</v>
      </c>
      <c r="I253" s="38">
        <f t="shared" si="81"/>
        <v>838367</v>
      </c>
      <c r="J253" s="38">
        <f t="shared" si="66"/>
        <v>0</v>
      </c>
      <c r="K253" s="57"/>
      <c r="L253" s="38">
        <f t="shared" si="82"/>
        <v>838367</v>
      </c>
      <c r="M253" s="38">
        <f t="shared" si="67"/>
        <v>0</v>
      </c>
      <c r="N253" s="57"/>
      <c r="O253" s="41">
        <v>375707</v>
      </c>
      <c r="P253" s="241">
        <f t="shared" si="80"/>
        <v>0.44814144640712239</v>
      </c>
      <c r="Q253" s="41"/>
    </row>
    <row r="254" spans="2:17" s="204" customFormat="1" ht="15" customHeight="1" x14ac:dyDescent="0.25">
      <c r="B254" s="54" t="s">
        <v>628</v>
      </c>
      <c r="C254" s="152" t="s">
        <v>644</v>
      </c>
      <c r="D254" s="119" t="s">
        <v>645</v>
      </c>
      <c r="E254" s="39">
        <v>173758</v>
      </c>
      <c r="F254" s="39">
        <f>ROUND(E254,0)</f>
        <v>173758</v>
      </c>
      <c r="G254" s="38">
        <f t="shared" si="65"/>
        <v>0</v>
      </c>
      <c r="H254" s="40"/>
      <c r="I254" s="38">
        <f t="shared" si="81"/>
        <v>173758</v>
      </c>
      <c r="J254" s="38">
        <f t="shared" si="66"/>
        <v>0</v>
      </c>
      <c r="K254" s="40"/>
      <c r="L254" s="38">
        <f t="shared" si="82"/>
        <v>173758</v>
      </c>
      <c r="M254" s="38">
        <f t="shared" si="67"/>
        <v>0</v>
      </c>
      <c r="N254" s="40"/>
      <c r="O254" s="41">
        <v>71696</v>
      </c>
      <c r="P254" s="241">
        <f t="shared" si="80"/>
        <v>0.41261985059680706</v>
      </c>
      <c r="Q254" s="41"/>
    </row>
    <row r="255" spans="2:17" s="211" customFormat="1" ht="13.9" customHeight="1" x14ac:dyDescent="0.25">
      <c r="B255" s="205"/>
      <c r="C255" s="206" t="s">
        <v>646</v>
      </c>
      <c r="D255" s="207" t="s">
        <v>647</v>
      </c>
      <c r="E255" s="209">
        <v>395329.28034260002</v>
      </c>
      <c r="F255" s="209">
        <f t="shared" ref="F255:G255" si="83">F256+F257</f>
        <v>395329</v>
      </c>
      <c r="G255" s="208">
        <f t="shared" si="83"/>
        <v>-0.28034260001732036</v>
      </c>
      <c r="H255" s="208"/>
      <c r="I255" s="208">
        <f>I256+I257</f>
        <v>395329</v>
      </c>
      <c r="J255" s="208">
        <f t="shared" si="66"/>
        <v>0</v>
      </c>
      <c r="K255" s="208"/>
      <c r="L255" s="208">
        <f>L256+L257</f>
        <v>396569</v>
      </c>
      <c r="M255" s="208">
        <f t="shared" si="67"/>
        <v>1240</v>
      </c>
      <c r="N255" s="208"/>
      <c r="O255" s="210">
        <f>O256+O257</f>
        <v>136930</v>
      </c>
      <c r="P255" s="266">
        <f t="shared" si="80"/>
        <v>0.34528669664043332</v>
      </c>
      <c r="Q255" s="210"/>
    </row>
    <row r="256" spans="2:17" s="204" customFormat="1" ht="12" customHeight="1" x14ac:dyDescent="0.25">
      <c r="B256" s="75" t="s">
        <v>648</v>
      </c>
      <c r="C256" s="212" t="s">
        <v>649</v>
      </c>
      <c r="D256" s="119" t="s">
        <v>650</v>
      </c>
      <c r="E256" s="39">
        <v>83788</v>
      </c>
      <c r="F256" s="39">
        <f>ROUND(E256,0)</f>
        <v>83788</v>
      </c>
      <c r="G256" s="38">
        <f t="shared" si="65"/>
        <v>0</v>
      </c>
      <c r="H256" s="57"/>
      <c r="I256" s="38">
        <f>ROUND(F256,0)</f>
        <v>83788</v>
      </c>
      <c r="J256" s="38">
        <f t="shared" si="66"/>
        <v>0</v>
      </c>
      <c r="K256" s="57"/>
      <c r="L256" s="38">
        <f>ROUND(I256,0)+1240</f>
        <v>85028</v>
      </c>
      <c r="M256" s="38">
        <f t="shared" si="67"/>
        <v>1240</v>
      </c>
      <c r="N256" s="57" t="s">
        <v>151</v>
      </c>
      <c r="O256" s="41">
        <v>34898</v>
      </c>
      <c r="P256" s="241">
        <f t="shared" si="80"/>
        <v>0.41042950557463426</v>
      </c>
      <c r="Q256" s="41" t="s">
        <v>572</v>
      </c>
    </row>
    <row r="257" spans="2:17" s="132" customFormat="1" ht="12.6" customHeight="1" x14ac:dyDescent="0.25">
      <c r="B257" s="205" t="s">
        <v>651</v>
      </c>
      <c r="C257" s="212" t="s">
        <v>652</v>
      </c>
      <c r="D257" s="119" t="s">
        <v>653</v>
      </c>
      <c r="E257" s="39">
        <v>311541.28034260002</v>
      </c>
      <c r="F257" s="39">
        <f>ROUND(E257,0)</f>
        <v>311541</v>
      </c>
      <c r="G257" s="38">
        <f t="shared" si="65"/>
        <v>-0.28034260001732036</v>
      </c>
      <c r="H257" s="40"/>
      <c r="I257" s="38">
        <f>ROUND(F257,0)</f>
        <v>311541</v>
      </c>
      <c r="J257" s="38">
        <f t="shared" si="66"/>
        <v>0</v>
      </c>
      <c r="K257" s="40"/>
      <c r="L257" s="38">
        <f>ROUND(I257,0)</f>
        <v>311541</v>
      </c>
      <c r="M257" s="38">
        <f t="shared" si="67"/>
        <v>0</v>
      </c>
      <c r="N257" s="40"/>
      <c r="O257" s="41">
        <v>102032</v>
      </c>
      <c r="P257" s="241">
        <f t="shared" si="80"/>
        <v>0.32750745487752814</v>
      </c>
      <c r="Q257" s="41"/>
    </row>
    <row r="258" spans="2:17" ht="18" customHeight="1" x14ac:dyDescent="0.25">
      <c r="C258" s="199" t="s">
        <v>654</v>
      </c>
      <c r="D258" s="154" t="s">
        <v>655</v>
      </c>
      <c r="E258" s="156">
        <v>1489092.9817770002</v>
      </c>
      <c r="F258" s="156">
        <f t="shared" ref="F258" si="84">F259+F260</f>
        <v>1541382</v>
      </c>
      <c r="G258" s="155">
        <f t="shared" si="65"/>
        <v>52289.018222999759</v>
      </c>
      <c r="H258" s="155"/>
      <c r="I258" s="155">
        <f>I259+I260</f>
        <v>1541382</v>
      </c>
      <c r="J258" s="155">
        <f t="shared" si="66"/>
        <v>0</v>
      </c>
      <c r="K258" s="155"/>
      <c r="L258" s="155">
        <f>L259+L260</f>
        <v>1541382</v>
      </c>
      <c r="M258" s="155">
        <f t="shared" si="67"/>
        <v>0</v>
      </c>
      <c r="N258" s="155"/>
      <c r="O258" s="157">
        <f>O259+O260</f>
        <v>680515</v>
      </c>
      <c r="P258" s="258">
        <f t="shared" si="80"/>
        <v>0.44149665689621392</v>
      </c>
      <c r="Q258" s="157"/>
    </row>
    <row r="259" spans="2:17" ht="13.5" customHeight="1" x14ac:dyDescent="0.25">
      <c r="C259" s="152" t="s">
        <v>656</v>
      </c>
      <c r="D259" s="119" t="s">
        <v>657</v>
      </c>
      <c r="E259" s="39">
        <v>593640</v>
      </c>
      <c r="F259" s="39">
        <f>ROUND(E259,0)+52289</f>
        <v>645929</v>
      </c>
      <c r="G259" s="38">
        <f t="shared" si="65"/>
        <v>52289</v>
      </c>
      <c r="H259" s="57" t="s">
        <v>139</v>
      </c>
      <c r="I259" s="38">
        <f>ROUND(F259,0)</f>
        <v>645929</v>
      </c>
      <c r="J259" s="38">
        <f t="shared" si="66"/>
        <v>0</v>
      </c>
      <c r="K259" s="57"/>
      <c r="L259" s="38">
        <f>ROUND(I259,0)</f>
        <v>645929</v>
      </c>
      <c r="M259" s="38">
        <f t="shared" si="67"/>
        <v>0</v>
      </c>
      <c r="N259" s="57"/>
      <c r="O259" s="41">
        <v>315400</v>
      </c>
      <c r="P259" s="241">
        <f t="shared" si="80"/>
        <v>0.48828896055139187</v>
      </c>
      <c r="Q259" s="41"/>
    </row>
    <row r="260" spans="2:17" ht="28.9" customHeight="1" x14ac:dyDescent="0.25">
      <c r="C260" s="152" t="s">
        <v>658</v>
      </c>
      <c r="D260" s="119" t="s">
        <v>570</v>
      </c>
      <c r="E260" s="39">
        <v>895452.98177700012</v>
      </c>
      <c r="F260" s="39">
        <f>ROUND(E260,0)</f>
        <v>895453</v>
      </c>
      <c r="G260" s="38">
        <f t="shared" ref="G260:G278" si="85">F260-E260</f>
        <v>1.8222999875433743E-2</v>
      </c>
      <c r="H260" s="213"/>
      <c r="I260" s="38">
        <f>ROUND(F260,0)</f>
        <v>895453</v>
      </c>
      <c r="J260" s="38">
        <f t="shared" ref="J260:J278" si="86">I260-F260</f>
        <v>0</v>
      </c>
      <c r="K260" s="213"/>
      <c r="L260" s="38">
        <f>ROUND(I260,0)</f>
        <v>895453</v>
      </c>
      <c r="M260" s="38">
        <f t="shared" ref="M260:M278" si="87">L260-I260</f>
        <v>0</v>
      </c>
      <c r="N260" s="213"/>
      <c r="O260" s="41">
        <v>365115</v>
      </c>
      <c r="P260" s="241">
        <f t="shared" si="80"/>
        <v>0.40774334331338441</v>
      </c>
      <c r="Q260" s="77" t="s">
        <v>659</v>
      </c>
    </row>
    <row r="261" spans="2:17" ht="16.149999999999999" customHeight="1" x14ac:dyDescent="0.25">
      <c r="C261" s="214" t="s">
        <v>660</v>
      </c>
      <c r="D261" s="154" t="s">
        <v>661</v>
      </c>
      <c r="E261" s="156">
        <v>643256.80554049998</v>
      </c>
      <c r="F261" s="156">
        <f>F262+F263</f>
        <v>643257</v>
      </c>
      <c r="G261" s="155">
        <f t="shared" si="85"/>
        <v>0.19445950002409518</v>
      </c>
      <c r="H261" s="167"/>
      <c r="I261" s="155">
        <f>I262+I263</f>
        <v>643257</v>
      </c>
      <c r="J261" s="155">
        <f t="shared" si="86"/>
        <v>0</v>
      </c>
      <c r="K261" s="167"/>
      <c r="L261" s="155">
        <f>L262+L263</f>
        <v>643257</v>
      </c>
      <c r="M261" s="155">
        <f t="shared" si="87"/>
        <v>0</v>
      </c>
      <c r="N261" s="167"/>
      <c r="O261" s="157">
        <f>O262+O263</f>
        <v>231659</v>
      </c>
      <c r="P261" s="258">
        <f t="shared" si="80"/>
        <v>0.36013444082225299</v>
      </c>
      <c r="Q261" s="157"/>
    </row>
    <row r="262" spans="2:17" ht="16.5" customHeight="1" x14ac:dyDescent="0.25">
      <c r="B262" s="75" t="s">
        <v>662</v>
      </c>
      <c r="C262" s="152" t="s">
        <v>663</v>
      </c>
      <c r="D262" s="119" t="s">
        <v>657</v>
      </c>
      <c r="E262" s="39">
        <v>299308</v>
      </c>
      <c r="F262" s="39">
        <f t="shared" ref="F262:F268" si="88">ROUND(E262,0)</f>
        <v>299308</v>
      </c>
      <c r="G262" s="38">
        <f t="shared" si="85"/>
        <v>0</v>
      </c>
      <c r="H262" s="40"/>
      <c r="I262" s="38">
        <f t="shared" ref="I262:I268" si="89">ROUND(F262,0)</f>
        <v>299308</v>
      </c>
      <c r="J262" s="38">
        <f t="shared" si="86"/>
        <v>0</v>
      </c>
      <c r="K262" s="40"/>
      <c r="L262" s="38">
        <f t="shared" ref="L262:L268" si="90">ROUND(I262,0)</f>
        <v>299308</v>
      </c>
      <c r="M262" s="38">
        <f t="shared" si="87"/>
        <v>0</v>
      </c>
      <c r="N262" s="40"/>
      <c r="O262" s="41">
        <v>114344</v>
      </c>
      <c r="P262" s="241">
        <f t="shared" si="80"/>
        <v>0.38202787763775109</v>
      </c>
      <c r="Q262" s="41"/>
    </row>
    <row r="263" spans="2:17" ht="16.5" customHeight="1" x14ac:dyDescent="0.25">
      <c r="B263" s="75" t="s">
        <v>664</v>
      </c>
      <c r="C263" s="152" t="s">
        <v>665</v>
      </c>
      <c r="D263" s="119" t="s">
        <v>666</v>
      </c>
      <c r="E263" s="39">
        <v>343948.80554049998</v>
      </c>
      <c r="F263" s="39">
        <f t="shared" si="88"/>
        <v>343949</v>
      </c>
      <c r="G263" s="38">
        <f t="shared" si="85"/>
        <v>0.19445950002409518</v>
      </c>
      <c r="H263" s="57"/>
      <c r="I263" s="38">
        <f t="shared" si="89"/>
        <v>343949</v>
      </c>
      <c r="J263" s="38">
        <f t="shared" si="86"/>
        <v>0</v>
      </c>
      <c r="K263" s="57"/>
      <c r="L263" s="38">
        <f t="shared" si="90"/>
        <v>343949</v>
      </c>
      <c r="M263" s="38">
        <f t="shared" si="87"/>
        <v>0</v>
      </c>
      <c r="N263" s="57"/>
      <c r="O263" s="41">
        <v>117315</v>
      </c>
      <c r="P263" s="241">
        <f t="shared" si="80"/>
        <v>0.34108254421440387</v>
      </c>
      <c r="Q263" s="41" t="s">
        <v>667</v>
      </c>
    </row>
    <row r="264" spans="2:17" ht="18.75" customHeight="1" x14ac:dyDescent="0.25">
      <c r="B264" s="75" t="s">
        <v>668</v>
      </c>
      <c r="C264" s="214" t="s">
        <v>669</v>
      </c>
      <c r="D264" s="154" t="s">
        <v>670</v>
      </c>
      <c r="E264" s="78">
        <v>316025.5193245</v>
      </c>
      <c r="F264" s="78">
        <f t="shared" si="88"/>
        <v>316026</v>
      </c>
      <c r="G264" s="62">
        <f t="shared" si="85"/>
        <v>0.48067550000268966</v>
      </c>
      <c r="H264" s="79"/>
      <c r="I264" s="62">
        <f t="shared" si="89"/>
        <v>316026</v>
      </c>
      <c r="J264" s="62">
        <f t="shared" si="86"/>
        <v>0</v>
      </c>
      <c r="K264" s="79"/>
      <c r="L264" s="62">
        <f t="shared" si="90"/>
        <v>316026</v>
      </c>
      <c r="M264" s="62">
        <f t="shared" si="87"/>
        <v>0</v>
      </c>
      <c r="N264" s="79"/>
      <c r="O264" s="144">
        <f>116182+588</f>
        <v>116770</v>
      </c>
      <c r="P264" s="248">
        <f t="shared" si="80"/>
        <v>0.36949491497535014</v>
      </c>
      <c r="Q264" s="144" t="s">
        <v>671</v>
      </c>
    </row>
    <row r="265" spans="2:17" ht="32.450000000000003" customHeight="1" x14ac:dyDescent="0.25">
      <c r="B265" s="75"/>
      <c r="C265" s="214" t="s">
        <v>672</v>
      </c>
      <c r="D265" s="154" t="s">
        <v>673</v>
      </c>
      <c r="E265" s="78">
        <v>3000</v>
      </c>
      <c r="F265" s="78">
        <f t="shared" si="88"/>
        <v>3000</v>
      </c>
      <c r="G265" s="62"/>
      <c r="H265" s="79"/>
      <c r="I265" s="62">
        <f t="shared" si="89"/>
        <v>3000</v>
      </c>
      <c r="J265" s="62">
        <f t="shared" si="86"/>
        <v>0</v>
      </c>
      <c r="K265" s="79"/>
      <c r="L265" s="62">
        <f t="shared" si="90"/>
        <v>3000</v>
      </c>
      <c r="M265" s="62">
        <f t="shared" si="87"/>
        <v>0</v>
      </c>
      <c r="N265" s="79"/>
      <c r="O265" s="144">
        <v>0</v>
      </c>
      <c r="P265" s="248">
        <f t="shared" si="80"/>
        <v>0</v>
      </c>
      <c r="Q265" s="144" t="s">
        <v>674</v>
      </c>
    </row>
    <row r="266" spans="2:17" ht="31.9" customHeight="1" x14ac:dyDescent="0.25">
      <c r="B266" s="75" t="s">
        <v>675</v>
      </c>
      <c r="C266" s="214" t="s">
        <v>676</v>
      </c>
      <c r="D266" s="154" t="s">
        <v>677</v>
      </c>
      <c r="E266" s="78">
        <v>16292</v>
      </c>
      <c r="F266" s="78">
        <f t="shared" si="88"/>
        <v>16292</v>
      </c>
      <c r="G266" s="62">
        <f t="shared" si="85"/>
        <v>0</v>
      </c>
      <c r="H266" s="79"/>
      <c r="I266" s="62">
        <f t="shared" si="89"/>
        <v>16292</v>
      </c>
      <c r="J266" s="62">
        <f t="shared" si="86"/>
        <v>0</v>
      </c>
      <c r="K266" s="79"/>
      <c r="L266" s="62">
        <f t="shared" si="90"/>
        <v>16292</v>
      </c>
      <c r="M266" s="62">
        <f t="shared" si="87"/>
        <v>0</v>
      </c>
      <c r="N266" s="79"/>
      <c r="O266" s="144">
        <v>1927</v>
      </c>
      <c r="P266" s="248">
        <f t="shared" si="80"/>
        <v>0.11827890989442671</v>
      </c>
      <c r="Q266" s="144"/>
    </row>
    <row r="267" spans="2:17" ht="27" customHeight="1" x14ac:dyDescent="0.25">
      <c r="B267" s="75" t="s">
        <v>678</v>
      </c>
      <c r="C267" s="214" t="s">
        <v>679</v>
      </c>
      <c r="D267" s="154" t="s">
        <v>231</v>
      </c>
      <c r="E267" s="78">
        <v>1049</v>
      </c>
      <c r="F267" s="78">
        <f t="shared" si="88"/>
        <v>1049</v>
      </c>
      <c r="G267" s="62">
        <f t="shared" si="85"/>
        <v>0</v>
      </c>
      <c r="H267" s="79"/>
      <c r="I267" s="62">
        <f t="shared" si="89"/>
        <v>1049</v>
      </c>
      <c r="J267" s="62">
        <f t="shared" si="86"/>
        <v>0</v>
      </c>
      <c r="K267" s="79"/>
      <c r="L267" s="62">
        <f t="shared" si="90"/>
        <v>1049</v>
      </c>
      <c r="M267" s="62">
        <f t="shared" si="87"/>
        <v>0</v>
      </c>
      <c r="N267" s="79"/>
      <c r="O267" s="144">
        <v>0</v>
      </c>
      <c r="P267" s="248">
        <f t="shared" si="80"/>
        <v>0</v>
      </c>
      <c r="Q267" s="144" t="s">
        <v>680</v>
      </c>
    </row>
    <row r="268" spans="2:17" ht="57.6" customHeight="1" x14ac:dyDescent="0.25">
      <c r="B268" s="75" t="s">
        <v>681</v>
      </c>
      <c r="C268" s="214" t="s">
        <v>682</v>
      </c>
      <c r="D268" s="154" t="s">
        <v>683</v>
      </c>
      <c r="E268" s="78">
        <v>7000</v>
      </c>
      <c r="F268" s="78">
        <f t="shared" si="88"/>
        <v>7000</v>
      </c>
      <c r="G268" s="62">
        <f t="shared" si="85"/>
        <v>0</v>
      </c>
      <c r="H268" s="79"/>
      <c r="I268" s="62">
        <f t="shared" si="89"/>
        <v>7000</v>
      </c>
      <c r="J268" s="62">
        <f t="shared" si="86"/>
        <v>0</v>
      </c>
      <c r="K268" s="79"/>
      <c r="L268" s="62">
        <f t="shared" si="90"/>
        <v>7000</v>
      </c>
      <c r="M268" s="62">
        <f t="shared" si="87"/>
        <v>0</v>
      </c>
      <c r="N268" s="79"/>
      <c r="O268" s="144">
        <v>4135</v>
      </c>
      <c r="P268" s="248">
        <f t="shared" si="80"/>
        <v>0.59071428571428575</v>
      </c>
      <c r="Q268" s="144"/>
    </row>
    <row r="269" spans="2:17" ht="27" customHeight="1" x14ac:dyDescent="0.25">
      <c r="C269" s="199" t="s">
        <v>684</v>
      </c>
      <c r="D269" s="154" t="s">
        <v>219</v>
      </c>
      <c r="E269" s="189">
        <v>106243</v>
      </c>
      <c r="F269" s="189">
        <f>F270+F271</f>
        <v>106243</v>
      </c>
      <c r="G269" s="62">
        <f t="shared" si="85"/>
        <v>0</v>
      </c>
      <c r="H269" s="79"/>
      <c r="I269" s="188">
        <f>I270+I271</f>
        <v>106243</v>
      </c>
      <c r="J269" s="62">
        <f t="shared" si="86"/>
        <v>0</v>
      </c>
      <c r="K269" s="79"/>
      <c r="L269" s="188">
        <f>L270+L271</f>
        <v>106243</v>
      </c>
      <c r="M269" s="62">
        <f t="shared" si="87"/>
        <v>0</v>
      </c>
      <c r="N269" s="79"/>
      <c r="O269" s="190">
        <f>O270+O271</f>
        <v>26407</v>
      </c>
      <c r="P269" s="264">
        <f t="shared" si="80"/>
        <v>0.24855284583454909</v>
      </c>
      <c r="Q269" s="190"/>
    </row>
    <row r="270" spans="2:17" ht="14.45" customHeight="1" x14ac:dyDescent="0.25">
      <c r="B270" s="75" t="s">
        <v>685</v>
      </c>
      <c r="C270" s="152" t="s">
        <v>686</v>
      </c>
      <c r="D270" s="119" t="s">
        <v>687</v>
      </c>
      <c r="E270" s="39">
        <v>70943</v>
      </c>
      <c r="F270" s="39">
        <f>ROUND(E270,0)</f>
        <v>70943</v>
      </c>
      <c r="G270" s="38">
        <f t="shared" si="85"/>
        <v>0</v>
      </c>
      <c r="H270" s="57"/>
      <c r="I270" s="38">
        <f>ROUND(F270,0)</f>
        <v>70943</v>
      </c>
      <c r="J270" s="38">
        <f t="shared" si="86"/>
        <v>0</v>
      </c>
      <c r="K270" s="57"/>
      <c r="L270" s="38">
        <f>ROUND(I270,0)</f>
        <v>70943</v>
      </c>
      <c r="M270" s="38">
        <f t="shared" si="87"/>
        <v>0</v>
      </c>
      <c r="N270" s="57"/>
      <c r="O270" s="41">
        <v>26407</v>
      </c>
      <c r="P270" s="241">
        <f t="shared" si="80"/>
        <v>0.37222840872249552</v>
      </c>
      <c r="Q270" s="41"/>
    </row>
    <row r="271" spans="2:17" s="132" customFormat="1" ht="15" customHeight="1" thickBot="1" x14ac:dyDescent="0.3">
      <c r="B271" s="75" t="s">
        <v>688</v>
      </c>
      <c r="C271" s="152" t="s">
        <v>689</v>
      </c>
      <c r="D271" s="119" t="s">
        <v>690</v>
      </c>
      <c r="E271" s="39">
        <v>35300</v>
      </c>
      <c r="F271" s="39">
        <f>ROUND(E271,0)</f>
        <v>35300</v>
      </c>
      <c r="G271" s="38">
        <f t="shared" si="85"/>
        <v>0</v>
      </c>
      <c r="H271" s="57"/>
      <c r="I271" s="38">
        <f>ROUND(F271,0)</f>
        <v>35300</v>
      </c>
      <c r="J271" s="38">
        <f t="shared" si="86"/>
        <v>0</v>
      </c>
      <c r="K271" s="57"/>
      <c r="L271" s="38">
        <f>ROUND(I271,0)</f>
        <v>35300</v>
      </c>
      <c r="M271" s="38">
        <f t="shared" si="87"/>
        <v>0</v>
      </c>
      <c r="N271" s="57"/>
      <c r="O271" s="41">
        <v>0</v>
      </c>
      <c r="P271" s="241">
        <f t="shared" si="80"/>
        <v>0</v>
      </c>
      <c r="Q271" s="41"/>
    </row>
    <row r="272" spans="2:17" s="132" customFormat="1" ht="17.45" hidden="1" customHeight="1" outlineLevel="1" x14ac:dyDescent="0.2">
      <c r="C272" s="147" t="s">
        <v>691</v>
      </c>
      <c r="D272" s="148" t="s">
        <v>692</v>
      </c>
      <c r="E272" s="45">
        <v>0</v>
      </c>
      <c r="F272" s="45">
        <f>SUM(F273:F274)</f>
        <v>0</v>
      </c>
      <c r="G272" s="44">
        <f t="shared" si="85"/>
        <v>0</v>
      </c>
      <c r="H272" s="46"/>
      <c r="I272" s="44">
        <f>SUM(I273:I274)</f>
        <v>0</v>
      </c>
      <c r="J272" s="44">
        <f t="shared" si="86"/>
        <v>0</v>
      </c>
      <c r="K272" s="46"/>
      <c r="L272" s="44">
        <f>SUM(L273:L274)</f>
        <v>0</v>
      </c>
      <c r="M272" s="44">
        <f t="shared" si="87"/>
        <v>0</v>
      </c>
      <c r="N272" s="46"/>
      <c r="O272" s="47">
        <f>SUM(O273:O274)</f>
        <v>0</v>
      </c>
      <c r="P272" s="242"/>
      <c r="Q272" s="47"/>
    </row>
    <row r="273" spans="3:17" ht="17.25" hidden="1" customHeight="1" outlineLevel="1" x14ac:dyDescent="0.25">
      <c r="C273" s="142" t="s">
        <v>132</v>
      </c>
      <c r="D273" s="143" t="s">
        <v>693</v>
      </c>
      <c r="E273" s="78"/>
      <c r="F273" s="78"/>
      <c r="G273" s="62">
        <f t="shared" si="85"/>
        <v>0</v>
      </c>
      <c r="H273" s="79"/>
      <c r="I273" s="62"/>
      <c r="J273" s="62">
        <f t="shared" si="86"/>
        <v>0</v>
      </c>
      <c r="K273" s="79"/>
      <c r="L273" s="62"/>
      <c r="M273" s="62">
        <f t="shared" si="87"/>
        <v>0</v>
      </c>
      <c r="N273" s="79"/>
      <c r="O273" s="144"/>
      <c r="P273" s="248"/>
      <c r="Q273" s="144"/>
    </row>
    <row r="274" spans="3:17" ht="15.75" hidden="1" outlineLevel="1" thickBot="1" x14ac:dyDescent="0.3">
      <c r="C274" s="142" t="s">
        <v>199</v>
      </c>
      <c r="D274" s="143" t="s">
        <v>694</v>
      </c>
      <c r="E274" s="78"/>
      <c r="F274" s="78"/>
      <c r="G274" s="62">
        <f t="shared" si="85"/>
        <v>0</v>
      </c>
      <c r="H274" s="79"/>
      <c r="I274" s="62"/>
      <c r="J274" s="62">
        <f t="shared" si="86"/>
        <v>0</v>
      </c>
      <c r="K274" s="79"/>
      <c r="L274" s="62"/>
      <c r="M274" s="62">
        <f t="shared" si="87"/>
        <v>0</v>
      </c>
      <c r="N274" s="79"/>
      <c r="O274" s="144"/>
      <c r="P274" s="248"/>
      <c r="Q274" s="144"/>
    </row>
    <row r="275" spans="3:17" s="132" customFormat="1" ht="30" customHeight="1" collapsed="1" thickBot="1" x14ac:dyDescent="0.25">
      <c r="C275" s="215"/>
      <c r="D275" s="216" t="s">
        <v>695</v>
      </c>
      <c r="E275" s="218">
        <v>54533532.808720239</v>
      </c>
      <c r="F275" s="218">
        <f>F132+F142+F144+F145+F150+F152+F186+F199+F218+F272+0.5</f>
        <v>54591888.5</v>
      </c>
      <c r="G275" s="217">
        <f t="shared" si="85"/>
        <v>58355.691279761493</v>
      </c>
      <c r="H275" s="219"/>
      <c r="I275" s="217">
        <f>I132+I142+I144+I145+I150+I152+I186+I199+I218+I272+0.5</f>
        <v>55068746.5</v>
      </c>
      <c r="J275" s="217">
        <f t="shared" si="86"/>
        <v>476858</v>
      </c>
      <c r="K275" s="219"/>
      <c r="L275" s="217">
        <f>L132+L142+L144+L145+L150+L152+L186+L199+L218+L272+0.5</f>
        <v>55226538.5</v>
      </c>
      <c r="M275" s="217">
        <f t="shared" si="87"/>
        <v>157792</v>
      </c>
      <c r="N275" s="219"/>
      <c r="O275" s="220">
        <f>O132+O142+O144+O145+O150+O152+O186+O199+O218+O272+0.5</f>
        <v>19937789.5</v>
      </c>
      <c r="P275" s="267">
        <f>O275/L275</f>
        <v>0.36101827203962822</v>
      </c>
      <c r="Q275" s="220"/>
    </row>
    <row r="276" spans="3:17" s="35" customFormat="1" ht="15.75" customHeight="1" thickBot="1" x14ac:dyDescent="0.3">
      <c r="C276" s="147" t="s">
        <v>257</v>
      </c>
      <c r="D276" s="148" t="s">
        <v>696</v>
      </c>
      <c r="E276" s="45">
        <v>3601890.1379218102</v>
      </c>
      <c r="F276" s="45">
        <f>ROUND(E276,0)</f>
        <v>3601890</v>
      </c>
      <c r="G276" s="44">
        <f t="shared" si="85"/>
        <v>-0.13792181015014648</v>
      </c>
      <c r="H276" s="55"/>
      <c r="I276" s="44">
        <f>ROUND(F276,0)</f>
        <v>3601890</v>
      </c>
      <c r="J276" s="44">
        <f t="shared" si="86"/>
        <v>0</v>
      </c>
      <c r="K276" s="55"/>
      <c r="L276" s="44">
        <f>ROUND(I276,0)</f>
        <v>3601890</v>
      </c>
      <c r="M276" s="44">
        <f t="shared" si="87"/>
        <v>0</v>
      </c>
      <c r="N276" s="55"/>
      <c r="O276" s="47">
        <v>1816543</v>
      </c>
      <c r="P276" s="242">
        <f>O276/L276</f>
        <v>0.50433050426303971</v>
      </c>
      <c r="Q276" s="47"/>
    </row>
    <row r="277" spans="3:17" ht="15.75" thickBot="1" x14ac:dyDescent="0.3">
      <c r="C277" s="215"/>
      <c r="D277" s="216" t="s">
        <v>697</v>
      </c>
      <c r="E277" s="222">
        <v>58135422.946642049</v>
      </c>
      <c r="F277" s="222">
        <f>F275+F276</f>
        <v>58193778.5</v>
      </c>
      <c r="G277" s="221">
        <f t="shared" si="85"/>
        <v>58355.553357951343</v>
      </c>
      <c r="H277" s="223"/>
      <c r="I277" s="221">
        <f>I275+I276</f>
        <v>58670636.5</v>
      </c>
      <c r="J277" s="221">
        <f t="shared" si="86"/>
        <v>476858</v>
      </c>
      <c r="K277" s="223"/>
      <c r="L277" s="221">
        <f>L275+L276</f>
        <v>58828428.5</v>
      </c>
      <c r="M277" s="221">
        <f t="shared" si="87"/>
        <v>157792</v>
      </c>
      <c r="N277" s="223"/>
      <c r="O277" s="224">
        <f>O275+O276</f>
        <v>21754332.5</v>
      </c>
      <c r="P277" s="268">
        <f>O277/L277</f>
        <v>0.36979285448701049</v>
      </c>
      <c r="Q277" s="224"/>
    </row>
    <row r="278" spans="3:17" ht="16.5" thickTop="1" thickBot="1" x14ac:dyDescent="0.3">
      <c r="C278" s="225" t="s">
        <v>698</v>
      </c>
      <c r="D278" s="226" t="s">
        <v>699</v>
      </c>
      <c r="E278" s="228">
        <v>26873.285557955503</v>
      </c>
      <c r="F278" s="228">
        <f>F126-F277-0.2</f>
        <v>26873.3</v>
      </c>
      <c r="G278" s="227">
        <f t="shared" si="85"/>
        <v>1.4442044495808659E-2</v>
      </c>
      <c r="H278" s="229"/>
      <c r="I278" s="227">
        <f>I126-I277-0.2</f>
        <v>43996.3</v>
      </c>
      <c r="J278" s="227">
        <f t="shared" si="86"/>
        <v>17123.000000000004</v>
      </c>
      <c r="K278" s="229"/>
      <c r="L278" s="227">
        <f>L126-L277-0.2</f>
        <v>47155.3</v>
      </c>
      <c r="M278" s="227">
        <f t="shared" si="87"/>
        <v>3159</v>
      </c>
      <c r="N278" s="229"/>
      <c r="O278" s="230">
        <f>O126-O277-0.2</f>
        <v>10240744.93</v>
      </c>
      <c r="P278" s="269">
        <f>O278/L278</f>
        <v>217.17060288027005</v>
      </c>
      <c r="Q278" s="230"/>
    </row>
  </sheetData>
  <mergeCells count="12">
    <mergeCell ref="C2:D2"/>
    <mergeCell ref="C3:D3"/>
    <mergeCell ref="O54:O55"/>
    <mergeCell ref="P54:P55"/>
    <mergeCell ref="O57:O58"/>
    <mergeCell ref="P57:P58"/>
    <mergeCell ref="C129:D129"/>
    <mergeCell ref="C130:D130"/>
    <mergeCell ref="P158:P159"/>
    <mergeCell ref="K165:K166"/>
    <mergeCell ref="O236:O237"/>
    <mergeCell ref="P236:P237"/>
  </mergeCells>
  <conditionalFormatting sqref="E278:G278">
    <cfRule type="cellIs" dxfId="3" priority="4" operator="lessThan">
      <formula>0</formula>
    </cfRule>
  </conditionalFormatting>
  <conditionalFormatting sqref="I278:J278">
    <cfRule type="cellIs" dxfId="2" priority="2" operator="lessThan">
      <formula>0</formula>
    </cfRule>
  </conditionalFormatting>
  <conditionalFormatting sqref="L278:M278">
    <cfRule type="cellIs" dxfId="1" priority="1" operator="lessThan">
      <formula>0</formula>
    </cfRule>
  </conditionalFormatting>
  <conditionalFormatting sqref="O278:Q278">
    <cfRule type="cellIs" dxfId="0" priority="3"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Grafiki_budžeta_izpilde</vt:lpstr>
      <vt:lpstr>% maksa</vt:lpstr>
      <vt:lpstr>2023.gada budzeta plans_apvieno</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Linda Povlovska</cp:lastModifiedBy>
  <dcterms:created xsi:type="dcterms:W3CDTF">2023-07-18T11:50:21Z</dcterms:created>
  <dcterms:modified xsi:type="dcterms:W3CDTF">2023-07-25T11:45:19Z</dcterms:modified>
</cp:coreProperties>
</file>